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Share'!$B$4:$I$49</definedName>
    <definedName name="Page_1" localSheetId="3">Footnotes!$A$3:$S$78</definedName>
    <definedName name="Page_2" localSheetId="3">Footnotes!#REF!</definedName>
    <definedName name="page1" localSheetId="32">'Sch 4'!$A$3:$J$22</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Fed'!$A$3:$X$45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DISB'!$A$3:$D$72</definedName>
    <definedName name="_xlnm.Print_Area" localSheetId="39">'Medicaid Disp Share'!$B$2:$I$52</definedName>
    <definedName name="_xlnm.Print_Area" localSheetId="38">'Public Goods '!$A$3:$H$54</definedName>
    <definedName name="_xlnm.Print_Area" localSheetId="29">'Sch 1 '!$A$3:$L$157</definedName>
    <definedName name="_xlnm.Print_Area" localSheetId="30">'Sch 2 '!$A$3:$K$45</definedName>
    <definedName name="_xlnm.Print_Area" localSheetId="31">'Sch 3 '!$A$2:$M$49</definedName>
    <definedName name="_xlnm.Print_Area" localSheetId="32">'Sch 4'!$A$3:$J$39</definedName>
    <definedName name="_xlnm.Print_Area" localSheetId="33">'Sch 5 '!$A$3:$S$67</definedName>
    <definedName name="_xlnm.Print_Area" localSheetId="34">'Sch 5a'!$B$3:$V$44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AB26" i="17"/>
  <c r="AL112" i="20"/>
  <c r="A52" i="8" l="1"/>
  <c r="A53" i="9" s="1"/>
  <c r="A44" i="10" s="1"/>
  <c r="A44" i="11" s="1"/>
  <c r="A42" i="12" s="1"/>
  <c r="A43" i="13" s="1"/>
  <c r="A43" i="14" s="1"/>
  <c r="E55" i="17" l="1"/>
  <c r="B61" i="38" l="1"/>
  <c r="B66" i="38" s="1"/>
  <c r="D52" i="38"/>
  <c r="D51" i="38" s="1"/>
  <c r="C52" i="38"/>
  <c r="C51" i="38" s="1"/>
  <c r="D12" i="38"/>
  <c r="D11" i="38" s="1"/>
  <c r="C12" i="38"/>
  <c r="C11" i="38" s="1"/>
  <c r="C61" i="38" l="1"/>
  <c r="C66" i="38" s="1"/>
  <c r="D61" i="38"/>
  <c r="D66" i="38" s="1"/>
  <c r="I42" i="40" l="1"/>
  <c r="H18" i="37" l="1"/>
  <c r="J70" i="20"/>
  <c r="J102" i="18"/>
  <c r="I136" i="16"/>
  <c r="B33" i="6"/>
  <c r="M100" i="42" l="1"/>
  <c r="J54" i="15"/>
  <c r="H54" i="15"/>
  <c r="J78" i="20" l="1"/>
  <c r="X24" i="22"/>
  <c r="V24" i="22"/>
  <c r="T24" i="22"/>
  <c r="R24" i="22"/>
  <c r="P24" i="22"/>
  <c r="N24" i="22"/>
  <c r="L24" i="22"/>
  <c r="J24" i="22"/>
  <c r="D24" i="22"/>
  <c r="B24" i="22"/>
  <c r="AE128" i="17"/>
  <c r="E128" i="17"/>
  <c r="C128" i="17"/>
  <c r="E28" i="17"/>
  <c r="AJ128" i="17" l="1"/>
  <c r="E28" i="16"/>
  <c r="E55" i="16" l="1"/>
  <c r="C55" i="16"/>
  <c r="AI23" i="22"/>
  <c r="AE55" i="16" l="1"/>
  <c r="Y56" i="16"/>
  <c r="W56" i="16"/>
  <c r="U56" i="16"/>
  <c r="S56" i="16"/>
  <c r="Q56" i="16"/>
  <c r="O56" i="16"/>
  <c r="M56" i="16"/>
  <c r="K56" i="16"/>
  <c r="AE55" i="17"/>
  <c r="AJ55" i="17" s="1"/>
  <c r="Y56" i="17"/>
  <c r="W56" i="17"/>
  <c r="U56" i="17"/>
  <c r="S56" i="17"/>
  <c r="Q56" i="17"/>
  <c r="O56" i="17"/>
  <c r="M56" i="17"/>
  <c r="K56" i="17"/>
  <c r="C55" i="17"/>
  <c r="AJ55" i="16" l="1"/>
  <c r="AD53" i="15"/>
  <c r="AJ53" i="15" s="1"/>
  <c r="Z51" i="18"/>
  <c r="X51" i="18"/>
  <c r="V51" i="18"/>
  <c r="T51" i="18"/>
  <c r="R51" i="18"/>
  <c r="P51" i="18"/>
  <c r="N51" i="18"/>
  <c r="L51" i="18"/>
  <c r="F51" i="18"/>
  <c r="D51" i="18"/>
  <c r="AK50" i="18"/>
  <c r="H27" i="27" l="1"/>
  <c r="F27" i="5" s="1"/>
  <c r="H26" i="27"/>
  <c r="F26" i="5" s="1"/>
  <c r="H39" i="27"/>
  <c r="F35" i="5" s="1"/>
  <c r="H17" i="27"/>
  <c r="F18" i="5" s="1"/>
  <c r="H15" i="39"/>
  <c r="K77" i="24" l="1"/>
  <c r="K56" i="25"/>
  <c r="K40" i="24"/>
  <c r="K73" i="24"/>
  <c r="K44" i="25"/>
  <c r="K51" i="24"/>
  <c r="G55" i="16"/>
  <c r="G55" i="17"/>
  <c r="E27" i="17" l="1"/>
  <c r="E29" i="17"/>
  <c r="E49" i="16"/>
  <c r="I21" i="26" l="1"/>
  <c r="B20" i="5" s="1"/>
  <c r="I31" i="26"/>
  <c r="B27" i="5" s="1"/>
  <c r="I40" i="40"/>
  <c r="I39" i="40"/>
  <c r="I35" i="40"/>
  <c r="I34" i="40"/>
  <c r="I33" i="40"/>
  <c r="I32" i="40"/>
  <c r="I31" i="40"/>
  <c r="I29" i="40"/>
  <c r="I28" i="40"/>
  <c r="I19" i="40"/>
  <c r="I21" i="40"/>
  <c r="I20" i="40"/>
  <c r="I15" i="40"/>
  <c r="F43" i="40"/>
  <c r="F36" i="40"/>
  <c r="F22" i="40"/>
  <c r="F16" i="40"/>
  <c r="I12" i="40"/>
  <c r="E47" i="39"/>
  <c r="E38" i="39"/>
  <c r="E28" i="39"/>
  <c r="E22" i="39"/>
  <c r="H12" i="39"/>
  <c r="I22" i="40" l="1"/>
  <c r="I43" i="40"/>
  <c r="E30" i="39"/>
  <c r="E50" i="39" s="1"/>
  <c r="F24" i="40"/>
  <c r="F46" i="40" s="1"/>
  <c r="D36" i="43"/>
  <c r="Z34" i="43"/>
  <c r="C47" i="26" l="1"/>
  <c r="D17" i="19" l="1"/>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C25" i="16" l="1"/>
  <c r="H19" i="22" l="1"/>
  <c r="L28" i="15" s="1"/>
  <c r="H65" i="22"/>
  <c r="L50" i="2" s="1"/>
  <c r="H16" i="22"/>
  <c r="L14" i="2" s="1"/>
  <c r="H16" i="29" l="1"/>
  <c r="F18" i="6" s="1"/>
  <c r="J89" i="20"/>
  <c r="J46" i="21"/>
  <c r="J101" i="20"/>
  <c r="J73" i="21"/>
  <c r="J21" i="21"/>
  <c r="J102" i="20"/>
  <c r="L23" i="15"/>
  <c r="C22" i="34"/>
  <c r="C62" i="34"/>
  <c r="C59" i="34"/>
  <c r="C57" i="34"/>
  <c r="C56" i="34"/>
  <c r="C53" i="34"/>
  <c r="C52" i="34"/>
  <c r="C51" i="34"/>
  <c r="C50" i="34"/>
  <c r="C49" i="34"/>
  <c r="C48" i="34"/>
  <c r="C43" i="34"/>
  <c r="C39" i="34"/>
  <c r="C38" i="34"/>
  <c r="C35" i="34"/>
  <c r="C34" i="34"/>
  <c r="C31" i="34"/>
  <c r="C30" i="34"/>
  <c r="C29" i="34"/>
  <c r="C26" i="34"/>
  <c r="C23" i="34"/>
  <c r="C21" i="34"/>
  <c r="C19" i="34"/>
  <c r="C16" i="34"/>
  <c r="H39" i="3" l="1"/>
  <c r="H38" i="3"/>
  <c r="J101" i="19"/>
  <c r="H26" i="3"/>
  <c r="AC9" i="21"/>
  <c r="AC9" i="20"/>
  <c r="J57" i="18" l="1"/>
  <c r="J28" i="18"/>
  <c r="D28" i="15" s="1"/>
  <c r="J61" i="18"/>
  <c r="J90" i="18"/>
  <c r="J68" i="18"/>
  <c r="J89" i="18"/>
  <c r="H37" i="2"/>
  <c r="R21" i="15"/>
  <c r="P21" i="15"/>
  <c r="N21" i="15"/>
  <c r="L21" i="15"/>
  <c r="J21" i="15"/>
  <c r="H21" i="15"/>
  <c r="X22" i="18"/>
  <c r="V22" i="18"/>
  <c r="T22" i="18"/>
  <c r="R22" i="18"/>
  <c r="P22" i="18"/>
  <c r="N22" i="18"/>
  <c r="L22" i="18"/>
  <c r="J18" i="33" l="1"/>
  <c r="F30" i="19" l="1"/>
  <c r="F26" i="19"/>
  <c r="E21" i="17"/>
  <c r="E21" i="16"/>
  <c r="Y95" i="24"/>
  <c r="I75" i="23" l="1"/>
  <c r="M197" i="42"/>
  <c r="M194" i="42" l="1"/>
  <c r="Q26" i="16" l="1"/>
  <c r="G21" i="36"/>
  <c r="H92" i="19" l="1"/>
  <c r="M193" i="42"/>
  <c r="Q12" i="34"/>
  <c r="K12" i="34"/>
  <c r="M12" i="34" s="1"/>
  <c r="S12" i="34" s="1"/>
  <c r="K11" i="34"/>
  <c r="S11" i="34" s="1"/>
  <c r="L11" i="32"/>
  <c r="J13" i="33" s="1"/>
  <c r="D11" i="32"/>
  <c r="K14" i="31"/>
  <c r="C14" i="31"/>
  <c r="A8" i="31"/>
  <c r="A7" i="32" s="1"/>
  <c r="A7" i="33" s="1"/>
  <c r="D13" i="33" l="1"/>
  <c r="G25" i="17" l="1"/>
  <c r="G25" i="16"/>
  <c r="P57" i="22"/>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I30" i="26" l="1"/>
  <c r="B26" i="5" s="1"/>
  <c r="D43" i="40"/>
  <c r="D36" i="40"/>
  <c r="D22" i="40"/>
  <c r="D16" i="40"/>
  <c r="C47" i="39"/>
  <c r="C38" i="39"/>
  <c r="C28" i="39"/>
  <c r="C22" i="39"/>
  <c r="D24" i="40" l="1"/>
  <c r="D46" i="40" s="1"/>
  <c r="C30" i="39"/>
  <c r="C50" i="39" s="1"/>
  <c r="Z22" i="43"/>
  <c r="Z19" i="43" l="1"/>
  <c r="E42" i="17" l="1"/>
  <c r="M60" i="24"/>
  <c r="O60" i="24"/>
  <c r="J104" i="18" l="1"/>
  <c r="D29" i="2" s="1"/>
  <c r="N40" i="43"/>
  <c r="I28" i="36" l="1"/>
  <c r="H39" i="22" l="1"/>
  <c r="L32" i="37"/>
  <c r="M47" i="26"/>
  <c r="O60" i="25"/>
  <c r="O67" i="25" s="1"/>
  <c r="M60" i="25"/>
  <c r="O42" i="25"/>
  <c r="L67" i="22"/>
  <c r="N86" i="21"/>
  <c r="N98" i="20"/>
  <c r="N105" i="20" s="1"/>
  <c r="N35" i="20"/>
  <c r="N28" i="20"/>
  <c r="N132" i="18"/>
  <c r="N91" i="18"/>
  <c r="N42" i="18"/>
  <c r="J111" i="20" l="1"/>
  <c r="H15" i="37"/>
  <c r="N37" i="20"/>
  <c r="H49" i="3" l="1"/>
  <c r="Z20" i="43"/>
  <c r="L70" i="21" l="1"/>
  <c r="L77" i="21" s="1"/>
  <c r="L86" i="21"/>
  <c r="L52" i="21"/>
  <c r="L56" i="21" s="1"/>
  <c r="L80" i="21" l="1"/>
  <c r="J24" i="18" l="1"/>
  <c r="J93" i="18"/>
  <c r="D19" i="2" s="1"/>
  <c r="N17" i="28"/>
  <c r="C63" i="17"/>
  <c r="D23" i="15" l="1"/>
  <c r="I28" i="16"/>
  <c r="I28" i="17"/>
  <c r="AE93" i="17"/>
  <c r="AJ70" i="20"/>
  <c r="AL70" i="20" s="1"/>
  <c r="AG70" i="19"/>
  <c r="AE93" i="16"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H93" i="17"/>
  <c r="AJ93" i="17" s="1"/>
  <c r="N23" i="15" l="1"/>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E56" i="16" l="1"/>
  <c r="E56" i="17"/>
  <c r="E47" i="16"/>
  <c r="E65" i="16"/>
  <c r="F69" i="19"/>
  <c r="E92" i="16" s="1"/>
  <c r="E112" i="16"/>
  <c r="E125" i="16"/>
  <c r="E87" i="16"/>
  <c r="E128" i="16"/>
  <c r="E113" i="16"/>
  <c r="E136" i="17"/>
  <c r="E115" i="16"/>
  <c r="E120" i="16"/>
  <c r="E37" i="16"/>
  <c r="G30" i="41"/>
  <c r="K93" i="24" l="1"/>
  <c r="K45" i="24"/>
  <c r="K57" i="24"/>
  <c r="R32" i="37"/>
  <c r="C124" i="17" l="1"/>
  <c r="I16" i="40"/>
  <c r="H34" i="19" l="1"/>
  <c r="I36" i="40"/>
  <c r="I24" i="40"/>
  <c r="Y40" i="41" l="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1" i="33"/>
  <c r="H21" i="33"/>
  <c r="J17" i="33"/>
  <c r="A41" i="12" l="1"/>
  <c r="G53" i="34" l="1"/>
  <c r="G48" i="34"/>
  <c r="G26" i="34"/>
  <c r="G16" i="34"/>
  <c r="W26" i="17" l="1"/>
  <c r="W23" i="26"/>
  <c r="W34" i="26"/>
  <c r="W26" i="16" l="1"/>
  <c r="H36" i="22" l="1"/>
  <c r="K59" i="24"/>
  <c r="J69" i="18"/>
  <c r="H28" i="37"/>
  <c r="AG111" i="19"/>
  <c r="J60" i="21"/>
  <c r="K38" i="24"/>
  <c r="K70" i="24"/>
  <c r="K91" i="24"/>
  <c r="J129" i="18"/>
  <c r="J41" i="18"/>
  <c r="D43" i="15" s="1"/>
  <c r="J68" i="21"/>
  <c r="J86" i="18"/>
  <c r="K26" i="25"/>
  <c r="J22" i="21"/>
  <c r="J30" i="21"/>
  <c r="K36" i="24"/>
  <c r="J29" i="18"/>
  <c r="D29" i="15" s="1"/>
  <c r="H37" i="22"/>
  <c r="J42" i="21"/>
  <c r="J72" i="18"/>
  <c r="K28" i="25"/>
  <c r="K46" i="23" s="1"/>
  <c r="K62" i="25"/>
  <c r="J34" i="18"/>
  <c r="D35" i="15" s="1"/>
  <c r="K29" i="24"/>
  <c r="K30" i="23" s="1"/>
  <c r="P50" i="15" s="1"/>
  <c r="J32" i="21"/>
  <c r="H16" i="37"/>
  <c r="K31" i="25"/>
  <c r="I45" i="26"/>
  <c r="B36" i="5" s="1"/>
  <c r="H37" i="37"/>
  <c r="J65" i="21"/>
  <c r="J63" i="18"/>
  <c r="J41" i="21"/>
  <c r="I20" i="26"/>
  <c r="B19" i="5" s="1"/>
  <c r="J18" i="18"/>
  <c r="I22" i="16" s="1"/>
  <c r="K21" i="25"/>
  <c r="K30" i="25"/>
  <c r="J46" i="18"/>
  <c r="D49" i="15" s="1"/>
  <c r="J92" i="20"/>
  <c r="J69" i="21"/>
  <c r="J84" i="18"/>
  <c r="H64" i="22"/>
  <c r="L49" i="2" s="1"/>
  <c r="J49" i="18"/>
  <c r="J51" i="21"/>
  <c r="J62" i="21"/>
  <c r="H20" i="37"/>
  <c r="J82" i="18"/>
  <c r="J20" i="18"/>
  <c r="J22" i="18" s="1"/>
  <c r="H23" i="29"/>
  <c r="F24" i="6" s="1"/>
  <c r="J85" i="18"/>
  <c r="J60" i="18"/>
  <c r="J122" i="18"/>
  <c r="J103" i="20"/>
  <c r="H41" i="37"/>
  <c r="J126" i="18"/>
  <c r="K80" i="24"/>
  <c r="J23" i="21"/>
  <c r="K25" i="24"/>
  <c r="K26" i="23" s="1"/>
  <c r="P40" i="15" s="1"/>
  <c r="H47" i="22"/>
  <c r="L19" i="2" s="1"/>
  <c r="J37" i="18"/>
  <c r="D39" i="15" s="1"/>
  <c r="J67" i="21"/>
  <c r="J67" i="18"/>
  <c r="K54" i="25"/>
  <c r="J50" i="21"/>
  <c r="J78" i="19" s="1"/>
  <c r="K25" i="25"/>
  <c r="J87" i="18"/>
  <c r="J26" i="21"/>
  <c r="J127" i="18"/>
  <c r="K55" i="24"/>
  <c r="J29" i="21"/>
  <c r="J24" i="21"/>
  <c r="H35" i="22"/>
  <c r="K19" i="25"/>
  <c r="K37" i="23" s="1"/>
  <c r="J123" i="18"/>
  <c r="J27" i="21"/>
  <c r="K43" i="24"/>
  <c r="K44" i="23" s="1"/>
  <c r="K50" i="25"/>
  <c r="K44" i="24"/>
  <c r="J40" i="18"/>
  <c r="D42" i="15" s="1"/>
  <c r="J62" i="18"/>
  <c r="J77" i="18"/>
  <c r="H35" i="37"/>
  <c r="H21" i="37"/>
  <c r="J58" i="18"/>
  <c r="I63" i="17" s="1"/>
  <c r="J23" i="18"/>
  <c r="D22" i="15" s="1"/>
  <c r="J48" i="21"/>
  <c r="J112" i="18"/>
  <c r="J34" i="21"/>
  <c r="J45" i="18"/>
  <c r="H36" i="37"/>
  <c r="H17" i="37"/>
  <c r="J45" i="21"/>
  <c r="H33" i="22"/>
  <c r="K50" i="24"/>
  <c r="J71" i="18"/>
  <c r="K24" i="25"/>
  <c r="K20" i="24"/>
  <c r="K21" i="23" s="1"/>
  <c r="P32" i="15" s="1"/>
  <c r="J99" i="18"/>
  <c r="D24" i="2" s="1"/>
  <c r="H42" i="22"/>
  <c r="H22" i="28"/>
  <c r="B23" i="6" s="1"/>
  <c r="K69" i="24"/>
  <c r="K52" i="25"/>
  <c r="J38" i="21"/>
  <c r="J30" i="18"/>
  <c r="D30" i="15" s="1"/>
  <c r="K32" i="25"/>
  <c r="J72" i="21"/>
  <c r="K58" i="25"/>
  <c r="K24" i="24"/>
  <c r="K25" i="23" s="1"/>
  <c r="P39" i="15" s="1"/>
  <c r="H34" i="22"/>
  <c r="K42" i="24"/>
  <c r="J64" i="21"/>
  <c r="J39" i="21"/>
  <c r="I32" i="26"/>
  <c r="B28" i="5" s="1"/>
  <c r="H24" i="29"/>
  <c r="F25" i="6" s="1"/>
  <c r="J78" i="18"/>
  <c r="J103" i="18"/>
  <c r="H55" i="22"/>
  <c r="K65" i="25"/>
  <c r="J34" i="20"/>
  <c r="J34" i="19" s="1"/>
  <c r="H43" i="15" s="1"/>
  <c r="J107" i="18"/>
  <c r="D32" i="2" s="1"/>
  <c r="J21" i="18"/>
  <c r="F20" i="15"/>
  <c r="K51" i="25"/>
  <c r="K41" i="25"/>
  <c r="K60" i="23" s="1"/>
  <c r="K36" i="25"/>
  <c r="K74" i="24"/>
  <c r="K75" i="23" s="1"/>
  <c r="P30" i="2" s="1"/>
  <c r="K38" i="25"/>
  <c r="J108" i="18"/>
  <c r="D33" i="2" s="1"/>
  <c r="J83" i="18"/>
  <c r="J31" i="18"/>
  <c r="D32" i="15" s="1"/>
  <c r="H38" i="22"/>
  <c r="K27" i="25"/>
  <c r="J37" i="21"/>
  <c r="H27" i="37"/>
  <c r="K92" i="24"/>
  <c r="K39" i="25"/>
  <c r="K58" i="23" s="1"/>
  <c r="J19" i="18"/>
  <c r="H31" i="29"/>
  <c r="F32" i="6" s="1"/>
  <c r="J17" i="18"/>
  <c r="J101" i="18"/>
  <c r="D26" i="2" s="1"/>
  <c r="K57" i="25"/>
  <c r="J105" i="18"/>
  <c r="D30" i="2" s="1"/>
  <c r="K19" i="24"/>
  <c r="K20" i="23" s="1"/>
  <c r="P29" i="15" s="1"/>
  <c r="H22" i="22"/>
  <c r="I52" i="17" s="1"/>
  <c r="J19" i="21"/>
  <c r="H32" i="28"/>
  <c r="K63" i="25"/>
  <c r="J83" i="21"/>
  <c r="J111" i="19" s="1"/>
  <c r="H49" i="2" s="1"/>
  <c r="K72" i="24"/>
  <c r="J76" i="20"/>
  <c r="J76" i="19" s="1"/>
  <c r="K48" i="24"/>
  <c r="H40" i="22"/>
  <c r="J75" i="21"/>
  <c r="K49" i="24"/>
  <c r="K50" i="23" s="1"/>
  <c r="J50" i="18"/>
  <c r="F53" i="15"/>
  <c r="AI50" i="18"/>
  <c r="J31" i="21"/>
  <c r="K23" i="25"/>
  <c r="K41" i="23" s="1"/>
  <c r="K81" i="24"/>
  <c r="K82" i="23" s="1"/>
  <c r="P37" i="2" s="1"/>
  <c r="J76" i="18"/>
  <c r="K73" i="25"/>
  <c r="K92" i="23" s="1"/>
  <c r="P48" i="2" s="1"/>
  <c r="K47" i="24"/>
  <c r="K48" i="23" s="1"/>
  <c r="J112" i="20"/>
  <c r="H50" i="3" s="1"/>
  <c r="I19" i="26"/>
  <c r="B18" i="5" s="1"/>
  <c r="H44" i="22"/>
  <c r="I101" i="17" s="1"/>
  <c r="J52" i="20"/>
  <c r="J52" i="19" s="1"/>
  <c r="H22" i="29"/>
  <c r="F23" i="6" s="1"/>
  <c r="K58" i="24"/>
  <c r="K37" i="25"/>
  <c r="J49" i="21"/>
  <c r="H19" i="37"/>
  <c r="H31" i="28"/>
  <c r="B32" i="6" s="1"/>
  <c r="K26" i="24"/>
  <c r="K27" i="23" s="1"/>
  <c r="P43" i="15" s="1"/>
  <c r="K53" i="24"/>
  <c r="K54" i="23" s="1"/>
  <c r="J81" i="18"/>
  <c r="J65" i="20"/>
  <c r="J65" i="19" s="1"/>
  <c r="J61" i="21"/>
  <c r="J89" i="19" s="1"/>
  <c r="H25" i="2" s="1"/>
  <c r="H39" i="37"/>
  <c r="J84" i="21"/>
  <c r="J36" i="21"/>
  <c r="J65" i="18"/>
  <c r="J106" i="18"/>
  <c r="D31" i="2" s="1"/>
  <c r="H53" i="22"/>
  <c r="L37" i="2" s="1"/>
  <c r="J74" i="21"/>
  <c r="J102" i="19" s="1"/>
  <c r="H38" i="2" s="1"/>
  <c r="AG112" i="19"/>
  <c r="J35" i="21"/>
  <c r="J66" i="21"/>
  <c r="K76" i="24"/>
  <c r="J47" i="18"/>
  <c r="D50" i="15" s="1"/>
  <c r="K56" i="24"/>
  <c r="K57" i="23" s="1"/>
  <c r="J25" i="18"/>
  <c r="K62" i="24"/>
  <c r="K63" i="23" s="1"/>
  <c r="P19" i="2" s="1"/>
  <c r="K68" i="24"/>
  <c r="J128" i="18"/>
  <c r="J32" i="18"/>
  <c r="D33" i="15" s="1"/>
  <c r="J75" i="18"/>
  <c r="H40" i="27"/>
  <c r="F36" i="5" s="1"/>
  <c r="K75" i="24"/>
  <c r="K76" i="23" s="1"/>
  <c r="P31" i="2" s="1"/>
  <c r="J100" i="18"/>
  <c r="I112" i="17" s="1"/>
  <c r="I44" i="26"/>
  <c r="B35" i="5" s="1"/>
  <c r="H23" i="28"/>
  <c r="B24" i="6" s="1"/>
  <c r="H29" i="37"/>
  <c r="J88" i="18"/>
  <c r="I99" i="17" s="1"/>
  <c r="H40" i="37"/>
  <c r="H25" i="27"/>
  <c r="F25" i="5" s="1"/>
  <c r="K55" i="25"/>
  <c r="K74" i="23" s="1"/>
  <c r="P29" i="2" s="1"/>
  <c r="J44" i="21"/>
  <c r="J73" i="18"/>
  <c r="J113" i="18"/>
  <c r="H31" i="37"/>
  <c r="K82" i="24"/>
  <c r="K83" i="23" s="1"/>
  <c r="K34" i="25"/>
  <c r="K52" i="23" s="1"/>
  <c r="K41" i="24"/>
  <c r="K83" i="24"/>
  <c r="J47" i="21"/>
  <c r="K74" i="25"/>
  <c r="K94" i="23" s="1"/>
  <c r="P50" i="2" s="1"/>
  <c r="J48" i="18"/>
  <c r="I53" i="16" s="1"/>
  <c r="H32" i="29"/>
  <c r="F33" i="6" s="1"/>
  <c r="K21" i="24"/>
  <c r="K22" i="23" s="1"/>
  <c r="P34" i="15" s="1"/>
  <c r="J38" i="18"/>
  <c r="D40" i="15" s="1"/>
  <c r="I29" i="26"/>
  <c r="B25" i="5" s="1"/>
  <c r="J79" i="18"/>
  <c r="H23" i="22"/>
  <c r="L53" i="15" s="1"/>
  <c r="N53" i="15"/>
  <c r="AG23" i="22"/>
  <c r="J54" i="21"/>
  <c r="H24" i="28"/>
  <c r="B25" i="6" s="1"/>
  <c r="K40" i="25"/>
  <c r="H22" i="37"/>
  <c r="J39" i="18"/>
  <c r="D41" i="15" s="1"/>
  <c r="J124" i="18"/>
  <c r="K64" i="25"/>
  <c r="H32" i="22"/>
  <c r="I70" i="17" s="1"/>
  <c r="K33" i="25"/>
  <c r="J33" i="18"/>
  <c r="D34" i="15" s="1"/>
  <c r="H43" i="22"/>
  <c r="J111" i="18"/>
  <c r="D36" i="2" s="1"/>
  <c r="K54" i="24"/>
  <c r="H16" i="28"/>
  <c r="B18" i="6" s="1"/>
  <c r="J44" i="18"/>
  <c r="J66" i="18"/>
  <c r="J28" i="21"/>
  <c r="J70" i="18"/>
  <c r="I75" i="17" s="1"/>
  <c r="K59" i="25"/>
  <c r="K78" i="23" s="1"/>
  <c r="P33" i="2" s="1"/>
  <c r="H30" i="22"/>
  <c r="J43" i="21"/>
  <c r="K59" i="23"/>
  <c r="I25" i="16"/>
  <c r="I54" i="16"/>
  <c r="I54" i="17"/>
  <c r="D52" i="15"/>
  <c r="H29" i="3"/>
  <c r="I127" i="17"/>
  <c r="L40" i="2"/>
  <c r="I127" i="16"/>
  <c r="I23" i="17"/>
  <c r="D18" i="15"/>
  <c r="I23" i="16"/>
  <c r="D53" i="15"/>
  <c r="K55" i="23"/>
  <c r="I50" i="16"/>
  <c r="D48" i="15"/>
  <c r="I50" i="17"/>
  <c r="I88" i="17"/>
  <c r="K43" i="23"/>
  <c r="J51" i="18"/>
  <c r="D17" i="2" s="1"/>
  <c r="I49" i="17"/>
  <c r="D47" i="15"/>
  <c r="I49" i="16"/>
  <c r="I21" i="17"/>
  <c r="D16" i="15"/>
  <c r="I21" i="16"/>
  <c r="D51" i="15"/>
  <c r="K84" i="23"/>
  <c r="P41" i="2" s="1"/>
  <c r="K93" i="23"/>
  <c r="P49" i="2" s="1"/>
  <c r="K56" i="23"/>
  <c r="K51" i="23"/>
  <c r="I88" i="16" s="1"/>
  <c r="H44" i="39"/>
  <c r="H46" i="39"/>
  <c r="I53" i="17" l="1"/>
  <c r="I101" i="16"/>
  <c r="K60" i="24"/>
  <c r="I52" i="16"/>
  <c r="J92" i="19"/>
  <c r="H28" i="2" s="1"/>
  <c r="I75" i="16"/>
  <c r="K42" i="23"/>
  <c r="D50" i="2"/>
  <c r="K49" i="23"/>
  <c r="K71" i="23"/>
  <c r="P26" i="2" s="1"/>
  <c r="I55" i="17"/>
  <c r="AB55" i="17" s="1"/>
  <c r="AH55" i="17" s="1"/>
  <c r="I63" i="16"/>
  <c r="X53" i="15"/>
  <c r="AH53" i="15" s="1"/>
  <c r="K77" i="23"/>
  <c r="P32" i="2" s="1"/>
  <c r="K73" i="23"/>
  <c r="P28" i="2" s="1"/>
  <c r="V53" i="15"/>
  <c r="I55" i="16"/>
  <c r="AB55" i="16" s="1"/>
  <c r="AH55" i="16" s="1"/>
  <c r="K39" i="23"/>
  <c r="J125" i="18"/>
  <c r="D49" i="2" s="1"/>
  <c r="H23" i="37"/>
  <c r="H30" i="37"/>
  <c r="P38" i="2"/>
  <c r="I125" i="16"/>
  <c r="I51" i="16"/>
  <c r="I22" i="17"/>
  <c r="I46" i="16"/>
  <c r="I99" i="16"/>
  <c r="H24" i="22"/>
  <c r="L17" i="2" s="1"/>
  <c r="I124" i="17"/>
  <c r="D37" i="2"/>
  <c r="K81" i="23"/>
  <c r="P36" i="2" s="1"/>
  <c r="I51" i="17"/>
  <c r="I56" i="17" s="1"/>
  <c r="J112" i="19"/>
  <c r="H50" i="2" s="1"/>
  <c r="D17" i="15"/>
  <c r="I46" i="17"/>
  <c r="D25" i="2"/>
  <c r="L50" i="15"/>
  <c r="I137" i="17"/>
  <c r="I70" i="16"/>
  <c r="I125" i="17"/>
  <c r="D38" i="2"/>
  <c r="K69" i="23"/>
  <c r="P24" i="2" s="1"/>
  <c r="I24" i="16"/>
  <c r="D19" i="15"/>
  <c r="I24" i="17"/>
  <c r="I29" i="16"/>
  <c r="I29" i="17"/>
  <c r="D28" i="2"/>
  <c r="I115" i="17"/>
  <c r="H42" i="3"/>
  <c r="I128" i="17"/>
  <c r="D24" i="15"/>
  <c r="J103" i="19"/>
  <c r="H41" i="2" s="1"/>
  <c r="I25" i="17"/>
  <c r="D20" i="15"/>
  <c r="K70" i="23"/>
  <c r="P25" i="2" s="1"/>
  <c r="K45" i="23"/>
  <c r="I124" i="16"/>
  <c r="I115" i="16"/>
  <c r="I136" i="17"/>
  <c r="Z27" i="43"/>
  <c r="I56" i="16" l="1"/>
  <c r="I128" i="16"/>
  <c r="I112" i="16"/>
  <c r="Y22" i="24"/>
  <c r="Y27" i="24"/>
  <c r="Y30" i="24"/>
  <c r="Y60" i="24"/>
  <c r="Y78" i="24"/>
  <c r="Y85" i="24" s="1"/>
  <c r="Y32" i="24" l="1"/>
  <c r="Y64" i="24" s="1"/>
  <c r="Y88" i="24" s="1"/>
  <c r="U121" i="16" l="1"/>
  <c r="U130" i="16" s="1"/>
  <c r="J17" i="20" l="1"/>
  <c r="J88" i="20"/>
  <c r="J41" i="20"/>
  <c r="J94" i="20"/>
  <c r="J33" i="20"/>
  <c r="J68" i="20"/>
  <c r="J53" i="20"/>
  <c r="J30" i="20"/>
  <c r="J95" i="20"/>
  <c r="J64" i="20"/>
  <c r="J51" i="20"/>
  <c r="J22" i="20"/>
  <c r="J31" i="20"/>
  <c r="J96" i="20"/>
  <c r="J46" i="20"/>
  <c r="J63" i="20"/>
  <c r="J79" i="20"/>
  <c r="J50" i="20"/>
  <c r="J66" i="20"/>
  <c r="J23" i="20"/>
  <c r="J77" i="20"/>
  <c r="J20" i="20"/>
  <c r="J61" i="20"/>
  <c r="J48" i="20"/>
  <c r="J21" i="20"/>
  <c r="J43" i="20"/>
  <c r="J97" i="20"/>
  <c r="J25" i="20"/>
  <c r="J93" i="20"/>
  <c r="J59" i="20"/>
  <c r="J100" i="20"/>
  <c r="J45" i="20"/>
  <c r="J62" i="20"/>
  <c r="J90" i="20"/>
  <c r="J54" i="20"/>
  <c r="J49" i="20"/>
  <c r="J72" i="20"/>
  <c r="J58" i="20"/>
  <c r="J24" i="20"/>
  <c r="J27" i="20"/>
  <c r="J57" i="20"/>
  <c r="J71" i="20"/>
  <c r="J73" i="20"/>
  <c r="J32" i="20"/>
  <c r="J75" i="20"/>
  <c r="J26" i="20"/>
  <c r="J82" i="20"/>
  <c r="J74" i="20"/>
  <c r="J44" i="20"/>
  <c r="J56" i="20"/>
  <c r="Z42" i="37"/>
  <c r="I48" i="23"/>
  <c r="I21" i="23"/>
  <c r="H33" i="19"/>
  <c r="I78" i="23"/>
  <c r="I20" i="23"/>
  <c r="H30" i="19"/>
  <c r="AE22" i="16"/>
  <c r="H78" i="19"/>
  <c r="I45" i="23"/>
  <c r="H76" i="19"/>
  <c r="H64" i="19"/>
  <c r="AD49" i="2"/>
  <c r="H22" i="19"/>
  <c r="F23" i="15"/>
  <c r="V23" i="15"/>
  <c r="I52" i="23"/>
  <c r="AD24" i="22"/>
  <c r="AC51" i="18"/>
  <c r="G62" i="17"/>
  <c r="G68" i="17"/>
  <c r="H77" i="19"/>
  <c r="I73" i="23"/>
  <c r="H102" i="19"/>
  <c r="I25" i="23"/>
  <c r="H21" i="19"/>
  <c r="I84" i="23"/>
  <c r="I63" i="23"/>
  <c r="H25" i="19"/>
  <c r="AF51" i="18"/>
  <c r="G46" i="17"/>
  <c r="I56" i="23"/>
  <c r="I60" i="23"/>
  <c r="H45" i="19"/>
  <c r="I37" i="23"/>
  <c r="I26" i="23"/>
  <c r="I27" i="23"/>
  <c r="G51" i="16"/>
  <c r="H53" i="19"/>
  <c r="G82" i="17"/>
  <c r="I22" i="23"/>
  <c r="I94" i="23"/>
  <c r="AA42" i="3"/>
  <c r="AF42" i="3" s="1"/>
  <c r="AL103" i="20"/>
  <c r="H41" i="19"/>
  <c r="G62" i="16" s="1"/>
  <c r="G88" i="17"/>
  <c r="I49" i="23"/>
  <c r="H52" i="19"/>
  <c r="H72" i="19"/>
  <c r="I81" i="23"/>
  <c r="J42" i="3"/>
  <c r="T42" i="3" s="1"/>
  <c r="H46" i="19"/>
  <c r="G68" i="16" s="1"/>
  <c r="H65" i="19"/>
  <c r="AA24" i="22"/>
  <c r="F24" i="22"/>
  <c r="I39" i="23"/>
  <c r="I57" i="23"/>
  <c r="H24" i="19"/>
  <c r="H27" i="19"/>
  <c r="H111" i="19"/>
  <c r="H89" i="19"/>
  <c r="H71" i="19"/>
  <c r="G70" i="17"/>
  <c r="H73" i="19"/>
  <c r="H32" i="19"/>
  <c r="I30" i="23"/>
  <c r="P54" i="15" s="1"/>
  <c r="I71" i="23"/>
  <c r="H75" i="19"/>
  <c r="I41" i="23"/>
  <c r="H26" i="19"/>
  <c r="G111" i="17"/>
  <c r="H49" i="19"/>
  <c r="I58" i="23"/>
  <c r="G98" i="17"/>
  <c r="G65" i="17"/>
  <c r="G73" i="17"/>
  <c r="G116" i="17"/>
  <c r="G22" i="16"/>
  <c r="G22" i="17"/>
  <c r="G71" i="17"/>
  <c r="H48" i="19"/>
  <c r="G71" i="16" s="1"/>
  <c r="G102" i="17"/>
  <c r="H79" i="19"/>
  <c r="G102" i="16" s="1"/>
  <c r="H62" i="19"/>
  <c r="G85" i="16" s="1"/>
  <c r="G21" i="16"/>
  <c r="G21" i="17"/>
  <c r="G118" i="17"/>
  <c r="H50" i="19"/>
  <c r="G84" i="17"/>
  <c r="I54" i="23"/>
  <c r="I46" i="23"/>
  <c r="I83" i="23"/>
  <c r="G125"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69" i="20"/>
  <c r="J32" i="19"/>
  <c r="I44" i="17"/>
  <c r="J49" i="19"/>
  <c r="I72" i="16" s="1"/>
  <c r="I72" i="17"/>
  <c r="J25" i="19"/>
  <c r="I37" i="17"/>
  <c r="J23" i="19"/>
  <c r="I35" i="17"/>
  <c r="J22" i="19"/>
  <c r="I34" i="17"/>
  <c r="J94" i="19"/>
  <c r="H31" i="3"/>
  <c r="I117" i="17"/>
  <c r="H20" i="3"/>
  <c r="J82" i="19"/>
  <c r="I105" i="17"/>
  <c r="H37" i="3"/>
  <c r="J100" i="19"/>
  <c r="I123" i="17"/>
  <c r="I84" i="17"/>
  <c r="J61" i="19"/>
  <c r="I84" i="16" s="1"/>
  <c r="J46" i="19"/>
  <c r="I68" i="16" s="1"/>
  <c r="I68" i="17"/>
  <c r="J41" i="19"/>
  <c r="I62" i="16" s="1"/>
  <c r="I62" i="17"/>
  <c r="J56" i="19"/>
  <c r="I79" i="16" s="1"/>
  <c r="I79" i="17"/>
  <c r="J26" i="19"/>
  <c r="I38" i="17"/>
  <c r="J71" i="19"/>
  <c r="I94" i="16" s="1"/>
  <c r="I94" i="17"/>
  <c r="I81" i="17"/>
  <c r="J58" i="19"/>
  <c r="I81" i="16" s="1"/>
  <c r="H27" i="3"/>
  <c r="J90" i="19"/>
  <c r="I113" i="17"/>
  <c r="J59" i="19"/>
  <c r="I82" i="16" s="1"/>
  <c r="I82" i="17"/>
  <c r="J43" i="19"/>
  <c r="I65" i="16" s="1"/>
  <c r="I65" i="17"/>
  <c r="J20" i="19"/>
  <c r="I32" i="17"/>
  <c r="J50" i="19"/>
  <c r="I73" i="16" s="1"/>
  <c r="I73" i="17"/>
  <c r="J96" i="19"/>
  <c r="H33" i="3"/>
  <c r="I119" i="17"/>
  <c r="J64" i="19"/>
  <c r="I87" i="16" s="1"/>
  <c r="I87" i="17"/>
  <c r="J68" i="19"/>
  <c r="I91" i="16" s="1"/>
  <c r="I91" i="17"/>
  <c r="H25" i="3"/>
  <c r="J88" i="19"/>
  <c r="I111" i="17"/>
  <c r="J74" i="19"/>
  <c r="I97" i="16" s="1"/>
  <c r="I97" i="17"/>
  <c r="J27" i="19"/>
  <c r="I39" i="17"/>
  <c r="J45" i="19"/>
  <c r="I67" i="16" s="1"/>
  <c r="I67" i="17"/>
  <c r="J48" i="19"/>
  <c r="I71" i="16" s="1"/>
  <c r="I71" i="17"/>
  <c r="J63" i="19"/>
  <c r="I86" i="16" s="1"/>
  <c r="I86" i="17"/>
  <c r="J30" i="19"/>
  <c r="I42" i="17"/>
  <c r="J73" i="19"/>
  <c r="I96" i="16" s="1"/>
  <c r="I96" i="17"/>
  <c r="J24" i="19"/>
  <c r="I36" i="17"/>
  <c r="J54" i="19"/>
  <c r="I77" i="16" s="1"/>
  <c r="I77" i="17"/>
  <c r="J97" i="19"/>
  <c r="H34" i="3"/>
  <c r="I120" i="17"/>
  <c r="J66" i="19"/>
  <c r="I89" i="16" s="1"/>
  <c r="I89" i="17"/>
  <c r="J51" i="19"/>
  <c r="I74" i="16" s="1"/>
  <c r="I74" i="17"/>
  <c r="J53" i="19"/>
  <c r="I76" i="16" s="1"/>
  <c r="I76" i="17"/>
  <c r="J44" i="19"/>
  <c r="I66" i="16" s="1"/>
  <c r="I66" i="17"/>
  <c r="J75" i="19"/>
  <c r="I98" i="16" s="1"/>
  <c r="I98" i="17"/>
  <c r="J57" i="19"/>
  <c r="I80" i="16" s="1"/>
  <c r="I80" i="17"/>
  <c r="J72" i="19"/>
  <c r="I95" i="16" s="1"/>
  <c r="I95" i="17"/>
  <c r="J62" i="19"/>
  <c r="I85" i="16" s="1"/>
  <c r="I85" i="17"/>
  <c r="H30" i="3"/>
  <c r="J93" i="19"/>
  <c r="I116" i="17"/>
  <c r="J21" i="19"/>
  <c r="I33" i="17"/>
  <c r="J77" i="19"/>
  <c r="I100" i="16" s="1"/>
  <c r="I100" i="17"/>
  <c r="J79" i="19"/>
  <c r="I102" i="16" s="1"/>
  <c r="I102" i="17"/>
  <c r="J31" i="19"/>
  <c r="I43" i="17"/>
  <c r="H32" i="3"/>
  <c r="J95" i="19"/>
  <c r="I118" i="17"/>
  <c r="J33" i="19"/>
  <c r="I45" i="17"/>
  <c r="H15" i="3"/>
  <c r="J17" i="19"/>
  <c r="I27" i="17"/>
  <c r="G96" i="16"/>
  <c r="I50" i="23"/>
  <c r="G87" i="16" s="1"/>
  <c r="G76" i="17"/>
  <c r="H61" i="19"/>
  <c r="G84" i="16" s="1"/>
  <c r="G51" i="17"/>
  <c r="I59" i="23"/>
  <c r="G100" i="16" s="1"/>
  <c r="H63" i="19"/>
  <c r="G86" i="16" s="1"/>
  <c r="H82" i="19"/>
  <c r="G87" i="17"/>
  <c r="G45" i="17"/>
  <c r="G34" i="17"/>
  <c r="H112" i="19"/>
  <c r="L54" i="15"/>
  <c r="H22" i="18"/>
  <c r="I60" i="24"/>
  <c r="I44" i="23"/>
  <c r="G76" i="16" s="1"/>
  <c r="I43" i="23"/>
  <c r="I51" i="23"/>
  <c r="G88" i="16" s="1"/>
  <c r="I77" i="23"/>
  <c r="G75" i="17"/>
  <c r="G91" i="17"/>
  <c r="G96" i="17"/>
  <c r="H97" i="19"/>
  <c r="G94" i="17"/>
  <c r="G86" i="17"/>
  <c r="G34" i="16"/>
  <c r="AD42" i="3"/>
  <c r="G100" i="17"/>
  <c r="G98" i="16"/>
  <c r="G117" i="17"/>
  <c r="G33" i="17"/>
  <c r="G67" i="16"/>
  <c r="G92" i="17"/>
  <c r="H74" i="19"/>
  <c r="G97" i="16" s="1"/>
  <c r="G97" i="17"/>
  <c r="G119" i="17"/>
  <c r="G50" i="17"/>
  <c r="G50" i="16"/>
  <c r="G99" i="17"/>
  <c r="G99" i="16"/>
  <c r="I55" i="23"/>
  <c r="G94" i="16" s="1"/>
  <c r="G53" i="17"/>
  <c r="G53" i="16"/>
  <c r="G137" i="17"/>
  <c r="H20" i="19"/>
  <c r="G32" i="17"/>
  <c r="G52" i="16"/>
  <c r="G52" i="17"/>
  <c r="G75" i="16"/>
  <c r="G95" i="17"/>
  <c r="G74" i="17"/>
  <c r="H51" i="19"/>
  <c r="G74" i="16" s="1"/>
  <c r="I76" i="23"/>
  <c r="G124" i="17"/>
  <c r="H101" i="19"/>
  <c r="G73" i="16"/>
  <c r="G79" i="17"/>
  <c r="H56" i="19"/>
  <c r="G79" i="16" s="1"/>
  <c r="G120" i="17"/>
  <c r="G101" i="17"/>
  <c r="G101" i="16"/>
  <c r="G105" i="17"/>
  <c r="I82" i="23"/>
  <c r="G95" i="16"/>
  <c r="G54" i="16"/>
  <c r="G54" i="17"/>
  <c r="G29" i="17"/>
  <c r="G29" i="16"/>
  <c r="G46" i="16"/>
  <c r="G72" i="17"/>
  <c r="G44" i="17"/>
  <c r="G44" i="16"/>
  <c r="G63" i="17"/>
  <c r="G63" i="16"/>
  <c r="G37" i="16"/>
  <c r="G37" i="17"/>
  <c r="G112" i="17"/>
  <c r="H96" i="19"/>
  <c r="H95" i="19"/>
  <c r="H94" i="19"/>
  <c r="H88" i="19"/>
  <c r="I70" i="23"/>
  <c r="G112" i="16" s="1"/>
  <c r="G72" i="16"/>
  <c r="G45" i="16"/>
  <c r="G128" i="17"/>
  <c r="AB128" i="17" s="1"/>
  <c r="AH128" i="17" s="1"/>
  <c r="R42" i="3"/>
  <c r="H103" i="19"/>
  <c r="H90" i="19"/>
  <c r="H100" i="19"/>
  <c r="G113" i="17"/>
  <c r="I93" i="23"/>
  <c r="G35" i="17"/>
  <c r="H23" i="19"/>
  <c r="G49" i="17"/>
  <c r="G49" i="16"/>
  <c r="H51" i="18"/>
  <c r="G115" i="16"/>
  <c r="G115" i="17"/>
  <c r="G127" i="17"/>
  <c r="G127" i="16"/>
  <c r="G70" i="16"/>
  <c r="I69" i="23"/>
  <c r="G66" i="17"/>
  <c r="H44" i="19"/>
  <c r="G66" i="16" s="1"/>
  <c r="G23" i="17"/>
  <c r="G23" i="16"/>
  <c r="G80" i="17"/>
  <c r="H57" i="19"/>
  <c r="G80" i="16" s="1"/>
  <c r="H58" i="19"/>
  <c r="G81" i="16" s="1"/>
  <c r="G81" i="17"/>
  <c r="G36" i="16"/>
  <c r="G36" i="17"/>
  <c r="G123" i="17"/>
  <c r="G77" i="17"/>
  <c r="H54" i="19"/>
  <c r="G77" i="16" s="1"/>
  <c r="H59" i="19"/>
  <c r="G82" i="16" s="1"/>
  <c r="I42" i="23"/>
  <c r="I74" i="23"/>
  <c r="H93" i="19"/>
  <c r="H43" i="19"/>
  <c r="G65" i="16" s="1"/>
  <c r="H66" i="19"/>
  <c r="G89" i="16" s="1"/>
  <c r="G89" i="17"/>
  <c r="G38" i="16"/>
  <c r="G38" i="17"/>
  <c r="H31" i="19"/>
  <c r="G43" i="17"/>
  <c r="G24" i="16"/>
  <c r="G24" i="17"/>
  <c r="G39" i="17"/>
  <c r="G39" i="16"/>
  <c r="G67" i="17"/>
  <c r="H68" i="19"/>
  <c r="G91" i="16" s="1"/>
  <c r="G42" i="16"/>
  <c r="G42" i="17"/>
  <c r="G85" i="17"/>
  <c r="G125" i="16"/>
  <c r="E43" i="41"/>
  <c r="AA30" i="41"/>
  <c r="C43" i="41"/>
  <c r="AA40" i="41"/>
  <c r="H42" i="15" l="1"/>
  <c r="I45" i="16"/>
  <c r="H36" i="2"/>
  <c r="I123" i="16"/>
  <c r="H29" i="15"/>
  <c r="I33" i="16"/>
  <c r="H26" i="2"/>
  <c r="I113" i="16"/>
  <c r="H19" i="2"/>
  <c r="I105" i="16"/>
  <c r="H30" i="2"/>
  <c r="I117" i="16"/>
  <c r="I35" i="16"/>
  <c r="H31" i="15"/>
  <c r="H22" i="15"/>
  <c r="H14" i="2"/>
  <c r="H40" i="15"/>
  <c r="I43" i="16"/>
  <c r="H29" i="2"/>
  <c r="I116" i="16"/>
  <c r="H33" i="2"/>
  <c r="I120" i="16"/>
  <c r="H32" i="15"/>
  <c r="I36" i="16"/>
  <c r="H39" i="15"/>
  <c r="I42" i="16"/>
  <c r="H35" i="15"/>
  <c r="I39" i="16"/>
  <c r="H24" i="2"/>
  <c r="I111" i="16"/>
  <c r="H32" i="2"/>
  <c r="I119" i="16"/>
  <c r="H28" i="15"/>
  <c r="I32" i="16"/>
  <c r="H30" i="15"/>
  <c r="I34" i="16"/>
  <c r="H33" i="15"/>
  <c r="I37" i="16"/>
  <c r="H41" i="15"/>
  <c r="I44" i="16"/>
  <c r="H31" i="2"/>
  <c r="I118" i="16"/>
  <c r="H34" i="15"/>
  <c r="I38" i="16"/>
  <c r="J69" i="19"/>
  <c r="I92" i="16" s="1"/>
  <c r="I92" i="17"/>
  <c r="G105" i="16"/>
  <c r="H69" i="19"/>
  <c r="G92" i="16" s="1"/>
  <c r="G56" i="17"/>
  <c r="D54" i="15"/>
  <c r="G120" i="16"/>
  <c r="G35" i="16"/>
  <c r="G119" i="16"/>
  <c r="G43" i="16"/>
  <c r="G123" i="16"/>
  <c r="G128" i="16"/>
  <c r="G118" i="16"/>
  <c r="G32" i="16"/>
  <c r="G136" i="17"/>
  <c r="G56" i="16"/>
  <c r="G116" i="16"/>
  <c r="G113" i="16"/>
  <c r="G117" i="16"/>
  <c r="G124" i="16"/>
  <c r="G111" i="16"/>
  <c r="C25" i="17"/>
  <c r="Q76" i="25"/>
  <c r="AA43" i="41"/>
  <c r="P114" i="20" l="1"/>
  <c r="N42" i="37"/>
  <c r="N57" i="22"/>
  <c r="Q42" i="25"/>
  <c r="N45" i="22"/>
  <c r="P80" i="20"/>
  <c r="Q60" i="24"/>
  <c r="P98" i="20"/>
  <c r="P105" i="20" s="1"/>
  <c r="P52" i="21"/>
  <c r="P56" i="21" s="1"/>
  <c r="O47" i="26"/>
  <c r="N25" i="28"/>
  <c r="N28" i="28" s="1"/>
  <c r="P70" i="21"/>
  <c r="P77" i="21" s="1"/>
  <c r="N33" i="28"/>
  <c r="Q95" i="24"/>
  <c r="O26" i="17" l="1"/>
  <c r="O26" i="16"/>
  <c r="R42" i="18"/>
  <c r="P80" i="21"/>
  <c r="O103" i="17"/>
  <c r="Q61" i="23"/>
  <c r="P132" i="18"/>
  <c r="O139" i="17"/>
  <c r="Q26" i="17" l="1"/>
  <c r="A52" i="9"/>
  <c r="N36" i="43" l="1"/>
  <c r="Z15" i="43"/>
  <c r="V42" i="18" l="1"/>
  <c r="V35" i="18"/>
  <c r="V91" i="18"/>
  <c r="V109" i="18"/>
  <c r="V115" i="18" s="1"/>
  <c r="V132" i="18" l="1"/>
  <c r="Y31" i="23" l="1"/>
  <c r="Z26" i="43"/>
  <c r="Y23" i="23" l="1"/>
  <c r="A42" i="14"/>
  <c r="A42" i="13"/>
  <c r="A43" i="11"/>
  <c r="A43" i="10"/>
  <c r="A51" i="8"/>
  <c r="M26" i="16" l="1"/>
  <c r="Y61" i="23"/>
  <c r="Y79" i="23"/>
  <c r="Y86" i="23" s="1"/>
  <c r="M26" i="17" l="1"/>
  <c r="O61" i="23"/>
  <c r="T98" i="20"/>
  <c r="C24" i="16" l="1"/>
  <c r="C24" i="17"/>
  <c r="J19"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G28" i="9"/>
  <c r="P18" i="6"/>
  <c r="C29" i="16"/>
  <c r="C71" i="17"/>
  <c r="C80" i="17"/>
  <c r="C101" i="17"/>
  <c r="AL61" i="20"/>
  <c r="AE54" i="17"/>
  <c r="AE54" i="16"/>
  <c r="C112" i="30"/>
  <c r="AG42" i="25"/>
  <c r="AK31" i="18"/>
  <c r="D24" i="32"/>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AK77" i="18"/>
  <c r="C97" i="17"/>
  <c r="C96" i="17"/>
  <c r="AG95" i="24"/>
  <c r="AD60" i="25"/>
  <c r="AD67" i="25" s="1"/>
  <c r="C127" i="17"/>
  <c r="C26" i="31"/>
  <c r="AL41" i="25"/>
  <c r="AC96" i="23"/>
  <c r="P25" i="5"/>
  <c r="AE96" i="17"/>
  <c r="L36" i="15"/>
  <c r="C102" i="17"/>
  <c r="AD45" i="22"/>
  <c r="C79" i="17"/>
  <c r="AG101" i="19"/>
  <c r="C24" i="30"/>
  <c r="E94" i="23"/>
  <c r="AF22" i="18"/>
  <c r="B19" i="6"/>
  <c r="C99" i="17"/>
  <c r="D22" i="18"/>
  <c r="AD67" i="22"/>
  <c r="C81" i="17"/>
  <c r="AD57" i="22"/>
  <c r="AI21" i="23"/>
  <c r="C51" i="16"/>
  <c r="C115" i="17"/>
  <c r="C36" i="17"/>
  <c r="C23" i="17"/>
  <c r="C65" i="17"/>
  <c r="Y121" i="16"/>
  <c r="Y130" i="16" s="1"/>
  <c r="AA65" i="23"/>
  <c r="AA89" i="23" s="1"/>
  <c r="Z84" i="19"/>
  <c r="Z108" i="19" s="1"/>
  <c r="AI22" i="18" l="1"/>
  <c r="AK22" i="18" s="1"/>
  <c r="C72" i="17"/>
  <c r="C43" i="17"/>
  <c r="C54" i="16"/>
  <c r="C68" i="17"/>
  <c r="B21" i="5"/>
  <c r="C91" i="17"/>
  <c r="C120" i="17"/>
  <c r="C98" i="17"/>
  <c r="Z24" i="3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L26" i="22" s="1"/>
  <c r="Q78" i="24"/>
  <c r="Q85" i="24" s="1"/>
  <c r="Q30" i="24"/>
  <c r="H25" i="29" l="1"/>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2" i="18"/>
  <c r="L109" i="18"/>
  <c r="L115" i="18" s="1"/>
  <c r="L26" i="18"/>
  <c r="L35" i="18"/>
  <c r="L91" i="18"/>
  <c r="AD70" i="19"/>
  <c r="AJ70" i="19" s="1"/>
  <c r="AL70" i="19" s="1"/>
  <c r="N70" i="21"/>
  <c r="N77" i="21" s="1"/>
  <c r="L25" i="29"/>
  <c r="L29" i="27"/>
  <c r="M23" i="26"/>
  <c r="O78" i="24"/>
  <c r="O85" i="24" s="1"/>
  <c r="L45" i="22"/>
  <c r="M34" i="26"/>
  <c r="L19" i="27"/>
  <c r="O30" i="24"/>
  <c r="L57" i="22"/>
  <c r="L17" i="29"/>
  <c r="O27" i="24"/>
  <c r="O22" i="24"/>
  <c r="L25" i="28"/>
  <c r="L28" i="28" s="1"/>
  <c r="N52" i="21"/>
  <c r="N56" i="21" s="1"/>
  <c r="V33" i="28"/>
  <c r="V37" i="28" s="1"/>
  <c r="V20" i="22"/>
  <c r="V67" i="22"/>
  <c r="V37" i="29"/>
  <c r="K26" i="17" l="1"/>
  <c r="K26" i="16"/>
  <c r="M61" i="23"/>
  <c r="O32" i="24"/>
  <c r="O64" i="24" s="1"/>
  <c r="O88" i="24" s="1"/>
  <c r="N80" i="21"/>
  <c r="H35" i="3"/>
  <c r="H43" i="3" s="1"/>
  <c r="L53" i="18"/>
  <c r="AG43" i="22"/>
  <c r="AI43" i="22" s="1"/>
  <c r="G30" i="24"/>
  <c r="AG27" i="24"/>
  <c r="AE100" i="17"/>
  <c r="AI85" i="18"/>
  <c r="AK85" i="18" s="1"/>
  <c r="M30" i="16"/>
  <c r="L28" i="29"/>
  <c r="M39" i="26"/>
  <c r="M53" i="26" s="1"/>
  <c r="L34" i="27"/>
  <c r="M121" i="17"/>
  <c r="M130" i="17" s="1"/>
  <c r="M30" i="17"/>
  <c r="L49" i="22"/>
  <c r="L60" i="22" s="1"/>
  <c r="L72" i="22" s="1"/>
  <c r="O23" i="23"/>
  <c r="O28" i="23"/>
  <c r="O79" i="23"/>
  <c r="O86" i="23" s="1"/>
  <c r="M40" i="17"/>
  <c r="M47" i="17"/>
  <c r="O31" i="23"/>
  <c r="N28" i="19"/>
  <c r="M103" i="17"/>
  <c r="N80" i="20"/>
  <c r="L44" i="15"/>
  <c r="L25" i="15"/>
  <c r="L56" i="15" l="1"/>
  <c r="F28" i="19"/>
  <c r="F35" i="19"/>
  <c r="G23" i="23"/>
  <c r="G28" i="23"/>
  <c r="Y58" i="17"/>
  <c r="Y107" i="17" s="1"/>
  <c r="Y133" i="17" s="1"/>
  <c r="Y58" i="16"/>
  <c r="Y107" i="16" s="1"/>
  <c r="Y133" i="16" s="1"/>
  <c r="M40" i="16"/>
  <c r="M47" i="16"/>
  <c r="M103" i="16"/>
  <c r="M121" i="16"/>
  <c r="M130" i="16" s="1"/>
  <c r="M58" i="17"/>
  <c r="M139" i="17"/>
  <c r="N84" i="20"/>
  <c r="N108" i="20" s="1"/>
  <c r="O33" i="23"/>
  <c r="O65" i="23" s="1"/>
  <c r="O89" i="23" s="1"/>
  <c r="L34" i="2"/>
  <c r="Z53" i="18" l="1"/>
  <c r="Z95" i="18" s="1"/>
  <c r="Z118" i="18" s="1"/>
  <c r="G79" i="23"/>
  <c r="G86" i="23" s="1"/>
  <c r="G61" i="23"/>
  <c r="G31" i="23"/>
  <c r="F98" i="19"/>
  <c r="F105" i="19" s="1"/>
  <c r="M58" i="16"/>
  <c r="G33" i="23" l="1"/>
  <c r="G65" i="23" s="1"/>
  <c r="G89" i="23" s="1"/>
  <c r="F80" i="19"/>
  <c r="H45" i="39"/>
  <c r="H42" i="39"/>
  <c r="H41" i="39"/>
  <c r="H37" i="39"/>
  <c r="H35" i="39"/>
  <c r="H34" i="39"/>
  <c r="H27" i="39"/>
  <c r="H26" i="39"/>
  <c r="H25" i="39"/>
  <c r="H21" i="39"/>
  <c r="H20" i="39"/>
  <c r="H19" i="39"/>
  <c r="H18" i="39"/>
  <c r="H17" i="39"/>
  <c r="H16" i="39"/>
  <c r="S31" i="23" l="1"/>
  <c r="H22" i="39"/>
  <c r="H47" i="39"/>
  <c r="H38" i="39"/>
  <c r="H28" i="39"/>
  <c r="H30" i="39" l="1"/>
  <c r="H50" i="39" s="1"/>
  <c r="H52" i="39" s="1"/>
  <c r="P91" i="18" l="1"/>
  <c r="C45" i="16" l="1"/>
  <c r="X114" i="20" l="1"/>
  <c r="I46" i="40"/>
  <c r="I48" i="40" s="1"/>
  <c r="D48" i="40" l="1"/>
  <c r="F12" i="40" s="1"/>
  <c r="F48" i="40" s="1"/>
  <c r="C52" i="39"/>
  <c r="E12" i="39" s="1"/>
  <c r="E52" i="39" s="1"/>
  <c r="E59" i="23"/>
  <c r="AF59" i="23" s="1"/>
  <c r="E60" i="23"/>
  <c r="C79" i="16"/>
  <c r="AD54" i="19"/>
  <c r="X35" i="19"/>
  <c r="X28" i="19"/>
  <c r="X98" i="19"/>
  <c r="X105" i="19" s="1"/>
  <c r="X37" i="19" l="1"/>
  <c r="C34" i="16"/>
  <c r="C39" i="16"/>
  <c r="C100" i="16"/>
  <c r="AB100" i="16" s="1"/>
  <c r="AD21" i="19"/>
  <c r="E52" i="23"/>
  <c r="AK66" i="18"/>
  <c r="E70" i="23"/>
  <c r="E48" i="23"/>
  <c r="AE35" i="17"/>
  <c r="E58" i="23"/>
  <c r="E30" i="23"/>
  <c r="P23" i="6"/>
  <c r="C99" i="16"/>
  <c r="AK41" i="18"/>
  <c r="AC42" i="18"/>
  <c r="AG22" i="19"/>
  <c r="AI66" i="18"/>
  <c r="E22" i="23"/>
  <c r="E77" i="23"/>
  <c r="AI84"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AF20" i="23"/>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AC132" i="18"/>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P36" i="15"/>
  <c r="H44" i="15"/>
  <c r="H36" i="15"/>
  <c r="C115" i="16"/>
  <c r="C118" i="16"/>
  <c r="C125" i="16"/>
  <c r="C124" i="16"/>
  <c r="AF84" i="23"/>
  <c r="AF92" i="23"/>
  <c r="AF96" i="23" s="1"/>
  <c r="P51" i="2"/>
  <c r="C119" i="16"/>
  <c r="AD111" i="19"/>
  <c r="V49" i="2"/>
  <c r="I137" i="16" s="1"/>
  <c r="C111" i="16"/>
  <c r="C105" i="16"/>
  <c r="C95" i="16"/>
  <c r="AB22" i="17"/>
  <c r="E26" i="17"/>
  <c r="E30" i="17" s="1"/>
  <c r="E58" i="17" s="1"/>
  <c r="E107" i="17" s="1"/>
  <c r="AB22" i="16"/>
  <c r="E26" i="16"/>
  <c r="C87" i="16"/>
  <c r="C113" i="16"/>
  <c r="C94" i="16"/>
  <c r="C128" i="16"/>
  <c r="C82" i="16"/>
  <c r="C117" i="16"/>
  <c r="C88" i="16"/>
  <c r="C120" i="16"/>
  <c r="Z32" i="37"/>
  <c r="E130" i="16"/>
  <c r="D80" i="19"/>
  <c r="C139" i="17"/>
  <c r="D98" i="19"/>
  <c r="D105" i="19" s="1"/>
  <c r="D114" i="19"/>
  <c r="C121" i="17"/>
  <c r="C130" i="17" s="1"/>
  <c r="J20" i="33"/>
  <c r="J16" i="33"/>
  <c r="D21" i="33"/>
  <c r="E30" i="16" l="1"/>
  <c r="E58" i="16" s="1"/>
  <c r="E107" i="16" s="1"/>
  <c r="E133" i="16" s="1"/>
  <c r="AB26" i="16"/>
  <c r="E133" i="17"/>
  <c r="D84" i="19"/>
  <c r="D108" i="19" s="1"/>
  <c r="D118" i="19" s="1"/>
  <c r="J21" i="33"/>
  <c r="P20" i="22"/>
  <c r="G28" i="36"/>
  <c r="N35" i="19" l="1"/>
  <c r="N37" i="19" s="1"/>
  <c r="B34" i="6" l="1"/>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4"/>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P35" i="18"/>
  <c r="P109" i="18"/>
  <c r="P115" i="18" s="1"/>
  <c r="P26" i="18"/>
  <c r="P53" i="18" l="1"/>
  <c r="P95" i="18" s="1"/>
  <c r="P118" i="18" s="1"/>
  <c r="P136" i="18" s="1"/>
  <c r="X114" i="19"/>
  <c r="X118" i="19" s="1"/>
  <c r="Q47" i="17"/>
  <c r="Q34" i="26"/>
  <c r="P86" i="21"/>
  <c r="P90" i="21" s="1"/>
  <c r="Q40" i="17"/>
  <c r="N67" i="22"/>
  <c r="F29" i="5"/>
  <c r="V34" i="15"/>
  <c r="Q22" i="24"/>
  <c r="R26" i="18"/>
  <c r="P35" i="19"/>
  <c r="P37" i="19" s="1"/>
  <c r="F26" i="6"/>
  <c r="F29" i="6" s="1"/>
  <c r="F39" i="6" s="1"/>
  <c r="F21" i="5"/>
  <c r="P19" i="27"/>
  <c r="F37" i="5"/>
  <c r="AF57" i="23"/>
  <c r="M107" i="16" l="1"/>
  <c r="M133" i="16" s="1"/>
  <c r="M107" i="17"/>
  <c r="M133" i="17" s="1"/>
  <c r="M143" i="17" s="1"/>
  <c r="Q103" i="17"/>
  <c r="Q103" i="16"/>
  <c r="R86" i="21"/>
  <c r="R114" i="19"/>
  <c r="R84" i="19"/>
  <c r="R108" i="19" s="1"/>
  <c r="Q121" i="17"/>
  <c r="Q130" i="17" s="1"/>
  <c r="Q121" i="16"/>
  <c r="Q130" i="16" s="1"/>
  <c r="P98" i="19"/>
  <c r="P105" i="19" s="1"/>
  <c r="F32" i="5"/>
  <c r="F42" i="5" s="1"/>
  <c r="Q47" i="16"/>
  <c r="Q40" i="16"/>
  <c r="P80" i="19"/>
  <c r="M53" i="34" l="1"/>
  <c r="M48" i="34"/>
  <c r="M16" i="34"/>
  <c r="K190" i="42"/>
  <c r="M199" i="42"/>
  <c r="M143" i="42"/>
  <c r="M154" i="42"/>
  <c r="M177" i="42"/>
  <c r="M105" i="42"/>
  <c r="M26" i="34"/>
  <c r="P84" i="19"/>
  <c r="P108" i="19" s="1"/>
  <c r="P118" i="19" s="1"/>
  <c r="R118" i="19"/>
  <c r="Q139" i="17"/>
  <c r="AD17" i="29" l="1"/>
  <c r="AA17" i="28"/>
  <c r="AD25" i="29"/>
  <c r="AA25" i="28"/>
  <c r="AD33" i="29"/>
  <c r="AD76" i="25" l="1"/>
  <c r="AF58" i="23"/>
  <c r="AF52"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I190" i="42" l="1"/>
  <c r="AB39" i="26"/>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K151" i="30"/>
  <c r="K115" i="30"/>
  <c r="K29" i="30"/>
  <c r="K87" i="30"/>
  <c r="K86" i="30"/>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P17" i="2" s="1"/>
  <c r="I31" i="23"/>
  <c r="E31" i="23"/>
  <c r="K28" i="23"/>
  <c r="P16" i="2" s="1"/>
  <c r="H57" i="22"/>
  <c r="F57" i="22"/>
  <c r="D57" i="22"/>
  <c r="B57" i="22"/>
  <c r="H45" i="22"/>
  <c r="L18" i="2" s="1"/>
  <c r="F45" i="22"/>
  <c r="D45" i="22"/>
  <c r="B45" i="22"/>
  <c r="H20" i="22"/>
  <c r="L15" i="2" s="1"/>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19" i="3" s="1"/>
  <c r="H80" i="20"/>
  <c r="F80" i="20"/>
  <c r="D80" i="20"/>
  <c r="J35" i="20"/>
  <c r="H17" i="3" s="1"/>
  <c r="H35" i="20"/>
  <c r="F35" i="20"/>
  <c r="D35" i="20"/>
  <c r="J28" i="20"/>
  <c r="H16" i="3" s="1"/>
  <c r="H28" i="20"/>
  <c r="F28" i="20"/>
  <c r="D28" i="20"/>
  <c r="G108" i="19"/>
  <c r="J35" i="19"/>
  <c r="H16" i="2" s="1"/>
  <c r="H35" i="19"/>
  <c r="J109" i="18"/>
  <c r="J115" i="18" s="1"/>
  <c r="H109" i="18"/>
  <c r="H115" i="18" s="1"/>
  <c r="F109" i="18"/>
  <c r="F115" i="18" s="1"/>
  <c r="J91" i="18"/>
  <c r="D18" i="2" s="1"/>
  <c r="H91" i="18"/>
  <c r="F91" i="18"/>
  <c r="J42" i="18"/>
  <c r="D16" i="2" s="1"/>
  <c r="H42" i="18"/>
  <c r="F42" i="18"/>
  <c r="D42" i="18"/>
  <c r="J35" i="18"/>
  <c r="D15" i="2" s="1"/>
  <c r="H35" i="18"/>
  <c r="F35" i="18"/>
  <c r="D35" i="18"/>
  <c r="J26" i="18"/>
  <c r="D14" i="2" s="1"/>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H18" i="2" s="1"/>
  <c r="J28" i="19"/>
  <c r="I79" i="23"/>
  <c r="I86" i="23" s="1"/>
  <c r="F80" i="21"/>
  <c r="F53" i="18"/>
  <c r="F95" i="18" s="1"/>
  <c r="F118" i="18" s="1"/>
  <c r="H80" i="19"/>
  <c r="D26" i="22"/>
  <c r="D49" i="22" s="1"/>
  <c r="D60" i="22" s="1"/>
  <c r="B34" i="27"/>
  <c r="E70" i="25"/>
  <c r="E39" i="26"/>
  <c r="E53" i="26" s="1"/>
  <c r="K23" i="23"/>
  <c r="P15" i="2" s="1"/>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P18" i="2" s="1"/>
  <c r="J37" i="19" l="1"/>
  <c r="J84" i="19" s="1"/>
  <c r="J108" i="19" s="1"/>
  <c r="H15" i="2"/>
  <c r="H37" i="19"/>
  <c r="H84" i="19" s="1"/>
  <c r="H108" i="19" s="1"/>
  <c r="K33" i="23"/>
  <c r="K65" i="23" s="1"/>
  <c r="I33" i="23"/>
  <c r="I65" i="23" s="1"/>
  <c r="I89" i="23" s="1"/>
  <c r="A5" i="14"/>
  <c r="A5" i="13"/>
  <c r="A5" i="12"/>
  <c r="A5" i="11"/>
  <c r="A5" i="10"/>
  <c r="A5" i="9"/>
  <c r="A5" i="8"/>
  <c r="K41" i="9" l="1"/>
  <c r="K28" i="9"/>
  <c r="K39" i="9"/>
  <c r="K40" i="9"/>
  <c r="V32" i="11"/>
  <c r="V22" i="11"/>
  <c r="V21" i="11"/>
  <c r="U20" i="14"/>
  <c r="U21" i="14"/>
  <c r="U22" i="14"/>
  <c r="O27" i="14"/>
  <c r="O33" i="14"/>
  <c r="E27" i="14"/>
  <c r="E33" i="14"/>
  <c r="E26" i="12"/>
  <c r="E32" i="12"/>
  <c r="P34" i="11"/>
  <c r="P26" i="11"/>
  <c r="E33" i="10"/>
  <c r="E29" i="10"/>
  <c r="E34" i="11"/>
  <c r="E22" i="10"/>
  <c r="E23" i="10"/>
  <c r="E32" i="10"/>
  <c r="E33" i="8"/>
  <c r="E25" i="10"/>
  <c r="E21" i="10"/>
  <c r="E31" i="10"/>
  <c r="E24" i="10"/>
  <c r="E26" i="11"/>
  <c r="E20" i="10"/>
  <c r="E30" i="10"/>
  <c r="E23" i="8"/>
  <c r="K89" i="23"/>
  <c r="AD47" i="18"/>
  <c r="K42" i="9" l="1"/>
  <c r="K30" i="9"/>
  <c r="O37" i="14"/>
  <c r="O40" i="14" s="1"/>
  <c r="E37" i="14"/>
  <c r="E40" i="14" s="1"/>
  <c r="E31" i="9"/>
  <c r="E43" i="9"/>
  <c r="E26" i="10"/>
  <c r="E38" i="11"/>
  <c r="E41" i="11" s="1"/>
  <c r="P38" i="11"/>
  <c r="P41" i="11" s="1"/>
  <c r="E36" i="12"/>
  <c r="E39" i="12" s="1"/>
  <c r="E34" i="10"/>
  <c r="R39" i="15"/>
  <c r="E38" i="10" l="1"/>
  <c r="E41" i="10" s="1"/>
  <c r="E47" i="9"/>
  <c r="K137" i="30"/>
  <c r="K135" i="30"/>
  <c r="T91" i="18" l="1"/>
  <c r="X91" i="18"/>
  <c r="R91" i="18"/>
  <c r="W47" i="17" l="1"/>
  <c r="O121" i="17"/>
  <c r="O130" i="17" s="1"/>
  <c r="S121" i="17"/>
  <c r="S130" i="17" s="1"/>
  <c r="V80" i="19"/>
  <c r="O47" i="17"/>
  <c r="S47" i="17"/>
  <c r="T80" i="19"/>
  <c r="I47" i="17" l="1"/>
  <c r="I121" i="17"/>
  <c r="I130" i="17" s="1"/>
  <c r="S40" i="17" l="1"/>
  <c r="W40" i="17"/>
  <c r="O40" i="17"/>
  <c r="W30" i="16"/>
  <c r="W30"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W139" i="17"/>
  <c r="S139" i="17"/>
  <c r="W103" i="17"/>
  <c r="S103" i="17"/>
  <c r="U23" i="23"/>
  <c r="Y139" i="17"/>
  <c r="Q28" i="23"/>
  <c r="W58" i="17"/>
  <c r="P44" i="37" l="1"/>
  <c r="W47" i="16"/>
  <c r="I40" i="17"/>
  <c r="I30" i="17"/>
  <c r="I30" i="16"/>
  <c r="K96" i="23"/>
  <c r="B67" i="22"/>
  <c r="T44" i="37"/>
  <c r="S40" i="16"/>
  <c r="O103" i="16"/>
  <c r="Y28" i="23"/>
  <c r="W23" i="23"/>
  <c r="O40" i="16"/>
  <c r="Q23" i="23"/>
  <c r="W40" i="16"/>
  <c r="S121" i="16"/>
  <c r="S130" i="16" s="1"/>
  <c r="W86" i="23"/>
  <c r="R24" i="37"/>
  <c r="T24" i="37"/>
  <c r="V24" i="37"/>
  <c r="X24" i="37"/>
  <c r="N24" i="37"/>
  <c r="P24" i="37"/>
  <c r="U28" i="23"/>
  <c r="V44" i="37"/>
  <c r="O47" i="16"/>
  <c r="U79" i="23"/>
  <c r="U86" i="23" s="1"/>
  <c r="R44" i="37"/>
  <c r="S47" i="16"/>
  <c r="W107" i="17"/>
  <c r="X44" i="37"/>
  <c r="Y33" i="23" l="1"/>
  <c r="Y65" i="23" s="1"/>
  <c r="Y89" i="23" s="1"/>
  <c r="Y101" i="23" s="1"/>
  <c r="Q33" i="23"/>
  <c r="Q65" i="23" s="1"/>
  <c r="AA101" i="23"/>
  <c r="W33" i="23"/>
  <c r="U33" i="23"/>
  <c r="O101" i="23"/>
  <c r="AI57" i="23"/>
  <c r="I121" i="16"/>
  <c r="I130" i="16" s="1"/>
  <c r="I47" i="16"/>
  <c r="I58" i="17"/>
  <c r="I40" i="16"/>
  <c r="I96" i="23"/>
  <c r="I139" i="17"/>
  <c r="I103" i="16"/>
  <c r="I103" i="17"/>
  <c r="W58" i="16"/>
  <c r="K101" i="23" l="1"/>
  <c r="I107" i="17"/>
  <c r="I133" i="17" s="1"/>
  <c r="I143" i="17" s="1"/>
  <c r="I58" i="16"/>
  <c r="I107" i="16" s="1"/>
  <c r="I133" i="16" s="1"/>
  <c r="P28" i="5" l="1"/>
  <c r="J49" i="3" l="1"/>
  <c r="G25" i="11"/>
  <c r="K25" i="11" s="1"/>
  <c r="I41" i="10"/>
  <c r="I34" i="10"/>
  <c r="I40" i="13"/>
  <c r="N28" i="15" l="1"/>
  <c r="N36" i="15" s="1"/>
  <c r="G96" i="23" l="1"/>
  <c r="G101" i="23" l="1"/>
  <c r="AA51" i="3" l="1"/>
  <c r="R33" i="11" l="1"/>
  <c r="V33" i="11" s="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59" i="30"/>
  <c r="K64" i="30"/>
  <c r="J32" i="37"/>
  <c r="AJ73" i="25"/>
  <c r="F32" i="15"/>
  <c r="F35" i="15"/>
  <c r="F34" i="15"/>
  <c r="AI62" i="18"/>
  <c r="J42" i="37"/>
  <c r="N50" i="15"/>
  <c r="N54" i="15" s="1"/>
  <c r="F33" i="15"/>
  <c r="AJ74" i="25"/>
  <c r="AL74" i="25" s="1"/>
  <c r="J44" i="37" l="1"/>
  <c r="K121" i="17"/>
  <c r="K130" i="17" s="1"/>
  <c r="K47" i="17"/>
  <c r="J24" i="37"/>
  <c r="K30" i="17"/>
  <c r="K40"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88" i="30" l="1"/>
  <c r="K58" i="16"/>
  <c r="K107" i="16" s="1"/>
  <c r="K133" i="16" s="1"/>
  <c r="AD23" i="19"/>
  <c r="AJ23" i="19" l="1"/>
  <c r="AL23" i="19" s="1"/>
  <c r="J31" i="15"/>
  <c r="AH35" i="16"/>
  <c r="AJ35" i="16" s="1"/>
  <c r="C65" i="34" l="1"/>
  <c r="R40" i="35" l="1"/>
  <c r="AE71" i="17" l="1"/>
  <c r="AB71" i="17" l="1"/>
  <c r="AH71" i="17" s="1"/>
  <c r="AJ71" i="17" s="1"/>
  <c r="K140" i="30" l="1"/>
  <c r="AJ48" i="20"/>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K94" i="30" l="1"/>
  <c r="M200" i="42"/>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9" i="15"/>
  <c r="V28" i="15"/>
  <c r="V24" i="15"/>
  <c r="R25" i="15"/>
  <c r="P25" i="15"/>
  <c r="N25" i="15"/>
  <c r="V54" i="15" l="1"/>
  <c r="V44" i="15"/>
  <c r="P56" i="15"/>
  <c r="N56" i="15"/>
  <c r="AE47" i="26" l="1"/>
  <c r="J18" i="6" l="1"/>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AL57" i="23" l="1"/>
  <c r="AN57" i="23" s="1"/>
  <c r="M203" i="42" l="1"/>
  <c r="AJ56" i="24"/>
  <c r="AL56" i="24" s="1"/>
  <c r="K96" i="30" l="1"/>
  <c r="AJ49" i="2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U31" i="14" s="1"/>
  <c r="AL59" i="25"/>
  <c r="Q24" i="14"/>
  <c r="U24" i="14" s="1"/>
  <c r="G32" i="14"/>
  <c r="K32" i="14" s="1"/>
  <c r="R31" i="11"/>
  <c r="V31" i="11" s="1"/>
  <c r="G32" i="11"/>
  <c r="G31" i="11"/>
  <c r="K31" i="11" s="1"/>
  <c r="G24" i="11"/>
  <c r="K24" i="11" s="1"/>
  <c r="AJ75" i="20"/>
  <c r="AL75" i="20" s="1"/>
  <c r="AJ62" i="20"/>
  <c r="AL62" i="20" s="1"/>
  <c r="G20" i="11"/>
  <c r="K20" i="11" s="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G33" i="8" l="1"/>
  <c r="K33" i="8" s="1"/>
  <c r="K32" i="11"/>
  <c r="AD23" i="15"/>
  <c r="AH23" i="15" s="1"/>
  <c r="AJ23" i="15" s="1"/>
  <c r="AJ28" i="16"/>
  <c r="AD49" i="15"/>
  <c r="AH49" i="15" s="1"/>
  <c r="AJ49" i="15" s="1"/>
  <c r="AD51" i="15"/>
  <c r="AH51" i="15" s="1"/>
  <c r="AJ51" i="15" s="1"/>
  <c r="AD48" i="15"/>
  <c r="AH48" i="15" s="1"/>
  <c r="AJ48"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R36" i="35" l="1"/>
  <c r="D43" i="35"/>
  <c r="R39" i="35"/>
  <c r="V39" i="35" s="1"/>
  <c r="G11" i="42"/>
  <c r="R15" i="35"/>
  <c r="V15" i="35" s="1"/>
  <c r="J37" i="5"/>
  <c r="J29" i="5"/>
  <c r="L90" i="21"/>
  <c r="R30" i="35" l="1"/>
  <c r="L118" i="19"/>
  <c r="AE138" i="16" l="1"/>
  <c r="Z35" i="20"/>
  <c r="X35" i="20"/>
  <c r="V35" i="20"/>
  <c r="T35" i="20"/>
  <c r="R35" i="20"/>
  <c r="R37" i="20" s="1"/>
  <c r="P35" i="20"/>
  <c r="P37" i="20" s="1"/>
  <c r="L35" i="20"/>
  <c r="Z28" i="20"/>
  <c r="X28" i="20"/>
  <c r="V28" i="20"/>
  <c r="T28" i="20"/>
  <c r="L28" i="20"/>
  <c r="AG35" i="20"/>
  <c r="AG37" i="20" s="1"/>
  <c r="V37" i="20" l="1"/>
  <c r="T37" i="20"/>
  <c r="Z37" i="20"/>
  <c r="Z84" i="20" s="1"/>
  <c r="Z108" i="20" s="1"/>
  <c r="X37" i="20"/>
  <c r="L37" i="20"/>
  <c r="P84" i="20"/>
  <c r="P108" i="20" s="1"/>
  <c r="P118" i="20" s="1"/>
  <c r="Z44" i="37" l="1"/>
  <c r="K89" i="30" l="1"/>
  <c r="K35" i="30"/>
  <c r="K81" i="30"/>
  <c r="K47" i="30"/>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K93" i="30" l="1"/>
  <c r="G23" i="11" l="1"/>
  <c r="K23" i="11" s="1"/>
  <c r="K46" i="30" l="1"/>
  <c r="P40" i="43"/>
  <c r="P42" i="43" s="1"/>
  <c r="AF42" i="18" l="1"/>
  <c r="X42" i="18"/>
  <c r="T42" i="18"/>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K22" i="14" s="1"/>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R35" i="18"/>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Q46" i="25"/>
  <c r="O46" i="25"/>
  <c r="M46" i="25"/>
  <c r="AG60" i="24"/>
  <c r="AG37" i="19" l="1"/>
  <c r="AG84" i="19" s="1"/>
  <c r="AG108" i="19" s="1"/>
  <c r="AG118" i="19" s="1"/>
  <c r="AL17" i="20"/>
  <c r="H21" i="3"/>
  <c r="R53" i="18"/>
  <c r="R95" i="18" s="1"/>
  <c r="K82" i="30"/>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K22" i="11" s="1"/>
  <c r="J16" i="3"/>
  <c r="G21" i="11"/>
  <c r="K21" i="11" s="1"/>
  <c r="G23" i="14"/>
  <c r="K23" i="14" s="1"/>
  <c r="AJ35" i="20"/>
  <c r="AL35" i="20" s="1"/>
  <c r="AL30" i="20"/>
  <c r="AJ28" i="20"/>
  <c r="AL28" i="20" s="1"/>
  <c r="AL20" i="20"/>
  <c r="AG56" i="21"/>
  <c r="AL52" i="21"/>
  <c r="G20" i="10"/>
  <c r="K20" i="10" s="1"/>
  <c r="O20" i="10" s="1"/>
  <c r="X56" i="21"/>
  <c r="AI25" i="18"/>
  <c r="AK25" i="18" s="1"/>
  <c r="AH27" i="16"/>
  <c r="AJ27" i="16" s="1"/>
  <c r="C58" i="16"/>
  <c r="AI24" i="18"/>
  <c r="AK24" i="18" s="1"/>
  <c r="L84" i="20"/>
  <c r="AE47" i="16"/>
  <c r="AE40" i="16"/>
  <c r="V84" i="20"/>
  <c r="AG46" i="25"/>
  <c r="X53" i="18"/>
  <c r="X95" i="18" s="1"/>
  <c r="AI44"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K26" i="11" l="1"/>
  <c r="F54" i="15"/>
  <c r="AK44" i="18"/>
  <c r="AI51" i="18"/>
  <c r="AK51" i="18" s="1"/>
  <c r="G23" i="7"/>
  <c r="AJ37" i="20"/>
  <c r="AL37" i="20" s="1"/>
  <c r="J15" i="2"/>
  <c r="AL17" i="19"/>
  <c r="AJ52" i="15"/>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V36" i="15" s="1"/>
  <c r="G21" i="9"/>
  <c r="K21" i="9" s="1"/>
  <c r="X35" i="15"/>
  <c r="AH35" i="15" s="1"/>
  <c r="AJ35" i="15" s="1"/>
  <c r="G22" i="10"/>
  <c r="K22" i="10" s="1"/>
  <c r="O22" i="10" s="1"/>
  <c r="G20" i="9"/>
  <c r="K20" i="9" s="1"/>
  <c r="AG26" i="22"/>
  <c r="AI26" i="22" s="1"/>
  <c r="G21" i="10"/>
  <c r="K21" i="10" s="1"/>
  <c r="O21" i="10" s="1"/>
  <c r="X54" i="15" l="1"/>
  <c r="AH54" i="15" s="1"/>
  <c r="AJ54" i="15" s="1"/>
  <c r="K23" i="13"/>
  <c r="AH43" i="15"/>
  <c r="AJ43" i="15" s="1"/>
  <c r="X44" i="15"/>
  <c r="AH44" i="15" s="1"/>
  <c r="AJ44" i="15" s="1"/>
  <c r="F36" i="15"/>
  <c r="F56" i="15" s="1"/>
  <c r="G20" i="7"/>
  <c r="AJ112" i="20"/>
  <c r="J50" i="3"/>
  <c r="E31" i="13" l="1"/>
  <c r="E32" i="13"/>
  <c r="E25" i="13"/>
  <c r="E40" i="7"/>
  <c r="K40" i="7" s="1"/>
  <c r="E32" i="7"/>
  <c r="E30" i="8"/>
  <c r="E30" i="7"/>
  <c r="V20" i="11"/>
  <c r="E20" i="13"/>
  <c r="E24" i="13"/>
  <c r="E21" i="8"/>
  <c r="E30" i="13"/>
  <c r="E21" i="13"/>
  <c r="E31" i="7"/>
  <c r="E22" i="13"/>
  <c r="U25" i="14"/>
  <c r="E23" i="13"/>
  <c r="O23" i="13" s="1"/>
  <c r="E26" i="13"/>
  <c r="N29" i="5"/>
  <c r="AA29" i="3"/>
  <c r="AA27" i="3"/>
  <c r="AA26" i="3"/>
  <c r="AA25" i="3"/>
  <c r="AA20" i="3"/>
  <c r="AH102" i="17"/>
  <c r="AJ102" i="17" s="1"/>
  <c r="AH96" i="17"/>
  <c r="AJ96" i="17" s="1"/>
  <c r="AH81" i="17"/>
  <c r="AJ81" i="17" s="1"/>
  <c r="AH80" i="17"/>
  <c r="AJ80" i="17" s="1"/>
  <c r="AH79" i="17"/>
  <c r="AJ79" i="17" s="1"/>
  <c r="E23" i="7" l="1"/>
  <c r="K23" i="7" s="1"/>
  <c r="O22" i="13"/>
  <c r="E42" i="7"/>
  <c r="E41" i="7"/>
  <c r="E33" i="13"/>
  <c r="E29" i="7"/>
  <c r="E33" i="7"/>
  <c r="E27" i="13"/>
  <c r="E24" i="7"/>
  <c r="E21" i="7"/>
  <c r="E22" i="7"/>
  <c r="E25" i="7"/>
  <c r="E20" i="7"/>
  <c r="K20" i="7" s="1"/>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E37" i="13" l="1"/>
  <c r="E26" i="7"/>
  <c r="AJ84" i="2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P43" i="35" l="1"/>
  <c r="G26" i="11"/>
  <c r="G23" i="10"/>
  <c r="K23" i="10" s="1"/>
  <c r="O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2" i="8"/>
  <c r="E31" i="8"/>
  <c r="E29" i="8"/>
  <c r="E25" i="8"/>
  <c r="E24"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AI39" i="27" s="1"/>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U32" i="5" s="1"/>
  <c r="AG45" i="22"/>
  <c r="AI45" i="22" s="1"/>
  <c r="U21" i="5"/>
  <c r="S42" i="5" l="1"/>
  <c r="U42" i="5" s="1"/>
  <c r="Q26" i="14" l="1"/>
  <c r="U26" i="14" s="1"/>
  <c r="G26" i="13" l="1"/>
  <c r="U27" i="14"/>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46" i="8"/>
  <c r="G139" i="17"/>
  <c r="E139" i="17"/>
  <c r="AB127" i="17"/>
  <c r="AH127" i="17" s="1"/>
  <c r="AJ127" i="17" s="1"/>
  <c r="K39" i="31" l="1"/>
  <c r="K111" i="30"/>
  <c r="K25" i="13"/>
  <c r="O25" i="13" s="1"/>
  <c r="E143" i="17"/>
  <c r="H46" i="3"/>
  <c r="H55" i="3" s="1"/>
  <c r="AA35" i="3"/>
  <c r="AA43" i="3" s="1"/>
  <c r="E37" i="8"/>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K24" i="9" s="1"/>
  <c r="AJ80" i="19" l="1"/>
  <c r="F18" i="2"/>
  <c r="F19" i="3" l="1"/>
  <c r="K50" i="30" l="1"/>
  <c r="K117" i="30"/>
  <c r="K97" i="30"/>
  <c r="L50" i="3"/>
  <c r="L49" i="3"/>
  <c r="L41" i="3"/>
  <c r="R41" i="3" s="1"/>
  <c r="L38" i="3"/>
  <c r="L19" i="3"/>
  <c r="L18" i="3"/>
  <c r="L16" i="3"/>
  <c r="L43" i="3" l="1"/>
  <c r="L51" i="3"/>
  <c r="G25" i="10" l="1"/>
  <c r="L20" i="3"/>
  <c r="AG98" i="20"/>
  <c r="AG105" i="20" l="1"/>
  <c r="F15" i="6"/>
  <c r="AI123" i="18" l="1"/>
  <c r="AK123" i="18" s="1"/>
  <c r="AI124" i="18"/>
  <c r="AK124" i="18" s="1"/>
  <c r="G29" i="9"/>
  <c r="K29" i="9" s="1"/>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O100" i="24" s="1"/>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K34" i="11" s="1"/>
  <c r="K38"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J43" i="3" l="1"/>
  <c r="Q67" i="25"/>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O31" i="10" s="1"/>
  <c r="G32" i="10"/>
  <c r="F48" i="27"/>
  <c r="H37" i="28"/>
  <c r="G24" i="10"/>
  <c r="K24" i="10" s="1"/>
  <c r="O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O30" i="10" s="1"/>
  <c r="N118" i="19"/>
  <c r="D118" i="20"/>
  <c r="AG47" i="22"/>
  <c r="AI47" i="22" s="1"/>
  <c r="G24" i="12"/>
  <c r="K24" i="12" s="1"/>
  <c r="D48" i="32"/>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P34" i="27"/>
  <c r="P48" i="27" s="1"/>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G120" i="20" s="1"/>
  <c r="AJ98" i="20"/>
  <c r="F118" i="20"/>
  <c r="AL105" i="20"/>
  <c r="C43" i="31"/>
  <c r="AA33" i="29"/>
  <c r="AA25" i="29"/>
  <c r="N19" i="6"/>
  <c r="N34" i="2"/>
  <c r="E100" i="30"/>
  <c r="C100" i="30"/>
  <c r="G90" i="30"/>
  <c r="C90" i="30"/>
  <c r="K32" i="10" l="1"/>
  <c r="O32" i="10" s="1"/>
  <c r="G33" i="7"/>
  <c r="K33" i="7" s="1"/>
  <c r="R17" i="35"/>
  <c r="R25" i="35"/>
  <c r="V25" i="35" s="1"/>
  <c r="O121" i="16"/>
  <c r="O130" i="16" s="1"/>
  <c r="AF78" i="23"/>
  <c r="AF79" i="23" s="1"/>
  <c r="U33" i="14"/>
  <c r="U37" i="14" s="1"/>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K24" i="7" s="1"/>
  <c r="AJ27" i="24"/>
  <c r="AL27" i="24" s="1"/>
  <c r="AJ22" i="24"/>
  <c r="AL22" i="24" s="1"/>
  <c r="AG49" i="22"/>
  <c r="AI49" i="22" s="1"/>
  <c r="J46" i="3"/>
  <c r="AJ60" i="25"/>
  <c r="AJ78" i="24"/>
  <c r="AL78" i="24" s="1"/>
  <c r="AJ95" i="24"/>
  <c r="AL95" i="24" s="1"/>
  <c r="AG57" i="22"/>
  <c r="AI57" i="22" s="1"/>
  <c r="AJ105" i="20"/>
  <c r="AG88" i="24"/>
  <c r="H24" i="6"/>
  <c r="AK35" i="18"/>
  <c r="G25" i="9"/>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K27" i="9" s="1"/>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K25" i="9" l="1"/>
  <c r="K31" i="9" s="1"/>
  <c r="AB44" i="15"/>
  <c r="T115" i="18"/>
  <c r="K21" i="13"/>
  <c r="O21" i="13" s="1"/>
  <c r="G20" i="13"/>
  <c r="K27" i="14"/>
  <c r="G30" i="13"/>
  <c r="K33" i="14"/>
  <c r="K36" i="12"/>
  <c r="G36" i="12"/>
  <c r="G22" i="7"/>
  <c r="K22" i="7" s="1"/>
  <c r="G27" i="14"/>
  <c r="F50" i="2"/>
  <c r="AG100" i="24"/>
  <c r="D90" i="21"/>
  <c r="G31" i="9"/>
  <c r="G25" i="7"/>
  <c r="K25" i="7" s="1"/>
  <c r="Q33" i="14"/>
  <c r="Q37" i="14" s="1"/>
  <c r="AJ32" i="24"/>
  <c r="AL32" i="24" s="1"/>
  <c r="AI93" i="18"/>
  <c r="AK93" i="18" s="1"/>
  <c r="X90" i="21"/>
  <c r="N90" i="21"/>
  <c r="V90" i="21"/>
  <c r="J90" i="21"/>
  <c r="AI128" i="18"/>
  <c r="AK128" i="18" s="1"/>
  <c r="G38" i="9"/>
  <c r="K38" i="9" s="1"/>
  <c r="AI126" i="18"/>
  <c r="AK126" i="18" s="1"/>
  <c r="AI113" i="18"/>
  <c r="AK113" i="18" s="1"/>
  <c r="G36" i="9"/>
  <c r="K36" i="9" s="1"/>
  <c r="AI112" i="18"/>
  <c r="AK112" i="18" s="1"/>
  <c r="G35" i="9"/>
  <c r="K35" i="9" s="1"/>
  <c r="G33" i="14"/>
  <c r="AK42" i="18"/>
  <c r="H90" i="21"/>
  <c r="AJ85" i="24"/>
  <c r="AL85" i="24" s="1"/>
  <c r="AI122" i="18"/>
  <c r="AK122" i="18" s="1"/>
  <c r="F49" i="2"/>
  <c r="F90" i="21"/>
  <c r="AJ108" i="20"/>
  <c r="AL108" i="20" s="1"/>
  <c r="R118" i="18"/>
  <c r="AI99" i="18"/>
  <c r="AK99" i="18" s="1"/>
  <c r="F49" i="3" l="1"/>
  <c r="V17" i="35"/>
  <c r="F24" i="32"/>
  <c r="K37" i="14"/>
  <c r="K30" i="13"/>
  <c r="O30" i="13" s="1"/>
  <c r="G37" i="14"/>
  <c r="AI132" i="18"/>
  <c r="AK132" i="18" s="1"/>
  <c r="G31" i="7"/>
  <c r="K31" i="7" s="1"/>
  <c r="G30" i="7"/>
  <c r="K30" i="7" s="1"/>
  <c r="AJ64" i="24"/>
  <c r="AL64" i="24" s="1"/>
  <c r="AG60" i="22"/>
  <c r="AJ88" i="24"/>
  <c r="AL88" i="24" s="1"/>
  <c r="H33" i="6"/>
  <c r="H32" i="6"/>
  <c r="D33" i="6"/>
  <c r="D32" i="6"/>
  <c r="K33" i="31" l="1"/>
  <c r="L32" i="6"/>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Y21" i="3"/>
  <c r="K33" i="10"/>
  <c r="O33" i="10" s="1"/>
  <c r="AL100" i="24"/>
  <c r="G37" i="13"/>
  <c r="G26" i="7"/>
  <c r="S34" i="6"/>
  <c r="L34" i="6"/>
  <c r="J34" i="6"/>
  <c r="G42" i="7" l="1"/>
  <c r="K42" i="7" s="1"/>
  <c r="R40" i="43"/>
  <c r="J40" i="43"/>
  <c r="J42" i="43" s="1"/>
  <c r="J44"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V34" i="11" l="1"/>
  <c r="V38" i="11" s="1"/>
  <c r="I26" i="10"/>
  <c r="K25" i="10"/>
  <c r="O25" i="10" s="1"/>
  <c r="O26" i="10" s="1"/>
  <c r="AL70" i="21"/>
  <c r="AD118" i="20"/>
  <c r="AL114" i="20"/>
  <c r="AE121" i="16"/>
  <c r="AJ86" i="21"/>
  <c r="AJ114" i="20"/>
  <c r="AJ118" i="20" s="1"/>
  <c r="G38" i="11"/>
  <c r="AL77" i="21"/>
  <c r="AJ70" i="21"/>
  <c r="K26" i="10" l="1"/>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H24" i="32" l="1"/>
  <c r="Y51" i="3"/>
  <c r="N55" i="3"/>
  <c r="AF49" i="3"/>
  <c r="S140" i="16" l="1"/>
  <c r="J50" i="2"/>
  <c r="J49" i="2"/>
  <c r="X49" i="2" s="1"/>
  <c r="AB137" i="16" s="1"/>
  <c r="J51" i="2" l="1"/>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K42" i="8" s="1"/>
  <c r="T51" i="3"/>
  <c r="AG24" i="2"/>
  <c r="AG50" i="2"/>
  <c r="AG25" i="2"/>
  <c r="AG16" i="2"/>
  <c r="Q140" i="16" l="1"/>
  <c r="Q144" i="16"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2" i="3"/>
  <c r="AG51" i="2" l="1"/>
  <c r="AI51" i="2" s="1"/>
  <c r="C121" i="16"/>
  <c r="C130" i="16" s="1"/>
  <c r="AH127" i="16"/>
  <c r="AJ127" i="16" s="1"/>
  <c r="AH128" i="16"/>
  <c r="AJ128" i="16" s="1"/>
  <c r="F14" i="2" l="1"/>
  <c r="F15" i="3" l="1"/>
  <c r="F20" i="2"/>
  <c r="F21" i="3" l="1"/>
  <c r="T15" i="3"/>
  <c r="C133" i="16"/>
  <c r="G20" i="8" l="1"/>
  <c r="K20" i="8" s="1"/>
  <c r="T21" i="3"/>
  <c r="G26" i="8" l="1"/>
  <c r="K26" i="8"/>
  <c r="K14" i="30" l="1"/>
  <c r="AG13" i="19" l="1"/>
  <c r="AG120" i="19" s="1"/>
  <c r="M202" i="42"/>
  <c r="O204"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Z16" i="43"/>
  <c r="L16" i="43"/>
  <c r="L44" i="43" s="1"/>
  <c r="L37" i="29"/>
  <c r="AA17" i="29"/>
  <c r="AA28" i="29" s="1"/>
  <c r="AA37" i="29" s="1"/>
  <c r="AB42" i="2" l="1"/>
  <c r="AB45" i="2" s="1"/>
  <c r="AG16" i="29"/>
  <c r="AI16" i="29" s="1"/>
  <c r="H18" i="6"/>
  <c r="L18" i="6" s="1"/>
  <c r="H19" i="6" l="1"/>
  <c r="H29" i="6" s="1"/>
  <c r="H39" i="6" s="1"/>
  <c r="AG17" i="29"/>
  <c r="AI17" i="29" s="1"/>
  <c r="L19" i="6" l="1"/>
  <c r="L29" i="6" s="1"/>
  <c r="AG28" i="29"/>
  <c r="AI28" i="29" s="1"/>
  <c r="K116" i="30" l="1"/>
  <c r="L39" i="6"/>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0" i="43"/>
  <c r="Z31" i="43"/>
  <c r="Z32" i="43"/>
  <c r="Z29" i="43"/>
  <c r="Z35" i="43"/>
  <c r="Z25" i="43"/>
  <c r="Z28" i="43"/>
  <c r="Z33" i="43"/>
  <c r="N42" i="43"/>
  <c r="N44" i="43" s="1"/>
  <c r="P44" i="43" l="1"/>
  <c r="AB36" i="15" l="1"/>
  <c r="F26" i="2" l="1"/>
  <c r="X26" i="2" s="1"/>
  <c r="X34" i="2" s="1"/>
  <c r="G34" i="9"/>
  <c r="AI101" i="18"/>
  <c r="AK101" i="18" s="1"/>
  <c r="G43" i="9" l="1"/>
  <c r="G47" i="9" s="1"/>
  <c r="K34" i="9"/>
  <c r="K43" i="9" s="1"/>
  <c r="K47" i="9" s="1"/>
  <c r="W121" i="16"/>
  <c r="W130" i="16" s="1"/>
  <c r="W133" i="16" s="1"/>
  <c r="AI34" i="2"/>
  <c r="X42" i="2"/>
  <c r="X109" i="18"/>
  <c r="X115" i="18" s="1"/>
  <c r="F34" i="2"/>
  <c r="F42" i="2" s="1"/>
  <c r="F45" i="2" s="1"/>
  <c r="F27" i="3"/>
  <c r="AI118" i="18"/>
  <c r="AK118" i="18" s="1"/>
  <c r="AI26" i="2"/>
  <c r="AG26" i="2"/>
  <c r="AG34" i="2" s="1"/>
  <c r="AG42" i="2" s="1"/>
  <c r="G29" i="7"/>
  <c r="K29" i="7" s="1"/>
  <c r="AI109" i="18"/>
  <c r="X118" i="18" l="1"/>
  <c r="X136" i="18" s="1"/>
  <c r="F55" i="2"/>
  <c r="AI42" i="2"/>
  <c r="W121" i="17"/>
  <c r="F35" i="3"/>
  <c r="T27" i="3"/>
  <c r="AK109" i="18"/>
  <c r="AI115" i="18"/>
  <c r="AK115" i="18" s="1"/>
  <c r="K34" i="7"/>
  <c r="K37" i="7" s="1"/>
  <c r="G34" i="7"/>
  <c r="W130" i="17" l="1"/>
  <c r="W133" i="17" s="1"/>
  <c r="W143" i="17" s="1"/>
  <c r="F43" i="3"/>
  <c r="F46" i="3" s="1"/>
  <c r="F55" i="3" s="1"/>
  <c r="V50" i="2"/>
  <c r="I138" i="16" s="1"/>
  <c r="H51" i="2"/>
  <c r="AI136" i="18"/>
  <c r="AK136" i="18" s="1"/>
  <c r="AD27" i="3"/>
  <c r="T35" i="3"/>
  <c r="T43" i="3" s="1"/>
  <c r="G37" i="7"/>
  <c r="V51" i="2" l="1"/>
  <c r="U140" i="16"/>
  <c r="G29" i="8"/>
  <c r="T46" i="3"/>
  <c r="T55" i="3" s="1"/>
  <c r="AF27" i="3"/>
  <c r="AD35" i="3"/>
  <c r="AD43" i="3" s="1"/>
  <c r="AF43" i="3" s="1"/>
  <c r="G34" i="8" l="1"/>
  <c r="K29" i="8"/>
  <c r="K34" i="8" s="1"/>
  <c r="K46" i="8" s="1"/>
  <c r="AD46" i="3"/>
  <c r="AF46" i="3" s="1"/>
  <c r="AF35" i="3"/>
  <c r="AD55" i="3" l="1"/>
  <c r="AF55" i="3" s="1"/>
  <c r="G46" i="8"/>
  <c r="G37" i="8"/>
  <c r="K37" i="8"/>
  <c r="D26" i="18" l="1"/>
  <c r="Y143" i="17" l="1"/>
  <c r="D53" i="18"/>
  <c r="D95" i="18" s="1"/>
  <c r="D118" i="18" s="1"/>
  <c r="D136" i="18" s="1"/>
  <c r="N21" i="5" l="1"/>
  <c r="N32" i="5" s="1"/>
  <c r="N42" i="5" s="1"/>
  <c r="E23" i="23" l="1"/>
  <c r="N45" i="5" l="1"/>
  <c r="P20" i="2"/>
  <c r="V15" i="2"/>
  <c r="AL20" i="23"/>
  <c r="AN20" i="23" s="1"/>
  <c r="AF23" i="23"/>
  <c r="AF33" i="23" s="1"/>
  <c r="E33" i="23"/>
  <c r="E65" i="23" s="1"/>
  <c r="E89" i="23" s="1"/>
  <c r="E101" i="23" s="1"/>
  <c r="R29" i="15"/>
  <c r="R15" i="2" l="1"/>
  <c r="AL23" i="23"/>
  <c r="AN23" i="23" s="1"/>
  <c r="R36" i="15"/>
  <c r="R56" i="15" s="1"/>
  <c r="X29" i="15"/>
  <c r="AH29" i="15" l="1"/>
  <c r="AJ29" i="15" s="1"/>
  <c r="X36" i="15"/>
  <c r="X15" i="2"/>
  <c r="AL33" i="23"/>
  <c r="AH36" i="15" l="1"/>
  <c r="AJ36" i="15" s="1"/>
  <c r="AN33" i="23"/>
  <c r="AI15" i="2"/>
  <c r="AG15" i="2"/>
  <c r="AB114" i="19" l="1"/>
  <c r="AB118" i="19" s="1"/>
  <c r="AB120" i="19" s="1"/>
  <c r="N26" i="18" l="1"/>
  <c r="N35" i="18" l="1"/>
  <c r="N53" i="18" s="1"/>
  <c r="N95" i="18" l="1"/>
  <c r="N109" i="18" l="1"/>
  <c r="N115" i="18" s="1"/>
  <c r="N118" i="18" l="1"/>
  <c r="N136" i="18" l="1"/>
  <c r="I20" i="11" l="1"/>
  <c r="V20" i="15" l="1"/>
  <c r="V18" i="15"/>
  <c r="V16" i="15"/>
  <c r="V17" i="15"/>
  <c r="V19" i="15"/>
  <c r="T26" i="18"/>
  <c r="V21" i="15" l="1"/>
  <c r="T53" i="18"/>
  <c r="T95" i="18" s="1"/>
  <c r="T118" i="18" s="1"/>
  <c r="T136" i="18" s="1"/>
  <c r="S30" i="17"/>
  <c r="S58" i="17" s="1"/>
  <c r="S107" i="17" l="1"/>
  <c r="S133" i="17" s="1"/>
  <c r="S143" i="17" s="1"/>
  <c r="S30" i="16"/>
  <c r="S58" i="16" l="1"/>
  <c r="U61" i="23" l="1"/>
  <c r="V18" i="2" s="1"/>
  <c r="U42" i="25"/>
  <c r="U46" i="25" s="1"/>
  <c r="U70" i="25" s="1"/>
  <c r="U80" i="25" s="1"/>
  <c r="AF37" i="23" l="1"/>
  <c r="AF61" i="23" s="1"/>
  <c r="AF65" i="23" s="1"/>
  <c r="S103" i="16"/>
  <c r="S107" i="16" s="1"/>
  <c r="S133" i="16" s="1"/>
  <c r="S144" i="16" s="1"/>
  <c r="U65" i="23"/>
  <c r="U89" i="23" s="1"/>
  <c r="U101" i="23" s="1"/>
  <c r="R18" i="2" l="1"/>
  <c r="P45" i="2"/>
  <c r="P55" i="2" s="1"/>
  <c r="AL37" i="23"/>
  <c r="X18" i="2" l="1"/>
  <c r="R20" i="2"/>
  <c r="R45" i="2" s="1"/>
  <c r="R55" i="2" s="1"/>
  <c r="AL61" i="23"/>
  <c r="AN61" i="23" s="1"/>
  <c r="AN37" i="23"/>
  <c r="R38" i="35" l="1"/>
  <c r="AF89" i="23"/>
  <c r="AF101" i="23" s="1"/>
  <c r="AG18" i="2"/>
  <c r="AI18" i="2"/>
  <c r="AL65" i="23"/>
  <c r="AN65" i="23" s="1"/>
  <c r="AL101" i="23" l="1"/>
  <c r="AL89" i="23"/>
  <c r="AN89" i="23" s="1"/>
  <c r="D38" i="3"/>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33" i="16"/>
  <c r="AH33" i="16" s="1"/>
  <c r="AJ33" i="16"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B63" i="16"/>
  <c r="AH63" i="16" s="1"/>
  <c r="AJ63"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49" i="17"/>
  <c r="AB56" i="17" l="1"/>
  <c r="AH124" i="17"/>
  <c r="AH23" i="17"/>
  <c r="AJ23" i="17" s="1"/>
  <c r="AN101" i="23"/>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B103" i="16"/>
  <c r="AH62" i="16"/>
  <c r="V28" i="2"/>
  <c r="D29" i="3"/>
  <c r="R29" i="3" s="1"/>
  <c r="AH105" i="16"/>
  <c r="AB121" i="17"/>
  <c r="AB130" i="17" s="1"/>
  <c r="AH105" i="17"/>
  <c r="AJ105" i="17" s="1"/>
  <c r="V24" i="2"/>
  <c r="U40" i="16"/>
  <c r="AB121" i="16"/>
  <c r="AB130" i="16" s="1"/>
  <c r="AH130" i="16" s="1"/>
  <c r="AJ130" i="16" s="1"/>
  <c r="AH111" i="16"/>
  <c r="V38" i="2"/>
  <c r="D39" i="3"/>
  <c r="R39" i="3" s="1"/>
  <c r="AH32" i="16"/>
  <c r="AB40"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M144" i="16" s="1"/>
  <c r="K140" i="16"/>
  <c r="K144" i="16" s="1"/>
  <c r="E140" i="16"/>
  <c r="E144" i="16" s="1"/>
  <c r="C140" i="16"/>
  <c r="C144" i="16" s="1"/>
  <c r="Y140" i="16"/>
  <c r="Y144" i="16" s="1"/>
  <c r="AH26" i="16"/>
  <c r="U58" i="16"/>
  <c r="U107" i="16" s="1"/>
  <c r="U133" i="16" s="1"/>
  <c r="U144" i="16" s="1"/>
  <c r="AH32" i="17"/>
  <c r="AB40" i="17"/>
  <c r="V34" i="2"/>
  <c r="V42" i="2" s="1"/>
  <c r="AJ62" i="16"/>
  <c r="AH103" i="16"/>
  <c r="AJ103" i="16" s="1"/>
  <c r="D51" i="3"/>
  <c r="R49" i="3"/>
  <c r="R51" i="3" s="1"/>
  <c r="AH40" i="16"/>
  <c r="AJ40" i="16" s="1"/>
  <c r="AJ32" i="16"/>
  <c r="AJ105" i="16"/>
  <c r="AJ42" i="16"/>
  <c r="AH47" i="16"/>
  <c r="AJ47" i="16" s="1"/>
  <c r="AJ63" i="17"/>
  <c r="AH103" i="17"/>
  <c r="AJ103" i="17" s="1"/>
  <c r="AJ49" i="17"/>
  <c r="AJ56" i="17"/>
  <c r="AH26" i="17"/>
  <c r="AJ111" i="16"/>
  <c r="AH121" i="16"/>
  <c r="AJ121" i="16" s="1"/>
  <c r="U58" i="17"/>
  <c r="D20" i="2"/>
  <c r="D15" i="3"/>
  <c r="AH49" i="16"/>
  <c r="AH56" i="16" s="1"/>
  <c r="D35" i="3"/>
  <c r="D43" i="3" s="1"/>
  <c r="R25" i="3"/>
  <c r="R35" i="3" s="1"/>
  <c r="R43" i="3" s="1"/>
  <c r="AJ121" i="17"/>
  <c r="O140" i="16" l="1"/>
  <c r="D45" i="2"/>
  <c r="D55" i="2" s="1"/>
  <c r="AB138" i="16"/>
  <c r="AH138" i="16" s="1"/>
  <c r="AJ138" i="16" s="1"/>
  <c r="I140" i="16"/>
  <c r="I144" i="16" s="1"/>
  <c r="G140" i="16"/>
  <c r="G144" i="16" s="1"/>
  <c r="W140" i="16"/>
  <c r="W144" i="16" s="1"/>
  <c r="AJ2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J18" i="5" l="1"/>
  <c r="J21" i="5" s="1"/>
  <c r="J32" i="5" s="1"/>
  <c r="J42" i="5" s="1"/>
  <c r="AB28" i="16" l="1"/>
  <c r="AH28" i="16" s="1"/>
  <c r="AH30" i="16" s="1"/>
  <c r="AH58" i="16" s="1"/>
  <c r="O30" i="17"/>
  <c r="O58" i="17" s="1"/>
  <c r="N26" i="22"/>
  <c r="N49" i="22" s="1"/>
  <c r="N60" i="22" s="1"/>
  <c r="N72" i="22" s="1"/>
  <c r="O107" i="17" l="1"/>
  <c r="O133" i="17" s="1"/>
  <c r="O143" i="17" s="1"/>
  <c r="AB58" i="17"/>
  <c r="AH107" i="16"/>
  <c r="AJ107" i="16" s="1"/>
  <c r="AJ58" i="16"/>
  <c r="AJ30" i="16"/>
  <c r="O30" i="16"/>
  <c r="AB30" i="16" s="1"/>
  <c r="AB58" i="16" s="1"/>
  <c r="AB107" i="16" s="1"/>
  <c r="AB133" i="16" s="1"/>
  <c r="AH133" i="16" s="1"/>
  <c r="AJ133" i="16" s="1"/>
  <c r="L20" i="2"/>
  <c r="L45" i="2" s="1"/>
  <c r="L55" i="2" s="1"/>
  <c r="L15" i="3"/>
  <c r="AB28" i="17"/>
  <c r="O58" i="16" l="1"/>
  <c r="O107" i="16" s="1"/>
  <c r="O133" i="16" s="1"/>
  <c r="O144" i="16" s="1"/>
  <c r="AB107" i="17"/>
  <c r="AB133" i="17" s="1"/>
  <c r="AH58" i="17"/>
  <c r="AB144" i="16"/>
  <c r="R15" i="3"/>
  <c r="R21" i="3" s="1"/>
  <c r="R46" i="3" s="1"/>
  <c r="R55" i="3" s="1"/>
  <c r="L21" i="3"/>
  <c r="L46" i="3" s="1"/>
  <c r="L55" i="3" s="1"/>
  <c r="AH28" i="17"/>
  <c r="AH30" i="17" s="1"/>
  <c r="AJ30" i="17" s="1"/>
  <c r="AB30" i="17"/>
  <c r="AJ58" i="17" l="1"/>
  <c r="AH107" i="17"/>
  <c r="AJ107" i="17" s="1"/>
  <c r="AB143" i="17"/>
  <c r="AH133" i="17"/>
  <c r="AJ133" i="17" s="1"/>
  <c r="AH144" i="16"/>
  <c r="AJ144" i="16" s="1"/>
  <c r="AH143" i="17" l="1"/>
  <c r="AJ143" i="17" s="1"/>
  <c r="R36" i="43" l="1"/>
  <c r="R42" i="43" s="1"/>
  <c r="R44" i="43" s="1"/>
  <c r="T44" i="43" s="1"/>
  <c r="V44" i="43" s="1"/>
  <c r="Z21" i="43"/>
  <c r="Z36" i="43" l="1"/>
  <c r="Z42" i="43" s="1"/>
  <c r="Z44" i="43" s="1"/>
  <c r="X44" i="43"/>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R41" i="11" l="1"/>
  <c r="V40" i="1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V41" i="1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J46" i="37" s="1"/>
  <c r="L46" i="37" s="1"/>
  <c r="N46" i="37" s="1"/>
  <c r="P46" i="37" s="1"/>
  <c r="R46" i="37" s="1"/>
  <c r="T46" i="37" s="1"/>
  <c r="V46" i="37" s="1"/>
  <c r="X46" i="37" s="1"/>
  <c r="K14" i="24"/>
  <c r="K102" i="24" s="1"/>
  <c r="M102" i="24" s="1"/>
  <c r="O102" i="24" s="1"/>
  <c r="Q102" i="24" s="1"/>
  <c r="S102" i="24" s="1"/>
  <c r="U102" i="24" s="1"/>
  <c r="W102" i="24" s="1"/>
  <c r="Y102" i="24" s="1"/>
  <c r="AA102" i="24" s="1"/>
  <c r="J13" i="21"/>
  <c r="J92" i="21" s="1"/>
  <c r="L92" i="21" s="1"/>
  <c r="N92" i="21" s="1"/>
  <c r="P92" i="21" s="1"/>
  <c r="R92" i="21" s="1"/>
  <c r="T92" i="21" s="1"/>
  <c r="V92" i="21" s="1"/>
  <c r="X92" i="21" s="1"/>
  <c r="Z92" i="21" s="1"/>
  <c r="H13" i="20"/>
  <c r="H120" i="20" l="1"/>
  <c r="J13" i="20" l="1"/>
  <c r="H57" i="3" s="1"/>
  <c r="H59" i="3" s="1"/>
  <c r="J120" i="20" l="1"/>
  <c r="L120" i="20" s="1"/>
  <c r="N120" i="20" s="1"/>
  <c r="P120" i="20" s="1"/>
  <c r="R120" i="20" s="1"/>
  <c r="T120" i="20" s="1"/>
  <c r="V120" i="20" s="1"/>
  <c r="X120" i="20" s="1"/>
  <c r="Z120" i="20" s="1"/>
  <c r="F17" i="32"/>
  <c r="I22" i="12" l="1"/>
  <c r="AB59" i="2" l="1"/>
  <c r="M21" i="42"/>
  <c r="L120" i="19" l="1"/>
  <c r="N120" i="19"/>
  <c r="P120" i="19"/>
  <c r="R120" i="19"/>
  <c r="T120" i="19"/>
  <c r="V120" i="19"/>
  <c r="X120" i="19"/>
  <c r="Z120" i="19"/>
  <c r="AJ22" i="15"/>
  <c r="V22" i="15"/>
  <c r="V25" i="15" s="1"/>
  <c r="V56" i="15" s="1"/>
  <c r="H20" i="2"/>
  <c r="H45" i="2" s="1"/>
  <c r="H55" i="2" s="1"/>
  <c r="F37" i="19"/>
  <c r="F84" i="19" s="1"/>
  <c r="F108" i="19" s="1"/>
  <c r="F118" i="19" s="1"/>
  <c r="F120" i="19" s="1"/>
  <c r="H13" i="19" s="1"/>
  <c r="AD17" i="19"/>
  <c r="AJ17" i="19" s="1"/>
  <c r="AJ37" i="19" s="1"/>
  <c r="H120" i="19" l="1"/>
  <c r="J13" i="19" s="1"/>
  <c r="AJ84" i="19"/>
  <c r="AL37" i="19"/>
  <c r="J14" i="2"/>
  <c r="H25" i="15"/>
  <c r="H56" i="15" s="1"/>
  <c r="J22" i="15"/>
  <c r="AD37" i="19"/>
  <c r="AD84" i="19" s="1"/>
  <c r="AD108" i="19" s="1"/>
  <c r="AD118" i="19" s="1"/>
  <c r="V14" i="2"/>
  <c r="V20" i="2" s="1"/>
  <c r="V45" i="2" s="1"/>
  <c r="V55" i="2" s="1"/>
  <c r="H57" i="2" l="1"/>
  <c r="H59" i="2" s="1"/>
  <c r="J120" i="19"/>
  <c r="J20" i="2"/>
  <c r="J45" i="2" s="1"/>
  <c r="J55" i="2" s="1"/>
  <c r="J59" i="2" s="1"/>
  <c r="X14" i="2"/>
  <c r="AD120" i="19"/>
  <c r="AJ120" i="19" s="1"/>
  <c r="AL120" i="19" s="1"/>
  <c r="AJ118" i="19"/>
  <c r="AL118" i="19" s="1"/>
  <c r="X22" i="15"/>
  <c r="J25" i="15"/>
  <c r="J56" i="15" s="1"/>
  <c r="AL84" i="19"/>
  <c r="AJ108" i="19"/>
  <c r="AL108" i="19" s="1"/>
  <c r="AH22" i="15" l="1"/>
  <c r="X25" i="15"/>
  <c r="X20" i="2"/>
  <c r="AI14" i="2"/>
  <c r="AG14" i="2"/>
  <c r="AG20" i="2" s="1"/>
  <c r="AH25" i="15" l="1"/>
  <c r="AJ25" i="15" s="1"/>
  <c r="X56" i="15"/>
  <c r="AH56" i="15" s="1"/>
  <c r="AJ56" i="15" s="1"/>
  <c r="AI20" i="2"/>
  <c r="X45" i="2"/>
  <c r="AI45" i="2" l="1"/>
  <c r="X55" i="2"/>
  <c r="AG45" i="2"/>
  <c r="AG55" i="2" s="1"/>
  <c r="AI55" i="2" l="1"/>
  <c r="Y35" i="3" l="1"/>
  <c r="V36" i="35"/>
  <c r="V40" i="35"/>
  <c r="Y43" i="3" l="1"/>
  <c r="Y46" i="3" s="1"/>
  <c r="Y55" i="3" s="1"/>
  <c r="G40" i="31" l="1"/>
  <c r="G26" i="31" l="1"/>
  <c r="G43" i="31" s="1"/>
  <c r="I23" i="11" l="1"/>
  <c r="K95" i="30" l="1"/>
  <c r="O190" i="42" l="1"/>
  <c r="F43" i="35"/>
  <c r="Q65" i="34"/>
  <c r="T43" i="35"/>
  <c r="I65" i="34"/>
  <c r="K65" i="34"/>
  <c r="G100" i="30"/>
  <c r="G102" i="30" s="1"/>
  <c r="I112" i="30"/>
  <c r="G154" i="30"/>
  <c r="I100" i="30"/>
  <c r="I24" i="30"/>
  <c r="I90" i="30"/>
  <c r="I154" i="30"/>
  <c r="E26" i="31"/>
  <c r="E43" i="31" s="1"/>
  <c r="E24" i="30"/>
  <c r="I26" i="31"/>
  <c r="F45" i="32"/>
  <c r="F48" i="32" s="1"/>
  <c r="G24" i="30"/>
  <c r="E154" i="30"/>
  <c r="C26" i="11"/>
  <c r="S23" i="14"/>
  <c r="M54" i="42"/>
  <c r="M224" i="42"/>
  <c r="G59" i="34"/>
  <c r="M59" i="34" s="1"/>
  <c r="M255" i="42"/>
  <c r="G62" i="34"/>
  <c r="M62" i="34" s="1"/>
  <c r="M226" i="42"/>
  <c r="G50" i="34"/>
  <c r="M50" i="34" s="1"/>
  <c r="M125" i="42"/>
  <c r="M44" i="42"/>
  <c r="M153" i="42"/>
  <c r="I29" i="12"/>
  <c r="C32" i="12"/>
  <c r="K21" i="30"/>
  <c r="M120" i="42"/>
  <c r="M118" i="42"/>
  <c r="M220" i="42"/>
  <c r="I38" i="9"/>
  <c r="M111" i="42"/>
  <c r="R31" i="35"/>
  <c r="V31" i="35" s="1"/>
  <c r="M140" i="42"/>
  <c r="M95" i="42"/>
  <c r="T32" i="11"/>
  <c r="S32" i="14"/>
  <c r="M45" i="42"/>
  <c r="K143" i="30"/>
  <c r="M117" i="42"/>
  <c r="M85" i="42"/>
  <c r="K34" i="31"/>
  <c r="M257" i="42"/>
  <c r="L33" i="32"/>
  <c r="M77" i="42"/>
  <c r="C23" i="10"/>
  <c r="M23" i="10" s="1"/>
  <c r="T23" i="11"/>
  <c r="M252" i="42"/>
  <c r="I29" i="9"/>
  <c r="J45" i="32"/>
  <c r="I33" i="11"/>
  <c r="C33" i="10"/>
  <c r="M33" i="10" s="1"/>
  <c r="M165" i="42"/>
  <c r="M170" i="42"/>
  <c r="M225" i="42"/>
  <c r="M182" i="42"/>
  <c r="K133" i="30"/>
  <c r="M208" i="42"/>
  <c r="K110" i="30"/>
  <c r="L36" i="32"/>
  <c r="K153" i="30"/>
  <c r="T22" i="11"/>
  <c r="AD38" i="29"/>
  <c r="P41" i="6"/>
  <c r="P42" i="6" s="1"/>
  <c r="M69" i="42"/>
  <c r="M145" i="42"/>
  <c r="M48" i="42"/>
  <c r="M43" i="42"/>
  <c r="M178" i="42"/>
  <c r="K99" i="30"/>
  <c r="I29" i="11"/>
  <c r="C29" i="10"/>
  <c r="M29" i="10" s="1"/>
  <c r="C34" i="11"/>
  <c r="C38" i="11" s="1"/>
  <c r="C41" i="11" s="1"/>
  <c r="T33" i="11"/>
  <c r="M115" i="42"/>
  <c r="I24" i="14"/>
  <c r="C24" i="13"/>
  <c r="M24" i="13" s="1"/>
  <c r="R21" i="35"/>
  <c r="V21" i="35" s="1"/>
  <c r="M86" i="42"/>
  <c r="M108" i="42"/>
  <c r="G41" i="34"/>
  <c r="M41" i="34" s="1"/>
  <c r="M188" i="42"/>
  <c r="K23" i="30"/>
  <c r="K129" i="30"/>
  <c r="M229" i="42"/>
  <c r="G112" i="30"/>
  <c r="M227" i="42"/>
  <c r="M172" i="42"/>
  <c r="M131" i="42"/>
  <c r="M242" i="42"/>
  <c r="J43" i="35"/>
  <c r="R26" i="35"/>
  <c r="V26" i="35" s="1"/>
  <c r="K144" i="30"/>
  <c r="M39" i="42"/>
  <c r="M147" i="42"/>
  <c r="M185" i="42"/>
  <c r="T31" i="11"/>
  <c r="M83" i="42"/>
  <c r="L22" i="32"/>
  <c r="AB54" i="15"/>
  <c r="I20" i="14"/>
  <c r="C20" i="13"/>
  <c r="M20" i="13" s="1"/>
  <c r="C27" i="14"/>
  <c r="M180" i="42"/>
  <c r="M249" i="42"/>
  <c r="R23" i="35"/>
  <c r="V23" i="35" s="1"/>
  <c r="M50" i="42"/>
  <c r="M219" i="42"/>
  <c r="M179" i="42"/>
  <c r="K23" i="31"/>
  <c r="M232" i="42"/>
  <c r="M91" i="42"/>
  <c r="E112" i="30"/>
  <c r="E156" i="30" s="1"/>
  <c r="K105" i="30"/>
  <c r="I25" i="12"/>
  <c r="M112" i="42"/>
  <c r="I27" i="9"/>
  <c r="M75" i="42"/>
  <c r="M213" i="42"/>
  <c r="C31" i="13"/>
  <c r="M31" i="13" s="1"/>
  <c r="I31" i="14"/>
  <c r="M32" i="42"/>
  <c r="T29" i="11"/>
  <c r="N34" i="11"/>
  <c r="AB21" i="15"/>
  <c r="AB25" i="15" s="1"/>
  <c r="L39" i="32"/>
  <c r="L42" i="32"/>
  <c r="K32" i="31"/>
  <c r="I40" i="31"/>
  <c r="M62" i="42"/>
  <c r="L32" i="32"/>
  <c r="M89" i="42"/>
  <c r="M248" i="42"/>
  <c r="T25" i="11"/>
  <c r="M30" i="42"/>
  <c r="AA12" i="22"/>
  <c r="B75" i="22"/>
  <c r="D12" i="22" s="1"/>
  <c r="D75" i="22" s="1"/>
  <c r="F12" i="22" s="1"/>
  <c r="F75" i="22" s="1"/>
  <c r="H12" i="22" s="1"/>
  <c r="N57" i="2"/>
  <c r="M28" i="42"/>
  <c r="T20" i="11"/>
  <c r="C20" i="10"/>
  <c r="C20" i="7" s="1"/>
  <c r="I20" i="7" s="1"/>
  <c r="N26" i="11"/>
  <c r="M159" i="42"/>
  <c r="M121" i="42"/>
  <c r="M41" i="42"/>
  <c r="M18" i="42"/>
  <c r="C55" i="26"/>
  <c r="E16" i="26" s="1"/>
  <c r="E55" i="26" s="1"/>
  <c r="G16" i="26" s="1"/>
  <c r="G55" i="26" s="1"/>
  <c r="I16" i="26" s="1"/>
  <c r="AB16" i="26"/>
  <c r="M164" i="42"/>
  <c r="M36" i="42"/>
  <c r="K36" i="31"/>
  <c r="M149" i="42"/>
  <c r="M223" i="42"/>
  <c r="M148" i="42"/>
  <c r="M79" i="42"/>
  <c r="M17" i="42"/>
  <c r="M87" i="42"/>
  <c r="K134" i="30"/>
  <c r="G23" i="34"/>
  <c r="M23" i="34" s="1"/>
  <c r="M175" i="42"/>
  <c r="L35" i="32"/>
  <c r="M152" i="42"/>
  <c r="M78" i="42"/>
  <c r="M184" i="42"/>
  <c r="M235" i="42"/>
  <c r="M76" i="42"/>
  <c r="M20" i="42"/>
  <c r="M59" i="42"/>
  <c r="M26" i="42"/>
  <c r="M74" i="42"/>
  <c r="K141" i="30"/>
  <c r="M222" i="42"/>
  <c r="G31" i="34"/>
  <c r="M31" i="34" s="1"/>
  <c r="K124" i="30"/>
  <c r="I28" i="9"/>
  <c r="K138" i="30"/>
  <c r="G35" i="34"/>
  <c r="M35" i="34" s="1"/>
  <c r="K118" i="30"/>
  <c r="M128" i="42"/>
  <c r="L37" i="32"/>
  <c r="G34" i="34"/>
  <c r="M34" i="34" s="1"/>
  <c r="M259" i="42"/>
  <c r="L31" i="32"/>
  <c r="M82" i="42"/>
  <c r="M253" i="42"/>
  <c r="M181" i="42"/>
  <c r="M189" i="42"/>
  <c r="M133" i="42"/>
  <c r="C31" i="10"/>
  <c r="M31" i="10" s="1"/>
  <c r="I31" i="11"/>
  <c r="I32" i="14"/>
  <c r="C32" i="13"/>
  <c r="M32" i="13" s="1"/>
  <c r="M150" i="42"/>
  <c r="M81" i="42"/>
  <c r="S25" i="14"/>
  <c r="M146" i="42"/>
  <c r="M127" i="42"/>
  <c r="M238" i="42"/>
  <c r="K148" i="30"/>
  <c r="R28" i="35"/>
  <c r="V28" i="35" s="1"/>
  <c r="R32" i="35"/>
  <c r="V32" i="35" s="1"/>
  <c r="I23" i="9"/>
  <c r="C23" i="8"/>
  <c r="I23" i="8" s="1"/>
  <c r="K121" i="30"/>
  <c r="M88" i="42"/>
  <c r="H45" i="32"/>
  <c r="H48" i="32" s="1"/>
  <c r="L28" i="32"/>
  <c r="M97" i="42"/>
  <c r="AE55" i="26"/>
  <c r="P44" i="5"/>
  <c r="P45" i="5" s="1"/>
  <c r="R41" i="35"/>
  <c r="V41" i="35" s="1"/>
  <c r="G45" i="34"/>
  <c r="M45" i="34" s="1"/>
  <c r="M64" i="42"/>
  <c r="S24" i="14"/>
  <c r="K19" i="30"/>
  <c r="K119" i="30"/>
  <c r="S65" i="34"/>
  <c r="K98" i="30"/>
  <c r="K100" i="30" s="1"/>
  <c r="L34" i="32"/>
  <c r="K22" i="30"/>
  <c r="M231" i="42"/>
  <c r="I24" i="9"/>
  <c r="C24" i="8"/>
  <c r="I24" i="8" s="1"/>
  <c r="I23" i="12"/>
  <c r="H43" i="35"/>
  <c r="R19" i="35"/>
  <c r="V19" i="35" s="1"/>
  <c r="G52" i="34"/>
  <c r="M52" i="34" s="1"/>
  <c r="M61" i="42"/>
  <c r="C26" i="13"/>
  <c r="I26" i="14"/>
  <c r="K26" i="13" s="1"/>
  <c r="K27" i="13" s="1"/>
  <c r="K37" i="13" s="1"/>
  <c r="S22" i="14"/>
  <c r="C30" i="10"/>
  <c r="M30" i="10" s="1"/>
  <c r="I30" i="11"/>
  <c r="K120" i="30"/>
  <c r="G20" i="34"/>
  <c r="M113" i="42"/>
  <c r="C22" i="8"/>
  <c r="I22" i="8" s="1"/>
  <c r="I22" i="9"/>
  <c r="M37" i="42"/>
  <c r="I34" i="9"/>
  <c r="C29" i="8"/>
  <c r="I29" i="8" s="1"/>
  <c r="C16" i="17"/>
  <c r="AB16" i="17" s="1"/>
  <c r="AB145" i="17" s="1"/>
  <c r="E49" i="9"/>
  <c r="E50" i="9" s="1"/>
  <c r="F57" i="2"/>
  <c r="D138" i="18"/>
  <c r="F12" i="18" s="1"/>
  <c r="F138" i="18" s="1"/>
  <c r="H12" i="18" s="1"/>
  <c r="H138" i="18" s="1"/>
  <c r="J12" i="18" s="1"/>
  <c r="C49" i="9"/>
  <c r="AC12" i="18"/>
  <c r="AC138" i="18" s="1"/>
  <c r="AI138" i="18" s="1"/>
  <c r="AK138" i="18" s="1"/>
  <c r="G21" i="34"/>
  <c r="M21" i="34" s="1"/>
  <c r="M166" i="42"/>
  <c r="M94" i="42"/>
  <c r="I24" i="12"/>
  <c r="M19" i="42"/>
  <c r="K150" i="30"/>
  <c r="M212" i="42"/>
  <c r="M214" i="42" s="1"/>
  <c r="O214" i="42"/>
  <c r="K139" i="30"/>
  <c r="M237" i="42"/>
  <c r="M250" i="42"/>
  <c r="M124" i="42"/>
  <c r="I39" i="9"/>
  <c r="M107" i="42"/>
  <c r="B38" i="29"/>
  <c r="D13" i="29" s="1"/>
  <c r="D38" i="29" s="1"/>
  <c r="F13" i="29" s="1"/>
  <c r="F38" i="29" s="1"/>
  <c r="H13" i="29" s="1"/>
  <c r="AA13" i="29"/>
  <c r="H41" i="6" s="1"/>
  <c r="H42" i="6" s="1"/>
  <c r="M246" i="42"/>
  <c r="K18" i="30"/>
  <c r="M174" i="42"/>
  <c r="M142" i="42"/>
  <c r="M141" i="42"/>
  <c r="M163" i="42"/>
  <c r="AD50" i="27"/>
  <c r="K149" i="30"/>
  <c r="M47" i="42"/>
  <c r="M169" i="42"/>
  <c r="M139" i="42"/>
  <c r="M57" i="42"/>
  <c r="K130" i="30"/>
  <c r="M256" i="42"/>
  <c r="L30" i="32"/>
  <c r="G51" i="34"/>
  <c r="M51" i="34" s="1"/>
  <c r="K37" i="31"/>
  <c r="M173" i="42"/>
  <c r="M99" i="42"/>
  <c r="M137" i="42"/>
  <c r="M55" i="42"/>
  <c r="R34" i="35"/>
  <c r="V34" i="35" s="1"/>
  <c r="M234" i="42"/>
  <c r="M65" i="42"/>
  <c r="M155" i="42"/>
  <c r="M123" i="42"/>
  <c r="I21" i="12"/>
  <c r="M151" i="42"/>
  <c r="I20" i="12"/>
  <c r="C26" i="12"/>
  <c r="R22" i="35"/>
  <c r="V22" i="35" s="1"/>
  <c r="K85" i="30"/>
  <c r="K90" i="30" s="1"/>
  <c r="N34" i="6"/>
  <c r="N39" i="6" s="1"/>
  <c r="K20" i="31"/>
  <c r="M160" i="42"/>
  <c r="S30" i="14"/>
  <c r="M33" i="14"/>
  <c r="K16" i="30"/>
  <c r="M71" i="42"/>
  <c r="M162" i="42"/>
  <c r="M110" i="42"/>
  <c r="T24" i="11"/>
  <c r="K19" i="31"/>
  <c r="G57" i="34"/>
  <c r="M57" i="34" s="1"/>
  <c r="K22" i="31"/>
  <c r="M168" i="42"/>
  <c r="K152" i="30"/>
  <c r="M157" i="42"/>
  <c r="M114" i="42"/>
  <c r="M27" i="14"/>
  <c r="S20" i="14"/>
  <c r="V38" i="35"/>
  <c r="M258" i="42"/>
  <c r="K136" i="30"/>
  <c r="M51" i="42"/>
  <c r="M183" i="42"/>
  <c r="M247" i="42"/>
  <c r="M109" i="42"/>
  <c r="AD57" i="2"/>
  <c r="AD59" i="2" s="1"/>
  <c r="AE16" i="17"/>
  <c r="AE145" i="17" s="1"/>
  <c r="AE16" i="16"/>
  <c r="AE146" i="16" s="1"/>
  <c r="AD75" i="22"/>
  <c r="AA57" i="3"/>
  <c r="AA59" i="3" s="1"/>
  <c r="K146" i="30"/>
  <c r="M207" i="42"/>
  <c r="M209" i="42" s="1"/>
  <c r="O209" i="42"/>
  <c r="M233" i="42"/>
  <c r="M119" i="42"/>
  <c r="M186" i="42"/>
  <c r="M52" i="42"/>
  <c r="M138" i="42"/>
  <c r="J17" i="32"/>
  <c r="L15" i="32"/>
  <c r="L17" i="32" s="1"/>
  <c r="L41" i="32"/>
  <c r="R35" i="35"/>
  <c r="V35" i="35" s="1"/>
  <c r="M23" i="42"/>
  <c r="M244" i="42"/>
  <c r="G43" i="34"/>
  <c r="M43" i="34" s="1"/>
  <c r="I31" i="12"/>
  <c r="K127" i="30"/>
  <c r="M53" i="42"/>
  <c r="M66" i="42"/>
  <c r="M42" i="42"/>
  <c r="K108" i="30"/>
  <c r="R24" i="35"/>
  <c r="V24" i="35" s="1"/>
  <c r="M73" i="42"/>
  <c r="M129" i="42"/>
  <c r="M34" i="42"/>
  <c r="O102" i="42"/>
  <c r="M14" i="42"/>
  <c r="M40" i="42"/>
  <c r="M101" i="42"/>
  <c r="M245" i="42"/>
  <c r="M217" i="42"/>
  <c r="O260" i="42"/>
  <c r="M251" i="42"/>
  <c r="M218" i="42"/>
  <c r="O11" i="42"/>
  <c r="M10" i="42"/>
  <c r="M11" i="42" s="1"/>
  <c r="M228" i="42"/>
  <c r="M221" i="42"/>
  <c r="I41" i="9"/>
  <c r="L38" i="32"/>
  <c r="M63" i="42"/>
  <c r="R37" i="35"/>
  <c r="V37" i="35" s="1"/>
  <c r="M156" i="42"/>
  <c r="C21" i="13"/>
  <c r="M21" i="13" s="1"/>
  <c r="I21" i="14"/>
  <c r="M56" i="42"/>
  <c r="M116" i="42"/>
  <c r="M49" i="42"/>
  <c r="M60" i="42"/>
  <c r="M171" i="42"/>
  <c r="I40" i="9"/>
  <c r="M93" i="42"/>
  <c r="I35" i="9"/>
  <c r="C30" i="8"/>
  <c r="I30" i="8" s="1"/>
  <c r="K17" i="30"/>
  <c r="M230" i="42"/>
  <c r="M33" i="42"/>
  <c r="M67" i="42"/>
  <c r="K20" i="30"/>
  <c r="G63" i="34"/>
  <c r="M63" i="34" s="1"/>
  <c r="M46" i="42"/>
  <c r="M135" i="42"/>
  <c r="L29" i="32"/>
  <c r="L40" i="32"/>
  <c r="Y59" i="3"/>
  <c r="M239" i="42"/>
  <c r="M72" i="42"/>
  <c r="M130" i="42"/>
  <c r="K38" i="31"/>
  <c r="G38" i="34"/>
  <c r="M38" i="34" s="1"/>
  <c r="I36" i="9"/>
  <c r="C31" i="8"/>
  <c r="I31" i="8" s="1"/>
  <c r="K142" i="30"/>
  <c r="M27" i="42"/>
  <c r="G29" i="34"/>
  <c r="M29" i="34" s="1"/>
  <c r="G49" i="34"/>
  <c r="M49" i="34" s="1"/>
  <c r="M176" i="42"/>
  <c r="K145" i="30"/>
  <c r="B50" i="27"/>
  <c r="D14" i="27" s="1"/>
  <c r="D50" i="27" s="1"/>
  <c r="F14" i="27" s="1"/>
  <c r="F50" i="27" s="1"/>
  <c r="H14" i="27" s="1"/>
  <c r="AA14" i="27"/>
  <c r="AG14" i="27" s="1"/>
  <c r="AI14" i="27" s="1"/>
  <c r="C22" i="10"/>
  <c r="M22" i="10" s="1"/>
  <c r="I22" i="11"/>
  <c r="L44" i="32"/>
  <c r="C22" i="13"/>
  <c r="M22" i="13" s="1"/>
  <c r="I22" i="14"/>
  <c r="M25" i="42"/>
  <c r="K126" i="30"/>
  <c r="K132" i="30"/>
  <c r="C25" i="10"/>
  <c r="M25" i="10" s="1"/>
  <c r="I25" i="11"/>
  <c r="K128" i="30"/>
  <c r="M241" i="42"/>
  <c r="M38" i="42"/>
  <c r="M240" i="42"/>
  <c r="C20" i="8"/>
  <c r="I20" i="8" s="1"/>
  <c r="I20" i="9"/>
  <c r="M236" i="42"/>
  <c r="G56" i="34"/>
  <c r="M56" i="34" s="1"/>
  <c r="M134" i="42"/>
  <c r="K35" i="31"/>
  <c r="M122" i="42"/>
  <c r="M29" i="42"/>
  <c r="K21" i="31"/>
  <c r="M187" i="42"/>
  <c r="C33" i="14"/>
  <c r="C37" i="14" s="1"/>
  <c r="C40" i="14" s="1"/>
  <c r="I30" i="14"/>
  <c r="C30" i="13"/>
  <c r="B38" i="28"/>
  <c r="D13" i="28" s="1"/>
  <c r="D38" i="28" s="1"/>
  <c r="F13" i="28" s="1"/>
  <c r="F38" i="28" s="1"/>
  <c r="H13" i="28" s="1"/>
  <c r="H38" i="28" s="1"/>
  <c r="J38" i="28" s="1"/>
  <c r="L38" i="28" s="1"/>
  <c r="N38" i="28" s="1"/>
  <c r="P38" i="28" s="1"/>
  <c r="R38" i="28" s="1"/>
  <c r="T38" i="28" s="1"/>
  <c r="V38" i="28" s="1"/>
  <c r="X38" i="28" s="1"/>
  <c r="AA13" i="28"/>
  <c r="AG13" i="28" s="1"/>
  <c r="AI13" i="28" s="1"/>
  <c r="M24" i="42"/>
  <c r="M158" i="42"/>
  <c r="R18" i="35"/>
  <c r="V18" i="35" s="1"/>
  <c r="N43" i="35"/>
  <c r="T21" i="11"/>
  <c r="G39" i="34"/>
  <c r="M39" i="34" s="1"/>
  <c r="C32" i="7"/>
  <c r="I32" i="7" s="1"/>
  <c r="C32" i="8"/>
  <c r="I32" i="8" s="1"/>
  <c r="I30" i="12"/>
  <c r="M243" i="42"/>
  <c r="M92" i="42"/>
  <c r="M126" i="42"/>
  <c r="M15" i="42"/>
  <c r="S21" i="14"/>
  <c r="K125" i="30"/>
  <c r="C21" i="8"/>
  <c r="I21" i="8" s="1"/>
  <c r="I21" i="9"/>
  <c r="I24" i="11"/>
  <c r="C24" i="10"/>
  <c r="M24" i="10" s="1"/>
  <c r="C23" i="13"/>
  <c r="M23" i="13" s="1"/>
  <c r="I23" i="14"/>
  <c r="E15" i="23"/>
  <c r="C16" i="16" s="1"/>
  <c r="E82" i="25"/>
  <c r="G14" i="25" s="1"/>
  <c r="G82" i="25" s="1"/>
  <c r="I14" i="25" s="1"/>
  <c r="I82" i="25" s="1"/>
  <c r="K14" i="25" s="1"/>
  <c r="K82" i="25" s="1"/>
  <c r="M82" i="25" s="1"/>
  <c r="O82" i="25" s="1"/>
  <c r="Q82" i="25" s="1"/>
  <c r="S82" i="25" s="1"/>
  <c r="U82" i="25" s="1"/>
  <c r="W82" i="25" s="1"/>
  <c r="Y82" i="25" s="1"/>
  <c r="AA82" i="25" s="1"/>
  <c r="Q39" i="14"/>
  <c r="Q40" i="14" s="1"/>
  <c r="AD14" i="25"/>
  <c r="AJ14" i="25" s="1"/>
  <c r="AL14" i="25" s="1"/>
  <c r="M136" i="42"/>
  <c r="M144" i="42"/>
  <c r="C33" i="8"/>
  <c r="I33" i="8" s="1"/>
  <c r="I32" i="11"/>
  <c r="C32" i="10"/>
  <c r="E65" i="34"/>
  <c r="G19" i="34"/>
  <c r="M19" i="34" s="1"/>
  <c r="M16" i="42"/>
  <c r="M98" i="42"/>
  <c r="M106" i="42"/>
  <c r="M167" i="42"/>
  <c r="M90" i="42"/>
  <c r="C40" i="7"/>
  <c r="I40" i="7" s="1"/>
  <c r="I25" i="14"/>
  <c r="C25" i="13"/>
  <c r="M25" i="13" s="1"/>
  <c r="I25" i="9"/>
  <c r="C25" i="8"/>
  <c r="I25" i="8" s="1"/>
  <c r="M68" i="42"/>
  <c r="K25" i="31"/>
  <c r="S26" i="14"/>
  <c r="M80" i="42"/>
  <c r="M84" i="42"/>
  <c r="L43" i="32"/>
  <c r="T30" i="11"/>
  <c r="S31" i="14"/>
  <c r="S33" i="14" s="1"/>
  <c r="M58" i="42"/>
  <c r="M254" i="42"/>
  <c r="M70" i="42"/>
  <c r="I21" i="11"/>
  <c r="C21" i="10"/>
  <c r="M21" i="10" s="1"/>
  <c r="G30" i="34"/>
  <c r="M30" i="34" s="1"/>
  <c r="K123" i="30"/>
  <c r="K24" i="31"/>
  <c r="G22" i="34"/>
  <c r="M22" i="34" s="1"/>
  <c r="K122" i="30"/>
  <c r="M96" i="42"/>
  <c r="M35" i="42"/>
  <c r="M31" i="42"/>
  <c r="M161" i="42"/>
  <c r="J24" i="32"/>
  <c r="L21" i="32"/>
  <c r="M132" i="42"/>
  <c r="AA38" i="29"/>
  <c r="AG38" i="29" s="1"/>
  <c r="AI38" i="29" s="1"/>
  <c r="AD82" i="25"/>
  <c r="AL82" i="25" s="1"/>
  <c r="I43" i="31"/>
  <c r="AG13" i="29"/>
  <c r="AI13" i="29" s="1"/>
  <c r="AA38" i="28"/>
  <c r="AG38" i="28" s="1"/>
  <c r="AI38" i="28" s="1"/>
  <c r="D41" i="6"/>
  <c r="E49" i="7"/>
  <c r="E50" i="7" s="1"/>
  <c r="C30" i="7" l="1"/>
  <c r="I30" i="7" s="1"/>
  <c r="E48" i="8"/>
  <c r="E49" i="8" s="1"/>
  <c r="K102" i="30"/>
  <c r="U39" i="14"/>
  <c r="U40" i="14" s="1"/>
  <c r="B41" i="6"/>
  <c r="B42" i="6" s="1"/>
  <c r="S39" i="14"/>
  <c r="C36" i="12"/>
  <c r="C39" i="12" s="1"/>
  <c r="AJ82" i="25"/>
  <c r="M190" i="42"/>
  <c r="V43" i="35"/>
  <c r="M260" i="42"/>
  <c r="M102" i="42"/>
  <c r="I34" i="11"/>
  <c r="K26" i="31"/>
  <c r="J48" i="32"/>
  <c r="K40" i="31"/>
  <c r="AH16" i="17"/>
  <c r="AJ16" i="17" s="1"/>
  <c r="C27" i="13"/>
  <c r="M20" i="10"/>
  <c r="M26" i="10" s="1"/>
  <c r="C21" i="7"/>
  <c r="I21" i="7" s="1"/>
  <c r="I34" i="8"/>
  <c r="T34" i="11"/>
  <c r="I32" i="12"/>
  <c r="I33" i="14"/>
  <c r="I26" i="12"/>
  <c r="N38" i="11"/>
  <c r="N41" i="11" s="1"/>
  <c r="S27" i="14"/>
  <c r="S37" i="14" s="1"/>
  <c r="AB56" i="15"/>
  <c r="I26" i="8"/>
  <c r="I26" i="11"/>
  <c r="M37" i="14"/>
  <c r="M40" i="14" s="1"/>
  <c r="C31" i="7"/>
  <c r="I31" i="7" s="1"/>
  <c r="I27" i="14"/>
  <c r="C26" i="10"/>
  <c r="R43" i="35"/>
  <c r="G65" i="34"/>
  <c r="M65" i="34"/>
  <c r="L45" i="32"/>
  <c r="L24" i="32"/>
  <c r="K112" i="30"/>
  <c r="G156" i="30"/>
  <c r="K24" i="30"/>
  <c r="I102" i="30"/>
  <c r="I156" i="30" s="1"/>
  <c r="K154" i="30"/>
  <c r="AH145" i="17"/>
  <c r="AJ145" i="17" s="1"/>
  <c r="O263" i="42"/>
  <c r="M26" i="13"/>
  <c r="M27" i="13" s="1"/>
  <c r="C25" i="7"/>
  <c r="I25" i="7" s="1"/>
  <c r="C26" i="8"/>
  <c r="T26" i="11"/>
  <c r="T38" i="11" s="1"/>
  <c r="T41" i="11" s="1"/>
  <c r="C34" i="10"/>
  <c r="C43" i="9"/>
  <c r="C31" i="9"/>
  <c r="C24" i="7"/>
  <c r="I24" i="7" s="1"/>
  <c r="C34" i="8"/>
  <c r="C33" i="7"/>
  <c r="I33" i="7" s="1"/>
  <c r="C29" i="7"/>
  <c r="I29" i="7" s="1"/>
  <c r="C42" i="7"/>
  <c r="I42" i="7" s="1"/>
  <c r="C41" i="8"/>
  <c r="I41" i="8" s="1"/>
  <c r="I42" i="9"/>
  <c r="I43" i="9" s="1"/>
  <c r="N42" i="6"/>
  <c r="C40" i="8"/>
  <c r="I40" i="8" s="1"/>
  <c r="I30" i="9"/>
  <c r="I31" i="9" s="1"/>
  <c r="C41" i="7"/>
  <c r="F41" i="6"/>
  <c r="F42" i="6" s="1"/>
  <c r="H38" i="29"/>
  <c r="J38" i="29" s="1"/>
  <c r="L38" i="29" s="1"/>
  <c r="N38" i="29" s="1"/>
  <c r="P38" i="29" s="1"/>
  <c r="R38" i="29" s="1"/>
  <c r="T38" i="29" s="1"/>
  <c r="V38" i="29" s="1"/>
  <c r="X38" i="29" s="1"/>
  <c r="C49" i="7"/>
  <c r="C48" i="8"/>
  <c r="I55" i="26"/>
  <c r="K55" i="26" s="1"/>
  <c r="M55" i="26" s="1"/>
  <c r="O55" i="26" s="1"/>
  <c r="Q55" i="26" s="1"/>
  <c r="S55" i="26" s="1"/>
  <c r="U55" i="26" s="1"/>
  <c r="W55" i="26" s="1"/>
  <c r="Y55" i="26" s="1"/>
  <c r="B44" i="5"/>
  <c r="AA50" i="27"/>
  <c r="AG50" i="27" s="1"/>
  <c r="AI50" i="27" s="1"/>
  <c r="M32" i="10"/>
  <c r="M34" i="10" s="1"/>
  <c r="C22" i="7"/>
  <c r="I22" i="7" s="1"/>
  <c r="O26" i="13"/>
  <c r="O27" i="13" s="1"/>
  <c r="O37" i="13" s="1"/>
  <c r="C145" i="17"/>
  <c r="E16" i="17" s="1"/>
  <c r="E145" i="17" s="1"/>
  <c r="G16" i="17" s="1"/>
  <c r="G145" i="17" s="1"/>
  <c r="I16" i="17" s="1"/>
  <c r="I145" i="17" s="1"/>
  <c r="K145" i="17" s="1"/>
  <c r="M145" i="17" s="1"/>
  <c r="O145" i="17" s="1"/>
  <c r="Q145" i="17" s="1"/>
  <c r="S145" i="17" s="1"/>
  <c r="U145" i="17" s="1"/>
  <c r="W145" i="17" s="1"/>
  <c r="Y145" i="17" s="1"/>
  <c r="H50" i="27"/>
  <c r="J50" i="27" s="1"/>
  <c r="L50" i="27" s="1"/>
  <c r="N50" i="27" s="1"/>
  <c r="P50" i="27" s="1"/>
  <c r="R50" i="27" s="1"/>
  <c r="T50" i="27" s="1"/>
  <c r="V50" i="27" s="1"/>
  <c r="X50" i="27" s="1"/>
  <c r="F44" i="5"/>
  <c r="F45" i="5" s="1"/>
  <c r="J138" i="18"/>
  <c r="L138" i="18" s="1"/>
  <c r="N138" i="18" s="1"/>
  <c r="P138" i="18" s="1"/>
  <c r="R138" i="18" s="1"/>
  <c r="T138" i="18" s="1"/>
  <c r="V138" i="18" s="1"/>
  <c r="X138" i="18" s="1"/>
  <c r="Z138" i="18" s="1"/>
  <c r="D57" i="2"/>
  <c r="N57" i="3"/>
  <c r="N59" i="3" s="1"/>
  <c r="N59" i="2"/>
  <c r="H44" i="5"/>
  <c r="H45" i="5" s="1"/>
  <c r="M30" i="13"/>
  <c r="M33" i="13" s="1"/>
  <c r="C33" i="13"/>
  <c r="G41" i="7"/>
  <c r="G43" i="7" s="1"/>
  <c r="G47" i="7" s="1"/>
  <c r="F59" i="2"/>
  <c r="F57" i="3"/>
  <c r="L57" i="2"/>
  <c r="H75" i="22"/>
  <c r="J75" i="22" s="1"/>
  <c r="L75" i="22" s="1"/>
  <c r="N75" i="22" s="1"/>
  <c r="P75" i="22" s="1"/>
  <c r="R75" i="22" s="1"/>
  <c r="T75" i="22" s="1"/>
  <c r="V75" i="22" s="1"/>
  <c r="X75" i="22" s="1"/>
  <c r="AF15" i="23"/>
  <c r="E103" i="23"/>
  <c r="G15" i="23" s="1"/>
  <c r="G103" i="23" s="1"/>
  <c r="I15" i="23" s="1"/>
  <c r="I103" i="23" s="1"/>
  <c r="K15" i="23" s="1"/>
  <c r="R57" i="2"/>
  <c r="G39" i="13"/>
  <c r="G40" i="13" s="1"/>
  <c r="AI12" i="18"/>
  <c r="AK12" i="18" s="1"/>
  <c r="G49" i="9"/>
  <c r="C23" i="7"/>
  <c r="I23" i="7" s="1"/>
  <c r="AB55" i="26"/>
  <c r="AH55" i="26" s="1"/>
  <c r="AJ55" i="26" s="1"/>
  <c r="D44" i="5"/>
  <c r="D45" i="5" s="1"/>
  <c r="AH16" i="26"/>
  <c r="AJ16" i="26" s="1"/>
  <c r="G38" i="12"/>
  <c r="G39" i="12" s="1"/>
  <c r="AA75" i="22"/>
  <c r="AG12" i="22"/>
  <c r="C146" i="16"/>
  <c r="E16" i="16" s="1"/>
  <c r="E146" i="16" s="1"/>
  <c r="G16" i="16" s="1"/>
  <c r="G146" i="16" s="1"/>
  <c r="I16" i="16" s="1"/>
  <c r="I146" i="16" s="1"/>
  <c r="K146" i="16" s="1"/>
  <c r="M146" i="16" s="1"/>
  <c r="O146" i="16" s="1"/>
  <c r="Q146" i="16" s="1"/>
  <c r="S146" i="16" s="1"/>
  <c r="U146" i="16" s="1"/>
  <c r="W146" i="16" s="1"/>
  <c r="Y146" i="16" s="1"/>
  <c r="AB16" i="16"/>
  <c r="D42" i="6"/>
  <c r="L41" i="6"/>
  <c r="S40" i="14" l="1"/>
  <c r="I37" i="8"/>
  <c r="C37" i="13"/>
  <c r="C40" i="13" s="1"/>
  <c r="M37" i="13"/>
  <c r="K43" i="31"/>
  <c r="M263" i="42"/>
  <c r="I36" i="12"/>
  <c r="M38" i="10"/>
  <c r="M41" i="10" s="1"/>
  <c r="I38" i="11"/>
  <c r="I41" i="11" s="1"/>
  <c r="K156" i="30"/>
  <c r="L48" i="32"/>
  <c r="I37" i="14"/>
  <c r="I40" i="14" s="1"/>
  <c r="I26" i="7"/>
  <c r="I34" i="7"/>
  <c r="C37" i="8"/>
  <c r="C34" i="7"/>
  <c r="C38" i="10"/>
  <c r="C41" i="10" s="1"/>
  <c r="L44" i="5"/>
  <c r="S44" i="5" s="1"/>
  <c r="U44" i="5" s="1"/>
  <c r="C47" i="9"/>
  <c r="C50" i="9" s="1"/>
  <c r="I47" i="9"/>
  <c r="K41" i="7"/>
  <c r="K43" i="7" s="1"/>
  <c r="K47" i="7" s="1"/>
  <c r="K50" i="7" s="1"/>
  <c r="I41" i="7"/>
  <c r="I43" i="7" s="1"/>
  <c r="C43" i="7"/>
  <c r="C26" i="7"/>
  <c r="I42" i="8"/>
  <c r="I46" i="8" s="1"/>
  <c r="C42" i="8"/>
  <c r="C46" i="8" s="1"/>
  <c r="C49" i="8" s="1"/>
  <c r="G50" i="9"/>
  <c r="I49" i="9"/>
  <c r="K49" i="9"/>
  <c r="K50" i="9" s="1"/>
  <c r="AG75" i="22"/>
  <c r="AI75" i="22" s="1"/>
  <c r="AI12" i="22"/>
  <c r="AL15" i="23"/>
  <c r="AF103" i="23"/>
  <c r="AN103" i="23" s="1"/>
  <c r="D57" i="3"/>
  <c r="D59" i="2"/>
  <c r="K103" i="23"/>
  <c r="M103" i="23" s="1"/>
  <c r="O103" i="23" s="1"/>
  <c r="Q103" i="23" s="1"/>
  <c r="S103" i="23" s="1"/>
  <c r="U103" i="23" s="1"/>
  <c r="W103" i="23" s="1"/>
  <c r="Y103" i="23" s="1"/>
  <c r="AA103" i="23" s="1"/>
  <c r="P57" i="2"/>
  <c r="P59" i="2" s="1"/>
  <c r="T57" i="3"/>
  <c r="F59" i="3"/>
  <c r="G49" i="7"/>
  <c r="I49" i="7" s="1"/>
  <c r="K39" i="13"/>
  <c r="J41" i="6"/>
  <c r="J42" i="6" s="1"/>
  <c r="I38" i="12"/>
  <c r="I39" i="12" s="1"/>
  <c r="K38" i="12"/>
  <c r="K39" i="12" s="1"/>
  <c r="R59" i="2"/>
  <c r="X57" i="2"/>
  <c r="L57" i="3"/>
  <c r="L59" i="3" s="1"/>
  <c r="L59" i="2"/>
  <c r="B45" i="5"/>
  <c r="J44" i="5"/>
  <c r="J45" i="5" s="1"/>
  <c r="AB146" i="16"/>
  <c r="AH146" i="16" s="1"/>
  <c r="AJ146" i="16" s="1"/>
  <c r="AH16" i="16"/>
  <c r="AJ16" i="16" s="1"/>
  <c r="S41" i="6"/>
  <c r="L42" i="6"/>
  <c r="S45" i="5" l="1"/>
  <c r="U45" i="5" s="1"/>
  <c r="I47" i="7"/>
  <c r="I50" i="7" s="1"/>
  <c r="I37" i="7"/>
  <c r="I50" i="9"/>
  <c r="G50" i="7"/>
  <c r="L45" i="5"/>
  <c r="AL103" i="23"/>
  <c r="AN15" i="23"/>
  <c r="C47" i="7"/>
  <c r="C50" i="7" s="1"/>
  <c r="C37" i="7"/>
  <c r="K40" i="13"/>
  <c r="O39" i="13"/>
  <c r="O40" i="13" s="1"/>
  <c r="M39" i="13"/>
  <c r="M40" i="13" s="1"/>
  <c r="AI57" i="2"/>
  <c r="AG57" i="2"/>
  <c r="AG59" i="2" s="1"/>
  <c r="X59" i="2"/>
  <c r="AI59" i="2" s="1"/>
  <c r="G48" i="8"/>
  <c r="T59" i="3"/>
  <c r="AD57" i="3"/>
  <c r="D59" i="3"/>
  <c r="R57" i="3"/>
  <c r="R59" i="3" s="1"/>
  <c r="V57" i="2"/>
  <c r="V59" i="2" s="1"/>
  <c r="U41" i="6"/>
  <c r="S42" i="6"/>
  <c r="U42" i="6" s="1"/>
  <c r="G49" i="8" l="1"/>
  <c r="K48" i="8"/>
  <c r="K49" i="8" s="1"/>
  <c r="I48" i="8"/>
  <c r="I49" i="8" s="1"/>
  <c r="AF57" i="3"/>
  <c r="AD59" i="3"/>
  <c r="AF59" i="3" s="1"/>
</calcChain>
</file>

<file path=xl/sharedStrings.xml><?xml version="1.0" encoding="utf-8"?>
<sst xmlns="http://schemas.openxmlformats.org/spreadsheetml/2006/main" count="3833" uniqueCount="1507">
  <si>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</si>
  <si>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</si>
  <si>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</si>
  <si>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</si>
  <si>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</si>
  <si>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</si>
  <si>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</si>
  <si>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</si>
  <si>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</si>
  <si>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</si>
  <si>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</si>
  <si>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</si>
  <si>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</si>
  <si>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</si>
  <si>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</si>
  <si>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</si>
  <si>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</si>
  <si>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</si>
  <si>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</si>
  <si>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</si>
  <si>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</si>
  <si>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</si>
  <si>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</si>
  <si>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</si>
  <si>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</si>
  <si>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</si>
  <si>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</si>
  <si>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</si>
  <si>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</si>
  <si>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</si>
  <si>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</si>
  <si>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</si>
  <si>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</si>
  <si>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</si>
  <si>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</si>
  <si>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</si>
  <si>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</si>
  <si>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</si>
  <si>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</si>
  <si>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</si>
  <si>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</si>
  <si>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</si>
  <si>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</si>
  <si>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</si>
  <si>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</si>
  <si>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</si>
  <si>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</si>
  <si>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</si>
  <si>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</si>
  <si>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</si>
  <si>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</si>
  <si>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</si>
  <si>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</si>
  <si>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</si>
  <si>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</si>
  <si>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</si>
  <si>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</si>
  <si>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</si>
  <si>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</si>
  <si>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</si>
  <si>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</si>
  <si>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</si>
  <si>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</si>
  <si>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</si>
  <si>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</si>
  <si>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</si>
  <si>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</si>
  <si>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</si>
  <si>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</si>
  <si>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</si>
  <si>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</si>
  <si>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</si>
  <si>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</si>
  <si>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</si>
  <si>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</si>
  <si>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</si>
  <si>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</si>
  <si>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</si>
  <si>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</si>
  <si>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</si>
  <si>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</si>
  <si>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</si>
  <si>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</si>
  <si>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</si>
  <si>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</si>
  <si>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</si>
  <si>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</si>
  <si>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</si>
  <si>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</si>
  <si>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</si>
  <si>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</si>
  <si>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</si>
  <si>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</si>
  <si>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</si>
  <si>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</si>
  <si>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</si>
  <si>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</si>
  <si>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</si>
  <si>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</si>
  <si>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</si>
  <si>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</si>
  <si>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</si>
  <si>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</si>
  <si>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</si>
  <si>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</si>
  <si>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</si>
  <si>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</si>
  <si>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</si>
  <si>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</si>
  <si>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</si>
  <si>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</si>
  <si>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</si>
  <si>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</si>
  <si>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</si>
  <si>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</si>
  <si>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</si>
  <si>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</si>
  <si>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</si>
  <si>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</si>
  <si>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</si>
  <si>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</si>
  <si>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</si>
  <si>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</si>
  <si>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</si>
  <si>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</si>
  <si>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</si>
  <si>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</si>
  <si>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</si>
  <si>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</si>
  <si>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</si>
  <si>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</si>
  <si>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</si>
  <si>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</si>
  <si>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</si>
  <si>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</si>
  <si>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</si>
  <si>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</si>
  <si>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</si>
  <si>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</si>
  <si>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</si>
  <si>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</si>
  <si>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</si>
  <si>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</si>
  <si>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</si>
  <si>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</si>
  <si>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</si>
  <si>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</si>
  <si>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</si>
  <si>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</si>
  <si>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</si>
  <si>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</si>
  <si>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</si>
  <si>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</si>
  <si>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</si>
  <si>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</si>
  <si>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</si>
  <si>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</si>
  <si>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</si>
  <si>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</si>
  <si>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</si>
  <si>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</si>
  <si>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</si>
  <si>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</si>
  <si>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</si>
  <si>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</si>
  <si>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</si>
  <si>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</si>
  <si>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</si>
  <si>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</si>
  <si>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</si>
  <si>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</si>
  <si>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</si>
  <si>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</si>
  <si>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</si>
  <si>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</si>
  <si>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</si>
  <si>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</si>
  <si>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</si>
  <si>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</si>
  <si>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</si>
  <si>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</si>
  <si>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</si>
  <si>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</si>
  <si>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</si>
  <si>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</si>
  <si>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</si>
  <si>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</si>
  <si>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</si>
  <si>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</si>
  <si>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</si>
  <si>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</si>
  <si>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</si>
  <si>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</si>
  <si>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</si>
  <si>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</si>
  <si>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</si>
  <si>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</si>
  <si>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</si>
  <si>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</si>
  <si>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</si>
  <si>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</si>
  <si>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</si>
  <si>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</si>
  <si>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</si>
  <si>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</si>
  <si>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</si>
  <si>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</si>
  <si>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</si>
  <si>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</si>
  <si>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</si>
  <si>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</si>
  <si>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</si>
  <si>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</si>
  <si>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</si>
  <si>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</si>
  <si>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</si>
  <si>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</si>
  <si>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</si>
  <si>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</si>
  <si>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</si>
  <si>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</si>
  <si>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</si>
  <si>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</si>
  <si>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</si>
  <si>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</si>
  <si>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</si>
  <si>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</si>
  <si>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</si>
  <si>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</si>
  <si>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</si>
  <si>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</si>
  <si>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</si>
  <si>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</si>
  <si>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</si>
  <si>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</si>
  <si>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</si>
  <si>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</si>
  <si>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</si>
  <si>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</si>
  <si>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</si>
  <si>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</si>
  <si>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</si>
  <si>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</si>
  <si>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</si>
  <si>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</si>
  <si>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</si>
  <si>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</si>
  <si>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</si>
  <si>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</si>
  <si>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</si>
  <si>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</si>
  <si>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</si>
  <si>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</si>
  <si>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</si>
  <si>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</si>
  <si>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</si>
  <si>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</si>
  <si>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</si>
  <si>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</si>
  <si>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</si>
  <si>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</si>
  <si>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</si>
  <si>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</si>
  <si>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</si>
  <si>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</si>
  <si>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</si>
  <si>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</si>
  <si>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</si>
  <si>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</si>
  <si>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</si>
  <si>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</si>
  <si>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</si>
  <si>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</si>
  <si>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</si>
  <si>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</si>
  <si>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</si>
  <si>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</si>
  <si>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</si>
  <si>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</si>
  <si>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</si>
  <si>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</si>
  <si>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</si>
  <si>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</si>
  <si>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</si>
  <si>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</si>
  <si>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</si>
  <si>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</si>
  <si>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</si>
  <si>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</si>
  <si>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</si>
  <si>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</si>
  <si>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</si>
  <si>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</si>
  <si>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</si>
  <si>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</si>
  <si>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</si>
  <si>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</si>
  <si>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</si>
  <si>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</si>
  <si>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</si>
  <si>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</si>
  <si>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</si>
  <si>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</si>
  <si>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</si>
  <si>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</si>
  <si>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</si>
  <si>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</si>
  <si>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</si>
  <si>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</si>
  <si>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</si>
  <si>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</si>
  <si>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</si>
  <si>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</si>
  <si>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</si>
  <si>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</si>
  <si>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</si>
  <si>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</si>
  <si>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</si>
  <si>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</si>
  <si>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</si>
  <si>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</si>
  <si>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</si>
  <si>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</si>
  <si>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</si>
  <si>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</si>
  <si>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</si>
  <si>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</si>
  <si>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</si>
  <si>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</si>
  <si>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</si>
  <si>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</si>
  <si>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</si>
  <si>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</si>
  <si>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</si>
  <si>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</si>
  <si>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</si>
  <si>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</si>
  <si>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</si>
  <si>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</si>
  <si>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</si>
  <si>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</si>
  <si>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</si>
  <si>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</si>
  <si>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</si>
  <si>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</si>
  <si>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</si>
  <si>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</si>
  <si>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</si>
  <si>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</si>
  <si>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</si>
  <si>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</si>
  <si>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</si>
  <si>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</si>
  <si>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</si>
  <si>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</si>
  <si>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</si>
  <si>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</si>
  <si>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</si>
  <si>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</si>
  <si>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</si>
  <si>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</si>
  <si>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</si>
  <si>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</si>
  <si>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</si>
  <si>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</si>
  <si>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</si>
  <si>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</si>
  <si>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</si>
  <si>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</si>
  <si>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</si>
  <si>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</si>
  <si>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</si>
  <si>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</si>
  <si>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</si>
  <si>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</si>
  <si>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</si>
  <si>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</si>
  <si>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</si>
  <si>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</si>
  <si>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</si>
  <si>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</si>
  <si>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</si>
  <si>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</si>
  <si>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</si>
  <si>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</si>
  <si>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</si>
  <si>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</si>
  <si>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</si>
  <si>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</si>
  <si>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</si>
  <si>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</si>
  <si>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</si>
  <si>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</si>
  <si>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</si>
  <si>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</si>
  <si>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</si>
  <si>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</si>
  <si>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</si>
  <si>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</si>
  <si>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</si>
  <si>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</si>
  <si>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</si>
  <si>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</si>
  <si>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</si>
  <si>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</si>
  <si>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</si>
  <si>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</si>
  <si>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</si>
  <si>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</si>
  <si>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</si>
  <si>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</si>
  <si>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</si>
  <si>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</si>
  <si>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</si>
  <si>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</si>
  <si>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</si>
  <si>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</si>
  <si>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</si>
  <si>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</si>
  <si>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</si>
  <si>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</si>
  <si>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</si>
  <si>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</si>
  <si>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</si>
  <si>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</si>
  <si>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</si>
  <si>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</si>
  <si>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</si>
  <si>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</si>
  <si>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</si>
  <si>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</si>
  <si>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</si>
  <si>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</si>
  <si>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</si>
  <si>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</si>
  <si>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</si>
  <si>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</si>
  <si>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</si>
  <si>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</si>
  <si>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</si>
  <si>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</si>
  <si>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</si>
  <si>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</si>
  <si>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</si>
  <si>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</si>
  <si>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</si>
  <si>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</si>
  <si>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</si>
  <si>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</si>
  <si>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</si>
  <si>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</si>
  <si>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</si>
  <si>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</si>
  <si>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</si>
  <si>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</si>
  <si>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</si>
  <si>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</si>
  <si>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</si>
  <si>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</si>
  <si>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</si>
  <si>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</si>
  <si>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</si>
  <si>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</si>
  <si>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</si>
  <si>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</si>
  <si>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</si>
  <si>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</si>
  <si>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</si>
  <si>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</si>
  <si>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</si>
  <si>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</si>
  <si>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</si>
  <si>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</si>
  <si>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</si>
  <si>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</si>
  <si>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</si>
  <si>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</si>
  <si>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</si>
  <si>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</si>
  <si>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</si>
  <si>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</si>
  <si>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</si>
  <si>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</si>
  <si>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</si>
  <si>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</si>
  <si>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</si>
  <si>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</si>
  <si>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</si>
  <si>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</si>
  <si>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</si>
  <si>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</si>
  <si>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</si>
  <si>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</si>
  <si>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</si>
  <si>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</si>
  <si>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</si>
  <si>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</si>
  <si>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</si>
  <si>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</si>
  <si>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</si>
  <si>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</si>
  <si>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</si>
  <si>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</si>
  <si>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</si>
  <si>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</si>
  <si>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</si>
  <si>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</si>
  <si>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</si>
  <si>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</si>
  <si>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</si>
  <si>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</si>
  <si>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</si>
  <si>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</si>
  <si>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</si>
  <si>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</si>
  <si>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</si>
  <si>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</si>
  <si>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</si>
  <si>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</si>
  <si>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</si>
  <si>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</si>
  <si>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</si>
  <si>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</si>
  <si>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</si>
  <si>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</si>
  <si>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</si>
  <si>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</si>
  <si>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</si>
  <si>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</si>
  <si>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</si>
  <si>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</si>
  <si>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</si>
  <si>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</si>
  <si>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</si>
  <si>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</si>
  <si>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</si>
  <si>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</si>
  <si>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</si>
  <si>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</si>
  <si>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</si>
  <si>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</si>
  <si>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</si>
  <si>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</si>
  <si>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</si>
  <si>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</si>
  <si>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</si>
  <si>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</si>
  <si>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</si>
  <si>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</si>
  <si>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</si>
  <si>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</si>
  <si>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</si>
  <si>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</si>
  <si>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</si>
  <si>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</si>
  <si>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</si>
  <si>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</si>
  <si>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</si>
  <si>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</si>
  <si>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</si>
  <si>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</si>
  <si>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</si>
  <si>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</si>
  <si>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</si>
  <si>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</si>
  <si>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</si>
  <si>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</si>
  <si>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</si>
  <si>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</si>
  <si>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</si>
  <si>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</si>
  <si>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</si>
  <si>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</si>
  <si>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</si>
  <si>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</si>
  <si>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</si>
  <si>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</si>
  <si>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</si>
  <si>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</si>
  <si>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</si>
  <si>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</si>
  <si>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</si>
  <si>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</si>
  <si>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</si>
  <si>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</si>
  <si>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</si>
  <si>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</si>
  <si>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</si>
  <si>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</si>
  <si>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</si>
  <si>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</si>
  <si>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</si>
  <si>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</si>
  <si>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</si>
  <si>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</si>
  <si>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</si>
  <si>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</si>
  <si>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</si>
  <si>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</si>
  <si>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</si>
  <si>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</si>
  <si>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</si>
  <si>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</si>
  <si>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</si>
  <si>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</si>
  <si>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</si>
  <si>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</si>
  <si>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</si>
  <si>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</si>
  <si>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</si>
  <si>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</si>
  <si>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</si>
  <si>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</si>
  <si>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</si>
  <si>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</si>
  <si>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</si>
  <si>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</si>
  <si>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</si>
  <si>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</si>
  <si>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</si>
  <si>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</si>
  <si>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</si>
  <si>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</si>
  <si>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</si>
  <si>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</si>
  <si>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</si>
  <si>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</si>
  <si>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</si>
  <si>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</si>
  <si>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</si>
  <si>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</si>
  <si>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</si>
  <si>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</si>
  <si>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</si>
  <si>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</si>
  <si>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</si>
  <si>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</si>
  <si>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</si>
  <si>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</si>
  <si>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</si>
  <si>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</si>
  <si>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</si>
  <si>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</si>
  <si>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</si>
  <si>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</si>
  <si>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</si>
  <si>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</si>
  <si>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</si>
  <si>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</si>
  <si>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</si>
  <si>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</si>
  <si>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</si>
  <si>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</si>
  <si>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</si>
  <si>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</si>
  <si>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</si>
  <si>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</si>
  <si>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</si>
  <si>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</si>
  <si>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</si>
  <si>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</si>
  <si>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</si>
  <si>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</si>
  <si>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</si>
  <si>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</si>
  <si>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</si>
  <si>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</si>
  <si>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</si>
  <si>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</si>
  <si>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</si>
  <si>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</si>
  <si>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</si>
  <si>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</si>
  <si>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</si>
  <si>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</si>
  <si>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</si>
  <si>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</si>
  <si>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</si>
  <si>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</si>
  <si>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</si>
  <si>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</si>
  <si>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</si>
  <si>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</si>
  <si>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</si>
  <si>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</si>
  <si>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</si>
  <si>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</si>
  <si>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</si>
  <si>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</si>
  <si>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</si>
  <si>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</si>
  <si>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</si>
  <si>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</si>
  <si>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</si>
  <si>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</si>
  <si>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</si>
  <si>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</si>
  <si>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</si>
  <si>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</si>
  <si>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</si>
  <si>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</si>
  <si>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</si>
  <si>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</si>
  <si>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</si>
  <si>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</si>
  <si>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</si>
  <si>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</si>
  <si>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</si>
  <si>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</si>
  <si>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</si>
  <si>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</si>
  <si>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</si>
  <si>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</si>
  <si>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</si>
  <si>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</si>
  <si>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</si>
  <si>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</si>
  <si>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</si>
  <si>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</si>
  <si>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</si>
  <si>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</si>
  <si>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</si>
  <si>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</si>
  <si>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</si>
  <si>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</si>
  <si>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</si>
  <si>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</si>
  <si>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</si>
  <si>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</si>
  <si>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</si>
  <si>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</si>
  <si>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</si>
  <si>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</si>
  <si>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</si>
  <si>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</si>
  <si>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</si>
  <si>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</si>
  <si>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</si>
  <si>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</si>
  <si>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</si>
  <si>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</si>
  <si>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</si>
  <si>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</si>
  <si>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</si>
  <si>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</si>
  <si>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</si>
  <si>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</si>
  <si>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</si>
  <si>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</si>
  <si>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</si>
  <si>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</si>
  <si>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</si>
  <si>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</si>
  <si>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</si>
  <si>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</si>
  <si>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</si>
  <si>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</si>
  <si>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</si>
  <si>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</si>
  <si>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</si>
  <si>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</si>
  <si>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</si>
  <si>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</si>
  <si>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</si>
  <si>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</si>
  <si>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</si>
  <si>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</si>
  <si>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</si>
  <si>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</si>
  <si>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</si>
  <si>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</si>
  <si>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</si>
  <si>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</si>
  <si>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</si>
  <si>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</si>
  <si>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</si>
  <si>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</si>
  <si>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</si>
  <si>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</si>
  <si>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</si>
  <si>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</si>
  <si>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</si>
  <si>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</si>
  <si>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</si>
  <si>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</si>
  <si>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</si>
  <si>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</si>
  <si>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</si>
  <si>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</si>
  <si>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</si>
  <si>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</si>
  <si>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</si>
  <si>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</si>
  <si>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</si>
  <si>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</si>
  <si>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</si>
  <si>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</si>
  <si>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</si>
  <si>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</si>
  <si>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</si>
  <si>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</si>
  <si>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</si>
  <si>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</si>
  <si>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</si>
  <si>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</si>
  <si>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</si>
  <si>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</si>
  <si>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</si>
  <si>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</si>
  <si>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</si>
  <si>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</si>
  <si>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</si>
  <si>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</si>
  <si>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</si>
  <si>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</si>
  <si>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</si>
  <si>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</si>
  <si>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</si>
  <si>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</si>
  <si>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</si>
  <si>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</si>
  <si>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</si>
  <si>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</si>
  <si>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</si>
  <si>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</si>
  <si>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</si>
  <si>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</si>
  <si>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</si>
  <si>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</si>
  <si>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</si>
  <si>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</si>
  <si>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</si>
  <si>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</si>
  <si>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</si>
  <si>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</si>
  <si>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</si>
  <si>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</si>
  <si>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</si>
  <si>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</si>
  <si>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</si>
  <si>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</si>
  <si>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</si>
  <si>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</si>
  <si>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</si>
  <si>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</si>
  <si>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</si>
  <si>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</si>
  <si>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</si>
  <si>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</si>
  <si>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</si>
  <si>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</si>
  <si>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</si>
  <si>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</si>
  <si>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</si>
  <si>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</si>
  <si>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</si>
  <si>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</si>
  <si>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</si>
  <si>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</si>
  <si>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</si>
  <si>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</si>
  <si>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</si>
  <si>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</si>
  <si>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</si>
  <si>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</si>
  <si>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</si>
  <si>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</si>
  <si>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</si>
  <si>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</si>
  <si>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</si>
  <si>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</si>
  <si>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</si>
  <si>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</si>
  <si>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</si>
  <si>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</si>
  <si>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</si>
  <si>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</si>
  <si>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</si>
  <si>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</si>
  <si>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</si>
  <si>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</si>
  <si>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</si>
  <si>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</si>
  <si>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</si>
  <si>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</si>
  <si>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</si>
  <si>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</si>
  <si>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</si>
  <si>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</si>
  <si>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</si>
  <si>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</si>
  <si>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</si>
  <si>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</si>
  <si>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</si>
  <si>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</si>
  <si>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</si>
  <si>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</si>
  <si>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</si>
  <si>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</si>
  <si>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</si>
  <si>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</si>
  <si>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</si>
  <si>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</si>
  <si>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</si>
  <si>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</si>
  <si>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</si>
  <si>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</si>
  <si>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</si>
  <si>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</si>
  <si>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</si>
  <si>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</si>
  <si>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</si>
  <si>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</si>
  <si>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</si>
  <si>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</si>
  <si>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</si>
  <si>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</si>
  <si>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</si>
  <si>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</si>
  <si>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</si>
  <si>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</si>
  <si>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</si>
  <si>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</si>
  <si>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</si>
  <si>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</si>
  <si>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</si>
  <si>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</si>
  <si>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</si>
  <si>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</si>
  <si>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</si>
  <si>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</si>
  <si>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</si>
  <si>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</si>
  <si>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</si>
  <si>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</si>
  <si>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</si>
  <si>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</si>
  <si>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</si>
  <si>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</si>
  <si>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</si>
  <si>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</si>
  <si>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</si>
  <si>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</si>
  <si>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</si>
  <si>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</si>
  <si>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</si>
  <si>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</si>
  <si>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</si>
  <si>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</si>
  <si>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</si>
  <si>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</si>
  <si>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</si>
  <si>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</si>
  <si>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</si>
  <si>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</si>
  <si>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</si>
  <si>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</si>
  <si>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</si>
  <si>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</si>
  <si>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</si>
  <si>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</si>
  <si>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</si>
  <si>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</si>
  <si>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</si>
  <si>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</si>
  <si>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</si>
  <si>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</si>
  <si>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</si>
  <si>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</si>
  <si>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</si>
  <si>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</si>
  <si>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</si>
  <si>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</si>
  <si>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</si>
  <si>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</si>
  <si>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</si>
  <si>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</si>
  <si>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</si>
  <si>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</si>
  <si>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</si>
  <si>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</si>
  <si>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</si>
  <si>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</si>
  <si>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</si>
  <si>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</si>
  <si>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</si>
  <si>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</si>
  <si>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</si>
  <si>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</si>
  <si>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</si>
  <si>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</si>
  <si>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</si>
  <si>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</si>
  <si>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</si>
  <si>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</si>
  <si>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</si>
  <si>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</si>
  <si>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</si>
  <si>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</si>
  <si>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</si>
  <si>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</si>
  <si>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</si>
  <si>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</si>
  <si>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</si>
  <si>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</si>
  <si>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</si>
  <si>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</si>
  <si>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</si>
  <si>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</si>
  <si>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</si>
  <si>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</si>
  <si>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</si>
  <si>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</si>
  <si>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</si>
  <si>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</si>
  <si>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</si>
  <si>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</si>
  <si>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</si>
  <si>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</si>
  <si>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</si>
  <si>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</si>
  <si>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</si>
  <si>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</si>
  <si>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</si>
  <si>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</si>
  <si>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</si>
  <si>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</si>
  <si>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</si>
  <si>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</si>
  <si>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</si>
  <si>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</si>
  <si>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</si>
  <si>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</si>
  <si>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</si>
  <si>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</si>
  <si>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</si>
  <si>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</si>
  <si>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</si>
  <si>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</si>
  <si>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</si>
  <si>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</si>
  <si>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</si>
  <si>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</si>
  <si>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</si>
  <si>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</si>
  <si>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</si>
  <si>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</si>
  <si>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</si>
  <si>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</si>
  <si>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</si>
  <si>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</si>
  <si>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</si>
  <si>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</si>
  <si>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</si>
  <si>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</si>
  <si>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</si>
  <si>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</si>
  <si>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</si>
  <si>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</si>
  <si>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</si>
  <si>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</si>
  <si>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</si>
  <si>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</si>
  <si>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</si>
  <si>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</si>
  <si>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</si>
  <si>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</si>
  <si>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</si>
  <si>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</si>
  <si>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</si>
  <si>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</si>
  <si>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</si>
  <si>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</si>
  <si>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</si>
  <si>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</si>
  <si>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</si>
  <si>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</si>
  <si>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</si>
  <si>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</si>
  <si>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</si>
  <si>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</si>
  <si>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</si>
  <si>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</si>
  <si>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</si>
  <si>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</si>
  <si>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</si>
  <si>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</si>
  <si>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</si>
  <si>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</si>
  <si>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</si>
  <si>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</si>
  <si>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</si>
  <si>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</si>
  <si>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</si>
  <si>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</si>
  <si>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</si>
  <si>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</si>
  <si>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</si>
  <si>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</si>
  <si>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</si>
  <si>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</si>
  <si>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</si>
  <si>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</si>
  <si>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</si>
  <si>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</si>
  <si>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</si>
  <si>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</si>
  <si>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</si>
  <si>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</si>
  <si>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</si>
  <si>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</si>
  <si>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</si>
  <si>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</si>
  <si>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</si>
  <si>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</si>
  <si>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</si>
  <si>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</si>
  <si>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</si>
  <si>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</si>
  <si>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</si>
  <si>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</si>
  <si>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</si>
  <si>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</si>
  <si>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</si>
  <si>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</si>
  <si>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</si>
  <si>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</si>
  <si>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</si>
  <si>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</si>
  <si>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</si>
  <si>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</si>
  <si>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</si>
  <si>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</si>
  <si>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</si>
  <si>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</si>
  <si>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</si>
  <si>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</si>
  <si>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</si>
  <si>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</si>
  <si>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</si>
  <si>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</si>
  <si>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</si>
  <si>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</si>
  <si>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</si>
  <si>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</si>
  <si>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</si>
  <si>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</si>
  <si>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</si>
  <si>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</si>
  <si>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</si>
  <si>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</si>
  <si>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</si>
  <si>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</si>
  <si>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</si>
  <si>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</si>
  <si>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</si>
  <si>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</si>
  <si>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</si>
  <si>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</si>
  <si>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</si>
  <si>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</si>
  <si>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</si>
  <si>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</si>
  <si>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</si>
  <si>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</si>
  <si>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</si>
  <si>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</si>
  <si>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</si>
  <si>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</si>
  <si>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</si>
  <si>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</si>
  <si>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</si>
  <si>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</si>
  <si>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</si>
  <si>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</si>
  <si>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</si>
  <si>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</si>
  <si>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</si>
  <si>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</si>
  <si>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</si>
  <si>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</si>
  <si>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</si>
  <si>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</si>
  <si>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</si>
  <si>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</si>
  <si>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</si>
  <si>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</si>
  <si>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</si>
  <si>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</si>
  <si>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</si>
  <si>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</si>
  <si>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</si>
  <si>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</si>
  <si>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</si>
  <si>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</si>
  <si>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</si>
  <si>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</si>
  <si>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</si>
  <si>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</si>
  <si>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</si>
  <si>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</si>
  <si>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</si>
  <si>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</si>
  <si>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</si>
  <si>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</si>
  <si>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</si>
  <si>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</si>
  <si>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</si>
  <si>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</si>
  <si>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</si>
  <si>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</si>
  <si>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</si>
  <si>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</si>
  <si>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</si>
  <si>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</si>
  <si>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</si>
  <si>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</si>
  <si>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</si>
  <si>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</si>
  <si>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</si>
  <si>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</si>
  <si>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</si>
  <si>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</si>
  <si>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</si>
  <si>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</si>
  <si>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</si>
  <si>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</si>
  <si>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</si>
  <si>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</si>
  <si>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</si>
  <si>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</si>
  <si>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</si>
  <si>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</si>
  <si>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</si>
  <si>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</si>
  <si>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</si>
  <si>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</si>
  <si>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</si>
  <si>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</si>
  <si>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</si>
  <si>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</si>
  <si>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</si>
  <si>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</si>
  <si>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</si>
  <si>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</si>
  <si>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</si>
  <si>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</si>
  <si>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</si>
  <si>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</si>
  <si>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</si>
  <si>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</si>
  <si>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</si>
  <si>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</si>
  <si>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</si>
  <si>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</si>
  <si>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</si>
  <si>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</si>
  <si>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</si>
  <si>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</si>
  <si>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</si>
  <si>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</si>
  <si>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</si>
  <si>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</si>
  <si>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</si>
  <si>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</si>
  <si>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</si>
  <si>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</si>
  <si>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</si>
  <si>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</si>
  <si>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</si>
  <si>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</si>
  <si>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</si>
  <si>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</si>
  <si>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</si>
  <si>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</si>
  <si>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</si>
  <si>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</si>
  <si>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</si>
  <si>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</si>
  <si>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</si>
  <si>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</si>
  <si>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</si>
  <si>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</si>
  <si>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</si>
  <si>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</si>
  <si>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</si>
  <si>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</si>
  <si>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</si>
  <si>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</si>
  <si>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</si>
  <si>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</si>
  <si>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</si>
  <si>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</si>
  <si>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</si>
  <si>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</si>
  <si>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</si>
  <si>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</si>
  <si>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</si>
  <si>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</si>
  <si>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</si>
  <si>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</si>
  <si>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</si>
  <si>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</si>
  <si>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</si>
  <si>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</si>
  <si>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</si>
  <si>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</si>
  <si>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</si>
  <si>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</si>
  <si>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</si>
  <si>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</si>
  <si>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</si>
  <si>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</si>
  <si>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</si>
  <si>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</si>
  <si>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</si>
  <si>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</si>
  <si>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</si>
  <si>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</si>
  <si>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</si>
  <si>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</si>
  <si>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</si>
  <si>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</si>
  <si>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</si>
  <si>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</si>
  <si>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</si>
  <si>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</si>
  <si>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</si>
  <si>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</si>
  <si>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</si>
  <si>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</si>
  <si>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</si>
  <si>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</si>
  <si>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</si>
  <si>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</si>
  <si>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</si>
  <si>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</si>
  <si>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</si>
  <si>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</si>
  <si>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</si>
  <si>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</si>
  <si>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</si>
  <si>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</si>
  <si>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</si>
  <si>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</si>
  <si>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</si>
  <si>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</si>
  <si>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</si>
  <si>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</si>
  <si>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</si>
  <si>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</si>
  <si>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70093-Mobility Tax Trust Account (*)  </t>
  </si>
  <si>
    <t xml:space="preserve">COMPARATIVE SCHEDULE OF TAX RECEIPTS                  </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</si>
  <si>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</si>
  <si>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</si>
  <si>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</si>
  <si>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</si>
  <si>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</si>
  <si>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</si>
  <si>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</si>
  <si>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</si>
  <si>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</si>
  <si>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</si>
  <si>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</si>
  <si>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</si>
  <si>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</si>
  <si>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</si>
  <si>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</si>
  <si>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</si>
  <si>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</si>
  <si>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</si>
  <si>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</si>
  <si>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</si>
  <si>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</si>
  <si>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</si>
  <si>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</si>
  <si>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</si>
  <si>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</si>
  <si>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</si>
  <si>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</si>
  <si>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</si>
  <si>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</si>
  <si>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</si>
  <si>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</si>
  <si>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</si>
  <si>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</si>
  <si>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</si>
  <si>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</si>
  <si>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</si>
  <si>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</si>
  <si>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</si>
  <si>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</si>
  <si>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</si>
  <si>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</si>
  <si>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</si>
  <si>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</si>
  <si>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</si>
  <si>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</si>
  <si>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DEDICATED INFRASTRUCTURE INVESTMENT FUND(*)</t>
  </si>
  <si>
    <t xml:space="preserve">         Other (Assessments/LLC)</t>
  </si>
  <si>
    <t xml:space="preserve">Tax Law Article 29-C was enacted on April 1, 2018, with collection of the for-hire congestion surcharge </t>
  </si>
  <si>
    <t xml:space="preserve">         Estimated Payments</t>
  </si>
  <si>
    <t xml:space="preserve">         Refunds Issued</t>
  </si>
  <si>
    <t xml:space="preserve">(*) See Footnotes </t>
  </si>
  <si>
    <t xml:space="preserve">  70095-For-Hire Congestion Surcharge (*)  </t>
  </si>
  <si>
    <t xml:space="preserve">  70050-70149-Sole Custody Investment (**)  </t>
  </si>
  <si>
    <t>(**) Includes Public Asset Fund resources:</t>
  </si>
  <si>
    <t>scheduled to begin on January 1, 2019.  Amounts collected will be paid into the NYC transportation</t>
  </si>
  <si>
    <t xml:space="preserve">fund pursuant to statute but without appropriation.  The result is that neither the surcharge nor the </t>
  </si>
  <si>
    <t>related disbursements to NYC are recorded in State Funds.  The for-hire congestion surcharge</t>
  </si>
  <si>
    <t>activity is reported in Schedule 4.</t>
  </si>
  <si>
    <t xml:space="preserve">     Personal Income Tax:</t>
  </si>
  <si>
    <t>April 30, 2019</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</si>
  <si>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</si>
  <si>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</si>
  <si>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</si>
  <si>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</si>
  <si>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</si>
  <si>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</si>
  <si>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</si>
  <si>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</si>
  <si>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</si>
  <si>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    Fund created pursuant to Chapter 60, Laws of 2015-16, Part H and SFL  § 93-b</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</si>
  <si>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</si>
  <si>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</si>
  <si>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</si>
  <si>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</si>
  <si>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</si>
  <si>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</si>
  <si>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</si>
  <si>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</si>
  <si>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</si>
  <si>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</si>
  <si>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</si>
  <si>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</si>
  <si>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</si>
  <si>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</si>
  <si>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</si>
  <si>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millions)</t>
  </si>
  <si>
    <t>(amounts in thousands)</t>
  </si>
  <si>
    <t>May 31, 2019</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</si>
  <si>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</si>
  <si>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</si>
  <si>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</si>
  <si>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</si>
  <si>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</si>
  <si>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</si>
  <si>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</si>
  <si>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</si>
  <si>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June 30, 2019</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</si>
  <si>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</si>
  <si>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</si>
  <si>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reported in Schedule 4.</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</si>
  <si>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</si>
  <si>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</si>
  <si>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</si>
  <si>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</si>
  <si>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</si>
  <si>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</si>
  <si>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</si>
  <si>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</si>
  <si>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</si>
  <si>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for patients residing in State-operated Health and Mental Hygiene facilities, Medicaid Management Information </t>
  </si>
  <si>
    <t xml:space="preserve">transportation authority special assistance fund pursuant to statute but without appropriation. The activity is now </t>
  </si>
  <si>
    <t>July 31, 2019</t>
  </si>
  <si>
    <t>JULY 2019</t>
  </si>
  <si>
    <t>JULY 31, 2019</t>
  </si>
  <si>
    <t>4 MOS. ENDED</t>
  </si>
  <si>
    <t>JULY 2018</t>
  </si>
  <si>
    <t>JULY 31, 2018</t>
  </si>
  <si>
    <t>July 2019</t>
  </si>
  <si>
    <t>FOR FOUR MONTHS ENDED JULY 31, 2019</t>
  </si>
  <si>
    <t>Fund Balances (Deficits) at July 31, 2019</t>
  </si>
  <si>
    <t>4 Months Ended July 31</t>
  </si>
  <si>
    <t>FOR THE MONTH OF JULY 2019</t>
  </si>
  <si>
    <t>JULY 1, 2019</t>
  </si>
  <si>
    <t>4 MONTHS ENDED</t>
  </si>
  <si>
    <t xml:space="preserve">FOR THE FOUR MONTHS ENDED JULY 31, 2019     </t>
  </si>
  <si>
    <t>4 MONTHS ENDED JULY 31</t>
  </si>
  <si>
    <t>4 Months Ended</t>
  </si>
  <si>
    <t>July</t>
  </si>
  <si>
    <t>4 Months Ended July 31, 2019 (**)</t>
  </si>
  <si>
    <t xml:space="preserve">the current fiscal quarter.  As of July 31, 2019 - pursuant to a certification of the Budget Director - </t>
  </si>
  <si>
    <t>the reserve amount is ($123.5m), which was funded by a transfer from the General Fund.</t>
  </si>
  <si>
    <t>CORR. FACILITIES CAPITAL CLOSURE</t>
  </si>
  <si>
    <t xml:space="preserve">As of July 31, 2019, $9,390,905.16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</si>
  <si>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1st Quarter</t>
  </si>
  <si>
    <t>APRIL - JUNE</t>
  </si>
  <si>
    <t xml:space="preserve">agree…state operating is </t>
  </si>
  <si>
    <t xml:space="preserve">operated Health, Mental Hygiene and State University facilities to Debt Service funds ($3.1m), and  </t>
  </si>
  <si>
    <t xml:space="preserve">the State University Income Fund ($205.0m). </t>
  </si>
  <si>
    <r>
      <t>Capital Projects Funds</t>
    </r>
    <r>
      <rPr>
        <sz val="9"/>
        <rFont val="Arial"/>
        <family val="2"/>
      </rPr>
      <t xml:space="preserve"> “Transfers To Other Funds” includes transfers to the General Fund ($9.2m) and </t>
    </r>
  </si>
  <si>
    <t xml:space="preserve"> the General Debt Service Fund - Lease Purchase ($181.8m).</t>
  </si>
  <si>
    <t>System Escrow Fund ($21.0m), SUNY Capital Projects Fund ($16.1m), and All Other Capital Projects ($32.4m).</t>
  </si>
  <si>
    <t>Chemical Dependence Service Fund</t>
  </si>
  <si>
    <t xml:space="preserve">of Health ($53.1m). </t>
  </si>
  <si>
    <t>(**)   Source: 2019-20 First Quarter Update dated August 13, 2019.</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</si>
  <si>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</si>
  <si>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</si>
  <si>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</si>
  <si>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</si>
  <si>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</si>
  <si>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</si>
  <si>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</si>
  <si>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</si>
  <si>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</si>
  <si>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and Department of Health Income Fund ($339.2m) representing the federal share of Medicaid payments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</si>
</sst>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4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0" fillId="0" borderId="0" xfId="0" applyNumberFormat="1" applyFont="1"/>
    <xf numFmtId="49" fontId="167" fillId="0" borderId="0" xfId="0" applyNumberFormat="1" applyFont="1" applyAlignment="1">
      <alignment vertical="top" wrapText="1"/>
    </xf>
    <xf numFmtId="0" fontId="167" fillId="0" borderId="0" xfId="0" applyNumberFormat="1" applyFont="1" applyFill="1" applyAlignment="1">
      <alignment horizontal="left"/>
    </xf>
    <xf numFmtId="0" fontId="167" fillId="0" borderId="0" xfId="0" applyNumberFormat="1" applyFont="1" applyFill="1" applyAlignment="1">
      <alignment vertical="top"/>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164" fontId="186"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3" fontId="167" fillId="0" borderId="10" xfId="0" applyNumberFormat="1" applyFont="1" applyBorder="1"/>
    <xf numFmtId="43" fontId="167" fillId="0" borderId="0" xfId="17924" applyFont="1"/>
    <xf numFmtId="164" fontId="110"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44" fontId="110" fillId="0" borderId="87" xfId="25862" applyFont="1" applyBorder="1"/>
    <xf numFmtId="43" fontId="167" fillId="0" borderId="0" xfId="0" applyNumberFormat="1" applyFont="1" applyFill="1"/>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43" fontId="37" fillId="0" borderId="0" xfId="9049" applyFont="1" applyFill="1" applyAlignment="1" applyProtection="1">
      <alignment horizontal="right"/>
    </xf>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43" fontId="110" fillId="0" borderId="0" xfId="0" applyNumberFormat="1" applyFont="1" applyBorder="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4" fontId="42" fillId="0" borderId="0" xfId="0" applyFont="1" applyBorder="1" applyAlignment="1">
      <alignment horizontal="left" indent="1"/>
    </xf>
    <xf numFmtId="43" fontId="42" fillId="0" borderId="0" xfId="0" applyNumberFormat="1" applyFont="1" applyBorder="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43" fontId="42" fillId="0" borderId="10" xfId="0" applyNumberFormat="1" applyFont="1" applyBorder="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43" fontId="110" fillId="0" borderId="0" xfId="0" applyNumberFormat="1" applyFont="1" applyFill="1" applyBorder="1"/>
    <xf numFmtId="170" fontId="44" fillId="0" borderId="107" xfId="0" quotePrefix="1" applyNumberFormat="1" applyFont="1" applyFill="1" applyBorder="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164" fontId="65" fillId="0" borderId="0" xfId="2" applyNumberFormat="1" applyFont="1" applyAlignment="1"/>
    <xf numFmtId="164" fontId="110" fillId="0" borderId="0" xfId="0" applyFont="1" applyFill="1" applyBorder="1" applyAlignment="1">
      <alignment horizontal="left"/>
    </xf>
    <xf numFmtId="164" fontId="110" fillId="0" borderId="103" xfId="0" applyFont="1" applyBorder="1" applyAlignment="1">
      <alignment horizontal="left"/>
    </xf>
    <xf numFmtId="44" fontId="110" fillId="0" borderId="103" xfId="25862" applyFont="1" applyBorder="1"/>
    <xf numFmtId="43" fontId="110" fillId="0" borderId="0" xfId="0" applyNumberFormat="1" applyFont="1"/>
    <xf numFmtId="164" fontId="42" fillId="0" borderId="66" xfId="0" applyFont="1" applyBorder="1" applyAlignment="1">
      <alignment horizontal="left" indent="1"/>
    </xf>
    <xf numFmtId="169" fontId="49" fillId="0" borderId="0" xfId="8" applyNumberFormat="1" applyFont="1" applyAlignment="1">
      <alignment horizontal="right" vertical="top"/>
    </xf>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0" fontId="66" fillId="0" borderId="0" xfId="2" applyNumberFormat="1" applyFont="1" applyFill="1" applyAlignment="1" applyProtection="1">
      <alignment vertical="justify"/>
    </xf>
    <xf numFmtId="0" fontId="0" fillId="0" borderId="0" xfId="2" applyFont="1" applyFill="1" applyBorder="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43</xdr:row>
      <xdr:rowOff>0</xdr:rowOff>
    </xdr:from>
    <xdr:to>
      <xdr:col>5</xdr:col>
      <xdr:colOff>1276350</xdr:colOff>
      <xdr:row>43</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43</xdr:row>
      <xdr:rowOff>0</xdr:rowOff>
    </xdr:from>
    <xdr:to>
      <xdr:col>5</xdr:col>
      <xdr:colOff>1276350</xdr:colOff>
      <xdr:row>43</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77734375" defaultRowHeight="12.75"/>
  <cols>
    <col min="1" max="1" width="2.21875" style="596" customWidth="1"/>
    <col min="2" max="2" width="22.777343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77734375" style="596" customWidth="1"/>
    <col min="11" max="11" width="28.44140625" style="596" customWidth="1"/>
    <col min="12" max="16384" width="8.777343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941</v>
      </c>
      <c r="B4" s="591"/>
      <c r="C4" s="591"/>
      <c r="D4" s="591"/>
      <c r="E4" s="591"/>
      <c r="F4" s="591"/>
      <c r="G4" s="591"/>
      <c r="H4" s="591"/>
      <c r="I4" s="789" t="s">
        <v>937</v>
      </c>
      <c r="J4" s="592"/>
    </row>
    <row r="5" spans="1:10" ht="18">
      <c r="A5" s="591" t="s">
        <v>939</v>
      </c>
      <c r="B5" s="594"/>
      <c r="C5" s="594"/>
      <c r="D5" s="594"/>
      <c r="E5" s="594"/>
      <c r="F5" s="594"/>
      <c r="G5" s="594"/>
      <c r="H5" s="594"/>
      <c r="I5" s="789" t="s">
        <v>938</v>
      </c>
      <c r="J5" s="595"/>
    </row>
    <row r="6" spans="1:10" ht="18">
      <c r="A6" s="591" t="s">
        <v>813</v>
      </c>
      <c r="B6" s="594"/>
      <c r="C6" s="594"/>
      <c r="D6" s="594"/>
      <c r="E6" s="594"/>
      <c r="F6" s="594"/>
      <c r="G6" s="594"/>
      <c r="H6" s="594"/>
      <c r="I6" s="594"/>
      <c r="J6" s="595"/>
    </row>
    <row r="7" spans="1:10" ht="18">
      <c r="A7" s="591" t="s">
        <v>814</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815</v>
      </c>
      <c r="B9" s="598"/>
      <c r="C9" s="598"/>
      <c r="D9" s="598"/>
      <c r="E9" s="598"/>
      <c r="F9" s="598"/>
      <c r="G9" s="598"/>
      <c r="H9" s="598"/>
      <c r="I9" s="598"/>
      <c r="J9" s="599"/>
    </row>
    <row r="10" spans="1:10" ht="18.75" thickBot="1">
      <c r="A10" s="1585" t="s">
        <v>1464</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816</v>
      </c>
      <c r="B12" s="594"/>
      <c r="C12" s="594"/>
      <c r="D12" s="594"/>
      <c r="E12" s="591"/>
      <c r="F12" s="591"/>
      <c r="G12" s="591"/>
      <c r="H12" s="594"/>
      <c r="I12" s="594"/>
      <c r="J12" s="603"/>
    </row>
    <row r="13" spans="1:10">
      <c r="A13" s="593"/>
      <c r="J13" s="603"/>
    </row>
    <row r="14" spans="1:10">
      <c r="A14" s="593" t="s">
        <v>817</v>
      </c>
      <c r="B14" s="606"/>
      <c r="J14" s="604"/>
    </row>
    <row r="15" spans="1:10">
      <c r="A15" s="593"/>
      <c r="B15" s="665"/>
      <c r="J15" s="604"/>
    </row>
    <row r="16" spans="1:10">
      <c r="A16" s="593"/>
      <c r="B16" s="1414" t="s">
        <v>848</v>
      </c>
      <c r="D16" s="605" t="s">
        <v>818</v>
      </c>
      <c r="F16" s="606"/>
      <c r="J16" s="666">
        <v>2</v>
      </c>
    </row>
    <row r="17" spans="1:255">
      <c r="A17" s="593"/>
      <c r="B17" s="1414" t="s">
        <v>849</v>
      </c>
      <c r="D17" s="596" t="s">
        <v>1173</v>
      </c>
      <c r="E17" s="608"/>
      <c r="F17" s="609"/>
      <c r="G17" s="608"/>
      <c r="H17" s="608"/>
      <c r="I17" s="608"/>
      <c r="J17" s="666">
        <v>3</v>
      </c>
      <c r="M17" s="610"/>
    </row>
    <row r="18" spans="1:255">
      <c r="A18" s="611"/>
      <c r="B18" s="1409" t="s">
        <v>1310</v>
      </c>
      <c r="D18" s="613" t="s">
        <v>978</v>
      </c>
      <c r="E18" s="605"/>
      <c r="F18" s="605"/>
      <c r="G18" s="605"/>
      <c r="H18" s="605"/>
      <c r="I18" s="605"/>
      <c r="J18" s="666">
        <v>4</v>
      </c>
    </row>
    <row r="19" spans="1:255">
      <c r="A19" s="593"/>
      <c r="B19" s="1409" t="s">
        <v>850</v>
      </c>
      <c r="D19" s="612" t="s">
        <v>819</v>
      </c>
      <c r="E19" s="612"/>
      <c r="F19" s="612"/>
      <c r="G19" s="612"/>
      <c r="H19" s="612"/>
      <c r="I19" s="612"/>
      <c r="J19" s="666">
        <v>5</v>
      </c>
      <c r="M19" s="610"/>
    </row>
    <row r="20" spans="1:255">
      <c r="A20" s="593"/>
      <c r="B20" s="1409" t="s">
        <v>851</v>
      </c>
      <c r="D20" s="612" t="s">
        <v>820</v>
      </c>
      <c r="E20" s="612"/>
      <c r="F20" s="612"/>
      <c r="G20" s="612"/>
      <c r="H20" s="612"/>
      <c r="I20" s="612"/>
      <c r="J20" s="666">
        <v>6</v>
      </c>
      <c r="M20" s="610"/>
    </row>
    <row r="21" spans="1:255">
      <c r="A21" s="593"/>
      <c r="B21" s="1409" t="s">
        <v>1136</v>
      </c>
      <c r="D21" s="613" t="s">
        <v>1174</v>
      </c>
      <c r="E21" s="612"/>
      <c r="F21" s="612"/>
      <c r="G21" s="612"/>
      <c r="H21" s="612"/>
      <c r="I21" s="612"/>
      <c r="J21" s="666">
        <v>7</v>
      </c>
      <c r="M21" s="610"/>
    </row>
    <row r="22" spans="1:255">
      <c r="A22" s="593"/>
      <c r="B22" s="1409" t="s">
        <v>1137</v>
      </c>
      <c r="D22" s="613" t="s">
        <v>1175</v>
      </c>
      <c r="E22" s="612"/>
      <c r="F22" s="612"/>
      <c r="G22" s="612"/>
      <c r="H22" s="612"/>
      <c r="I22" s="612"/>
      <c r="J22" s="666">
        <v>8</v>
      </c>
      <c r="M22" s="610"/>
    </row>
    <row r="23" spans="1:255">
      <c r="A23" s="593"/>
      <c r="B23" s="1409" t="s">
        <v>1138</v>
      </c>
      <c r="D23" s="613" t="s">
        <v>1182</v>
      </c>
      <c r="E23" s="612"/>
      <c r="F23" s="612"/>
      <c r="G23" s="612"/>
      <c r="H23" s="612"/>
      <c r="I23" s="612"/>
      <c r="J23" s="666">
        <v>9</v>
      </c>
      <c r="M23" s="610"/>
    </row>
    <row r="24" spans="1:255">
      <c r="A24" s="593"/>
      <c r="B24" s="1409" t="s">
        <v>1139</v>
      </c>
      <c r="D24" s="613" t="s">
        <v>1176</v>
      </c>
      <c r="E24" s="612"/>
      <c r="F24" s="612"/>
      <c r="G24" s="612"/>
      <c r="H24" s="612"/>
      <c r="I24" s="612"/>
      <c r="J24" s="666">
        <v>10</v>
      </c>
      <c r="M24" s="610"/>
    </row>
    <row r="25" spans="1:255">
      <c r="A25" s="593"/>
      <c r="B25" s="1409" t="s">
        <v>1140</v>
      </c>
      <c r="D25" s="613" t="s">
        <v>1177</v>
      </c>
      <c r="E25" s="612"/>
      <c r="F25" s="612"/>
      <c r="G25" s="612"/>
      <c r="H25" s="612"/>
      <c r="I25" s="612"/>
      <c r="J25" s="666">
        <v>11</v>
      </c>
      <c r="M25" s="610"/>
    </row>
    <row r="26" spans="1:255">
      <c r="A26" s="593"/>
      <c r="B26" s="1409" t="s">
        <v>1141</v>
      </c>
      <c r="D26" s="613" t="s">
        <v>1178</v>
      </c>
      <c r="E26" s="612"/>
      <c r="F26" s="612"/>
      <c r="G26" s="612"/>
      <c r="H26" s="612"/>
      <c r="I26" s="612"/>
      <c r="J26" s="666">
        <v>12</v>
      </c>
      <c r="M26" s="610"/>
    </row>
    <row r="27" spans="1:255">
      <c r="A27" s="593"/>
      <c r="B27" s="1409" t="s">
        <v>1142</v>
      </c>
      <c r="D27" s="613" t="s">
        <v>1179</v>
      </c>
      <c r="E27" s="612"/>
      <c r="F27" s="612"/>
      <c r="G27" s="612"/>
      <c r="H27" s="612"/>
      <c r="I27" s="612"/>
      <c r="J27" s="666">
        <v>13</v>
      </c>
      <c r="M27" s="610"/>
    </row>
    <row r="28" spans="1:255">
      <c r="A28" s="593"/>
      <c r="B28" s="1409" t="s">
        <v>1143</v>
      </c>
      <c r="D28" s="613" t="s">
        <v>1180</v>
      </c>
      <c r="E28" s="612"/>
      <c r="F28" s="612"/>
      <c r="G28" s="612"/>
      <c r="H28" s="612"/>
      <c r="I28" s="612"/>
      <c r="J28" s="666">
        <v>14</v>
      </c>
      <c r="M28" s="610"/>
    </row>
    <row r="29" spans="1:255">
      <c r="A29" s="593"/>
      <c r="B29" s="1409" t="s">
        <v>852</v>
      </c>
      <c r="D29" s="614" t="s">
        <v>821</v>
      </c>
      <c r="E29" s="612"/>
      <c r="F29" s="612"/>
      <c r="G29" s="612"/>
      <c r="H29" s="612"/>
      <c r="I29" s="612"/>
      <c r="J29" s="666">
        <v>15</v>
      </c>
      <c r="M29" s="610"/>
    </row>
    <row r="30" spans="1:255">
      <c r="A30" s="593"/>
      <c r="B30" s="1414" t="s">
        <v>870</v>
      </c>
      <c r="D30" s="613" t="s">
        <v>1181</v>
      </c>
      <c r="E30" s="613"/>
      <c r="F30" s="613"/>
      <c r="G30" s="613"/>
      <c r="H30" s="613"/>
      <c r="I30" s="613"/>
      <c r="J30" s="666">
        <v>16</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9" t="s">
        <v>1144</v>
      </c>
      <c r="D31" s="613" t="s">
        <v>1173</v>
      </c>
      <c r="E31" s="608"/>
      <c r="F31" s="608"/>
      <c r="G31" s="608"/>
      <c r="H31" s="608"/>
      <c r="I31" s="608"/>
      <c r="J31" s="666">
        <v>18</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9"/>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10"/>
      <c r="D33" s="615"/>
      <c r="E33" s="615"/>
      <c r="F33" s="615"/>
      <c r="G33" s="615"/>
      <c r="H33" s="615"/>
      <c r="I33" s="615"/>
      <c r="J33" s="666"/>
      <c r="M33" s="610"/>
    </row>
    <row r="34" spans="1:255">
      <c r="A34" s="593" t="s">
        <v>822</v>
      </c>
      <c r="B34" s="1411"/>
      <c r="C34" s="593"/>
      <c r="D34" s="593"/>
      <c r="E34" s="593"/>
      <c r="F34" s="593"/>
      <c r="G34" s="593"/>
      <c r="H34" s="593"/>
      <c r="I34" s="593"/>
      <c r="J34" s="667"/>
      <c r="M34" s="610"/>
    </row>
    <row r="35" spans="1:255">
      <c r="A35" s="593"/>
      <c r="B35" s="1411"/>
      <c r="C35" s="593"/>
      <c r="D35" s="616"/>
      <c r="E35" s="616"/>
      <c r="F35" s="616"/>
      <c r="G35" s="616"/>
      <c r="H35" s="616"/>
      <c r="I35" s="616"/>
      <c r="J35" s="668"/>
      <c r="M35" s="610"/>
    </row>
    <row r="36" spans="1:255">
      <c r="A36" s="593"/>
      <c r="B36" s="1414" t="s">
        <v>853</v>
      </c>
      <c r="D36" s="605" t="s">
        <v>874</v>
      </c>
      <c r="E36" s="605"/>
      <c r="F36" s="605"/>
      <c r="G36" s="605"/>
      <c r="H36" s="605"/>
      <c r="I36" s="605"/>
      <c r="J36" s="666">
        <v>20</v>
      </c>
      <c r="M36" s="610"/>
    </row>
    <row r="37" spans="1:255">
      <c r="A37" s="593"/>
      <c r="B37" s="1414" t="s">
        <v>823</v>
      </c>
      <c r="D37" s="615" t="s">
        <v>869</v>
      </c>
      <c r="E37" s="615"/>
      <c r="F37" s="615"/>
      <c r="G37" s="615"/>
      <c r="H37" s="615"/>
      <c r="I37" s="615"/>
      <c r="J37" s="666">
        <v>22</v>
      </c>
      <c r="M37" s="610"/>
    </row>
    <row r="38" spans="1:255">
      <c r="A38" s="593"/>
      <c r="B38" s="1414" t="s">
        <v>854</v>
      </c>
      <c r="D38" s="612" t="s">
        <v>1311</v>
      </c>
      <c r="E38" s="612"/>
      <c r="F38" s="612"/>
      <c r="G38" s="612"/>
      <c r="H38" s="612"/>
      <c r="I38" s="612"/>
      <c r="J38" s="666">
        <v>24</v>
      </c>
      <c r="M38" s="610"/>
    </row>
    <row r="39" spans="1:255">
      <c r="A39" s="593"/>
      <c r="B39" s="1414" t="s">
        <v>855</v>
      </c>
      <c r="D39" s="612" t="s">
        <v>1312</v>
      </c>
      <c r="E39" s="612"/>
      <c r="F39" s="612"/>
      <c r="G39" s="612"/>
      <c r="H39" s="612"/>
      <c r="I39" s="612"/>
      <c r="J39" s="666">
        <v>26</v>
      </c>
      <c r="M39" s="610"/>
    </row>
    <row r="40" spans="1:255">
      <c r="A40" s="593"/>
      <c r="B40" s="1409" t="s">
        <v>824</v>
      </c>
      <c r="D40" s="612" t="s">
        <v>1029</v>
      </c>
      <c r="E40" s="612"/>
      <c r="F40" s="612"/>
      <c r="G40" s="612"/>
      <c r="H40" s="612"/>
      <c r="I40" s="612"/>
      <c r="J40" s="666">
        <v>28</v>
      </c>
      <c r="M40" s="610"/>
    </row>
    <row r="41" spans="1:255">
      <c r="A41" s="593"/>
      <c r="B41" s="1414" t="s">
        <v>825</v>
      </c>
      <c r="D41" s="612" t="s">
        <v>987</v>
      </c>
      <c r="E41" s="612"/>
      <c r="F41" s="612"/>
      <c r="G41" s="612"/>
      <c r="H41" s="612"/>
      <c r="I41" s="612"/>
      <c r="J41" s="666">
        <v>29</v>
      </c>
      <c r="M41" s="610"/>
    </row>
    <row r="42" spans="1:255">
      <c r="A42" s="593"/>
      <c r="B42" s="1414" t="s">
        <v>856</v>
      </c>
      <c r="D42" s="612" t="s">
        <v>1313</v>
      </c>
      <c r="E42" s="612"/>
      <c r="F42" s="612"/>
      <c r="G42" s="612"/>
      <c r="H42" s="612"/>
      <c r="I42" s="612"/>
      <c r="J42" s="666">
        <v>31</v>
      </c>
      <c r="M42" s="610"/>
    </row>
    <row r="43" spans="1:255">
      <c r="A43" s="593"/>
      <c r="B43" s="1414" t="s">
        <v>857</v>
      </c>
      <c r="D43" s="612" t="s">
        <v>1314</v>
      </c>
      <c r="E43" s="612"/>
      <c r="F43" s="612"/>
      <c r="G43" s="612"/>
      <c r="H43" s="612"/>
      <c r="I43" s="612"/>
      <c r="J43" s="666">
        <v>33</v>
      </c>
      <c r="M43" s="610"/>
    </row>
    <row r="44" spans="1:255">
      <c r="A44" s="593"/>
      <c r="B44" s="1409" t="s">
        <v>826</v>
      </c>
      <c r="D44" s="612" t="s">
        <v>875</v>
      </c>
      <c r="E44" s="612"/>
      <c r="F44" s="612"/>
      <c r="G44" s="612"/>
      <c r="H44" s="612"/>
      <c r="I44" s="612"/>
      <c r="J44" s="666">
        <v>34</v>
      </c>
      <c r="M44" s="610"/>
    </row>
    <row r="45" spans="1:255">
      <c r="A45" s="593"/>
      <c r="B45" s="1414" t="s">
        <v>827</v>
      </c>
      <c r="D45" s="612" t="s">
        <v>871</v>
      </c>
      <c r="E45" s="612"/>
      <c r="F45" s="612"/>
      <c r="G45" s="612"/>
      <c r="H45" s="612"/>
      <c r="I45" s="612"/>
      <c r="J45" s="666">
        <v>35</v>
      </c>
      <c r="M45" s="610"/>
    </row>
    <row r="46" spans="1:255">
      <c r="A46" s="593"/>
      <c r="B46" s="1409" t="s">
        <v>828</v>
      </c>
      <c r="D46" s="612" t="s">
        <v>872</v>
      </c>
      <c r="E46" s="612"/>
      <c r="F46" s="612"/>
      <c r="G46" s="612"/>
      <c r="H46" s="612"/>
      <c r="I46" s="612"/>
      <c r="J46" s="666">
        <v>36</v>
      </c>
      <c r="M46" s="610"/>
    </row>
    <row r="47" spans="1:255">
      <c r="A47" s="593"/>
      <c r="B47" s="1409" t="s">
        <v>829</v>
      </c>
      <c r="D47" s="613" t="s">
        <v>873</v>
      </c>
      <c r="E47" s="613"/>
      <c r="F47" s="613"/>
      <c r="G47" s="613"/>
      <c r="H47" s="613"/>
      <c r="I47" s="613"/>
      <c r="J47" s="666">
        <v>37</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10"/>
      <c r="D48" s="615"/>
      <c r="E48" s="615"/>
      <c r="F48" s="615"/>
      <c r="G48" s="615"/>
      <c r="H48" s="615"/>
      <c r="I48" s="615"/>
      <c r="J48" s="666"/>
      <c r="M48" s="610"/>
    </row>
    <row r="49" spans="1:13">
      <c r="A49" s="593" t="s">
        <v>830</v>
      </c>
      <c r="B49" s="1410"/>
      <c r="D49" s="615"/>
      <c r="E49" s="615"/>
      <c r="F49" s="615"/>
      <c r="G49" s="615"/>
      <c r="H49" s="615"/>
      <c r="I49" s="615"/>
      <c r="J49" s="666"/>
      <c r="M49" s="610"/>
    </row>
    <row r="50" spans="1:13">
      <c r="A50" s="593"/>
      <c r="B50" s="1411"/>
      <c r="C50" s="593"/>
      <c r="D50" s="616"/>
      <c r="E50" s="616"/>
      <c r="F50" s="616"/>
      <c r="G50" s="616"/>
      <c r="H50" s="616"/>
      <c r="I50" s="616"/>
      <c r="J50" s="667"/>
      <c r="M50" s="610"/>
    </row>
    <row r="51" spans="1:13">
      <c r="A51" s="593"/>
      <c r="B51" s="1409" t="s">
        <v>831</v>
      </c>
      <c r="D51" s="615" t="s">
        <v>876</v>
      </c>
      <c r="E51" s="615"/>
      <c r="F51" s="615"/>
      <c r="G51" s="615"/>
      <c r="H51" s="615"/>
      <c r="I51" s="615"/>
      <c r="J51" s="666">
        <v>38</v>
      </c>
      <c r="M51" s="610"/>
    </row>
    <row r="52" spans="1:13">
      <c r="A52" s="593"/>
      <c r="B52" s="1409" t="s">
        <v>832</v>
      </c>
      <c r="D52" s="612" t="s">
        <v>877</v>
      </c>
      <c r="E52" s="612"/>
      <c r="F52" s="612"/>
      <c r="G52" s="612"/>
      <c r="H52" s="612"/>
      <c r="I52" s="612"/>
      <c r="J52" s="666">
        <v>41</v>
      </c>
      <c r="M52" s="610"/>
    </row>
    <row r="53" spans="1:13">
      <c r="A53" s="593"/>
      <c r="B53" s="1409" t="s">
        <v>833</v>
      </c>
      <c r="D53" s="612" t="s">
        <v>878</v>
      </c>
      <c r="E53" s="612"/>
      <c r="F53" s="612"/>
      <c r="G53" s="612"/>
      <c r="H53" s="612"/>
      <c r="I53" s="612"/>
      <c r="J53" s="666">
        <v>42</v>
      </c>
      <c r="M53" s="610"/>
    </row>
    <row r="54" spans="1:13">
      <c r="A54" s="593"/>
      <c r="B54" s="1409" t="s">
        <v>834</v>
      </c>
      <c r="D54" s="612" t="s">
        <v>881</v>
      </c>
      <c r="E54" s="612"/>
      <c r="F54" s="612"/>
      <c r="G54" s="612"/>
      <c r="H54" s="612"/>
      <c r="I54" s="612"/>
      <c r="J54" s="666">
        <v>43</v>
      </c>
      <c r="M54" s="610"/>
    </row>
    <row r="55" spans="1:13">
      <c r="A55" s="593"/>
      <c r="B55" s="1409" t="s">
        <v>835</v>
      </c>
      <c r="D55" s="612" t="s">
        <v>879</v>
      </c>
      <c r="E55" s="612"/>
      <c r="F55" s="612"/>
      <c r="G55" s="612"/>
      <c r="H55" s="612"/>
      <c r="I55" s="612"/>
      <c r="J55" s="666">
        <v>44</v>
      </c>
      <c r="K55" s="617"/>
      <c r="M55" s="610"/>
    </row>
    <row r="56" spans="1:13">
      <c r="A56" s="593"/>
      <c r="B56" s="1414" t="s">
        <v>836</v>
      </c>
      <c r="D56" s="612" t="s">
        <v>880</v>
      </c>
      <c r="E56" s="612"/>
      <c r="F56" s="612"/>
      <c r="G56" s="612"/>
      <c r="H56" s="612"/>
      <c r="I56" s="612"/>
      <c r="J56" s="666">
        <v>45</v>
      </c>
      <c r="K56" s="603"/>
    </row>
    <row r="57" spans="1:13">
      <c r="A57" s="593"/>
      <c r="B57" s="1409" t="s">
        <v>837</v>
      </c>
      <c r="D57" s="613" t="s">
        <v>838</v>
      </c>
      <c r="E57" s="613"/>
      <c r="F57" s="613"/>
      <c r="G57" s="613"/>
      <c r="H57" s="613"/>
      <c r="I57" s="613"/>
      <c r="J57" s="666">
        <v>46</v>
      </c>
      <c r="K57" s="603"/>
    </row>
    <row r="58" spans="1:13">
      <c r="A58" s="593"/>
      <c r="B58" s="1412" t="s">
        <v>858</v>
      </c>
      <c r="D58" s="605" t="s">
        <v>839</v>
      </c>
      <c r="E58" s="605"/>
      <c r="F58" s="605"/>
      <c r="G58" s="605"/>
      <c r="H58" s="605"/>
      <c r="I58" s="605"/>
      <c r="J58" s="666">
        <v>47</v>
      </c>
      <c r="K58" s="603"/>
      <c r="M58" s="610"/>
    </row>
    <row r="59" spans="1:13">
      <c r="A59" s="593"/>
      <c r="B59" s="1413" t="s">
        <v>859</v>
      </c>
      <c r="D59" s="608" t="s">
        <v>840</v>
      </c>
      <c r="E59" s="608"/>
      <c r="F59" s="608"/>
      <c r="G59" s="608"/>
      <c r="H59" s="608"/>
      <c r="I59" s="608"/>
      <c r="J59" s="666">
        <v>48</v>
      </c>
      <c r="K59" s="603"/>
      <c r="M59" s="610"/>
    </row>
    <row r="60" spans="1:13">
      <c r="A60" s="593"/>
      <c r="B60" s="1413" t="s">
        <v>860</v>
      </c>
      <c r="D60" s="618" t="s">
        <v>841</v>
      </c>
      <c r="E60" s="608"/>
      <c r="F60" s="618"/>
      <c r="G60" s="608"/>
      <c r="H60" s="608"/>
      <c r="I60" s="608"/>
      <c r="J60" s="666">
        <v>49</v>
      </c>
      <c r="K60" s="603"/>
      <c r="M60" s="610"/>
    </row>
    <row r="61" spans="1:13">
      <c r="A61" s="593"/>
      <c r="B61" s="1413" t="s">
        <v>861</v>
      </c>
      <c r="D61" s="608" t="s">
        <v>842</v>
      </c>
      <c r="E61" s="608"/>
      <c r="F61" s="608"/>
      <c r="G61" s="608"/>
      <c r="H61" s="608"/>
      <c r="I61" s="608"/>
      <c r="J61" s="666">
        <v>50</v>
      </c>
      <c r="K61" s="615"/>
      <c r="M61" s="610"/>
    </row>
    <row r="62" spans="1:13">
      <c r="A62" s="593"/>
      <c r="B62" s="1691" t="s">
        <v>862</v>
      </c>
      <c r="D62" s="608" t="s">
        <v>1315</v>
      </c>
      <c r="E62" s="608"/>
      <c r="F62" s="608"/>
      <c r="G62" s="608"/>
      <c r="H62" s="609"/>
      <c r="I62" s="608"/>
      <c r="J62" s="666">
        <v>51</v>
      </c>
      <c r="K62" s="615"/>
      <c r="M62" s="610"/>
    </row>
    <row r="63" spans="1:13">
      <c r="A63" s="593"/>
      <c r="B63" s="1691" t="s">
        <v>863</v>
      </c>
      <c r="D63" s="608" t="s">
        <v>843</v>
      </c>
      <c r="E63" s="608"/>
      <c r="F63" s="608"/>
      <c r="G63" s="608"/>
      <c r="H63" s="609"/>
      <c r="I63" s="608"/>
      <c r="J63" s="666">
        <v>52</v>
      </c>
      <c r="K63" s="615"/>
      <c r="M63" s="610"/>
    </row>
    <row r="64" spans="1:13">
      <c r="A64" s="593"/>
      <c r="B64" s="1414" t="s">
        <v>864</v>
      </c>
      <c r="D64" s="608" t="s">
        <v>1250</v>
      </c>
      <c r="E64" s="608"/>
      <c r="F64" s="608"/>
      <c r="G64" s="608"/>
      <c r="H64" s="609"/>
      <c r="I64" s="608"/>
      <c r="J64" s="666">
        <v>56</v>
      </c>
      <c r="K64" s="615"/>
      <c r="M64" s="610"/>
    </row>
    <row r="65" spans="1:13" ht="13.15" customHeight="1">
      <c r="A65" s="593"/>
      <c r="B65" s="619"/>
      <c r="D65" s="620"/>
      <c r="E65" s="620"/>
      <c r="F65" s="620"/>
      <c r="G65" s="620"/>
      <c r="H65" s="620"/>
      <c r="I65" s="620"/>
      <c r="J65" s="607"/>
      <c r="K65" s="615"/>
      <c r="M65" s="610"/>
    </row>
    <row r="66" spans="1:13" ht="13.15" customHeight="1">
      <c r="A66" s="593"/>
      <c r="B66" s="619"/>
      <c r="D66" s="620"/>
      <c r="E66" s="620"/>
      <c r="F66" s="620"/>
      <c r="G66" s="620"/>
      <c r="H66" s="620"/>
      <c r="I66" s="620"/>
      <c r="J66" s="607"/>
      <c r="K66" s="615"/>
      <c r="M66" s="610"/>
    </row>
    <row r="67" spans="1:13" ht="13.15" customHeight="1">
      <c r="A67" s="593"/>
      <c r="B67" s="619"/>
      <c r="D67" s="620"/>
      <c r="E67" s="620"/>
      <c r="F67" s="620"/>
      <c r="G67" s="620"/>
      <c r="H67" s="620"/>
      <c r="I67" s="620"/>
      <c r="J67" s="607"/>
      <c r="K67" s="615"/>
      <c r="M67" s="610"/>
    </row>
    <row r="68" spans="1:13" ht="13.15" customHeight="1">
      <c r="A68" s="593"/>
      <c r="B68" s="619"/>
      <c r="D68" s="620"/>
      <c r="E68" s="620"/>
      <c r="F68" s="620"/>
      <c r="G68" s="620"/>
      <c r="H68" s="620"/>
      <c r="I68" s="620"/>
      <c r="J68" s="607"/>
      <c r="K68" s="615"/>
      <c r="M68" s="610"/>
    </row>
    <row r="69" spans="1:13" ht="13.15" customHeight="1">
      <c r="A69" s="593"/>
      <c r="B69" s="619"/>
      <c r="D69" s="620"/>
      <c r="E69" s="620"/>
      <c r="F69" s="620"/>
      <c r="G69" s="620"/>
      <c r="H69" s="620"/>
      <c r="I69" s="620"/>
      <c r="J69" s="607"/>
      <c r="K69" s="615"/>
      <c r="M69" s="610"/>
    </row>
    <row r="70" spans="1:13" ht="13.15" customHeight="1">
      <c r="A70" s="593"/>
      <c r="B70" s="619"/>
      <c r="D70" s="620"/>
      <c r="E70" s="620"/>
      <c r="F70" s="620"/>
      <c r="G70" s="620"/>
      <c r="H70" s="620"/>
      <c r="I70" s="620"/>
      <c r="J70" s="607"/>
      <c r="K70" s="615"/>
      <c r="M70" s="610"/>
    </row>
    <row r="71" spans="1:13" ht="13.15" customHeight="1">
      <c r="A71" s="593"/>
      <c r="B71" s="619"/>
      <c r="D71" s="620"/>
      <c r="E71" s="620"/>
      <c r="F71" s="620"/>
      <c r="G71" s="620"/>
      <c r="H71" s="620"/>
      <c r="I71" s="620"/>
      <c r="J71" s="607"/>
      <c r="K71" s="615"/>
      <c r="M71" s="610"/>
    </row>
    <row r="72" spans="1:13" ht="13.15" customHeight="1">
      <c r="A72" s="593"/>
      <c r="B72" s="619"/>
      <c r="D72" s="620"/>
      <c r="E72" s="620"/>
      <c r="F72" s="620"/>
      <c r="G72" s="620"/>
      <c r="H72" s="620"/>
      <c r="I72" s="620"/>
      <c r="J72" s="607"/>
      <c r="K72" s="615"/>
      <c r="M72" s="610"/>
    </row>
    <row r="73" spans="1:13" ht="13.15" customHeight="1">
      <c r="A73" s="593"/>
      <c r="B73" s="619"/>
      <c r="D73" s="620"/>
      <c r="E73" s="620"/>
      <c r="F73" s="620"/>
      <c r="G73" s="620"/>
      <c r="H73" s="620"/>
      <c r="I73" s="620"/>
      <c r="J73" s="607"/>
      <c r="K73" s="615"/>
      <c r="M73" s="610"/>
    </row>
    <row r="74" spans="1:13" ht="13.15" customHeight="1">
      <c r="A74" s="593"/>
      <c r="B74" s="619"/>
      <c r="D74" s="620"/>
      <c r="E74" s="620"/>
      <c r="F74" s="620"/>
      <c r="G74" s="620"/>
      <c r="H74" s="620"/>
      <c r="I74" s="620"/>
      <c r="J74" s="607"/>
      <c r="K74" s="615"/>
      <c r="M74" s="610"/>
    </row>
    <row r="75" spans="1:13" ht="13.15" customHeight="1">
      <c r="A75" s="593"/>
      <c r="B75" s="619"/>
      <c r="D75" s="620"/>
      <c r="E75" s="620"/>
      <c r="F75" s="620"/>
      <c r="G75" s="620"/>
      <c r="H75" s="620"/>
      <c r="I75" s="620"/>
      <c r="J75" s="607"/>
      <c r="K75" s="615"/>
      <c r="M75" s="610"/>
    </row>
    <row r="76" spans="1:13" ht="13.15" customHeight="1">
      <c r="A76" s="593"/>
      <c r="B76" s="619"/>
      <c r="D76" s="620"/>
      <c r="E76" s="620"/>
      <c r="F76" s="620"/>
      <c r="G76" s="620"/>
      <c r="H76" s="620"/>
      <c r="I76" s="620"/>
      <c r="J76" s="607"/>
      <c r="K76" s="615"/>
      <c r="M76" s="610"/>
    </row>
    <row r="77" spans="1:13" ht="13.15" customHeight="1">
      <c r="A77" s="593"/>
      <c r="B77" s="619"/>
      <c r="D77" s="620"/>
      <c r="E77" s="620"/>
      <c r="F77" s="620"/>
      <c r="G77" s="620"/>
      <c r="H77" s="620"/>
      <c r="I77" s="620"/>
      <c r="J77" s="607"/>
      <c r="K77" s="615"/>
      <c r="M77" s="610"/>
    </row>
    <row r="78" spans="1:13" ht="13.15" customHeight="1">
      <c r="A78" s="593"/>
      <c r="B78" s="619"/>
      <c r="D78" s="620"/>
      <c r="E78" s="620"/>
      <c r="F78" s="620"/>
      <c r="G78" s="620"/>
      <c r="H78" s="620"/>
      <c r="I78" s="620"/>
      <c r="J78" s="607"/>
      <c r="K78" s="615"/>
      <c r="M78" s="610"/>
    </row>
    <row r="79" spans="1:13" ht="13.15" customHeight="1">
      <c r="A79" s="593"/>
      <c r="B79" s="619"/>
      <c r="D79" s="620"/>
      <c r="E79" s="620"/>
      <c r="F79" s="620"/>
      <c r="G79" s="620"/>
      <c r="H79" s="620"/>
      <c r="I79" s="620"/>
      <c r="J79" s="607"/>
      <c r="K79" s="615"/>
      <c r="M79" s="610"/>
    </row>
    <row r="80" spans="1:13" ht="13.15" customHeight="1">
      <c r="A80" s="593"/>
      <c r="B80" s="619"/>
      <c r="D80" s="620"/>
      <c r="E80" s="620"/>
      <c r="F80" s="620"/>
      <c r="G80" s="620"/>
      <c r="H80" s="620"/>
      <c r="I80" s="620"/>
      <c r="J80" s="607"/>
      <c r="K80" s="615"/>
      <c r="M80" s="610"/>
    </row>
    <row r="81" spans="1:13" ht="13.15" customHeight="1">
      <c r="A81" s="593"/>
      <c r="B81" s="619"/>
      <c r="D81" s="620"/>
      <c r="E81" s="620"/>
      <c r="F81" s="620"/>
      <c r="G81" s="620"/>
      <c r="H81" s="620"/>
      <c r="I81" s="620"/>
      <c r="J81" s="607"/>
      <c r="K81" s="615"/>
      <c r="M81" s="610"/>
    </row>
    <row r="82" spans="1:13" ht="13.15" customHeight="1">
      <c r="A82" s="593"/>
      <c r="B82" s="619"/>
      <c r="D82" s="620"/>
      <c r="E82" s="620"/>
      <c r="F82" s="620"/>
      <c r="G82" s="620"/>
      <c r="H82" s="620"/>
      <c r="I82" s="620"/>
      <c r="J82" s="607"/>
      <c r="K82" s="615"/>
      <c r="M82" s="610"/>
    </row>
    <row r="83" spans="1:13" ht="13.15" customHeight="1">
      <c r="A83" s="593"/>
      <c r="B83" s="619"/>
      <c r="D83" s="620"/>
      <c r="E83" s="620"/>
      <c r="F83" s="620"/>
      <c r="G83" s="620"/>
      <c r="H83" s="620"/>
      <c r="I83" s="620"/>
      <c r="J83" s="607"/>
      <c r="K83" s="615"/>
      <c r="M83" s="610"/>
    </row>
    <row r="84" spans="1:13" ht="13.15" customHeight="1">
      <c r="A84" s="593"/>
      <c r="B84" s="619"/>
      <c r="D84" s="620"/>
      <c r="E84" s="620"/>
      <c r="F84" s="620"/>
      <c r="G84" s="620"/>
      <c r="H84" s="620"/>
      <c r="I84" s="620"/>
      <c r="J84" s="607"/>
      <c r="K84" s="615"/>
      <c r="M84" s="610"/>
    </row>
    <row r="85" spans="1:13" ht="13.15" customHeight="1">
      <c r="A85" s="593"/>
      <c r="B85" s="619"/>
      <c r="D85" s="620"/>
      <c r="E85" s="620"/>
      <c r="F85" s="620"/>
      <c r="G85" s="620"/>
      <c r="H85" s="620"/>
      <c r="I85" s="620"/>
      <c r="J85" s="607"/>
      <c r="K85" s="615"/>
      <c r="M85" s="610"/>
    </row>
    <row r="86" spans="1:13" ht="13.15" customHeight="1">
      <c r="A86" s="593"/>
      <c r="B86" s="619"/>
      <c r="D86" s="620"/>
      <c r="E86" s="620"/>
      <c r="F86" s="620"/>
      <c r="G86" s="620"/>
      <c r="H86" s="620"/>
      <c r="I86" s="620"/>
      <c r="J86" s="607"/>
      <c r="K86" s="615"/>
      <c r="M86" s="610"/>
    </row>
    <row r="87" spans="1:13" ht="13.15" customHeight="1">
      <c r="A87" s="593"/>
      <c r="B87" s="619"/>
      <c r="D87" s="620"/>
      <c r="E87" s="620"/>
      <c r="F87" s="620"/>
      <c r="G87" s="620"/>
      <c r="H87" s="620"/>
      <c r="I87" s="620"/>
      <c r="J87" s="607"/>
      <c r="K87" s="615"/>
      <c r="M87" s="610"/>
    </row>
    <row r="88" spans="1:13" ht="13.15" customHeight="1">
      <c r="A88" s="593"/>
      <c r="B88" s="619"/>
      <c r="D88" s="620"/>
      <c r="E88" s="620"/>
      <c r="F88" s="620"/>
      <c r="G88" s="620"/>
      <c r="H88" s="620"/>
      <c r="I88" s="620"/>
      <c r="J88" s="607"/>
      <c r="K88" s="615"/>
      <c r="M88" s="610"/>
    </row>
    <row r="89" spans="1:13" ht="13.15" customHeight="1">
      <c r="A89" s="593"/>
      <c r="B89" s="619"/>
      <c r="D89" s="620"/>
      <c r="E89" s="620"/>
      <c r="F89" s="620"/>
      <c r="G89" s="620"/>
      <c r="H89" s="620"/>
      <c r="I89" s="620"/>
      <c r="J89" s="607"/>
      <c r="K89" s="615"/>
      <c r="M89" s="610"/>
    </row>
    <row r="90" spans="1:13" ht="13.15" customHeight="1">
      <c r="A90" s="593"/>
      <c r="B90" s="619"/>
      <c r="D90" s="620"/>
      <c r="E90" s="620"/>
      <c r="F90" s="620"/>
      <c r="G90" s="620"/>
      <c r="H90" s="620"/>
      <c r="I90" s="620"/>
      <c r="J90" s="607"/>
      <c r="K90" s="615"/>
      <c r="M90" s="610"/>
    </row>
    <row r="91" spans="1:13" ht="13.15" customHeight="1">
      <c r="A91" s="593"/>
      <c r="B91" s="619"/>
      <c r="D91" s="620"/>
      <c r="E91" s="620"/>
      <c r="F91" s="620"/>
      <c r="G91" s="620"/>
      <c r="H91" s="620"/>
      <c r="I91" s="620"/>
      <c r="J91" s="607"/>
      <c r="K91" s="615"/>
      <c r="M91" s="610"/>
    </row>
    <row r="92" spans="1:13" ht="13.15" customHeight="1">
      <c r="A92" s="593"/>
      <c r="B92" s="619"/>
      <c r="D92" s="620"/>
      <c r="E92" s="620"/>
      <c r="F92" s="620"/>
      <c r="G92" s="620"/>
      <c r="H92" s="620"/>
      <c r="I92" s="620"/>
      <c r="J92" s="607"/>
      <c r="M92" s="610"/>
    </row>
    <row r="93" spans="1:13" ht="13.15" customHeight="1">
      <c r="A93" s="593"/>
      <c r="B93" s="619"/>
      <c r="D93" s="620"/>
      <c r="E93" s="620"/>
      <c r="F93" s="620"/>
      <c r="G93" s="620"/>
      <c r="H93" s="620"/>
      <c r="I93" s="620"/>
      <c r="J93" s="607"/>
      <c r="M93" s="610"/>
    </row>
    <row r="94" spans="1:13" ht="13.15" customHeight="1">
      <c r="A94" s="593"/>
      <c r="B94" s="619"/>
      <c r="D94" s="620"/>
      <c r="E94" s="620"/>
      <c r="F94" s="620"/>
      <c r="G94" s="620"/>
      <c r="H94" s="620"/>
      <c r="I94" s="620"/>
      <c r="J94" s="607"/>
      <c r="M94" s="610"/>
    </row>
    <row r="95" spans="1:13" ht="13.15" customHeight="1">
      <c r="A95" s="593"/>
      <c r="B95" s="619"/>
      <c r="D95" s="620"/>
      <c r="E95" s="620"/>
      <c r="F95" s="620"/>
      <c r="G95" s="620"/>
      <c r="H95" s="620"/>
      <c r="I95" s="620"/>
      <c r="J95" s="607"/>
      <c r="M95" s="610"/>
    </row>
    <row r="96" spans="1:13" ht="13.15" customHeight="1">
      <c r="A96" s="593"/>
      <c r="B96" s="619"/>
      <c r="D96" s="620"/>
      <c r="E96" s="620"/>
      <c r="F96" s="620"/>
      <c r="G96" s="620"/>
      <c r="H96" s="620"/>
      <c r="I96" s="620"/>
      <c r="J96" s="607"/>
      <c r="M96" s="610"/>
    </row>
    <row r="97" spans="1:13" ht="13.15" customHeight="1">
      <c r="A97" s="593"/>
      <c r="B97" s="619"/>
      <c r="D97" s="620"/>
      <c r="E97" s="620"/>
      <c r="F97" s="620"/>
      <c r="G97" s="620"/>
      <c r="H97" s="620"/>
      <c r="I97" s="620"/>
      <c r="J97" s="607"/>
      <c r="M97" s="610"/>
    </row>
    <row r="98" spans="1:13" ht="13.15" customHeight="1">
      <c r="A98" s="593"/>
      <c r="B98" s="619"/>
      <c r="D98" s="620"/>
      <c r="E98" s="620"/>
      <c r="F98" s="620"/>
      <c r="G98" s="620"/>
      <c r="H98" s="620"/>
      <c r="I98" s="620"/>
      <c r="J98" s="607"/>
      <c r="M98" s="610"/>
    </row>
    <row r="99" spans="1:13" ht="13.15" customHeight="1">
      <c r="A99" s="593"/>
      <c r="B99" s="619"/>
      <c r="D99" s="620"/>
      <c r="E99" s="620"/>
      <c r="F99" s="620"/>
      <c r="G99" s="620"/>
      <c r="H99" s="620"/>
      <c r="I99" s="620"/>
      <c r="J99" s="607"/>
      <c r="M99" s="610"/>
    </row>
    <row r="100" spans="1:13" ht="13.1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77734375" defaultRowHeight="11.25"/>
  <cols>
    <col min="1" max="1" width="35.21875" style="2311" customWidth="1"/>
    <col min="2" max="2" width="9.21875" style="2311" customWidth="1"/>
    <col min="3" max="3" width="5.5546875" style="2311" customWidth="1"/>
    <col min="4" max="4" width="12.77734375" style="2312" bestFit="1" customWidth="1"/>
    <col min="5" max="5" width="1.77734375" style="2311" customWidth="1"/>
    <col min="6" max="6" width="13.44140625" style="2311" customWidth="1"/>
    <col min="7" max="7" width="2.109375" style="2311" customWidth="1"/>
    <col min="8" max="8" width="12.77734375" style="2312" bestFit="1" customWidth="1"/>
    <col min="9" max="9" width="1.77734375" style="2311" customWidth="1"/>
    <col min="10" max="10" width="13.77734375" style="2311" customWidth="1"/>
    <col min="11" max="11" width="1.77734375" style="2311" customWidth="1"/>
    <col min="12" max="12" width="11.77734375" style="2312" customWidth="1"/>
    <col min="13" max="13" width="2" style="2311" customWidth="1"/>
    <col min="14" max="14" width="13.77734375" style="2311" customWidth="1"/>
    <col min="15" max="15" width="1.77734375" style="2311" customWidth="1"/>
    <col min="16" max="16" width="13" style="2311" customWidth="1"/>
    <col min="17" max="17" width="1.77734375" style="2311" customWidth="1"/>
    <col min="18" max="18" width="13.21875" style="2311" customWidth="1"/>
    <col min="19" max="21" width="1.109375" style="2311" customWidth="1"/>
    <col min="22" max="22" width="12.77734375" style="2312" bestFit="1" customWidth="1"/>
    <col min="23" max="23" width="1.77734375" style="2311" customWidth="1"/>
    <col min="24" max="24" width="13.77734375" style="2311" customWidth="1"/>
    <col min="25" max="25" width="1.109375" style="2311" customWidth="1"/>
    <col min="26" max="27" width="1.21875" style="2311" customWidth="1"/>
    <col min="28" max="28" width="12.109375" style="3615" customWidth="1"/>
    <col min="29" max="29" width="1.77734375" style="2313" customWidth="1"/>
    <col min="30" max="30" width="13.77734375" style="2313" customWidth="1"/>
    <col min="31" max="31" width="1" style="2313" customWidth="1"/>
    <col min="32" max="32" width="1" style="2311" customWidth="1"/>
    <col min="33" max="33" width="13.109375" style="2311" bestFit="1" customWidth="1"/>
    <col min="34" max="34" width="1.77734375" style="2311" customWidth="1"/>
    <col min="35" max="35" width="12.77734375" style="2314" customWidth="1"/>
    <col min="36" max="36" width="19.109375" style="2311" customWidth="1"/>
    <col min="37" max="16384" width="8.77734375" style="2311"/>
  </cols>
  <sheetData>
    <row r="1" spans="1:38" ht="15">
      <c r="A1" s="2310" t="s">
        <v>980</v>
      </c>
    </row>
    <row r="2" spans="1:38" ht="15">
      <c r="A2" s="2310"/>
    </row>
    <row r="3" spans="1:38" ht="20.25">
      <c r="A3" s="2315" t="s">
        <v>0</v>
      </c>
      <c r="B3" s="2316"/>
      <c r="C3" s="2316"/>
      <c r="D3" s="2316"/>
      <c r="E3" s="2316"/>
      <c r="F3" s="2316"/>
      <c r="G3" s="2316"/>
      <c r="H3" s="2316"/>
      <c r="I3" s="2316"/>
      <c r="J3" s="2316"/>
      <c r="K3" s="2316"/>
      <c r="L3" s="2316"/>
      <c r="M3" s="2316"/>
      <c r="N3" s="2316"/>
      <c r="O3" s="2316"/>
      <c r="P3" s="2316"/>
      <c r="Q3" s="2316"/>
      <c r="R3" s="2316"/>
      <c r="S3" s="2316"/>
      <c r="T3" s="2316"/>
      <c r="U3" s="2316"/>
      <c r="V3" s="2316"/>
      <c r="W3" s="2316"/>
      <c r="X3" s="2316"/>
      <c r="Y3" s="2316"/>
      <c r="Z3" s="2316"/>
      <c r="AA3" s="2316"/>
      <c r="AB3" s="3570"/>
      <c r="AC3" s="3570"/>
      <c r="AD3" s="3570"/>
      <c r="AE3" s="2316"/>
      <c r="AF3" s="2316"/>
      <c r="AG3" s="2316"/>
      <c r="AH3" s="2316"/>
      <c r="AI3" s="2317" t="s">
        <v>2</v>
      </c>
      <c r="AJ3" s="2318"/>
    </row>
    <row r="4" spans="1:38" ht="20.25" customHeight="1">
      <c r="A4" s="3783" t="s">
        <v>1</v>
      </c>
      <c r="B4" s="3784"/>
      <c r="C4" s="3784"/>
      <c r="D4" s="3784"/>
      <c r="E4" s="3784"/>
      <c r="F4" s="3784"/>
      <c r="G4" s="3784"/>
      <c r="H4" s="3784"/>
      <c r="I4" s="3784"/>
      <c r="J4" s="3784"/>
      <c r="K4" s="3784"/>
      <c r="L4" s="3784"/>
      <c r="M4" s="3784"/>
      <c r="N4" s="3784"/>
      <c r="O4" s="3784"/>
      <c r="P4" s="3784"/>
      <c r="Q4" s="3784"/>
      <c r="R4" s="3784"/>
      <c r="S4" s="3784"/>
      <c r="T4" s="3784"/>
      <c r="U4" s="3784"/>
      <c r="V4" s="3784"/>
      <c r="W4" s="3784"/>
      <c r="X4" s="3784"/>
      <c r="Y4" s="3784"/>
      <c r="Z4" s="3784"/>
      <c r="AA4" s="3784"/>
      <c r="AB4" s="3784"/>
      <c r="AC4" s="3784"/>
      <c r="AD4" s="3784"/>
      <c r="AE4" s="3784"/>
      <c r="AF4" s="3784"/>
      <c r="AG4" s="3784"/>
      <c r="AH4" s="3784"/>
      <c r="AI4" s="3784"/>
      <c r="AJ4" s="2318"/>
    </row>
    <row r="5" spans="1:38" ht="20.25">
      <c r="A5" s="3783" t="s">
        <v>885</v>
      </c>
      <c r="B5" s="3785"/>
      <c r="C5" s="3785"/>
      <c r="D5" s="3785"/>
      <c r="E5" s="3785"/>
      <c r="F5" s="3785"/>
      <c r="G5" s="3785"/>
      <c r="H5" s="3785"/>
      <c r="I5" s="3785"/>
      <c r="J5" s="3785"/>
      <c r="K5" s="3785"/>
      <c r="L5" s="3785"/>
      <c r="M5" s="3785"/>
      <c r="N5" s="3785"/>
      <c r="O5" s="3785"/>
      <c r="P5" s="3785"/>
      <c r="Q5" s="3785"/>
      <c r="R5" s="3785"/>
      <c r="S5" s="3785"/>
      <c r="T5" s="3785"/>
      <c r="U5" s="3785"/>
      <c r="V5" s="3785"/>
      <c r="W5" s="3785"/>
      <c r="X5" s="3785"/>
      <c r="Y5" s="3785"/>
      <c r="Z5" s="3785"/>
      <c r="AA5" s="3785"/>
      <c r="AB5" s="3785"/>
      <c r="AC5" s="3785"/>
      <c r="AD5" s="3785"/>
      <c r="AE5" s="3784"/>
      <c r="AF5" s="3784"/>
      <c r="AG5" s="3784"/>
      <c r="AH5" s="3784"/>
      <c r="AI5" s="3784"/>
      <c r="AJ5" s="2318"/>
    </row>
    <row r="6" spans="1:38" ht="21" customHeight="1">
      <c r="A6" s="3783" t="s">
        <v>1433</v>
      </c>
      <c r="B6" s="3784"/>
      <c r="C6" s="3784"/>
      <c r="D6" s="3784"/>
      <c r="E6" s="3784"/>
      <c r="F6" s="3784"/>
      <c r="G6" s="3784"/>
      <c r="H6" s="3784"/>
      <c r="I6" s="3784"/>
      <c r="J6" s="3784"/>
      <c r="K6" s="3784"/>
      <c r="L6" s="3784"/>
      <c r="M6" s="3784"/>
      <c r="N6" s="3784"/>
      <c r="O6" s="3784"/>
      <c r="P6" s="3784"/>
      <c r="Q6" s="3784"/>
      <c r="R6" s="3784"/>
      <c r="S6" s="3784"/>
      <c r="T6" s="3784"/>
      <c r="U6" s="3784"/>
      <c r="V6" s="3784"/>
      <c r="W6" s="3784"/>
      <c r="X6" s="3784"/>
      <c r="Y6" s="3784"/>
      <c r="Z6" s="3784"/>
      <c r="AA6" s="3784"/>
      <c r="AB6" s="3784"/>
      <c r="AC6" s="3784"/>
      <c r="AD6" s="3784"/>
      <c r="AE6" s="3784"/>
      <c r="AF6" s="3784"/>
      <c r="AG6" s="3784"/>
      <c r="AH6" s="3784"/>
      <c r="AI6" s="3784"/>
      <c r="AJ6" s="2318"/>
    </row>
    <row r="7" spans="1:38" ht="15.75">
      <c r="A7" s="1"/>
      <c r="B7" s="1"/>
      <c r="C7" s="1"/>
      <c r="D7" s="2319"/>
      <c r="E7" s="1"/>
      <c r="F7" s="1"/>
      <c r="G7" s="1"/>
      <c r="H7" s="2320"/>
      <c r="I7" s="2"/>
      <c r="J7" s="2"/>
      <c r="K7" s="2"/>
      <c r="L7" s="2320"/>
      <c r="M7" s="1"/>
      <c r="N7" s="2"/>
      <c r="O7" s="2"/>
      <c r="P7" s="2"/>
      <c r="Q7" s="2"/>
      <c r="R7" s="2"/>
      <c r="S7" s="1"/>
      <c r="T7" s="1"/>
      <c r="U7" s="1"/>
      <c r="V7" s="2319"/>
      <c r="W7" s="1"/>
      <c r="X7" s="1"/>
      <c r="Y7" s="1"/>
      <c r="Z7" s="1"/>
      <c r="AA7" s="1"/>
      <c r="AB7" s="3616"/>
      <c r="AC7" s="2326"/>
      <c r="AD7" s="2321"/>
      <c r="AE7" s="2321"/>
      <c r="AF7" s="2322"/>
      <c r="AG7" s="2322"/>
      <c r="AJ7" s="2318"/>
      <c r="AK7" s="2318"/>
      <c r="AL7" s="2318"/>
    </row>
    <row r="8" spans="1:38" ht="16.149999999999999" customHeight="1">
      <c r="A8" s="2"/>
      <c r="B8" s="1"/>
      <c r="C8" s="1"/>
      <c r="D8" s="2320"/>
      <c r="E8" s="1"/>
      <c r="F8" s="1"/>
      <c r="G8" s="1"/>
      <c r="H8" s="2320"/>
      <c r="I8" s="2"/>
      <c r="J8" s="2"/>
      <c r="K8" s="2"/>
      <c r="L8" s="2320"/>
      <c r="M8" s="1"/>
      <c r="N8" s="2"/>
      <c r="O8" s="2"/>
      <c r="P8" s="2"/>
      <c r="Q8" s="2"/>
      <c r="R8" s="2"/>
      <c r="S8" s="1"/>
      <c r="T8" s="1"/>
      <c r="U8" s="1"/>
      <c r="V8" s="2319"/>
      <c r="W8" s="1"/>
      <c r="X8" s="1"/>
      <c r="Y8" s="1"/>
      <c r="Z8" s="1"/>
      <c r="AA8" s="1"/>
      <c r="AB8" s="3616"/>
      <c r="AC8" s="2326"/>
      <c r="AD8" s="2323"/>
      <c r="AE8" s="2323"/>
      <c r="AF8" s="2324"/>
      <c r="AG8" s="2324"/>
      <c r="AI8" s="2318"/>
      <c r="AJ8" s="2318"/>
      <c r="AK8" s="2318"/>
      <c r="AL8" s="2318"/>
    </row>
    <row r="9" spans="1:38" ht="16.149999999999999" customHeight="1">
      <c r="A9" s="1"/>
      <c r="B9" s="1"/>
      <c r="C9" s="1"/>
      <c r="D9" s="1"/>
      <c r="E9" s="1"/>
      <c r="F9" s="1"/>
      <c r="G9" s="1"/>
      <c r="H9" s="2"/>
      <c r="I9" s="2"/>
      <c r="J9" s="2"/>
      <c r="K9" s="2"/>
      <c r="L9" s="2"/>
      <c r="M9" s="1"/>
      <c r="N9" s="2"/>
      <c r="O9" s="2"/>
      <c r="P9" s="2"/>
      <c r="Q9" s="2"/>
      <c r="R9" s="2"/>
      <c r="S9" s="1"/>
      <c r="T9" s="1"/>
      <c r="U9" s="2325"/>
      <c r="V9" s="1"/>
      <c r="W9" s="1"/>
      <c r="X9" s="1"/>
      <c r="Y9" s="1"/>
      <c r="Z9" s="1"/>
      <c r="AA9" s="1"/>
      <c r="AB9" s="2326"/>
      <c r="AC9" s="2326"/>
      <c r="AD9" s="2327"/>
      <c r="AE9" s="2327"/>
      <c r="AF9" s="2328"/>
      <c r="AG9" s="2328"/>
      <c r="AI9" s="2310"/>
      <c r="AJ9" s="2318"/>
      <c r="AK9" s="2318"/>
      <c r="AL9" s="2318"/>
    </row>
    <row r="10" spans="1:38" ht="16.149999999999999" customHeight="1">
      <c r="A10" s="2329"/>
      <c r="B10" s="2329"/>
      <c r="C10" s="2329"/>
      <c r="D10" s="3" t="s">
        <v>3</v>
      </c>
      <c r="E10" s="3"/>
      <c r="F10" s="3"/>
      <c r="G10" s="2328"/>
      <c r="H10" s="3" t="s">
        <v>4</v>
      </c>
      <c r="I10" s="3"/>
      <c r="J10" s="3"/>
      <c r="K10" s="2328"/>
      <c r="L10" s="3" t="s">
        <v>5</v>
      </c>
      <c r="M10" s="3"/>
      <c r="N10" s="3"/>
      <c r="O10" s="2328"/>
      <c r="P10" s="3" t="s">
        <v>6</v>
      </c>
      <c r="Q10" s="3"/>
      <c r="R10" s="3"/>
      <c r="S10" s="2328"/>
      <c r="T10" s="2330"/>
      <c r="U10" s="2330"/>
      <c r="V10" s="3786" t="s">
        <v>1189</v>
      </c>
      <c r="W10" s="3787"/>
      <c r="X10" s="3787"/>
      <c r="Y10" s="3787"/>
      <c r="Z10" s="3787"/>
      <c r="AA10" s="3787"/>
      <c r="AB10" s="3787"/>
      <c r="AC10" s="3787"/>
      <c r="AD10" s="3787"/>
      <c r="AE10" s="3787"/>
      <c r="AF10" s="3787"/>
      <c r="AG10" s="3787"/>
      <c r="AH10" s="3787"/>
      <c r="AI10" s="3787"/>
      <c r="AJ10" s="1468"/>
      <c r="AK10" s="2318"/>
      <c r="AL10" s="2318"/>
    </row>
    <row r="11" spans="1:38" ht="16.149999999999999" customHeight="1">
      <c r="A11" s="2329"/>
      <c r="B11" s="2329"/>
      <c r="C11" s="2329"/>
      <c r="D11" s="5" t="s">
        <v>7</v>
      </c>
      <c r="E11" s="5"/>
      <c r="F11" s="4" t="s">
        <v>1467</v>
      </c>
      <c r="G11" s="2324"/>
      <c r="H11" s="5" t="s">
        <v>7</v>
      </c>
      <c r="I11" s="5"/>
      <c r="J11" s="5" t="str">
        <f>F11</f>
        <v>4 MOS. ENDED</v>
      </c>
      <c r="K11" s="2324"/>
      <c r="L11" s="5" t="s">
        <v>7</v>
      </c>
      <c r="M11" s="5"/>
      <c r="N11" s="5" t="str">
        <f>F11</f>
        <v>4 MOS. ENDED</v>
      </c>
      <c r="O11" s="2324"/>
      <c r="P11" s="5" t="s">
        <v>7</v>
      </c>
      <c r="Q11" s="5"/>
      <c r="R11" s="5" t="str">
        <f>J11</f>
        <v>4 MOS. ENDED</v>
      </c>
      <c r="S11" s="2324"/>
      <c r="T11" s="2324"/>
      <c r="U11" s="2331"/>
      <c r="V11" s="5" t="s">
        <v>7</v>
      </c>
      <c r="W11" s="5"/>
      <c r="X11" s="5" t="str">
        <f>F11</f>
        <v>4 MOS. ENDED</v>
      </c>
      <c r="Y11" s="5"/>
      <c r="Z11" s="5"/>
      <c r="AA11" s="5"/>
      <c r="AB11" s="3627" t="s">
        <v>7</v>
      </c>
      <c r="AC11" s="3627"/>
      <c r="AD11" s="3671" t="str">
        <f>F11</f>
        <v>4 MOS. ENDED</v>
      </c>
      <c r="AE11" s="2332"/>
      <c r="AF11" s="5"/>
      <c r="AG11" s="5" t="s">
        <v>8</v>
      </c>
      <c r="AH11" s="2333"/>
      <c r="AI11" s="5" t="s">
        <v>9</v>
      </c>
      <c r="AJ11" s="2318"/>
      <c r="AK11" s="2318"/>
      <c r="AL11" s="2318"/>
    </row>
    <row r="12" spans="1:38" ht="16.149999999999999" customHeight="1">
      <c r="A12" s="2329"/>
      <c r="B12" s="2329"/>
      <c r="C12" s="2329"/>
      <c r="D12" s="923" t="s">
        <v>1465</v>
      </c>
      <c r="E12" s="2324"/>
      <c r="F12" s="923" t="s">
        <v>1466</v>
      </c>
      <c r="G12" s="2324"/>
      <c r="H12" s="6" t="str">
        <f>D12</f>
        <v>JULY 2019</v>
      </c>
      <c r="I12" s="2324"/>
      <c r="J12" s="6" t="str">
        <f>F12</f>
        <v>JULY 31, 2019</v>
      </c>
      <c r="K12" s="2324"/>
      <c r="L12" s="6" t="str">
        <f>D12</f>
        <v>JULY 2019</v>
      </c>
      <c r="M12" s="2324"/>
      <c r="N12" s="6" t="str">
        <f>F12</f>
        <v>JULY 31, 2019</v>
      </c>
      <c r="O12" s="2324"/>
      <c r="P12" s="6" t="str">
        <f>D12</f>
        <v>JULY 2019</v>
      </c>
      <c r="Q12" s="2324"/>
      <c r="R12" s="6" t="str">
        <f>J12</f>
        <v>JULY 31, 2019</v>
      </c>
      <c r="S12" s="2324"/>
      <c r="T12" s="2324"/>
      <c r="U12" s="2334"/>
      <c r="V12" s="6" t="str">
        <f>D12</f>
        <v>JULY 2019</v>
      </c>
      <c r="W12" s="2324"/>
      <c r="X12" s="6" t="str">
        <f>F12</f>
        <v>JULY 31, 2019</v>
      </c>
      <c r="Y12" s="2324"/>
      <c r="Z12" s="2324"/>
      <c r="AA12" s="2324"/>
      <c r="AB12" s="3613" t="s">
        <v>1468</v>
      </c>
      <c r="AC12" s="2436"/>
      <c r="AD12" s="3613" t="s">
        <v>1469</v>
      </c>
      <c r="AE12" s="4"/>
      <c r="AF12" s="4"/>
      <c r="AG12" s="6" t="s">
        <v>12</v>
      </c>
      <c r="AH12" s="2310"/>
      <c r="AI12" s="923" t="s">
        <v>13</v>
      </c>
      <c r="AJ12" s="1468"/>
      <c r="AK12" s="2318"/>
      <c r="AL12" s="2318"/>
    </row>
    <row r="13" spans="1:38" ht="16.149999999999999" customHeight="1">
      <c r="A13" s="2328" t="s">
        <v>14</v>
      </c>
      <c r="B13" s="2329"/>
      <c r="C13" s="2329"/>
      <c r="D13" s="2335" t="s">
        <v>15</v>
      </c>
      <c r="E13" s="2329"/>
      <c r="F13" s="7"/>
      <c r="G13" s="2329"/>
      <c r="H13" s="2335" t="s">
        <v>15</v>
      </c>
      <c r="I13" s="2329"/>
      <c r="J13" s="7"/>
      <c r="K13" s="2329"/>
      <c r="L13" s="2335" t="s">
        <v>15</v>
      </c>
      <c r="M13" s="2329"/>
      <c r="N13" s="7"/>
      <c r="O13" s="2329"/>
      <c r="P13" s="627" t="s">
        <v>15</v>
      </c>
      <c r="Q13" s="2336"/>
      <c r="R13" s="627"/>
      <c r="S13" s="2337"/>
      <c r="T13" s="2337"/>
      <c r="U13" s="7"/>
      <c r="V13" s="2335"/>
      <c r="W13" s="2329"/>
      <c r="X13" s="7"/>
      <c r="Y13" s="2337"/>
      <c r="Z13" s="2338"/>
      <c r="AA13" s="7"/>
      <c r="AB13" s="3617"/>
      <c r="AC13" s="2378"/>
      <c r="AD13" s="2339"/>
      <c r="AE13" s="2339"/>
      <c r="AF13" s="2340"/>
      <c r="AG13" s="7"/>
      <c r="AI13" s="1468"/>
      <c r="AJ13" s="1468"/>
      <c r="AK13" s="2318"/>
      <c r="AL13" s="2318"/>
    </row>
    <row r="14" spans="1:38" ht="18" customHeight="1">
      <c r="A14" s="2329" t="s">
        <v>16</v>
      </c>
      <c r="B14" s="2341" t="s">
        <v>15</v>
      </c>
      <c r="C14" s="2329"/>
      <c r="D14" s="1400">
        <f>+'Exhibit F'!J26</f>
        <v>1665.8</v>
      </c>
      <c r="E14" s="2342" t="s">
        <v>15</v>
      </c>
      <c r="F14" s="669">
        <f>+'Exhibit F'!AC26</f>
        <v>10120.799999999999</v>
      </c>
      <c r="G14" s="2342"/>
      <c r="H14" s="1400">
        <f>'Exhibit G'!J17</f>
        <v>0</v>
      </c>
      <c r="I14" s="2343"/>
      <c r="J14" s="669">
        <f>'Exhibit G'!AD17</f>
        <v>0</v>
      </c>
      <c r="K14" s="2342"/>
      <c r="L14" s="1461">
        <f>+'Exhibit H'!H16</f>
        <v>1665.7999999999993</v>
      </c>
      <c r="M14" s="669"/>
      <c r="N14" s="669">
        <f>+'Exhibit H'!AA16</f>
        <v>10120.699999999999</v>
      </c>
      <c r="O14" s="669"/>
      <c r="P14" s="687">
        <v>0</v>
      </c>
      <c r="Q14" s="1400"/>
      <c r="R14" s="687">
        <v>0</v>
      </c>
      <c r="S14" s="2344"/>
      <c r="T14" s="2344"/>
      <c r="U14" s="2345"/>
      <c r="V14" s="1400">
        <f t="shared" ref="V14:V19" si="0">ROUND(SUM(D14)+SUM(H14)+SUM(L14)+SUM(P14),1)</f>
        <v>3331.6</v>
      </c>
      <c r="W14" s="669" t="s">
        <v>15</v>
      </c>
      <c r="X14" s="669">
        <f>ROUND(SUM(F14)+SUM(J14)+SUM(N14)+SUM(R14),1)</f>
        <v>20241.5</v>
      </c>
      <c r="Y14" s="2346"/>
      <c r="Z14" s="2347"/>
      <c r="AA14" s="2348"/>
      <c r="AB14" s="3618">
        <v>2899.7000000000003</v>
      </c>
      <c r="AC14" s="3571"/>
      <c r="AD14" s="1869">
        <f>'Exhibit F'!AF26+'Exhibit G'!AG17+'Exhibit H'!AD16</f>
        <v>15890.7</v>
      </c>
      <c r="AE14" s="1869"/>
      <c r="AF14" s="2349"/>
      <c r="AG14" s="2342">
        <f t="shared" ref="AG14:AG19" si="1">ROUND(SUM(X14-AD14),1)</f>
        <v>4350.8</v>
      </c>
      <c r="AH14" s="2350"/>
      <c r="AI14" s="1465">
        <f t="shared" ref="AI14:AI19" si="2">ROUND(SUM((+X14-AD14)/ABS(AD14)),3)</f>
        <v>0.27400000000000002</v>
      </c>
      <c r="AJ14" s="2351"/>
      <c r="AK14" s="2318"/>
      <c r="AL14" s="2318"/>
    </row>
    <row r="15" spans="1:38" ht="18" customHeight="1">
      <c r="A15" s="2329" t="s">
        <v>17</v>
      </c>
      <c r="B15" s="2341">
        <v>-4</v>
      </c>
      <c r="C15" s="2329"/>
      <c r="D15" s="629">
        <f>+'Exhibit F'!J35</f>
        <v>636.79999999999995</v>
      </c>
      <c r="E15" s="9"/>
      <c r="F15" s="9">
        <f>+'Exhibit F'!AC35</f>
        <v>2616.1999999999998</v>
      </c>
      <c r="G15" s="9"/>
      <c r="H15" s="629">
        <f>'Exhibit G'!J28</f>
        <v>163.80000000000001</v>
      </c>
      <c r="I15" s="9"/>
      <c r="J15" s="9">
        <f>+'Exhibit G'!AD28</f>
        <v>677.1</v>
      </c>
      <c r="K15" s="9"/>
      <c r="L15" s="1460">
        <f>'Exhibit H'!H20</f>
        <v>579.29999999999995</v>
      </c>
      <c r="M15" s="9"/>
      <c r="N15" s="9">
        <f>+'Exhibit H'!AA20</f>
        <v>2411.6999999999998</v>
      </c>
      <c r="O15" s="9"/>
      <c r="P15" s="1460">
        <f>'Exhibit I'!K23</f>
        <v>45</v>
      </c>
      <c r="Q15" s="629"/>
      <c r="R15" s="1460">
        <f>+'Exhibit I'!AF23</f>
        <v>210.7</v>
      </c>
      <c r="S15" s="2353"/>
      <c r="T15" s="2353"/>
      <c r="U15" s="14"/>
      <c r="V15" s="629">
        <f>ROUND(SUM(D15)+SUM(H15)+SUM(L15)+SUM(P15),1)</f>
        <v>1424.9</v>
      </c>
      <c r="W15" s="9" t="s">
        <v>15</v>
      </c>
      <c r="X15" s="9">
        <f t="shared" ref="X15:X19" si="3">ROUND(SUM(F15)+SUM(J15)+SUM(N15)+SUM(R15),1)</f>
        <v>5915.7</v>
      </c>
      <c r="Y15" s="2353"/>
      <c r="Z15" s="2354"/>
      <c r="AA15" s="14"/>
      <c r="AB15" s="2108">
        <v>1374.6</v>
      </c>
      <c r="AC15" s="22"/>
      <c r="AD15" s="2339">
        <f>'Exhibit F'!AF35+'Exhibit G'!AG28+'Exhibit H'!AD20+'Exhibit I'!AI23</f>
        <v>5742.5</v>
      </c>
      <c r="AE15" s="1464"/>
      <c r="AF15" s="2355"/>
      <c r="AG15" s="9">
        <f t="shared" si="1"/>
        <v>173.2</v>
      </c>
      <c r="AI15" s="1465">
        <f t="shared" si="2"/>
        <v>0.03</v>
      </c>
      <c r="AJ15" s="7"/>
      <c r="AK15" s="2318"/>
      <c r="AL15" s="2318"/>
    </row>
    <row r="16" spans="1:38" ht="18" customHeight="1">
      <c r="A16" s="2329" t="s">
        <v>18</v>
      </c>
      <c r="B16" s="2356"/>
      <c r="C16" s="2329"/>
      <c r="D16" s="629">
        <f>+'Exhibit F'!J42</f>
        <v>160.19999999999999</v>
      </c>
      <c r="E16" s="9"/>
      <c r="F16" s="9">
        <f>+'Exhibit F'!AC42</f>
        <v>1665</v>
      </c>
      <c r="G16" s="9"/>
      <c r="H16" s="629">
        <f>'Exhibit G'!J35</f>
        <v>84.4</v>
      </c>
      <c r="I16" s="9"/>
      <c r="J16" s="9">
        <f>'Exhibit G'!AD35</f>
        <v>623.6</v>
      </c>
      <c r="K16" s="9"/>
      <c r="L16" s="632">
        <v>0</v>
      </c>
      <c r="M16" s="9"/>
      <c r="N16" s="10">
        <v>0</v>
      </c>
      <c r="O16" s="9"/>
      <c r="P16" s="1460">
        <f>'Exhibit I'!K28</f>
        <v>52.5</v>
      </c>
      <c r="Q16" s="629"/>
      <c r="R16" s="1460">
        <f>'Exhibit I'!AF28</f>
        <v>228.1</v>
      </c>
      <c r="S16" s="2353"/>
      <c r="T16" s="2353"/>
      <c r="U16" s="14"/>
      <c r="V16" s="629">
        <f t="shared" si="0"/>
        <v>297.10000000000002</v>
      </c>
      <c r="W16" s="9" t="s">
        <v>15</v>
      </c>
      <c r="X16" s="9">
        <f t="shared" si="3"/>
        <v>2516.6999999999998</v>
      </c>
      <c r="Y16" s="2353"/>
      <c r="Z16" s="2354"/>
      <c r="AA16" s="14"/>
      <c r="AB16" s="2108">
        <v>299.90000000000003</v>
      </c>
      <c r="AC16" s="22"/>
      <c r="AD16" s="2339">
        <f>'Exhibit F'!AF42+'Exhibit G'!AG35+'Exhibit I'!AI28</f>
        <v>2208.5</v>
      </c>
      <c r="AE16" s="1464"/>
      <c r="AF16" s="2355"/>
      <c r="AG16" s="9">
        <f t="shared" si="1"/>
        <v>308.2</v>
      </c>
      <c r="AI16" s="1465">
        <f t="shared" si="2"/>
        <v>0.14000000000000001</v>
      </c>
      <c r="AJ16" s="7"/>
      <c r="AK16" s="2318"/>
      <c r="AL16" s="2318"/>
    </row>
    <row r="17" spans="1:38" ht="18" customHeight="1">
      <c r="A17" s="2329" t="s">
        <v>19</v>
      </c>
      <c r="B17" s="2341">
        <v>-3</v>
      </c>
      <c r="C17" s="2329"/>
      <c r="D17" s="629">
        <f>+'Exhibit F'!J51</f>
        <v>126.2</v>
      </c>
      <c r="E17" s="9"/>
      <c r="F17" s="9">
        <f>+'Exhibit F'!AC51</f>
        <v>329.7</v>
      </c>
      <c r="G17" s="9"/>
      <c r="H17" s="629">
        <v>0</v>
      </c>
      <c r="I17" s="9"/>
      <c r="J17" s="9">
        <v>0</v>
      </c>
      <c r="K17" s="9"/>
      <c r="L17" s="1460">
        <f>'Exhibit H'!H24</f>
        <v>119</v>
      </c>
      <c r="M17" s="9"/>
      <c r="N17" s="9">
        <f>+'Exhibit H'!AA24</f>
        <v>374.7</v>
      </c>
      <c r="O17" s="9"/>
      <c r="P17" s="1460">
        <f>'Exhibit I'!K31</f>
        <v>11.9</v>
      </c>
      <c r="Q17" s="629"/>
      <c r="R17" s="1460">
        <f>'Exhibit I'!AF31</f>
        <v>23.8</v>
      </c>
      <c r="S17" s="2353"/>
      <c r="T17" s="2353"/>
      <c r="U17" s="14"/>
      <c r="V17" s="629">
        <f t="shared" si="0"/>
        <v>257.10000000000002</v>
      </c>
      <c r="W17" s="9" t="s">
        <v>15</v>
      </c>
      <c r="X17" s="9">
        <f t="shared" si="3"/>
        <v>728.2</v>
      </c>
      <c r="Y17" s="2353"/>
      <c r="Z17" s="2354"/>
      <c r="AA17" s="14"/>
      <c r="AB17" s="2108">
        <v>198.4</v>
      </c>
      <c r="AC17" s="22"/>
      <c r="AD17" s="1464">
        <f>'Exhibit F'!AF51+'Exhibit H'!AD24+'Exhibit I'!AI31</f>
        <v>683.59999999999991</v>
      </c>
      <c r="AE17" s="1464"/>
      <c r="AF17" s="2355"/>
      <c r="AG17" s="9">
        <f t="shared" si="1"/>
        <v>44.6</v>
      </c>
      <c r="AI17" s="1465">
        <f t="shared" si="2"/>
        <v>6.5000000000000002E-2</v>
      </c>
      <c r="AJ17" s="2339"/>
      <c r="AK17" s="2318"/>
      <c r="AL17" s="2318"/>
    </row>
    <row r="18" spans="1:38" ht="18" customHeight="1">
      <c r="A18" s="2329" t="s">
        <v>20</v>
      </c>
      <c r="B18" s="2341">
        <v>-4</v>
      </c>
      <c r="C18" s="2329"/>
      <c r="D18" s="629">
        <f>+'Exhibit F'!J91</f>
        <v>87.4</v>
      </c>
      <c r="E18" s="9"/>
      <c r="F18" s="9">
        <f>+'Exhibit F'!AC91</f>
        <v>1266.5</v>
      </c>
      <c r="G18" s="9"/>
      <c r="H18" s="629">
        <f>'Exhibit G'!J80</f>
        <v>1545.8</v>
      </c>
      <c r="I18" s="9"/>
      <c r="J18" s="9">
        <f>+'Exhibit G'!AD80</f>
        <v>6101.6</v>
      </c>
      <c r="K18" s="9"/>
      <c r="L18" s="1460">
        <f>+'Exhibit H'!H45</f>
        <v>90.1</v>
      </c>
      <c r="M18" s="9"/>
      <c r="N18" s="9">
        <f>+'Exhibit H'!AA45</f>
        <v>207</v>
      </c>
      <c r="O18" s="9"/>
      <c r="P18" s="1460">
        <f>+'Exhibit I'!K61</f>
        <v>245.3</v>
      </c>
      <c r="Q18" s="629"/>
      <c r="R18" s="629">
        <f>+'Exhibit I'!AF61</f>
        <v>896</v>
      </c>
      <c r="S18" s="2353"/>
      <c r="T18" s="2353"/>
      <c r="U18" s="14"/>
      <c r="V18" s="629">
        <f>ROUND(SUM(D18)+SUM(H18)+SUM(L18)+SUM(P18),1)</f>
        <v>1968.6</v>
      </c>
      <c r="W18" s="9" t="s">
        <v>15</v>
      </c>
      <c r="X18" s="9">
        <f t="shared" si="3"/>
        <v>8471.1</v>
      </c>
      <c r="Y18" s="2353"/>
      <c r="Z18" s="2354"/>
      <c r="AA18" s="14"/>
      <c r="AB18" s="2108">
        <v>2912</v>
      </c>
      <c r="AC18" s="22"/>
      <c r="AD18" s="1464">
        <f>'Exhibit F'!AF91+'Exhibit G'!AG80+'Exhibit H'!AD45+'Exhibit I'!AI61</f>
        <v>8878.6</v>
      </c>
      <c r="AE18" s="1464"/>
      <c r="AF18" s="2355"/>
      <c r="AG18" s="9">
        <f t="shared" si="1"/>
        <v>-407.5</v>
      </c>
      <c r="AI18" s="1465">
        <f t="shared" si="2"/>
        <v>-4.5999999999999999E-2</v>
      </c>
      <c r="AJ18" s="7"/>
      <c r="AK18" s="2318"/>
      <c r="AL18" s="2318"/>
    </row>
    <row r="19" spans="1:38" ht="18" customHeight="1">
      <c r="A19" s="2329" t="s">
        <v>21</v>
      </c>
      <c r="B19" s="2357"/>
      <c r="C19" s="2329"/>
      <c r="D19" s="629">
        <f>+'Exhibit F'!J93</f>
        <v>0</v>
      </c>
      <c r="E19" s="14"/>
      <c r="F19" s="9">
        <f>+'Exhibit F'!AC93</f>
        <v>0</v>
      </c>
      <c r="G19" s="9"/>
      <c r="H19" s="629">
        <f>'Exhibit G'!J82</f>
        <v>3118.1000000000008</v>
      </c>
      <c r="I19" s="9"/>
      <c r="J19" s="9">
        <f>+'Exhibit G'!AD82</f>
        <v>19809.7</v>
      </c>
      <c r="K19" s="9"/>
      <c r="L19" s="1460">
        <f>+'Exhibit H'!H47</f>
        <v>1.6</v>
      </c>
      <c r="M19" s="14"/>
      <c r="N19" s="9">
        <f>+'Exhibit H'!AA47</f>
        <v>1.6</v>
      </c>
      <c r="O19" s="9"/>
      <c r="P19" s="1460">
        <f>+'Exhibit I'!K63</f>
        <v>155.69999999999999</v>
      </c>
      <c r="Q19" s="629"/>
      <c r="R19" s="629">
        <f>+'Exhibit I'!AF63</f>
        <v>469.1</v>
      </c>
      <c r="S19" s="2353"/>
      <c r="T19" s="2353"/>
      <c r="U19" s="14"/>
      <c r="V19" s="630">
        <f t="shared" si="0"/>
        <v>3275.4</v>
      </c>
      <c r="W19" s="9" t="s">
        <v>15</v>
      </c>
      <c r="X19" s="14">
        <f t="shared" si="3"/>
        <v>20280.400000000001</v>
      </c>
      <c r="Y19" s="2353"/>
      <c r="Z19" s="2354"/>
      <c r="AA19" s="14"/>
      <c r="AB19" s="2108">
        <v>4088.1</v>
      </c>
      <c r="AC19" s="22"/>
      <c r="AD19" s="1464">
        <f>'Exhibit F'!AF93+'Exhibit G'!AG82+'Exhibit H'!AD47+'Exhibit I'!AI63</f>
        <v>18070.999999999996</v>
      </c>
      <c r="AE19" s="1464"/>
      <c r="AF19" s="2355"/>
      <c r="AG19" s="9">
        <f t="shared" si="1"/>
        <v>2209.4</v>
      </c>
      <c r="AI19" s="1465">
        <f t="shared" si="2"/>
        <v>0.122</v>
      </c>
      <c r="AJ19" s="7"/>
      <c r="AK19" s="2318"/>
      <c r="AL19" s="2318"/>
    </row>
    <row r="20" spans="1:38" ht="18" customHeight="1">
      <c r="A20" s="2328" t="s">
        <v>22</v>
      </c>
      <c r="B20" s="2329"/>
      <c r="C20" s="2329"/>
      <c r="D20" s="11">
        <f>ROUND(SUM(D14:D19),1)</f>
        <v>2676.4</v>
      </c>
      <c r="E20" s="2358"/>
      <c r="F20" s="11">
        <f>ROUND(SUM(F14:F19),1)</f>
        <v>15998.2</v>
      </c>
      <c r="G20" s="1402"/>
      <c r="H20" s="12">
        <f>ROUND(SUM(H14:H19),1)</f>
        <v>4912.1000000000004</v>
      </c>
      <c r="I20" s="1402"/>
      <c r="J20" s="12">
        <f>ROUND(SUM(J14:J19),1)</f>
        <v>27212</v>
      </c>
      <c r="K20" s="1402"/>
      <c r="L20" s="11">
        <f>ROUND(SUM(L14:L19),1)</f>
        <v>2455.8000000000002</v>
      </c>
      <c r="M20" s="1402"/>
      <c r="N20" s="12">
        <f>ROUND(SUM(N14:N19),1)</f>
        <v>13115.7</v>
      </c>
      <c r="O20" s="1402"/>
      <c r="P20" s="12">
        <f>ROUND(SUM(P14:P19),1)</f>
        <v>510.4</v>
      </c>
      <c r="Q20" s="1402"/>
      <c r="R20" s="12">
        <f>ROUND(SUM(R14:R19),1)</f>
        <v>1827.7</v>
      </c>
      <c r="S20" s="2359"/>
      <c r="T20" s="2359"/>
      <c r="U20" s="2360"/>
      <c r="V20" s="12">
        <f>ROUND(SUM(V14:V19),1)</f>
        <v>10554.7</v>
      </c>
      <c r="W20" s="1402"/>
      <c r="X20" s="12">
        <f>ROUND(SUM(X14:X19),1)</f>
        <v>58153.599999999999</v>
      </c>
      <c r="Y20" s="2359"/>
      <c r="Z20" s="2361"/>
      <c r="AA20" s="2360"/>
      <c r="AB20" s="1612">
        <f>ROUND(SUM(AB14:AB19),1)</f>
        <v>11772.7</v>
      </c>
      <c r="AC20" s="23"/>
      <c r="AD20" s="1612">
        <f>ROUND(SUM(AD14:AD19),1)</f>
        <v>51474.9</v>
      </c>
      <c r="AE20" s="1520"/>
      <c r="AF20" s="2362"/>
      <c r="AG20" s="12">
        <f>ROUND(SUM(AG14:AG19),1)</f>
        <v>6678.7</v>
      </c>
      <c r="AH20" s="2363"/>
      <c r="AI20" s="1482">
        <f>(+X20-AD20)/ABS(AD20)</f>
        <v>0.12974673093099737</v>
      </c>
      <c r="AJ20" s="2364"/>
      <c r="AK20" s="2318"/>
      <c r="AL20" s="2318"/>
    </row>
    <row r="21" spans="1:38" ht="16.149999999999999" customHeight="1">
      <c r="A21" s="2328"/>
      <c r="B21" s="2329"/>
      <c r="C21" s="2329"/>
      <c r="D21" s="630"/>
      <c r="E21" s="14"/>
      <c r="F21" s="14"/>
      <c r="G21" s="9"/>
      <c r="H21" s="630"/>
      <c r="I21" s="9"/>
      <c r="J21" s="14"/>
      <c r="K21" s="9"/>
      <c r="L21" s="630"/>
      <c r="M21" s="9"/>
      <c r="N21" s="14"/>
      <c r="O21" s="9"/>
      <c r="P21" s="630"/>
      <c r="Q21" s="629"/>
      <c r="R21" s="630"/>
      <c r="S21" s="2353"/>
      <c r="T21" s="2353"/>
      <c r="U21" s="14"/>
      <c r="V21" s="630"/>
      <c r="W21" s="9"/>
      <c r="X21" s="14"/>
      <c r="Y21" s="2353"/>
      <c r="Z21" s="2354"/>
      <c r="AA21" s="14"/>
      <c r="AB21" s="1459"/>
      <c r="AC21" s="22"/>
      <c r="AD21" s="1464"/>
      <c r="AE21" s="1464"/>
      <c r="AF21" s="2355"/>
      <c r="AG21" s="14"/>
      <c r="AI21" s="1468"/>
      <c r="AJ21" s="7"/>
      <c r="AK21" s="2318"/>
      <c r="AL21" s="2318"/>
    </row>
    <row r="22" spans="1:38" ht="16.149999999999999" customHeight="1">
      <c r="A22" s="2328" t="s">
        <v>23</v>
      </c>
      <c r="B22" s="2329"/>
      <c r="C22" s="2329"/>
      <c r="D22" s="629"/>
      <c r="E22" s="9"/>
      <c r="F22" s="9"/>
      <c r="G22" s="9"/>
      <c r="H22" s="629"/>
      <c r="I22" s="9"/>
      <c r="J22" s="9"/>
      <c r="K22" s="9"/>
      <c r="L22" s="629"/>
      <c r="M22" s="9"/>
      <c r="N22" s="9"/>
      <c r="O22" s="9"/>
      <c r="P22" s="629"/>
      <c r="Q22" s="629"/>
      <c r="R22" s="629"/>
      <c r="S22" s="2353"/>
      <c r="T22" s="2353"/>
      <c r="U22" s="14"/>
      <c r="V22" s="629"/>
      <c r="W22" s="9"/>
      <c r="X22" s="9"/>
      <c r="Y22" s="2353"/>
      <c r="Z22" s="2354"/>
      <c r="AA22" s="14"/>
      <c r="AB22" s="634"/>
      <c r="AC22" s="22"/>
      <c r="AD22" s="1464"/>
      <c r="AE22" s="1464"/>
      <c r="AF22" s="2355"/>
      <c r="AG22" s="9"/>
      <c r="AI22" s="1468"/>
      <c r="AJ22" s="7"/>
      <c r="AK22" s="2318"/>
      <c r="AL22" s="2318"/>
    </row>
    <row r="23" spans="1:38" ht="16.149999999999999" customHeight="1">
      <c r="A23" s="2329" t="s">
        <v>24</v>
      </c>
      <c r="B23" s="2365" t="s">
        <v>1432</v>
      </c>
      <c r="C23" s="2329"/>
      <c r="D23" s="632" t="s">
        <v>15</v>
      </c>
      <c r="E23" s="9"/>
      <c r="F23" s="10" t="s">
        <v>15</v>
      </c>
      <c r="G23" s="9"/>
      <c r="H23" s="631"/>
      <c r="I23" s="9"/>
      <c r="J23" s="15"/>
      <c r="K23" s="9"/>
      <c r="L23" s="631"/>
      <c r="M23" s="9"/>
      <c r="N23" s="15"/>
      <c r="O23" s="9"/>
      <c r="P23" s="631"/>
      <c r="Q23" s="629"/>
      <c r="R23" s="631"/>
      <c r="S23" s="2353"/>
      <c r="T23" s="2353"/>
      <c r="U23" s="14"/>
      <c r="V23" s="631"/>
      <c r="W23" s="9"/>
      <c r="X23" s="15"/>
      <c r="Y23" s="2353"/>
      <c r="Z23" s="2354"/>
      <c r="AA23" s="14"/>
      <c r="AB23" s="1852"/>
      <c r="AC23" s="22"/>
      <c r="AD23" s="2465"/>
      <c r="AE23" s="1464"/>
      <c r="AF23" s="2355"/>
      <c r="AG23" s="15"/>
      <c r="AI23" s="2366"/>
      <c r="AJ23" s="7"/>
      <c r="AK23" s="2318"/>
      <c r="AL23" s="2318"/>
    </row>
    <row r="24" spans="1:38" ht="18" customHeight="1">
      <c r="A24" s="2367" t="s">
        <v>25</v>
      </c>
      <c r="B24" s="2329"/>
      <c r="C24" s="2329"/>
      <c r="D24" s="1405">
        <f>+'Exhibit F'!J99</f>
        <v>1611.3999999999996</v>
      </c>
      <c r="E24" s="9"/>
      <c r="F24" s="9">
        <f>+'Exhibit F'!AC99</f>
        <v>8697.9</v>
      </c>
      <c r="G24" s="9"/>
      <c r="H24" s="1460">
        <f>'Exhibit G'!J88</f>
        <v>288.09999999999985</v>
      </c>
      <c r="I24" s="9"/>
      <c r="J24" s="9">
        <f>+'Exhibit G'!AD88</f>
        <v>1828.3</v>
      </c>
      <c r="K24" s="9"/>
      <c r="L24" s="1401">
        <v>0</v>
      </c>
      <c r="M24" s="14"/>
      <c r="N24" s="16">
        <v>0</v>
      </c>
      <c r="O24" s="9"/>
      <c r="P24" s="1460">
        <f>'Exhibit I'!K69</f>
        <v>10.700000000000001</v>
      </c>
      <c r="Q24" s="1460"/>
      <c r="R24" s="629">
        <f>+'Exhibit I'!AF69</f>
        <v>33.4</v>
      </c>
      <c r="S24" s="2353"/>
      <c r="T24" s="2353"/>
      <c r="U24" s="14"/>
      <c r="V24" s="629">
        <f>ROUND(SUM(D24)+SUM(H24)+SUM(L24)+SUM(P24),1)</f>
        <v>1910.2</v>
      </c>
      <c r="W24" s="9" t="s">
        <v>15</v>
      </c>
      <c r="X24" s="9">
        <f>ROUND(SUM(F24)+SUM(J24)+SUM(N24)+SUM(R24),1)</f>
        <v>10559.6</v>
      </c>
      <c r="Y24" s="2353"/>
      <c r="Z24" s="2354"/>
      <c r="AA24" s="14"/>
      <c r="AB24" s="2108">
        <v>2145.9</v>
      </c>
      <c r="AC24" s="22"/>
      <c r="AD24" s="1464">
        <f>'Exhibit F'!AF99+'Exhibit G'!AG88+'Exhibit I'!AI69</f>
        <v>10524.3</v>
      </c>
      <c r="AE24" s="2368"/>
      <c r="AF24" s="2369"/>
      <c r="AG24" s="9">
        <f>ROUND(SUM(X24-AD24),1)</f>
        <v>35.299999999999997</v>
      </c>
      <c r="AI24" s="1465">
        <f>ROUND(SUM((+X24-AD24)/ABS(AD24)),3)</f>
        <v>3.0000000000000001E-3</v>
      </c>
      <c r="AJ24" s="7"/>
      <c r="AK24" s="2318"/>
      <c r="AL24" s="2318"/>
    </row>
    <row r="25" spans="1:38" ht="18" customHeight="1">
      <c r="A25" s="2367" t="s">
        <v>26</v>
      </c>
      <c r="B25" s="2370"/>
      <c r="C25" s="2329"/>
      <c r="D25" s="1405">
        <f>+'Exhibit F'!J100</f>
        <v>0</v>
      </c>
      <c r="E25" s="9"/>
      <c r="F25" s="9">
        <f>+'Exhibit F'!AC100</f>
        <v>0.3</v>
      </c>
      <c r="G25" s="9"/>
      <c r="H25" s="1460">
        <f>'Exhibit G'!J89</f>
        <v>-9.9999999999999978E-2</v>
      </c>
      <c r="I25" s="9"/>
      <c r="J25" s="9">
        <f>+'Exhibit G'!AD89</f>
        <v>0.7</v>
      </c>
      <c r="K25" s="9"/>
      <c r="L25" s="1401">
        <v>0</v>
      </c>
      <c r="M25" s="14"/>
      <c r="N25" s="16">
        <v>0</v>
      </c>
      <c r="O25" s="9"/>
      <c r="P25" s="1460">
        <f>'Exhibit I'!K70</f>
        <v>15</v>
      </c>
      <c r="Q25" s="1460"/>
      <c r="R25" s="629">
        <f>+'Exhibit I'!AF70</f>
        <v>75.7</v>
      </c>
      <c r="S25" s="2353"/>
      <c r="T25" s="2353"/>
      <c r="U25" s="14"/>
      <c r="V25" s="629">
        <f t="shared" ref="V25:V32" si="4">ROUND(SUM(D25)+SUM(H25)+SUM(L25)+SUM(P25),1)</f>
        <v>14.9</v>
      </c>
      <c r="W25" s="9" t="s">
        <v>15</v>
      </c>
      <c r="X25" s="9">
        <f t="shared" ref="X25:X32" si="5">ROUND(SUM(F25)+SUM(J25)+SUM(N25)+SUM(R25),1)</f>
        <v>76.7</v>
      </c>
      <c r="Y25" s="2353"/>
      <c r="Z25" s="2354"/>
      <c r="AA25" s="14"/>
      <c r="AB25" s="2108">
        <v>8.1</v>
      </c>
      <c r="AC25" s="3572"/>
      <c r="AD25" s="1464">
        <f>'Exhibit F'!AF100+'Exhibit G'!AG89+'Exhibit I'!AI70</f>
        <v>54.4</v>
      </c>
      <c r="AE25" s="14"/>
      <c r="AF25" s="2355"/>
      <c r="AG25" s="9">
        <f t="shared" ref="AG25:AG33" si="6">ROUND(SUM(X25-AD25),1)</f>
        <v>22.3</v>
      </c>
      <c r="AI25" s="1465">
        <f t="shared" ref="AI25:AI32" si="7">ROUND(SUM((+X25-AD25)/ABS(AD25)),3)</f>
        <v>0.41</v>
      </c>
      <c r="AJ25" s="7"/>
      <c r="AK25" s="2318"/>
      <c r="AL25" s="2318"/>
    </row>
    <row r="26" spans="1:38" ht="18" customHeight="1">
      <c r="A26" s="2367" t="s">
        <v>27</v>
      </c>
      <c r="B26" s="2371"/>
      <c r="C26" s="2329"/>
      <c r="D26" s="1405">
        <f>+'Exhibit F'!J101</f>
        <v>2.2000000000000455</v>
      </c>
      <c r="E26" s="9"/>
      <c r="F26" s="9">
        <f>+'Exhibit F'!AC101</f>
        <v>594.5</v>
      </c>
      <c r="G26" s="9"/>
      <c r="H26" s="1460">
        <f>'Exhibit G'!J90</f>
        <v>21.4</v>
      </c>
      <c r="I26" s="9"/>
      <c r="J26" s="9">
        <f>+'Exhibit G'!AD90</f>
        <v>81.5</v>
      </c>
      <c r="K26" s="9"/>
      <c r="L26" s="1401">
        <v>0</v>
      </c>
      <c r="M26" s="14"/>
      <c r="N26" s="16">
        <v>0</v>
      </c>
      <c r="O26" s="9"/>
      <c r="P26" s="1460">
        <f>'Exhibit I'!K71</f>
        <v>39.399999999999977</v>
      </c>
      <c r="Q26" s="1460"/>
      <c r="R26" s="629">
        <f>+'Exhibit I'!AF71</f>
        <v>341.4</v>
      </c>
      <c r="S26" s="2353"/>
      <c r="T26" s="2353"/>
      <c r="U26" s="14"/>
      <c r="V26" s="629">
        <f t="shared" si="4"/>
        <v>63</v>
      </c>
      <c r="W26" s="9" t="s">
        <v>15</v>
      </c>
      <c r="X26" s="9">
        <f t="shared" si="5"/>
        <v>1017.4</v>
      </c>
      <c r="Y26" s="2353"/>
      <c r="Z26" s="2354"/>
      <c r="AA26" s="14"/>
      <c r="AB26" s="2108">
        <v>129.20000000000002</v>
      </c>
      <c r="AC26" s="22"/>
      <c r="AD26" s="1464">
        <f>'Exhibit F'!AF101+'Exhibit G'!AG90+'Exhibit I'!AI71</f>
        <v>938.59999999999991</v>
      </c>
      <c r="AE26" s="14"/>
      <c r="AF26" s="2355"/>
      <c r="AG26" s="9">
        <f t="shared" si="6"/>
        <v>78.8</v>
      </c>
      <c r="AI26" s="1465">
        <f t="shared" si="7"/>
        <v>8.4000000000000005E-2</v>
      </c>
      <c r="AJ26" s="7"/>
      <c r="AK26" s="2318"/>
      <c r="AL26" s="2318"/>
    </row>
    <row r="27" spans="1:38" ht="18" customHeight="1">
      <c r="A27" s="2367" t="s">
        <v>28</v>
      </c>
      <c r="B27" s="2372"/>
      <c r="C27" s="2329"/>
      <c r="D27" s="629"/>
      <c r="E27" s="9"/>
      <c r="F27" s="9"/>
      <c r="G27" s="9"/>
      <c r="H27" s="1460"/>
      <c r="I27" s="9"/>
      <c r="J27" s="9" t="s">
        <v>15</v>
      </c>
      <c r="K27" s="9"/>
      <c r="L27" s="1457" t="s">
        <v>15</v>
      </c>
      <c r="M27" s="14"/>
      <c r="N27" s="17" t="s">
        <v>15</v>
      </c>
      <c r="O27" s="9"/>
      <c r="P27" s="1460"/>
      <c r="Q27" s="1460"/>
      <c r="R27" s="629"/>
      <c r="S27" s="2353"/>
      <c r="T27" s="2353"/>
      <c r="U27" s="14"/>
      <c r="V27" s="629" t="s">
        <v>15</v>
      </c>
      <c r="W27" s="9"/>
      <c r="X27" s="629" t="s">
        <v>15</v>
      </c>
      <c r="Y27" s="2353"/>
      <c r="Z27" s="2354"/>
      <c r="AA27" s="14"/>
      <c r="AB27" s="634"/>
      <c r="AC27" s="22"/>
      <c r="AD27" s="22"/>
      <c r="AE27" s="14"/>
      <c r="AF27" s="2355"/>
      <c r="AG27" s="9"/>
      <c r="AI27" s="1478" t="s">
        <v>15</v>
      </c>
      <c r="AJ27" s="7"/>
      <c r="AK27" s="2318"/>
      <c r="AL27" s="2318"/>
    </row>
    <row r="28" spans="1:38" ht="18" customHeight="1">
      <c r="A28" s="2373" t="s">
        <v>29</v>
      </c>
      <c r="B28" s="2352"/>
      <c r="C28" s="2329"/>
      <c r="D28" s="1405">
        <f>+'Exhibit F'!J103</f>
        <v>1320.2000000000003</v>
      </c>
      <c r="E28" s="9"/>
      <c r="F28" s="9">
        <f>+'Exhibit F'!AC103</f>
        <v>7599.3</v>
      </c>
      <c r="G28" s="9"/>
      <c r="H28" s="1460">
        <f>'Exhibit G'!J92</f>
        <v>3585.5000000000009</v>
      </c>
      <c r="I28" s="9"/>
      <c r="J28" s="9">
        <f>+'Exhibit G'!AD92</f>
        <v>14728</v>
      </c>
      <c r="K28" s="9"/>
      <c r="L28" s="1401">
        <v>0</v>
      </c>
      <c r="M28" s="14"/>
      <c r="N28" s="16">
        <v>0</v>
      </c>
      <c r="O28" s="9"/>
      <c r="P28" s="1460">
        <f>'Exhibit I'!K73</f>
        <v>0</v>
      </c>
      <c r="Q28" s="1460"/>
      <c r="R28" s="631">
        <f>+'Exhibit I'!AF73</f>
        <v>0</v>
      </c>
      <c r="S28" s="2353"/>
      <c r="T28" s="2353"/>
      <c r="U28" s="14"/>
      <c r="V28" s="629">
        <f t="shared" si="4"/>
        <v>4905.7</v>
      </c>
      <c r="W28" s="9" t="s">
        <v>15</v>
      </c>
      <c r="X28" s="9">
        <f t="shared" si="5"/>
        <v>22327.3</v>
      </c>
      <c r="Y28" s="2353"/>
      <c r="Z28" s="2354"/>
      <c r="AA28" s="14"/>
      <c r="AB28" s="2108">
        <v>4096.3</v>
      </c>
      <c r="AC28" s="22"/>
      <c r="AD28" s="1464">
        <f>'Exhibit F'!AF103+'Exhibit G'!AG92+'Exhibit I'!AI73</f>
        <v>19340.7</v>
      </c>
      <c r="AE28" s="14"/>
      <c r="AF28" s="2355"/>
      <c r="AG28" s="9">
        <f t="shared" si="6"/>
        <v>2986.6</v>
      </c>
      <c r="AI28" s="1465">
        <f t="shared" si="7"/>
        <v>0.154</v>
      </c>
      <c r="AJ28" s="7"/>
      <c r="AK28" s="2374"/>
      <c r="AL28" s="2318"/>
    </row>
    <row r="29" spans="1:38" ht="18" customHeight="1">
      <c r="A29" s="2367" t="s">
        <v>30</v>
      </c>
      <c r="B29" s="2352"/>
      <c r="C29" s="2329"/>
      <c r="D29" s="1405">
        <f>+'Exhibit F'!J104</f>
        <v>217.70000000000016</v>
      </c>
      <c r="E29" s="9"/>
      <c r="F29" s="9">
        <f>+'Exhibit F'!AC104</f>
        <v>824.20000000000016</v>
      </c>
      <c r="G29" s="9"/>
      <c r="H29" s="1460">
        <f>'Exhibit G'!J93</f>
        <v>508.59999999999991</v>
      </c>
      <c r="I29" s="9"/>
      <c r="J29" s="9">
        <f>+'Exhibit G'!AD93</f>
        <v>2378</v>
      </c>
      <c r="K29" s="9"/>
      <c r="L29" s="1401">
        <v>0</v>
      </c>
      <c r="M29" s="14"/>
      <c r="N29" s="16">
        <v>0</v>
      </c>
      <c r="O29" s="9"/>
      <c r="P29" s="1460">
        <f>'Exhibit I'!K74</f>
        <v>75.999999999999986</v>
      </c>
      <c r="Q29" s="1460"/>
      <c r="R29" s="629">
        <f>+'Exhibit I'!AF74</f>
        <v>169</v>
      </c>
      <c r="S29" s="2353"/>
      <c r="T29" s="2353"/>
      <c r="U29" s="14"/>
      <c r="V29" s="629">
        <f t="shared" si="4"/>
        <v>802.3</v>
      </c>
      <c r="W29" s="9" t="s">
        <v>15</v>
      </c>
      <c r="X29" s="9">
        <f t="shared" si="5"/>
        <v>3371.2</v>
      </c>
      <c r="Y29" s="2353"/>
      <c r="Z29" s="2354"/>
      <c r="AA29" s="14"/>
      <c r="AB29" s="2108">
        <v>916.5</v>
      </c>
      <c r="AC29" s="22"/>
      <c r="AD29" s="1464">
        <f>'Exhibit F'!AF104+'Exhibit G'!AG93+'Exhibit I'!AI74</f>
        <v>3479.2</v>
      </c>
      <c r="AE29" s="14"/>
      <c r="AF29" s="2355"/>
      <c r="AG29" s="9">
        <f t="shared" si="6"/>
        <v>-108</v>
      </c>
      <c r="AI29" s="1465">
        <f t="shared" si="7"/>
        <v>-3.1E-2</v>
      </c>
      <c r="AJ29" s="7"/>
      <c r="AK29" s="2318"/>
      <c r="AL29" s="2318"/>
    </row>
    <row r="30" spans="1:38" ht="18" customHeight="1">
      <c r="A30" s="2367" t="s">
        <v>31</v>
      </c>
      <c r="B30" s="2372"/>
      <c r="C30" s="2329"/>
      <c r="D30" s="1405">
        <f>+'Exhibit F'!J105</f>
        <v>18.5</v>
      </c>
      <c r="E30" s="9"/>
      <c r="F30" s="9">
        <f>+'Exhibit F'!AC105</f>
        <v>55</v>
      </c>
      <c r="G30" s="9"/>
      <c r="H30" s="1460">
        <f>'Exhibit G'!J94</f>
        <v>69.300000000000011</v>
      </c>
      <c r="I30" s="9"/>
      <c r="J30" s="9">
        <f>+'Exhibit G'!AD94</f>
        <v>429.3</v>
      </c>
      <c r="K30" s="9"/>
      <c r="L30" s="1401">
        <v>0</v>
      </c>
      <c r="M30" s="14"/>
      <c r="N30" s="16">
        <v>0</v>
      </c>
      <c r="O30" s="9"/>
      <c r="P30" s="1460">
        <f>'Exhibit I'!K75</f>
        <v>9.9999999999999645E-2</v>
      </c>
      <c r="Q30" s="1460"/>
      <c r="R30" s="631">
        <f>+'Exhibit I'!AF75</f>
        <v>9.3000000000000007</v>
      </c>
      <c r="S30" s="2353"/>
      <c r="T30" s="2353"/>
      <c r="U30" s="14"/>
      <c r="V30" s="629">
        <f t="shared" si="4"/>
        <v>87.9</v>
      </c>
      <c r="W30" s="9" t="s">
        <v>15</v>
      </c>
      <c r="X30" s="9">
        <f t="shared" si="5"/>
        <v>493.6</v>
      </c>
      <c r="Y30" s="2353"/>
      <c r="Z30" s="2354"/>
      <c r="AA30" s="14"/>
      <c r="AB30" s="2108">
        <v>179.9</v>
      </c>
      <c r="AC30" s="22"/>
      <c r="AD30" s="1464">
        <f>'Exhibit F'!AF105+'Exhibit G'!AG94+'Exhibit I'!AI75</f>
        <v>497.59999999999997</v>
      </c>
      <c r="AE30" s="14"/>
      <c r="AF30" s="2355"/>
      <c r="AG30" s="9">
        <f t="shared" si="6"/>
        <v>-4</v>
      </c>
      <c r="AI30" s="1465">
        <f t="shared" si="7"/>
        <v>-8.0000000000000002E-3</v>
      </c>
      <c r="AJ30" s="7"/>
      <c r="AK30" s="2318"/>
      <c r="AL30" s="2318"/>
    </row>
    <row r="31" spans="1:38" ht="18" customHeight="1">
      <c r="A31" s="2367" t="s">
        <v>32</v>
      </c>
      <c r="B31" s="2329"/>
      <c r="C31" s="2329"/>
      <c r="D31" s="1405">
        <f>+'Exhibit F'!J106</f>
        <v>128.40000000000003</v>
      </c>
      <c r="E31" s="9"/>
      <c r="F31" s="9">
        <f>+'Exhibit F'!AC106</f>
        <v>481.6</v>
      </c>
      <c r="G31" s="9"/>
      <c r="H31" s="1460">
        <f>'Exhibit G'!J95</f>
        <v>318.40000000000009</v>
      </c>
      <c r="I31" s="9"/>
      <c r="J31" s="9">
        <f>+'Exhibit G'!AD95</f>
        <v>861.9</v>
      </c>
      <c r="K31" s="9"/>
      <c r="L31" s="1401">
        <v>0</v>
      </c>
      <c r="M31" s="14"/>
      <c r="N31" s="16">
        <v>0</v>
      </c>
      <c r="O31" s="9"/>
      <c r="P31" s="1460">
        <f>'Exhibit I'!K76</f>
        <v>6</v>
      </c>
      <c r="Q31" s="1460"/>
      <c r="R31" s="629">
        <f>+'Exhibit I'!AF76</f>
        <v>103</v>
      </c>
      <c r="S31" s="2353"/>
      <c r="T31" s="2353"/>
      <c r="U31" s="14"/>
      <c r="V31" s="629">
        <f t="shared" si="4"/>
        <v>452.8</v>
      </c>
      <c r="W31" s="9" t="s">
        <v>15</v>
      </c>
      <c r="X31" s="9">
        <f t="shared" si="5"/>
        <v>1446.5</v>
      </c>
      <c r="Y31" s="2353"/>
      <c r="Z31" s="2354"/>
      <c r="AA31" s="14"/>
      <c r="AB31" s="2108">
        <v>584.1</v>
      </c>
      <c r="AC31" s="22"/>
      <c r="AD31" s="1464">
        <f>'Exhibit F'!AF106+'Exhibit G'!AG95+'Exhibit I'!AI76</f>
        <v>1811.9</v>
      </c>
      <c r="AE31" s="14"/>
      <c r="AF31" s="2355"/>
      <c r="AG31" s="9">
        <f t="shared" si="6"/>
        <v>-365.4</v>
      </c>
      <c r="AI31" s="1465">
        <f t="shared" si="7"/>
        <v>-0.20200000000000001</v>
      </c>
      <c r="AJ31" s="7"/>
      <c r="AK31" s="2318"/>
      <c r="AL31" s="2318"/>
    </row>
    <row r="32" spans="1:38" ht="18" customHeight="1">
      <c r="A32" s="2367" t="s">
        <v>33</v>
      </c>
      <c r="B32" s="2372"/>
      <c r="C32" s="2329"/>
      <c r="D32" s="1405">
        <f>+'Exhibit F'!J107</f>
        <v>22</v>
      </c>
      <c r="E32" s="9"/>
      <c r="F32" s="9">
        <f>+'Exhibit F'!AC107</f>
        <v>41.4</v>
      </c>
      <c r="G32" s="9"/>
      <c r="H32" s="1460">
        <f>'Exhibit G'!J96</f>
        <v>6.6000000000000014</v>
      </c>
      <c r="I32" s="9"/>
      <c r="J32" s="9">
        <f>+'Exhibit G'!AD96</f>
        <v>17.399999999999999</v>
      </c>
      <c r="K32" s="9"/>
      <c r="L32" s="1401">
        <v>0</v>
      </c>
      <c r="M32" s="14" t="s">
        <v>15</v>
      </c>
      <c r="N32" s="16">
        <v>0</v>
      </c>
      <c r="O32" s="9"/>
      <c r="P32" s="1460">
        <f>'Exhibit I'!K77</f>
        <v>39.199999999999989</v>
      </c>
      <c r="Q32" s="1460"/>
      <c r="R32" s="629">
        <f>+'Exhibit I'!AF77</f>
        <v>412.5</v>
      </c>
      <c r="S32" s="2353"/>
      <c r="T32" s="2353"/>
      <c r="U32" s="14"/>
      <c r="V32" s="629">
        <f t="shared" si="4"/>
        <v>67.8</v>
      </c>
      <c r="W32" s="9" t="s">
        <v>15</v>
      </c>
      <c r="X32" s="9">
        <f t="shared" si="5"/>
        <v>471.3</v>
      </c>
      <c r="Y32" s="2353"/>
      <c r="Z32" s="2354"/>
      <c r="AA32" s="14"/>
      <c r="AB32" s="2108">
        <v>143.69999999999999</v>
      </c>
      <c r="AC32" s="22"/>
      <c r="AD32" s="1464">
        <f>'Exhibit F'!AF107+'Exhibit G'!AG96+'Exhibit I'!AI77</f>
        <v>366</v>
      </c>
      <c r="AE32" s="14"/>
      <c r="AF32" s="2355"/>
      <c r="AG32" s="9">
        <f t="shared" si="6"/>
        <v>105.3</v>
      </c>
      <c r="AI32" s="1465">
        <f t="shared" si="7"/>
        <v>0.28799999999999998</v>
      </c>
      <c r="AJ32" s="7"/>
      <c r="AK32" s="2318"/>
      <c r="AL32" s="2318"/>
    </row>
    <row r="33" spans="1:38" ht="18" customHeight="1">
      <c r="A33" s="2367" t="s">
        <v>34</v>
      </c>
      <c r="B33" s="2329"/>
      <c r="C33" s="2329"/>
      <c r="D33" s="1405">
        <f>+'Exhibit F'!J108</f>
        <v>0.20000000000000284</v>
      </c>
      <c r="E33" s="9"/>
      <c r="F33" s="9">
        <f>+'Exhibit F'!AC108</f>
        <v>38.200000000000003</v>
      </c>
      <c r="G33" s="9"/>
      <c r="H33" s="1460">
        <f>'Exhibit G'!J97</f>
        <v>278.10000000000008</v>
      </c>
      <c r="I33" s="9"/>
      <c r="J33" s="9">
        <f>+'Exhibit G'!AD97</f>
        <v>1028.5999999999999</v>
      </c>
      <c r="K33" s="9"/>
      <c r="L33" s="1401">
        <v>0</v>
      </c>
      <c r="M33" s="14"/>
      <c r="N33" s="16">
        <v>0</v>
      </c>
      <c r="O33" s="9"/>
      <c r="P33" s="1460">
        <f>'Exhibit I'!K78</f>
        <v>57.100000000000009</v>
      </c>
      <c r="Q33" s="1460"/>
      <c r="R33" s="629">
        <f>+'Exhibit I'!AF78</f>
        <v>405.3</v>
      </c>
      <c r="S33" s="2353"/>
      <c r="T33" s="2353"/>
      <c r="U33" s="14"/>
      <c r="V33" s="629">
        <f>ROUND(SUM(D33)+SUM(H33)+SUM(L33)+SUM(P33),1)</f>
        <v>335.4</v>
      </c>
      <c r="W33" s="9" t="s">
        <v>15</v>
      </c>
      <c r="X33" s="9">
        <f>ROUND(SUM(F33)+SUM(J33)+SUM(N33)+SUM(R33),1)</f>
        <v>1472.1</v>
      </c>
      <c r="Y33" s="2353"/>
      <c r="Z33" s="2354"/>
      <c r="AA33" s="14"/>
      <c r="AB33" s="2108">
        <v>379.2</v>
      </c>
      <c r="AC33" s="22"/>
      <c r="AD33" s="1464">
        <f>'Exhibit F'!AF108+'Exhibit G'!AG97+'Exhibit I'!AI78</f>
        <v>1883.7999999999997</v>
      </c>
      <c r="AE33" s="14"/>
      <c r="AF33" s="2355"/>
      <c r="AG33" s="9">
        <f t="shared" si="6"/>
        <v>-411.7</v>
      </c>
      <c r="AI33" s="1465">
        <f>ROUND(SUM((+X33-AD33)/ABS(AD33)),3)</f>
        <v>-0.219</v>
      </c>
      <c r="AJ33" s="7"/>
      <c r="AK33" s="2318"/>
      <c r="AL33" s="2318"/>
    </row>
    <row r="34" spans="1:38" ht="18" customHeight="1">
      <c r="A34" s="2328" t="s">
        <v>35</v>
      </c>
      <c r="B34" s="2329"/>
      <c r="C34" s="2329"/>
      <c r="D34" s="12">
        <f>ROUND(SUM(D24:D33),1)</f>
        <v>3320.6</v>
      </c>
      <c r="E34" s="2360"/>
      <c r="F34" s="12">
        <f>ROUND(SUM(F24:F33),1)</f>
        <v>18332.400000000001</v>
      </c>
      <c r="G34" s="1402"/>
      <c r="H34" s="12">
        <f>ROUND(SUM(H24:H33),1)</f>
        <v>5075.8999999999996</v>
      </c>
      <c r="I34" s="1402"/>
      <c r="J34" s="12">
        <f>ROUND(SUM(J24:J33),1)</f>
        <v>21353.7</v>
      </c>
      <c r="K34" s="1402"/>
      <c r="L34" s="12">
        <f>ROUND(SUM(L24:L33),1)</f>
        <v>0</v>
      </c>
      <c r="M34" s="1402"/>
      <c r="N34" s="1462">
        <f>ROUND(SUM(N24:N33),1)</f>
        <v>0</v>
      </c>
      <c r="O34" s="1402"/>
      <c r="P34" s="11">
        <f>ROUND(SUM(P24:P33),1)</f>
        <v>243.5</v>
      </c>
      <c r="Q34" s="1402"/>
      <c r="R34" s="11">
        <f>ROUND(SUM(R24:R33),1)</f>
        <v>1549.6</v>
      </c>
      <c r="S34" s="2359"/>
      <c r="T34" s="2359"/>
      <c r="U34" s="2360"/>
      <c r="V34" s="12">
        <f>ROUND(SUM(V24:V33),1)</f>
        <v>8640</v>
      </c>
      <c r="W34" s="1402"/>
      <c r="X34" s="12">
        <f>ROUND(SUM(X24:X33),1)</f>
        <v>41235.699999999997</v>
      </c>
      <c r="Y34" s="2359"/>
      <c r="Z34" s="2361"/>
      <c r="AA34" s="2360"/>
      <c r="AB34" s="1612">
        <f>ROUND(SUM(AB23:AB33),1)</f>
        <v>8582.9</v>
      </c>
      <c r="AC34" s="23"/>
      <c r="AD34" s="1612">
        <f>ROUND(SUM(AD23:AD33),1)</f>
        <v>38896.5</v>
      </c>
      <c r="AE34" s="1520"/>
      <c r="AF34" s="2362"/>
      <c r="AG34" s="12">
        <f>ROUND(SUM(AG24:AG33),1)</f>
        <v>2339.1999999999998</v>
      </c>
      <c r="AH34" s="2363"/>
      <c r="AI34" s="1482">
        <f>ROUND(SUM((+X34-AD34)/ABS(AD34)),3)</f>
        <v>0.06</v>
      </c>
      <c r="AJ34" s="2330"/>
      <c r="AK34" s="2318"/>
      <c r="AL34" s="2318"/>
    </row>
    <row r="35" spans="1:38" ht="18" customHeight="1">
      <c r="A35" s="2329" t="s">
        <v>36</v>
      </c>
      <c r="B35" s="2371"/>
      <c r="C35" s="2329"/>
      <c r="D35" s="629"/>
      <c r="E35" s="9"/>
      <c r="F35" s="9"/>
      <c r="G35" s="9"/>
      <c r="H35" s="629"/>
      <c r="I35" s="9"/>
      <c r="J35" s="9"/>
      <c r="K35" s="9"/>
      <c r="L35" s="629"/>
      <c r="M35" s="9"/>
      <c r="N35" s="9"/>
      <c r="O35" s="9"/>
      <c r="P35" s="629"/>
      <c r="Q35" s="629"/>
      <c r="R35" s="629"/>
      <c r="S35" s="2353"/>
      <c r="T35" s="2353"/>
      <c r="U35" s="14"/>
      <c r="V35" s="629"/>
      <c r="W35" s="9"/>
      <c r="X35" s="9"/>
      <c r="Y35" s="2353"/>
      <c r="Z35" s="2354"/>
      <c r="AA35" s="14"/>
      <c r="AB35" s="634"/>
      <c r="AC35" s="22"/>
      <c r="AD35" s="1464"/>
      <c r="AE35" s="1464"/>
      <c r="AF35" s="2355"/>
      <c r="AG35" s="9"/>
      <c r="AI35" s="1468"/>
      <c r="AJ35" s="7"/>
      <c r="AK35" s="2318"/>
      <c r="AL35" s="2318"/>
    </row>
    <row r="36" spans="1:38" ht="18" customHeight="1">
      <c r="A36" s="2329" t="s">
        <v>37</v>
      </c>
      <c r="B36" s="2370"/>
      <c r="C36" s="2329"/>
      <c r="D36" s="629">
        <f>+'Exhibit F'!J111</f>
        <v>697.30000000000041</v>
      </c>
      <c r="E36" s="9"/>
      <c r="F36" s="9">
        <f>+'Exhibit F'!AC111</f>
        <v>3136.9</v>
      </c>
      <c r="G36" s="9"/>
      <c r="H36" s="1460">
        <f>'Exhibit G'!J100</f>
        <v>493.7000000000001</v>
      </c>
      <c r="I36" s="9"/>
      <c r="J36" s="9">
        <f>+'Exhibit G'!AD100</f>
        <v>2039.2</v>
      </c>
      <c r="K36" s="9"/>
      <c r="L36" s="632">
        <v>0</v>
      </c>
      <c r="M36" s="9"/>
      <c r="N36" s="10">
        <v>0</v>
      </c>
      <c r="O36" s="9"/>
      <c r="P36" s="632">
        <f>'Exhibit I'!K81</f>
        <v>0</v>
      </c>
      <c r="Q36" s="629"/>
      <c r="R36" s="632">
        <f>+'Exhibit I'!AF81</f>
        <v>0</v>
      </c>
      <c r="S36" s="2353"/>
      <c r="T36" s="2353"/>
      <c r="U36" s="14"/>
      <c r="V36" s="629">
        <f>ROUND(SUM(D36)+SUM(H36)+SUM(L36)+SUM(P36),1)</f>
        <v>1191</v>
      </c>
      <c r="W36" s="9" t="s">
        <v>15</v>
      </c>
      <c r="X36" s="9">
        <f>ROUND(SUM(F36)+SUM(J36)+SUM(N36)+SUM(R36),1)</f>
        <v>5176.1000000000004</v>
      </c>
      <c r="Y36" s="2353"/>
      <c r="Z36" s="2354"/>
      <c r="AA36" s="14"/>
      <c r="AB36" s="2108">
        <v>1105.4000000000001</v>
      </c>
      <c r="AC36" s="3573"/>
      <c r="AD36" s="22">
        <f>'Exhibit F'!AF111+'Exhibit G'!AG100+'Exhibit I'!AI81</f>
        <v>4801.5</v>
      </c>
      <c r="AE36" s="14"/>
      <c r="AF36" s="2355"/>
      <c r="AG36" s="9">
        <f>ROUND(SUM(X36-AD36),1)</f>
        <v>374.6</v>
      </c>
      <c r="AI36" s="1465">
        <f>ROUND(SUM((+X36-AD36)/ABS(AD36)),3)</f>
        <v>7.8E-2</v>
      </c>
      <c r="AJ36" s="7"/>
      <c r="AK36" s="2318"/>
      <c r="AL36" s="2318"/>
    </row>
    <row r="37" spans="1:38" ht="18" customHeight="1">
      <c r="A37" s="2329" t="s">
        <v>38</v>
      </c>
      <c r="B37" s="2371"/>
      <c r="C37" s="2329"/>
      <c r="D37" s="629">
        <f>+'Exhibit F'!J112</f>
        <v>200.89999999999998</v>
      </c>
      <c r="E37" s="9"/>
      <c r="F37" s="9">
        <f>+'Exhibit F'!AC112</f>
        <v>828</v>
      </c>
      <c r="G37" s="9"/>
      <c r="H37" s="1460">
        <f>'Exhibit G'!J101</f>
        <v>310.00000000000011</v>
      </c>
      <c r="I37" s="9"/>
      <c r="J37" s="9">
        <f>+'Exhibit G'!AD101</f>
        <v>1243.5999999999999</v>
      </c>
      <c r="K37" s="9"/>
      <c r="L37" s="1460">
        <f>+'Exhibit H'!H53</f>
        <v>8.6</v>
      </c>
      <c r="M37" s="9"/>
      <c r="N37" s="9">
        <f>+'Exhibit H'!AA53</f>
        <v>14.2</v>
      </c>
      <c r="O37" s="9" t="s">
        <v>15</v>
      </c>
      <c r="P37" s="632">
        <f>'Exhibit I'!K82</f>
        <v>0</v>
      </c>
      <c r="Q37" s="629"/>
      <c r="R37" s="632">
        <f>+'Exhibit I'!AF82</f>
        <v>0</v>
      </c>
      <c r="S37" s="2353"/>
      <c r="T37" s="2353"/>
      <c r="U37" s="14"/>
      <c r="V37" s="629">
        <f>ROUND(SUM(D37)+SUM(H37)+SUM(L37)+SUM(P37),1)</f>
        <v>519.5</v>
      </c>
      <c r="W37" s="9" t="s">
        <v>15</v>
      </c>
      <c r="X37" s="9">
        <f>ROUND(SUM(F37)+SUM(J37)+SUM(N37)+SUM(R37),1)</f>
        <v>2085.8000000000002</v>
      </c>
      <c r="Y37" s="2353"/>
      <c r="Z37" s="2354"/>
      <c r="AA37" s="14"/>
      <c r="AB37" s="2108">
        <v>429.4</v>
      </c>
      <c r="AC37" s="3573"/>
      <c r="AD37" s="22">
        <f>'Exhibit F'!AF112+'Exhibit G'!AG101+'Exhibit I'!AI82+'Exhibit H'!AD53</f>
        <v>2031.7</v>
      </c>
      <c r="AE37" s="14"/>
      <c r="AF37" s="2355"/>
      <c r="AG37" s="9">
        <f>ROUND(SUM(X37-AD37),1)</f>
        <v>54.1</v>
      </c>
      <c r="AI37" s="1465">
        <f>ROUND(SUM((+X37-AD37)/ABS(AD37)),3)</f>
        <v>2.7E-2</v>
      </c>
      <c r="AJ37" s="7"/>
      <c r="AK37" s="2318"/>
      <c r="AL37" s="2318"/>
    </row>
    <row r="38" spans="1:38" ht="18" customHeight="1">
      <c r="A38" s="2329" t="s">
        <v>39</v>
      </c>
      <c r="B38" s="2372"/>
      <c r="C38" s="2329"/>
      <c r="D38" s="629">
        <f>+'Exhibit F'!J113</f>
        <v>384.80000000000018</v>
      </c>
      <c r="E38" s="9"/>
      <c r="F38" s="9">
        <f>+'Exhibit F'!AC113</f>
        <v>3827.2</v>
      </c>
      <c r="G38" s="2375"/>
      <c r="H38" s="1460">
        <f>'Exhibit G'!J102</f>
        <v>114.19999999999999</v>
      </c>
      <c r="I38" s="9"/>
      <c r="J38" s="9">
        <f>+'Exhibit G'!AD102</f>
        <v>400.6</v>
      </c>
      <c r="K38" s="9"/>
      <c r="L38" s="632">
        <v>0</v>
      </c>
      <c r="M38" s="9"/>
      <c r="N38" s="10">
        <v>0</v>
      </c>
      <c r="O38" s="9"/>
      <c r="P38" s="632">
        <f>'Exhibit I'!K83</f>
        <v>0</v>
      </c>
      <c r="Q38" s="629"/>
      <c r="R38" s="632">
        <f>+'Exhibit I'!AF83</f>
        <v>0</v>
      </c>
      <c r="S38" s="2353"/>
      <c r="T38" s="2353"/>
      <c r="U38" s="14"/>
      <c r="V38" s="629">
        <f>ROUND(SUM(D38)+SUM(H38)+SUM(L38)+SUM(P38),1)</f>
        <v>499</v>
      </c>
      <c r="W38" s="9" t="s">
        <v>15</v>
      </c>
      <c r="X38" s="9">
        <f>ROUND(SUM(F38)+SUM(J38)+SUM(N38)+SUM(R38),1)</f>
        <v>4227.8</v>
      </c>
      <c r="Y38" s="2353"/>
      <c r="Z38" s="2354"/>
      <c r="AA38" s="14"/>
      <c r="AB38" s="2108">
        <v>418.1</v>
      </c>
      <c r="AC38" s="22"/>
      <c r="AD38" s="22">
        <f>'Exhibit F'!AF113+'Exhibit G'!AG102+'Exhibit I'!AI83</f>
        <v>4275.3</v>
      </c>
      <c r="AE38" s="14"/>
      <c r="AF38" s="2355"/>
      <c r="AG38" s="9">
        <f>ROUND(SUM(X38-AD38),1)</f>
        <v>-47.5</v>
      </c>
      <c r="AI38" s="1465">
        <f>ROUND(SUM((+X38-AD38)/ABS(AD38)),3)</f>
        <v>-1.0999999999999999E-2</v>
      </c>
      <c r="AJ38" s="7"/>
      <c r="AK38" s="2318"/>
      <c r="AL38" s="2318"/>
    </row>
    <row r="39" spans="1:38" ht="18" customHeight="1">
      <c r="A39" s="2329" t="s">
        <v>40</v>
      </c>
      <c r="B39" s="2329"/>
      <c r="C39" s="2329"/>
      <c r="D39" s="629"/>
      <c r="E39" s="9"/>
      <c r="F39" s="9"/>
      <c r="G39" s="9"/>
      <c r="H39" s="629"/>
      <c r="I39" s="9"/>
      <c r="J39" s="18"/>
      <c r="K39" s="9"/>
      <c r="L39" s="629"/>
      <c r="M39" s="9"/>
      <c r="N39" s="9"/>
      <c r="O39" s="9"/>
      <c r="P39" s="632"/>
      <c r="Q39" s="629"/>
      <c r="R39" s="629"/>
      <c r="S39" s="2353"/>
      <c r="T39" s="2353"/>
      <c r="U39" s="14"/>
      <c r="V39" s="629"/>
      <c r="W39" s="9"/>
      <c r="X39" s="9"/>
      <c r="Y39" s="2353"/>
      <c r="Z39" s="2354"/>
      <c r="AA39" s="14"/>
      <c r="AB39" s="634"/>
      <c r="AC39" s="22"/>
      <c r="AD39" s="1464"/>
      <c r="AE39" s="14"/>
      <c r="AF39" s="2355"/>
      <c r="AG39" s="9"/>
      <c r="AI39" s="1465"/>
      <c r="AJ39" s="7"/>
      <c r="AK39" s="2318"/>
      <c r="AL39" s="2318"/>
    </row>
    <row r="40" spans="1:38" ht="18" customHeight="1">
      <c r="A40" s="2329" t="s">
        <v>41</v>
      </c>
      <c r="B40" s="2372"/>
      <c r="C40" s="2329"/>
      <c r="D40" s="632">
        <v>0</v>
      </c>
      <c r="E40" s="9"/>
      <c r="F40" s="10">
        <v>0</v>
      </c>
      <c r="G40" s="9"/>
      <c r="H40" s="1460">
        <v>0</v>
      </c>
      <c r="I40" s="9"/>
      <c r="J40" s="10">
        <v>0</v>
      </c>
      <c r="K40" s="9"/>
      <c r="L40" s="629">
        <f>+'Exhibit H'!H55</f>
        <v>45.099999999999994</v>
      </c>
      <c r="M40" s="9"/>
      <c r="N40" s="9">
        <f>+'Exhibit H'!AA55</f>
        <v>468.9</v>
      </c>
      <c r="O40" s="9" t="s">
        <v>15</v>
      </c>
      <c r="P40" s="632">
        <v>0</v>
      </c>
      <c r="Q40" s="629"/>
      <c r="R40" s="632">
        <v>0</v>
      </c>
      <c r="S40" s="2353"/>
      <c r="T40" s="2353"/>
      <c r="U40" s="14"/>
      <c r="V40" s="629">
        <f>ROUND(SUM(D40)+SUM(H40)+SUM(L40)+SUM(P40),1)</f>
        <v>45.1</v>
      </c>
      <c r="W40" s="9" t="s">
        <v>15</v>
      </c>
      <c r="X40" s="9">
        <f>ROUND(SUM(F40)+SUM(J40)+SUM(N40)+SUM(R40),1)</f>
        <v>468.9</v>
      </c>
      <c r="Y40" s="2353"/>
      <c r="Z40" s="2354"/>
      <c r="AA40" s="14"/>
      <c r="AB40" s="2108">
        <v>25.400000000000002</v>
      </c>
      <c r="AC40" s="22"/>
      <c r="AD40" s="1464">
        <f>'Exhibit H'!AD55</f>
        <v>381.8</v>
      </c>
      <c r="AE40" s="14"/>
      <c r="AF40" s="2355"/>
      <c r="AG40" s="9">
        <f>ROUND(SUM(X40-AD40),1)</f>
        <v>87.1</v>
      </c>
      <c r="AI40" s="1465">
        <f>ROUND(SUM((+X40-AD40)/ABS(AD40)),3)</f>
        <v>0.22800000000000001</v>
      </c>
      <c r="AJ40" s="2376"/>
      <c r="AK40" s="2318"/>
      <c r="AL40" s="2318"/>
    </row>
    <row r="41" spans="1:38" ht="18" customHeight="1">
      <c r="A41" s="2329" t="s">
        <v>42</v>
      </c>
      <c r="B41" s="2372" t="s">
        <v>964</v>
      </c>
      <c r="C41" s="2329"/>
      <c r="D41" s="1457">
        <v>0</v>
      </c>
      <c r="E41" s="9"/>
      <c r="F41" s="17">
        <v>0</v>
      </c>
      <c r="G41" s="9"/>
      <c r="H41" s="1460">
        <f>'Exhibit G'!J103</f>
        <v>0</v>
      </c>
      <c r="I41" s="9"/>
      <c r="J41" s="9">
        <f>+'Exhibit G'!AD103</f>
        <v>0.1</v>
      </c>
      <c r="K41" s="9"/>
      <c r="L41" s="1457">
        <v>0</v>
      </c>
      <c r="M41" s="9"/>
      <c r="N41" s="17">
        <v>0</v>
      </c>
      <c r="O41" s="9"/>
      <c r="P41" s="1460">
        <f>'Exhibit I'!K84</f>
        <v>600.69999999999982</v>
      </c>
      <c r="Q41" s="629"/>
      <c r="R41" s="633">
        <f>+'Exhibit I'!AF84</f>
        <v>2099.3000000000002</v>
      </c>
      <c r="S41" s="2353"/>
      <c r="T41" s="2353"/>
      <c r="U41" s="14"/>
      <c r="V41" s="629">
        <f>ROUND(SUM(D41)+SUM(H41)+SUM(L41)+SUM(P41),1)</f>
        <v>600.70000000000005</v>
      </c>
      <c r="W41" s="9" t="s">
        <v>15</v>
      </c>
      <c r="X41" s="9">
        <f>ROUND(SUM(F41)+SUM(J41)+SUM(N41)+SUM(R41),1)</f>
        <v>2099.4</v>
      </c>
      <c r="Y41" s="2353"/>
      <c r="Z41" s="2354"/>
      <c r="AA41" s="14"/>
      <c r="AB41" s="2108">
        <v>672.9</v>
      </c>
      <c r="AC41" s="22"/>
      <c r="AD41" s="1464">
        <f>'Exhibit G'!AG103+'Exhibit I'!AI84</f>
        <v>2147.5</v>
      </c>
      <c r="AE41" s="14"/>
      <c r="AF41" s="2355"/>
      <c r="AG41" s="9">
        <f>ROUND(SUM(X41-AD41),1)</f>
        <v>-48.1</v>
      </c>
      <c r="AI41" s="1465">
        <f>ROUND(SUM((+X41-AD41)/ABS(AD41)),3)</f>
        <v>-2.1999999999999999E-2</v>
      </c>
      <c r="AJ41" s="2376"/>
      <c r="AK41" s="2318"/>
      <c r="AL41" s="2318"/>
    </row>
    <row r="42" spans="1:38" ht="18" customHeight="1">
      <c r="A42" s="2328" t="s">
        <v>43</v>
      </c>
      <c r="B42" s="2329"/>
      <c r="C42" s="2329"/>
      <c r="D42" s="12">
        <f>ROUND(SUM(D34:D41),1)</f>
        <v>4603.6000000000004</v>
      </c>
      <c r="E42" s="1402"/>
      <c r="F42" s="12">
        <f>ROUND(SUM(F34:F41),1)</f>
        <v>26124.5</v>
      </c>
      <c r="G42" s="1402"/>
      <c r="H42" s="12">
        <f>ROUND(SUM(H34:H41),1)</f>
        <v>5993.8</v>
      </c>
      <c r="I42" s="1402"/>
      <c r="J42" s="12">
        <f>ROUND(SUM(J34:J41),1)</f>
        <v>25037.200000000001</v>
      </c>
      <c r="K42" s="1402"/>
      <c r="L42" s="12">
        <f>ROUND(SUM(L34:L41),1)</f>
        <v>53.7</v>
      </c>
      <c r="M42" s="1402"/>
      <c r="N42" s="12">
        <f>ROUND(SUM(N34:N41),1)</f>
        <v>483.1</v>
      </c>
      <c r="O42" s="1402"/>
      <c r="P42" s="12">
        <f>ROUND(SUM(P34:P41),1)</f>
        <v>844.2</v>
      </c>
      <c r="Q42" s="1402"/>
      <c r="R42" s="12">
        <f>ROUND(SUM(R34:R41),1)</f>
        <v>3648.9</v>
      </c>
      <c r="S42" s="2359"/>
      <c r="T42" s="2359"/>
      <c r="U42" s="2360"/>
      <c r="V42" s="12">
        <f>ROUND(SUM(V34:V41),1)</f>
        <v>11495.3</v>
      </c>
      <c r="W42" s="1402"/>
      <c r="X42" s="12">
        <f>ROUND(SUM(X34:X41),1)</f>
        <v>55293.7</v>
      </c>
      <c r="Y42" s="2359"/>
      <c r="Z42" s="2361"/>
      <c r="AA42" s="2360"/>
      <c r="AB42" s="1612">
        <f>ROUND(SUM(AB34:AB41),1)</f>
        <v>11234.1</v>
      </c>
      <c r="AC42" s="23"/>
      <c r="AD42" s="1612">
        <f>ROUND(SUM(AD34:AD41),1)</f>
        <v>52534.3</v>
      </c>
      <c r="AE42" s="1520"/>
      <c r="AF42" s="2362"/>
      <c r="AG42" s="12">
        <f>ROUND(SUM(AG34:AG41),1)</f>
        <v>2759.4</v>
      </c>
      <c r="AH42" s="2363"/>
      <c r="AI42" s="1482">
        <f>ROUND(SUM((+X42-AD42)/ABS(AD42)),3)</f>
        <v>5.2999999999999999E-2</v>
      </c>
      <c r="AJ42" s="2330"/>
      <c r="AK42" s="2318"/>
      <c r="AL42" s="2318"/>
    </row>
    <row r="43" spans="1:38" ht="16.149999999999999" customHeight="1">
      <c r="A43" s="2328"/>
      <c r="B43" s="2329"/>
      <c r="C43" s="2329"/>
      <c r="D43" s="630"/>
      <c r="E43" s="9"/>
      <c r="F43" s="14"/>
      <c r="G43" s="9"/>
      <c r="H43" s="630"/>
      <c r="I43" s="9"/>
      <c r="J43" s="14"/>
      <c r="K43" s="9"/>
      <c r="L43" s="630"/>
      <c r="M43" s="9"/>
      <c r="N43" s="14"/>
      <c r="O43" s="9"/>
      <c r="P43" s="1463"/>
      <c r="Q43" s="629"/>
      <c r="R43" s="630"/>
      <c r="S43" s="2353"/>
      <c r="T43" s="2353"/>
      <c r="U43" s="14"/>
      <c r="V43" s="630"/>
      <c r="W43" s="9"/>
      <c r="X43" s="14"/>
      <c r="Y43" s="2353"/>
      <c r="Z43" s="2354"/>
      <c r="AA43" s="14"/>
      <c r="AB43" s="1459" t="s">
        <v>15</v>
      </c>
      <c r="AC43" s="22"/>
      <c r="AD43" s="1464"/>
      <c r="AE43" s="1464"/>
      <c r="AF43" s="2355"/>
      <c r="AG43" s="14"/>
      <c r="AI43" s="1468"/>
      <c r="AJ43" s="7"/>
      <c r="AK43" s="2318"/>
      <c r="AL43" s="2318"/>
    </row>
    <row r="44" spans="1:38" ht="16.149999999999999" customHeight="1">
      <c r="A44" s="2328" t="s">
        <v>44</v>
      </c>
      <c r="B44" s="2328"/>
      <c r="C44" s="2329"/>
      <c r="D44" s="629"/>
      <c r="E44" s="9"/>
      <c r="F44" s="9"/>
      <c r="G44" s="9"/>
      <c r="H44" s="629"/>
      <c r="I44" s="9"/>
      <c r="J44" s="9"/>
      <c r="K44" s="9"/>
      <c r="L44" s="629"/>
      <c r="M44" s="9"/>
      <c r="N44" s="9"/>
      <c r="O44" s="9"/>
      <c r="P44" s="1460"/>
      <c r="Q44" s="629"/>
      <c r="R44" s="629"/>
      <c r="S44" s="2353"/>
      <c r="T44" s="2353"/>
      <c r="U44" s="14"/>
      <c r="V44" s="629"/>
      <c r="W44" s="9"/>
      <c r="X44" s="9"/>
      <c r="Y44" s="2353"/>
      <c r="Z44" s="2354"/>
      <c r="AA44" s="14"/>
      <c r="AB44" s="634"/>
      <c r="AC44" s="22"/>
      <c r="AD44" s="1464"/>
      <c r="AE44" s="1464"/>
      <c r="AF44" s="2355"/>
      <c r="AG44" s="9"/>
      <c r="AI44" s="1468"/>
      <c r="AJ44" s="7"/>
      <c r="AK44" s="2318"/>
      <c r="AL44" s="2318"/>
    </row>
    <row r="45" spans="1:38" ht="16.149999999999999" customHeight="1">
      <c r="A45" s="2328" t="s">
        <v>45</v>
      </c>
      <c r="B45" s="2328"/>
      <c r="C45" s="2329"/>
      <c r="D45" s="19">
        <f>ROUND(SUM(D20-D42),1)</f>
        <v>-1927.2</v>
      </c>
      <c r="E45" s="1402"/>
      <c r="F45" s="19">
        <f>ROUND(SUM(F20-F42),1)</f>
        <v>-10126.299999999999</v>
      </c>
      <c r="G45" s="1402"/>
      <c r="H45" s="19">
        <f>ROUND(SUM(H20-H42),1)</f>
        <v>-1081.7</v>
      </c>
      <c r="I45" s="1402"/>
      <c r="J45" s="19">
        <f>ROUND(SUM(J20-J42),1)</f>
        <v>2174.8000000000002</v>
      </c>
      <c r="K45" s="1402"/>
      <c r="L45" s="19">
        <f>ROUND(SUM(L20-L42),1)</f>
        <v>2402.1</v>
      </c>
      <c r="M45" s="1402" t="s">
        <v>15</v>
      </c>
      <c r="N45" s="19">
        <f>ROUND(SUM(N20-N42),1)</f>
        <v>12632.6</v>
      </c>
      <c r="O45" s="1402" t="s">
        <v>15</v>
      </c>
      <c r="P45" s="20">
        <f>ROUND(SUM(P20-P42),1)</f>
        <v>-333.8</v>
      </c>
      <c r="Q45" s="1402" t="s">
        <v>15</v>
      </c>
      <c r="R45" s="20">
        <f>ROUND(SUM(R20-R42),1)</f>
        <v>-1821.2</v>
      </c>
      <c r="S45" s="2359"/>
      <c r="T45" s="2359"/>
      <c r="U45" s="2360"/>
      <c r="V45" s="19">
        <f>ROUND(SUM(V20-V42),1)</f>
        <v>-940.6</v>
      </c>
      <c r="W45" s="1402" t="s">
        <v>15</v>
      </c>
      <c r="X45" s="19">
        <f>ROUND(SUM(X20-X42),1)</f>
        <v>2859.9</v>
      </c>
      <c r="Y45" s="2359"/>
      <c r="Z45" s="2361"/>
      <c r="AA45" s="2360"/>
      <c r="AB45" s="1713">
        <f>ROUND(SUM(AB20-AB42),1)</f>
        <v>538.6</v>
      </c>
      <c r="AC45" s="23"/>
      <c r="AD45" s="1713">
        <f>ROUND(SUM(AD20-AD42),1)</f>
        <v>-1059.4000000000001</v>
      </c>
      <c r="AE45" s="1520"/>
      <c r="AF45" s="2362"/>
      <c r="AG45" s="19">
        <f>ROUND(SUM(X45-AD45),1)</f>
        <v>3919.3</v>
      </c>
      <c r="AH45" s="2377"/>
      <c r="AI45" s="1467">
        <f>ROUND(SUM((+X45-AD45)/ABS(AD45)),3)</f>
        <v>3.7</v>
      </c>
      <c r="AJ45" s="2330"/>
      <c r="AK45" s="2318"/>
      <c r="AL45" s="2318"/>
    </row>
    <row r="46" spans="1:38" ht="16.149999999999999" customHeight="1">
      <c r="A46" s="2329"/>
      <c r="B46" s="2329"/>
      <c r="C46" s="2329"/>
      <c r="D46" s="630"/>
      <c r="E46" s="9"/>
      <c r="F46" s="14"/>
      <c r="G46" s="9"/>
      <c r="H46" s="630"/>
      <c r="I46" s="9"/>
      <c r="J46" s="14"/>
      <c r="K46" s="9"/>
      <c r="L46" s="630"/>
      <c r="M46" s="9"/>
      <c r="N46" s="14"/>
      <c r="O46" s="9"/>
      <c r="P46" s="1463"/>
      <c r="Q46" s="629"/>
      <c r="R46" s="630"/>
      <c r="S46" s="2353"/>
      <c r="T46" s="2353"/>
      <c r="U46" s="14"/>
      <c r="V46" s="630"/>
      <c r="W46" s="9"/>
      <c r="X46" s="14"/>
      <c r="Y46" s="2353"/>
      <c r="Z46" s="2354"/>
      <c r="AA46" s="14"/>
      <c r="AB46" s="1459"/>
      <c r="AC46" s="22"/>
      <c r="AD46" s="1464"/>
      <c r="AE46" s="1464"/>
      <c r="AF46" s="2355"/>
      <c r="AG46" s="14"/>
      <c r="AI46" s="1468"/>
      <c r="AJ46" s="7"/>
      <c r="AK46" s="2318"/>
      <c r="AL46" s="2318"/>
    </row>
    <row r="47" spans="1:38" ht="16.149999999999999" customHeight="1">
      <c r="A47" s="2328" t="s">
        <v>46</v>
      </c>
      <c r="B47" s="2328"/>
      <c r="C47" s="2329"/>
      <c r="D47" s="629"/>
      <c r="E47" s="9"/>
      <c r="F47" s="9"/>
      <c r="G47" s="9"/>
      <c r="H47" s="634"/>
      <c r="I47" s="22"/>
      <c r="J47" s="22"/>
      <c r="K47" s="22"/>
      <c r="L47" s="634"/>
      <c r="M47" s="22"/>
      <c r="N47" s="22"/>
      <c r="O47" s="22"/>
      <c r="P47" s="3692"/>
      <c r="Q47" s="634"/>
      <c r="R47" s="1459"/>
      <c r="S47" s="2353"/>
      <c r="T47" s="2353"/>
      <c r="U47" s="14"/>
      <c r="V47" s="629"/>
      <c r="W47" s="9"/>
      <c r="X47" s="22"/>
      <c r="Y47" s="2353"/>
      <c r="Z47" s="2354"/>
      <c r="AA47" s="14"/>
      <c r="AB47" s="634"/>
      <c r="AC47" s="22"/>
      <c r="AD47" s="1464"/>
      <c r="AE47" s="1464"/>
      <c r="AF47" s="2355"/>
      <c r="AG47" s="9"/>
      <c r="AI47" s="1468"/>
      <c r="AJ47" s="7"/>
      <c r="AK47" s="2318"/>
      <c r="AL47" s="2318"/>
    </row>
    <row r="48" spans="1:38" ht="18" customHeight="1">
      <c r="A48" s="2378" t="s">
        <v>47</v>
      </c>
      <c r="B48" s="2329"/>
      <c r="C48" s="2329"/>
      <c r="D48" s="1458">
        <v>0</v>
      </c>
      <c r="E48" s="9"/>
      <c r="F48" s="21">
        <v>0</v>
      </c>
      <c r="G48" s="9"/>
      <c r="H48" s="1458">
        <v>0</v>
      </c>
      <c r="I48" s="22"/>
      <c r="J48" s="21">
        <v>0</v>
      </c>
      <c r="K48" s="22"/>
      <c r="L48" s="1458">
        <v>0</v>
      </c>
      <c r="M48" s="1464"/>
      <c r="N48" s="21">
        <v>0</v>
      </c>
      <c r="O48" s="1464"/>
      <c r="P48" s="1458">
        <f>+'Exhibit I'!K92</f>
        <v>0</v>
      </c>
      <c r="Q48" s="1459"/>
      <c r="R48" s="1458">
        <f>'Exhibit I'!AF92</f>
        <v>0</v>
      </c>
      <c r="S48" s="2353"/>
      <c r="T48" s="2353"/>
      <c r="U48" s="14"/>
      <c r="V48" s="629">
        <f>ROUND(SUM(D48)+SUM(H48)+SUM(L48)+SUM(P48),1)</f>
        <v>0</v>
      </c>
      <c r="W48" s="17"/>
      <c r="X48" s="9">
        <f>ROUND(SUM(F48)+SUM(J48)+SUM(N48)+SUM(R48),1)</f>
        <v>0</v>
      </c>
      <c r="Y48" s="2353"/>
      <c r="Z48" s="2354"/>
      <c r="AA48" s="14"/>
      <c r="AB48" s="2108">
        <v>0</v>
      </c>
      <c r="AC48" s="21"/>
      <c r="AD48" s="3705">
        <f>'Exhibit I'!AI92</f>
        <v>0</v>
      </c>
      <c r="AE48" s="17"/>
      <c r="AF48" s="2379"/>
      <c r="AG48" s="14">
        <f>X48-AD48</f>
        <v>0</v>
      </c>
      <c r="AH48" s="2380"/>
      <c r="AI48" s="1465">
        <f>ROUND(IF(AD48=0,0,AG48/ABS(AD48)),3)</f>
        <v>0</v>
      </c>
      <c r="AJ48" s="2381"/>
      <c r="AK48" s="2318"/>
      <c r="AL48" s="2318"/>
    </row>
    <row r="49" spans="1:40" ht="18" customHeight="1">
      <c r="A49" s="2378" t="s">
        <v>48</v>
      </c>
      <c r="B49" s="2382" t="s">
        <v>1271</v>
      </c>
      <c r="C49" s="2378"/>
      <c r="D49" s="634">
        <f>+'Exhibit F'!J122+'Exhibit F'!J123+'Exhibit F'!J124+'Exhibit F'!J125</f>
        <v>2522.5000000000009</v>
      </c>
      <c r="E49" s="9"/>
      <c r="F49" s="9">
        <f>+'Exhibit F'!AC122+'Exhibit F'!AC123+'Exhibit F'!AC124+'Exhibit F'!AC125</f>
        <v>12972.2</v>
      </c>
      <c r="G49" s="22"/>
      <c r="H49" s="634">
        <f>'Exhibit G'!J111-11.6</f>
        <v>203.8000000000001</v>
      </c>
      <c r="I49" s="22"/>
      <c r="J49" s="22">
        <f>+'Exhibit G'!AD111</f>
        <v>1411</v>
      </c>
      <c r="K49" s="1464"/>
      <c r="L49" s="1459">
        <f>+'Exhibit H'!H64</f>
        <v>281.90000000000003</v>
      </c>
      <c r="M49" s="1464"/>
      <c r="N49" s="22">
        <f>+'Exhibit H'!AA64</f>
        <v>794.3</v>
      </c>
      <c r="O49" s="1464"/>
      <c r="P49" s="1458">
        <f>'Exhibit I'!K93</f>
        <v>260.60000000000014</v>
      </c>
      <c r="Q49" s="1459"/>
      <c r="R49" s="1459">
        <f>+'Exhibit I'!AF93</f>
        <v>1815.7</v>
      </c>
      <c r="S49" s="2383"/>
      <c r="T49" s="2383"/>
      <c r="U49" s="1464"/>
      <c r="V49" s="629">
        <f>ROUND(SUM(D49)+SUM(H49)+SUM(L49)+SUM(P49),1)</f>
        <v>3268.8</v>
      </c>
      <c r="W49" s="22" t="s">
        <v>15</v>
      </c>
      <c r="X49" s="9">
        <f>ROUND(SUM(F49)+SUM(J49)+SUM(N49)+SUM(R49),1)</f>
        <v>16993.2</v>
      </c>
      <c r="Y49" s="2383"/>
      <c r="Z49" s="2384"/>
      <c r="AA49" s="1464"/>
      <c r="AB49" s="2108">
        <v>2883.5999999999995</v>
      </c>
      <c r="AC49" s="22"/>
      <c r="AD49" s="1464">
        <f>'Exhibit F'!AF122+'Exhibit F'!AF123+'Exhibit F'!AF124+'Exhibit F'!AF125+'Exhibit G'!AG111+'Exhibit H'!AD64+'Exhibit I'!AI93</f>
        <v>14355.4</v>
      </c>
      <c r="AE49" s="1464"/>
      <c r="AF49" s="2355"/>
      <c r="AG49" s="14">
        <f>ROUND(SUM(X49-AD49),1)</f>
        <v>2637.8</v>
      </c>
      <c r="AH49" s="2380"/>
      <c r="AI49" s="1465">
        <f>ROUND(SUM((+X49-AD49)/ABS(AD49)),3)</f>
        <v>0.184</v>
      </c>
      <c r="AJ49" s="7"/>
      <c r="AK49" s="2318"/>
      <c r="AL49" s="2318"/>
    </row>
    <row r="50" spans="1:40" ht="18" customHeight="1">
      <c r="A50" s="2378" t="s">
        <v>49</v>
      </c>
      <c r="B50" s="2382" t="s">
        <v>1271</v>
      </c>
      <c r="C50" s="2378"/>
      <c r="D50" s="1459">
        <f>+'Exhibit F'!J126+'Exhibit F'!J128+'Exhibit F'!J129+'Exhibit F'!J127</f>
        <v>-574</v>
      </c>
      <c r="E50" s="22"/>
      <c r="F50" s="9">
        <f>+'Exhibit F'!AC126+'Exhibit F'!AC128+'Exhibit F'!AC129+'Exhibit F'!AC127</f>
        <v>-3437.3</v>
      </c>
      <c r="G50" s="22"/>
      <c r="H50" s="634">
        <f>'Exhibit G'!J112+11.6</f>
        <v>-228.09999999999988</v>
      </c>
      <c r="I50" s="22"/>
      <c r="J50" s="22">
        <f>+'Exhibit G'!AD112</f>
        <v>-547.6</v>
      </c>
      <c r="K50" s="22"/>
      <c r="L50" s="1459">
        <f>+'Exhibit H'!H65</f>
        <v>-2430.7999999999993</v>
      </c>
      <c r="M50" s="1464"/>
      <c r="N50" s="22">
        <f>+'Exhibit H'!AA65</f>
        <v>-12877</v>
      </c>
      <c r="O50" s="1464"/>
      <c r="P50" s="1458">
        <f>'Exhibit I'!K94</f>
        <v>-48.799999999999976</v>
      </c>
      <c r="Q50" s="634"/>
      <c r="R50" s="1459">
        <f>+'Exhibit I'!AF94</f>
        <v>-191.1</v>
      </c>
      <c r="S50" s="2383"/>
      <c r="T50" s="2383"/>
      <c r="U50" s="1464"/>
      <c r="V50" s="629">
        <f>ROUND(SUM(D50)+SUM(H50)+SUM(L50)+SUM(P50),1)</f>
        <v>-3281.7</v>
      </c>
      <c r="W50" s="2385" t="s">
        <v>15</v>
      </c>
      <c r="X50" s="9">
        <f>ROUND(SUM(F50)+SUM(J50)+SUM(N50)+SUM(R50),1)</f>
        <v>-17053</v>
      </c>
      <c r="Y50" s="2383"/>
      <c r="Z50" s="2384"/>
      <c r="AA50" s="1464"/>
      <c r="AB50" s="2108">
        <v>-2885.1999999999994</v>
      </c>
      <c r="AC50" s="22"/>
      <c r="AD50" s="1464">
        <f>'Exhibit F'!AF126+'Exhibit F'!AF127+'Exhibit F'!AF128+'Exhibit F'!AF129+'Exhibit G'!AG112+'Exhibit H'!AD65+'Exhibit I'!AI94</f>
        <v>-14342</v>
      </c>
      <c r="AE50" s="1464"/>
      <c r="AF50" s="2355"/>
      <c r="AG50" s="2386">
        <f>ROUND(SUM(X50-AD50),1)*-1</f>
        <v>2711</v>
      </c>
      <c r="AI50" s="1466">
        <f>-ROUND(SUM((+X50-AD50)/ABS(AD50)),3)</f>
        <v>0.189</v>
      </c>
      <c r="AJ50" s="7"/>
      <c r="AK50" s="2318"/>
      <c r="AL50" s="2318"/>
    </row>
    <row r="51" spans="1:40" ht="18" customHeight="1">
      <c r="A51" s="2328" t="s">
        <v>50</v>
      </c>
      <c r="B51" s="2328"/>
      <c r="C51" s="2329"/>
      <c r="D51" s="12">
        <f>ROUND(SUM(D48:D50),1)</f>
        <v>1948.5</v>
      </c>
      <c r="E51" s="9"/>
      <c r="F51" s="12">
        <f>ROUND(SUM(F48:F50),1)</f>
        <v>9534.9</v>
      </c>
      <c r="G51" s="1402"/>
      <c r="H51" s="1612">
        <f>ROUND(SUM(H48:H50),1)</f>
        <v>-24.3</v>
      </c>
      <c r="I51" s="23"/>
      <c r="J51" s="1612">
        <f>ROUND(SUM(J48:J50),1)</f>
        <v>863.4</v>
      </c>
      <c r="K51" s="23"/>
      <c r="L51" s="1612">
        <f>ROUND(SUM(L48:L50),1)</f>
        <v>-2148.9</v>
      </c>
      <c r="M51" s="23"/>
      <c r="N51" s="1612">
        <f>ROUND(SUM(N48:N50),1)</f>
        <v>-12082.7</v>
      </c>
      <c r="O51" s="23"/>
      <c r="P51" s="1612">
        <f>ROUND(SUM(P48:P50),1)</f>
        <v>211.8</v>
      </c>
      <c r="Q51" s="23"/>
      <c r="R51" s="1612">
        <f>ROUND(SUM(R48:R50),1)</f>
        <v>1624.6</v>
      </c>
      <c r="S51" s="2359"/>
      <c r="T51" s="2359"/>
      <c r="U51" s="2360"/>
      <c r="V51" s="1545">
        <f>ROUND(SUM(V48+V49+V50),1)</f>
        <v>-12.9</v>
      </c>
      <c r="W51" s="1402"/>
      <c r="X51" s="1545">
        <f>ROUND(SUM(+X48+X49+X50),1)</f>
        <v>-59.8</v>
      </c>
      <c r="Y51" s="2359"/>
      <c r="Z51" s="2361"/>
      <c r="AA51" s="2360"/>
      <c r="AB51" s="2387">
        <f>ROUND(SUM(+AB48+AB49+AB50),1)</f>
        <v>-1.6</v>
      </c>
      <c r="AC51" s="23"/>
      <c r="AD51" s="2387">
        <f>ROUND(SUM(+AD48+AD49+AD50),1)</f>
        <v>13.4</v>
      </c>
      <c r="AE51" s="2388"/>
      <c r="AF51" s="2362"/>
      <c r="AG51" s="11">
        <f>ROUND(SUM(+AG49-AG50+AG48),1)</f>
        <v>-73.2</v>
      </c>
      <c r="AH51" s="2363"/>
      <c r="AI51" s="1467">
        <f>ROUND(SUM(AG51/AD51),3)</f>
        <v>-5.4630000000000001</v>
      </c>
      <c r="AJ51" s="2330"/>
      <c r="AK51" s="2318"/>
      <c r="AL51" s="2318"/>
    </row>
    <row r="52" spans="1:40" ht="16.149999999999999" customHeight="1">
      <c r="A52" s="2329"/>
      <c r="B52" s="2329"/>
      <c r="C52" s="2329"/>
      <c r="D52" s="630"/>
      <c r="E52" s="9"/>
      <c r="F52" s="14"/>
      <c r="G52" s="9"/>
      <c r="H52" s="630"/>
      <c r="I52" s="9"/>
      <c r="J52" s="14"/>
      <c r="K52" s="9"/>
      <c r="L52" s="630"/>
      <c r="M52" s="9"/>
      <c r="N52" s="14"/>
      <c r="O52" s="9"/>
      <c r="P52" s="630"/>
      <c r="Q52" s="629"/>
      <c r="R52" s="630"/>
      <c r="S52" s="2353"/>
      <c r="T52" s="2353"/>
      <c r="U52" s="14"/>
      <c r="V52" s="630"/>
      <c r="W52" s="9"/>
      <c r="X52" s="14"/>
      <c r="Y52" s="2353"/>
      <c r="Z52" s="2354"/>
      <c r="AA52" s="14"/>
      <c r="AB52" s="1459"/>
      <c r="AC52" s="22"/>
      <c r="AD52" s="1464"/>
      <c r="AE52" s="1464"/>
      <c r="AF52" s="2355"/>
      <c r="AG52" s="14"/>
      <c r="AI52" s="1468"/>
      <c r="AJ52" s="7"/>
      <c r="AK52" s="2318"/>
      <c r="AL52" s="2318"/>
    </row>
    <row r="53" spans="1:40" ht="18" customHeight="1">
      <c r="A53" s="2327" t="s">
        <v>44</v>
      </c>
      <c r="B53" s="2328"/>
      <c r="C53" s="2329"/>
      <c r="D53" s="629"/>
      <c r="E53" s="9"/>
      <c r="F53" s="9"/>
      <c r="G53" s="9"/>
      <c r="H53" s="629"/>
      <c r="I53" s="9"/>
      <c r="J53" s="9"/>
      <c r="K53" s="9"/>
      <c r="L53" s="629"/>
      <c r="M53" s="9"/>
      <c r="N53" s="9"/>
      <c r="O53" s="9"/>
      <c r="P53" s="629"/>
      <c r="Q53" s="629"/>
      <c r="R53" s="629"/>
      <c r="S53" s="2353"/>
      <c r="T53" s="2353"/>
      <c r="U53" s="14"/>
      <c r="V53" s="629"/>
      <c r="W53" s="9"/>
      <c r="X53" s="9"/>
      <c r="Y53" s="2353"/>
      <c r="Z53" s="2354"/>
      <c r="AA53" s="14"/>
      <c r="AB53" s="634"/>
      <c r="AC53" s="22"/>
      <c r="AD53" s="1464"/>
      <c r="AE53" s="1464"/>
      <c r="AF53" s="2355"/>
      <c r="AG53" s="9"/>
      <c r="AI53" s="1469"/>
      <c r="AJ53" s="7"/>
      <c r="AK53" s="2318"/>
      <c r="AL53" s="2318"/>
    </row>
    <row r="54" spans="1:40" ht="18" customHeight="1">
      <c r="A54" s="2327" t="s">
        <v>51</v>
      </c>
      <c r="B54" s="2327"/>
      <c r="C54" s="2378"/>
      <c r="D54" s="634"/>
      <c r="E54" s="22"/>
      <c r="F54" s="22"/>
      <c r="G54" s="22"/>
      <c r="H54" s="629"/>
      <c r="I54" s="9"/>
      <c r="J54" s="9"/>
      <c r="K54" s="9"/>
      <c r="L54" s="629"/>
      <c r="M54" s="9"/>
      <c r="N54" s="9"/>
      <c r="O54" s="9"/>
      <c r="P54" s="634"/>
      <c r="Q54" s="629"/>
      <c r="R54" s="629"/>
      <c r="S54" s="2353"/>
      <c r="T54" s="2353"/>
      <c r="U54" s="14"/>
      <c r="V54" s="629" t="s">
        <v>15</v>
      </c>
      <c r="W54" s="9"/>
      <c r="X54" s="9"/>
      <c r="Y54" s="2353"/>
      <c r="Z54" s="2354"/>
      <c r="AA54" s="14"/>
      <c r="AB54" s="634"/>
      <c r="AC54" s="22"/>
      <c r="AD54" s="1464"/>
      <c r="AE54" s="1464"/>
      <c r="AF54" s="2355"/>
      <c r="AG54" s="9"/>
      <c r="AI54" s="1468"/>
      <c r="AJ54" s="7"/>
      <c r="AK54" s="2318"/>
      <c r="AL54" s="2318"/>
    </row>
    <row r="55" spans="1:40" ht="18" customHeight="1">
      <c r="A55" s="2327" t="s">
        <v>52</v>
      </c>
      <c r="B55" s="2327"/>
      <c r="C55" s="2378"/>
      <c r="D55" s="23">
        <f>ROUND(SUM(D45+D51),1)</f>
        <v>21.3</v>
      </c>
      <c r="E55" s="23"/>
      <c r="F55" s="23">
        <f>ROUND(SUM(F45)+SUM(F51),1)</f>
        <v>-591.4</v>
      </c>
      <c r="G55" s="23"/>
      <c r="H55" s="23">
        <f>ROUND(SUM(H45+H51),1)</f>
        <v>-1106</v>
      </c>
      <c r="I55" s="23"/>
      <c r="J55" s="23">
        <f>ROUND(SUM(J45)+SUM(J51),1)</f>
        <v>3038.2</v>
      </c>
      <c r="K55" s="23"/>
      <c r="L55" s="23">
        <f>ROUND(SUM(L45+L51),1)</f>
        <v>253.2</v>
      </c>
      <c r="M55" s="23"/>
      <c r="N55" s="23">
        <f>ROUND(SUM(N45+N51),1)</f>
        <v>549.9</v>
      </c>
      <c r="O55" s="23"/>
      <c r="P55" s="23">
        <f>ROUND(SUM(P45+P51),1)</f>
        <v>-122</v>
      </c>
      <c r="Q55" s="23"/>
      <c r="R55" s="23">
        <f>ROUND(SUM(R45+R51),1)</f>
        <v>-196.6</v>
      </c>
      <c r="S55" s="2389"/>
      <c r="T55" s="2389"/>
      <c r="U55" s="1520"/>
      <c r="V55" s="23">
        <f>ROUND(SUM(V45)+SUM(V51),1)</f>
        <v>-953.5</v>
      </c>
      <c r="W55" s="23"/>
      <c r="X55" s="23">
        <f>ROUND(SUM(X45)+SUM(X51),1)</f>
        <v>2800.1</v>
      </c>
      <c r="Y55" s="2389"/>
      <c r="Z55" s="2390"/>
      <c r="AA55" s="1520"/>
      <c r="AB55" s="23">
        <f>ROUND(SUM(AB45)+SUM(AB51),1)</f>
        <v>537</v>
      </c>
      <c r="AC55" s="23"/>
      <c r="AD55" s="23">
        <f>ROUND(SUM(AD45)+SUM(AD51),1)</f>
        <v>-1046</v>
      </c>
      <c r="AE55" s="1520"/>
      <c r="AF55" s="2362"/>
      <c r="AG55" s="2360">
        <f>ROUND(SUM(+AG45+AG51),1)</f>
        <v>3846.1</v>
      </c>
      <c r="AH55" s="2363"/>
      <c r="AI55" s="1533">
        <f>ROUND(SUM((+X55-AD55)/ABS(AD55)),3)</f>
        <v>3.677</v>
      </c>
      <c r="AJ55" s="2391"/>
      <c r="AK55" s="2392"/>
      <c r="AL55" s="2318"/>
    </row>
    <row r="56" spans="1:40" ht="16.149999999999999" customHeight="1">
      <c r="A56" s="2328"/>
      <c r="B56" s="2328"/>
      <c r="C56" s="2329"/>
      <c r="D56" s="634"/>
      <c r="E56" s="22"/>
      <c r="F56" s="1464"/>
      <c r="G56" s="22"/>
      <c r="H56" s="629"/>
      <c r="I56" s="9"/>
      <c r="J56" s="22"/>
      <c r="K56" s="22"/>
      <c r="L56" s="634"/>
      <c r="M56" s="22"/>
      <c r="N56" s="22"/>
      <c r="O56" s="22"/>
      <c r="P56" s="1459"/>
      <c r="Q56" s="629"/>
      <c r="R56" s="634"/>
      <c r="S56" s="2353"/>
      <c r="T56" s="2353"/>
      <c r="U56" s="14"/>
      <c r="V56" s="629"/>
      <c r="W56" s="9"/>
      <c r="X56" s="9"/>
      <c r="Y56" s="2383"/>
      <c r="Z56" s="2384"/>
      <c r="AA56" s="1464"/>
      <c r="AB56" s="634"/>
      <c r="AC56" s="22"/>
      <c r="AD56" s="1464"/>
      <c r="AE56" s="1464"/>
      <c r="AF56" s="2355"/>
      <c r="AG56" s="9"/>
      <c r="AI56" s="1468"/>
      <c r="AJ56" s="7"/>
      <c r="AK56" s="2318"/>
      <c r="AL56" s="2318"/>
    </row>
    <row r="57" spans="1:40" s="2313" customFormat="1" ht="18" customHeight="1">
      <c r="A57" s="2394" t="s">
        <v>53</v>
      </c>
      <c r="B57" s="3259"/>
      <c r="C57" s="2378"/>
      <c r="D57" s="1713">
        <f>+'Exhibit F'!J12</f>
        <v>6593</v>
      </c>
      <c r="E57" s="23"/>
      <c r="F57" s="1713">
        <f>'Exhibit F'!D12</f>
        <v>7205.7</v>
      </c>
      <c r="G57" s="23"/>
      <c r="H57" s="1713">
        <f>+'Exhibit G'!J13</f>
        <v>7986.6</v>
      </c>
      <c r="I57" s="23"/>
      <c r="J57" s="1713">
        <f>'Exhibit G'!D13</f>
        <v>3842.4000000000005</v>
      </c>
      <c r="K57" s="23"/>
      <c r="L57" s="1713">
        <f>'Exhibit H'!H12</f>
        <v>361.5</v>
      </c>
      <c r="M57" s="23"/>
      <c r="N57" s="1713">
        <f>'Exhibit H'!B12</f>
        <v>64.8</v>
      </c>
      <c r="O57" s="1520"/>
      <c r="P57" s="1713">
        <f>+'Exhibit I'!K15</f>
        <v>-1212.5</v>
      </c>
      <c r="Q57" s="1520"/>
      <c r="R57" s="1713">
        <f>'Exhibit I'!E15</f>
        <v>-1137.9000000000001</v>
      </c>
      <c r="S57" s="2389"/>
      <c r="T57" s="2389"/>
      <c r="U57" s="1520"/>
      <c r="V57" s="1713">
        <f>D57+H57+L57+P57</f>
        <v>13728.6</v>
      </c>
      <c r="W57" s="23"/>
      <c r="X57" s="1713">
        <f>F57+J57+N57+R57</f>
        <v>9975</v>
      </c>
      <c r="Y57" s="2389"/>
      <c r="Z57" s="2390"/>
      <c r="AA57" s="1520"/>
      <c r="AB57" s="3772">
        <v>11166</v>
      </c>
      <c r="AC57" s="23"/>
      <c r="AD57" s="1713">
        <f>'Exhibit F'!AF12+'Exhibit G'!AG13+'Exhibit H'!AD12+'Exhibit I'!AI15</f>
        <v>12749</v>
      </c>
      <c r="AE57" s="1520"/>
      <c r="AF57" s="3234"/>
      <c r="AG57" s="1713">
        <f>ROUND(SUM(X57-AD57),1)</f>
        <v>-2774</v>
      </c>
      <c r="AH57" s="3225"/>
      <c r="AI57" s="3235">
        <f>ROUND(SUM((+X57-AD57)/ABS(AD57)),3)</f>
        <v>-0.218</v>
      </c>
      <c r="AJ57" s="2391"/>
      <c r="AK57" s="3232"/>
      <c r="AL57" s="3232"/>
    </row>
    <row r="58" spans="1:40" s="2313" customFormat="1" ht="16.149999999999999" customHeight="1">
      <c r="A58" s="2378"/>
      <c r="B58" s="2378"/>
      <c r="C58" s="2378"/>
      <c r="D58" s="1459"/>
      <c r="E58" s="22"/>
      <c r="F58" s="1464"/>
      <c r="G58" s="22"/>
      <c r="H58" s="1459"/>
      <c r="I58" s="22"/>
      <c r="J58" s="1464"/>
      <c r="K58" s="22"/>
      <c r="L58" s="1459"/>
      <c r="M58" s="22"/>
      <c r="N58" s="1464"/>
      <c r="O58" s="22"/>
      <c r="P58" s="1459"/>
      <c r="Q58" s="634"/>
      <c r="R58" s="1459"/>
      <c r="S58" s="2383"/>
      <c r="T58" s="2383"/>
      <c r="U58" s="1464"/>
      <c r="V58" s="1459"/>
      <c r="W58" s="22"/>
      <c r="X58" s="1464"/>
      <c r="Y58" s="2383"/>
      <c r="Z58" s="2384"/>
      <c r="AA58" s="1464"/>
      <c r="AB58" s="1459"/>
      <c r="AC58" s="22"/>
      <c r="AD58" s="1464"/>
      <c r="AE58" s="1464"/>
      <c r="AF58" s="3233"/>
      <c r="AG58" s="1464"/>
      <c r="AI58" s="3231"/>
      <c r="AJ58" s="2339"/>
      <c r="AK58" s="3232"/>
      <c r="AL58" s="3232"/>
    </row>
    <row r="59" spans="1:40" s="2313" customFormat="1" ht="18" customHeight="1" thickBot="1">
      <c r="A59" s="2394" t="s">
        <v>54</v>
      </c>
      <c r="B59" s="2395"/>
      <c r="C59" s="3223"/>
      <c r="D59" s="25">
        <f>ROUND(SUM(D55+D57),1)</f>
        <v>6614.3</v>
      </c>
      <c r="E59" s="2396"/>
      <c r="F59" s="25">
        <f>ROUND(SUM(F55+F57),1)</f>
        <v>6614.3</v>
      </c>
      <c r="G59" s="2396"/>
      <c r="H59" s="25">
        <f>ROUND(SUM(H55+H57),1)</f>
        <v>6880.6</v>
      </c>
      <c r="I59" s="2396"/>
      <c r="J59" s="25">
        <f>ROUND(SUM(J55)+SUM(J57),1)</f>
        <v>6880.6</v>
      </c>
      <c r="K59" s="2396"/>
      <c r="L59" s="25">
        <f>ROUND(SUM(L55+L57),1)</f>
        <v>614.70000000000005</v>
      </c>
      <c r="M59" s="2396"/>
      <c r="N59" s="25">
        <f>ROUND(SUM(N55+N57),1)</f>
        <v>614.70000000000005</v>
      </c>
      <c r="O59" s="2396"/>
      <c r="P59" s="25">
        <f>ROUND(SUM(P55+P57),1)</f>
        <v>-1334.5</v>
      </c>
      <c r="Q59" s="2396"/>
      <c r="R59" s="25">
        <f>ROUND(SUM(R55+R57),1)</f>
        <v>-1334.5</v>
      </c>
      <c r="S59" s="2397"/>
      <c r="T59" s="2397"/>
      <c r="U59" s="2398"/>
      <c r="V59" s="25">
        <f>ROUND(SUM(V55+V57),1)</f>
        <v>12775.1</v>
      </c>
      <c r="W59" s="2396"/>
      <c r="X59" s="25">
        <f>ROUND(SUM(X55+X57),1)</f>
        <v>12775.1</v>
      </c>
      <c r="Y59" s="2397"/>
      <c r="Z59" s="2399"/>
      <c r="AA59" s="2398"/>
      <c r="AB59" s="25">
        <f>ROUND(SUM(AB55+AB57),1)</f>
        <v>11703</v>
      </c>
      <c r="AC59" s="2396"/>
      <c r="AD59" s="25">
        <f>ROUND(SUM(AD55+AD57),1)</f>
        <v>11703</v>
      </c>
      <c r="AE59" s="2398"/>
      <c r="AF59" s="3224"/>
      <c r="AG59" s="25">
        <f>ROUND(SUM(AG55+AG57),1)</f>
        <v>1072.0999999999999</v>
      </c>
      <c r="AH59" s="3225"/>
      <c r="AI59" s="3226">
        <f>ROUND(SUM((+X59-AD59)/ABS(AD59)),3)</f>
        <v>9.1999999999999998E-2</v>
      </c>
      <c r="AJ59" s="2401"/>
      <c r="AK59" s="3227"/>
      <c r="AL59" s="3227"/>
      <c r="AM59" s="3228"/>
      <c r="AN59" s="3225"/>
    </row>
    <row r="60" spans="1:40" s="2313" customFormat="1" ht="15.75" thickTop="1">
      <c r="A60" s="3229"/>
      <c r="B60" s="3229"/>
      <c r="C60" s="3229"/>
      <c r="D60" s="2405"/>
      <c r="E60" s="2406"/>
      <c r="F60" s="2406"/>
      <c r="G60" s="2406"/>
      <c r="H60" s="2405"/>
      <c r="I60" s="2406"/>
      <c r="J60" s="2406"/>
      <c r="K60" s="2406"/>
      <c r="L60" s="2405"/>
      <c r="M60" s="2406"/>
      <c r="N60" s="2406"/>
      <c r="O60" s="2406"/>
      <c r="P60" s="2406"/>
      <c r="Q60" s="2406"/>
      <c r="R60" s="2406"/>
      <c r="S60" s="2406"/>
      <c r="T60" s="2406"/>
      <c r="U60" s="2406"/>
      <c r="V60" s="2405"/>
      <c r="W60" s="2406"/>
      <c r="X60" s="2406"/>
      <c r="Y60" s="2406"/>
      <c r="Z60" s="2406"/>
      <c r="AA60" s="2406"/>
      <c r="AB60" s="2405"/>
      <c r="AC60" s="3574"/>
      <c r="AD60" s="2406"/>
      <c r="AE60" s="2406"/>
      <c r="AF60" s="2406"/>
      <c r="AG60" s="2406"/>
      <c r="AI60" s="3230"/>
      <c r="AJ60" s="3231"/>
      <c r="AK60" s="3232"/>
      <c r="AL60" s="3232"/>
    </row>
    <row r="61" spans="1:40" ht="15.75">
      <c r="A61" s="2408"/>
      <c r="B61" s="2377"/>
      <c r="C61" s="2377"/>
      <c r="D61" s="2410"/>
      <c r="E61" s="2419"/>
      <c r="F61" s="2419"/>
      <c r="G61" s="2419"/>
      <c r="H61" s="2409"/>
      <c r="I61" s="2380"/>
      <c r="J61" s="2380"/>
      <c r="K61" s="2380"/>
      <c r="L61" s="2409"/>
      <c r="M61" s="2419"/>
      <c r="N61" s="2419"/>
      <c r="O61" s="2380"/>
      <c r="P61" s="2408" t="s">
        <v>15</v>
      </c>
      <c r="Q61" s="2380"/>
      <c r="R61" s="2380"/>
      <c r="S61" s="2380"/>
      <c r="T61" s="2380"/>
      <c r="U61" s="2380"/>
      <c r="V61" s="2409"/>
      <c r="W61" s="2380"/>
      <c r="X61" s="2380"/>
      <c r="Y61" s="2380"/>
      <c r="Z61" s="2380"/>
      <c r="AA61" s="2380"/>
      <c r="AB61" s="2410"/>
      <c r="AC61" s="2419"/>
      <c r="AI61" s="2407"/>
      <c r="AJ61" s="1468"/>
      <c r="AK61" s="2318"/>
      <c r="AL61" s="2318"/>
    </row>
    <row r="62" spans="1:40" ht="15">
      <c r="A62" s="2380"/>
      <c r="B62" s="2380"/>
      <c r="C62" s="2380"/>
      <c r="D62" s="2409"/>
      <c r="E62" s="2380"/>
      <c r="F62" s="2380"/>
      <c r="G62" s="2380"/>
      <c r="H62" s="2409"/>
      <c r="I62" s="2380"/>
      <c r="J62" s="2380"/>
      <c r="K62" s="2380"/>
      <c r="L62" s="2409"/>
      <c r="M62" s="2380"/>
      <c r="N62" s="2380"/>
      <c r="O62" s="2380"/>
      <c r="P62" s="2380" t="s">
        <v>15</v>
      </c>
      <c r="Q62" s="2380"/>
      <c r="R62" s="2380"/>
      <c r="S62" s="2380"/>
      <c r="T62" s="2380"/>
      <c r="U62" s="2380"/>
      <c r="V62" s="2409"/>
      <c r="W62" s="2380"/>
      <c r="X62" s="2380"/>
      <c r="Y62" s="2380"/>
      <c r="Z62" s="2380"/>
      <c r="AA62" s="2380"/>
      <c r="AB62" s="3619"/>
      <c r="AC62" s="2419"/>
      <c r="AD62" s="2411"/>
      <c r="AI62" s="2407"/>
      <c r="AJ62" s="1468"/>
      <c r="AK62" s="2318"/>
      <c r="AL62" s="2318"/>
    </row>
    <row r="63" spans="1:40" ht="15">
      <c r="A63" s="2380"/>
      <c r="B63" s="2380"/>
      <c r="C63" s="2380"/>
      <c r="D63" s="2409"/>
      <c r="E63" s="2380"/>
      <c r="F63" s="2380"/>
      <c r="G63" s="2380"/>
      <c r="H63" s="2409"/>
      <c r="I63" s="2380"/>
      <c r="J63" s="2380"/>
      <c r="K63" s="2380"/>
      <c r="L63" s="2409"/>
      <c r="M63" s="2380"/>
      <c r="N63" s="2380"/>
      <c r="O63" s="2380"/>
      <c r="P63" s="2380" t="s">
        <v>15</v>
      </c>
      <c r="Q63" s="2380"/>
      <c r="R63" s="2380"/>
      <c r="S63" s="2380"/>
      <c r="T63" s="2380"/>
      <c r="U63" s="2380"/>
      <c r="V63" s="2409"/>
      <c r="W63" s="2380"/>
      <c r="X63" s="2380"/>
      <c r="Y63" s="2380"/>
      <c r="Z63" s="2380"/>
      <c r="AA63" s="2380"/>
      <c r="AB63" s="3619"/>
      <c r="AC63" s="2419"/>
      <c r="AI63" s="2412"/>
      <c r="AJ63" s="1468"/>
      <c r="AK63" s="2318"/>
      <c r="AL63" s="2318"/>
    </row>
    <row r="64" spans="1:40" ht="15.75">
      <c r="A64" s="2413"/>
      <c r="B64" s="2380"/>
      <c r="C64" s="2380"/>
      <c r="D64" s="2409"/>
      <c r="E64" s="2380"/>
      <c r="F64" s="2380"/>
      <c r="G64" s="2380"/>
      <c r="H64" s="2409"/>
      <c r="I64" s="2380"/>
      <c r="J64" s="2380"/>
      <c r="K64" s="2380"/>
      <c r="L64" s="2409"/>
      <c r="M64" s="2380"/>
      <c r="N64" s="2380"/>
      <c r="O64" s="2380"/>
      <c r="P64" s="2380"/>
      <c r="Q64" s="2380"/>
      <c r="R64" s="2380"/>
      <c r="S64" s="2380"/>
      <c r="T64" s="2380"/>
      <c r="U64" s="2380"/>
      <c r="V64" s="2409"/>
      <c r="W64" s="2380"/>
      <c r="X64" s="2380"/>
      <c r="Y64" s="2380"/>
      <c r="Z64" s="2380"/>
      <c r="AA64" s="2380"/>
      <c r="AB64" s="2410"/>
      <c r="AC64" s="2419"/>
      <c r="AI64" s="2412"/>
      <c r="AJ64" s="2318"/>
      <c r="AK64" s="2318"/>
      <c r="AL64" s="2318"/>
    </row>
    <row r="65" spans="1:38" ht="15.75">
      <c r="A65" s="2413"/>
      <c r="B65" s="2380"/>
      <c r="C65" s="2380"/>
      <c r="D65" s="2409"/>
      <c r="E65" s="2380"/>
      <c r="F65" s="2380"/>
      <c r="G65" s="2380"/>
      <c r="H65" s="2409"/>
      <c r="I65" s="2380"/>
      <c r="J65" s="2380"/>
      <c r="K65" s="2380"/>
      <c r="L65" s="2409"/>
      <c r="M65" s="2380"/>
      <c r="N65" s="2380"/>
      <c r="O65" s="2380"/>
      <c r="P65" s="2380"/>
      <c r="Q65" s="2380"/>
      <c r="R65" s="2380"/>
      <c r="S65" s="2380"/>
      <c r="T65" s="2380"/>
      <c r="U65" s="2380"/>
      <c r="V65" s="2409"/>
      <c r="W65" s="2380"/>
      <c r="X65" s="2380"/>
      <c r="Y65" s="2380"/>
      <c r="Z65" s="2380"/>
      <c r="AA65" s="2380"/>
      <c r="AB65" s="3619"/>
      <c r="AC65" s="2419"/>
      <c r="AI65" s="2412"/>
      <c r="AJ65" s="2318" t="s">
        <v>15</v>
      </c>
      <c r="AK65" s="2318"/>
      <c r="AL65" s="2318"/>
    </row>
    <row r="66" spans="1:38" ht="15.75">
      <c r="A66" s="2414"/>
      <c r="B66" s="2415"/>
      <c r="C66" s="2408"/>
      <c r="D66" s="2416"/>
      <c r="E66" s="2417"/>
      <c r="F66" s="2417"/>
      <c r="G66" s="2417"/>
      <c r="H66" s="2416"/>
      <c r="I66" s="2417"/>
      <c r="J66" s="2417"/>
      <c r="K66" s="2417"/>
      <c r="L66" s="2416"/>
      <c r="M66" s="2380"/>
      <c r="N66" s="2380"/>
      <c r="O66" s="2380"/>
      <c r="P66" s="2380"/>
      <c r="Q66" s="2380"/>
      <c r="R66" s="2380"/>
      <c r="S66" s="2380"/>
      <c r="T66" s="2380"/>
      <c r="U66" s="2380"/>
      <c r="V66" s="2409"/>
      <c r="W66" s="2380"/>
      <c r="X66" s="2380"/>
      <c r="Y66" s="2380"/>
      <c r="Z66" s="2380"/>
      <c r="AA66" s="2380"/>
      <c r="AB66" s="2410"/>
      <c r="AC66" s="2419"/>
      <c r="AI66" s="2412"/>
      <c r="AJ66" s="2318"/>
      <c r="AK66" s="2318"/>
      <c r="AL66" s="2318"/>
    </row>
    <row r="67" spans="1:38" ht="15">
      <c r="A67" s="1468"/>
      <c r="B67" s="1468"/>
      <c r="C67" s="1468"/>
      <c r="D67" s="2418"/>
      <c r="E67" s="1468"/>
      <c r="F67" s="1468"/>
      <c r="G67" s="1468"/>
      <c r="H67" s="2418"/>
      <c r="I67" s="1468"/>
      <c r="J67" s="1468"/>
      <c r="K67" s="1468"/>
      <c r="L67" s="2418"/>
      <c r="M67" s="2380"/>
      <c r="N67" s="2380"/>
      <c r="O67" s="2380"/>
      <c r="P67" s="2380"/>
      <c r="Q67" s="2380"/>
      <c r="R67" s="2380"/>
      <c r="S67" s="2380"/>
      <c r="T67" s="2380"/>
      <c r="U67" s="2380"/>
      <c r="V67" s="2409"/>
      <c r="W67" s="2380"/>
      <c r="X67" s="2380"/>
      <c r="Y67" s="2380"/>
      <c r="Z67" s="2380"/>
      <c r="AA67" s="2380"/>
      <c r="AB67" s="2410"/>
      <c r="AC67" s="2419"/>
      <c r="AI67" s="2412"/>
      <c r="AJ67" s="2318"/>
      <c r="AK67" s="2318"/>
      <c r="AL67" s="2318"/>
    </row>
    <row r="68" spans="1:38" ht="15">
      <c r="A68" s="1468"/>
      <c r="B68" s="1468"/>
      <c r="C68" s="1468"/>
      <c r="D68" s="2418"/>
      <c r="E68" s="1468"/>
      <c r="F68" s="1468"/>
      <c r="G68" s="1468"/>
      <c r="H68" s="2418"/>
      <c r="I68" s="1468"/>
      <c r="J68" s="1468"/>
      <c r="K68" s="1468"/>
      <c r="L68" s="2418"/>
      <c r="M68" s="2380"/>
      <c r="N68" s="2380"/>
      <c r="O68" s="2380"/>
      <c r="P68" s="2380"/>
      <c r="Q68" s="2380"/>
      <c r="R68" s="2380"/>
      <c r="S68" s="2380"/>
      <c r="T68" s="2380"/>
      <c r="U68" s="2380"/>
      <c r="V68" s="2409"/>
      <c r="W68" s="2380"/>
      <c r="X68" s="2380"/>
      <c r="Y68" s="2380"/>
      <c r="Z68" s="2380"/>
      <c r="AA68" s="2380"/>
      <c r="AB68" s="2410"/>
      <c r="AC68" s="2419"/>
      <c r="AI68" s="2412"/>
      <c r="AJ68" s="2318"/>
      <c r="AK68" s="2318"/>
      <c r="AL68" s="2318"/>
    </row>
    <row r="69" spans="1:38" ht="15">
      <c r="A69" s="1468"/>
      <c r="B69" s="1468"/>
      <c r="C69" s="1468"/>
      <c r="D69" s="2418"/>
      <c r="E69" s="1468"/>
      <c r="F69" s="1468"/>
      <c r="G69" s="1468"/>
      <c r="H69" s="2418"/>
      <c r="I69" s="1468"/>
      <c r="J69" s="1468"/>
      <c r="K69" s="1468"/>
      <c r="L69" s="2418"/>
      <c r="M69" s="2380"/>
      <c r="N69" s="2380"/>
      <c r="O69" s="2380"/>
      <c r="P69" s="2380"/>
      <c r="Q69" s="2380"/>
      <c r="R69" s="2380"/>
      <c r="S69" s="2380"/>
      <c r="T69" s="2380"/>
      <c r="U69" s="2380"/>
      <c r="V69" s="2409"/>
      <c r="W69" s="2380"/>
      <c r="X69" s="2380"/>
      <c r="Y69" s="2380"/>
      <c r="Z69" s="2380"/>
      <c r="AA69" s="2380"/>
      <c r="AB69" s="2410"/>
      <c r="AI69" s="2412"/>
      <c r="AJ69" s="2318"/>
      <c r="AK69" s="2318"/>
      <c r="AL69" s="2318"/>
    </row>
    <row r="70" spans="1:38" ht="15">
      <c r="AI70" s="2412"/>
      <c r="AJ70" s="2318"/>
      <c r="AK70" s="2318"/>
      <c r="AL70" s="2318"/>
    </row>
    <row r="71" spans="1:38" ht="15">
      <c r="AI71" s="2412"/>
      <c r="AJ71" s="2318"/>
      <c r="AK71" s="2318"/>
      <c r="AL71" s="2318"/>
    </row>
    <row r="72" spans="1:38" ht="15">
      <c r="AI72" s="2412"/>
      <c r="AJ72" s="2318"/>
      <c r="AK72" s="2318"/>
      <c r="AL72" s="2318"/>
    </row>
    <row r="73" spans="1:38" ht="15">
      <c r="AI73" s="2412"/>
      <c r="AJ73" s="2318"/>
      <c r="AK73" s="2318"/>
      <c r="AL73" s="2318"/>
    </row>
    <row r="74" spans="1:38" ht="15">
      <c r="AI74" s="2412"/>
      <c r="AJ74" s="2318"/>
      <c r="AK74" s="2318"/>
      <c r="AL74" s="2318"/>
    </row>
    <row r="75" spans="1:38" ht="15">
      <c r="AI75" s="2412"/>
      <c r="AJ75" s="2318"/>
      <c r="AK75" s="2318"/>
      <c r="AL75" s="2318"/>
    </row>
    <row r="76" spans="1:38" ht="15">
      <c r="AI76" s="2412"/>
      <c r="AJ76" s="2318"/>
      <c r="AK76" s="2318"/>
      <c r="AL76" s="2318"/>
    </row>
    <row r="77" spans="1:38" ht="15">
      <c r="AI77" s="2412"/>
      <c r="AJ77" s="2318"/>
      <c r="AK77" s="2318"/>
      <c r="AL77" s="2318"/>
    </row>
    <row r="78" spans="1:38" ht="15">
      <c r="AI78" s="2412"/>
      <c r="AJ78" s="2318"/>
      <c r="AK78" s="2318"/>
      <c r="AL78" s="2318"/>
    </row>
    <row r="79" spans="1:38" ht="15">
      <c r="AI79" s="2412"/>
      <c r="AJ79" s="2318"/>
      <c r="AK79" s="2318"/>
      <c r="AL79" s="2318"/>
    </row>
    <row r="80" spans="1:38" ht="15">
      <c r="AI80" s="2412"/>
      <c r="AJ80" s="2318"/>
      <c r="AK80" s="2318"/>
      <c r="AL80" s="2318"/>
    </row>
    <row r="81" spans="35:38" ht="15">
      <c r="AI81" s="2412"/>
      <c r="AJ81" s="2318"/>
      <c r="AK81" s="2318"/>
      <c r="AL81" s="2318"/>
    </row>
    <row r="82" spans="35:38" ht="15">
      <c r="AI82" s="2412"/>
      <c r="AJ82" s="2318"/>
      <c r="AK82" s="2318"/>
      <c r="AL82" s="2318"/>
    </row>
    <row r="83" spans="35:38" ht="15">
      <c r="AI83" s="2412"/>
      <c r="AJ83" s="2318"/>
      <c r="AK83" s="2318"/>
      <c r="AL83" s="2318"/>
    </row>
    <row r="84" spans="35:38" ht="15">
      <c r="AI84" s="2412"/>
      <c r="AJ84" s="2318"/>
      <c r="AK84" s="2318"/>
      <c r="AL84" s="2318"/>
    </row>
    <row r="85" spans="35:38" ht="15">
      <c r="AI85" s="2412"/>
      <c r="AJ85" s="2318"/>
      <c r="AK85" s="2318"/>
      <c r="AL85" s="2318"/>
    </row>
    <row r="86" spans="35:38" ht="15">
      <c r="AI86" s="2412"/>
      <c r="AJ86" s="2318"/>
      <c r="AK86" s="2318"/>
      <c r="AL86" s="2318"/>
    </row>
    <row r="87" spans="35:38" ht="15">
      <c r="AI87" s="2412"/>
      <c r="AJ87" s="2318"/>
      <c r="AK87" s="2318"/>
      <c r="AL87" s="2318"/>
    </row>
    <row r="88" spans="35:38" ht="15">
      <c r="AI88" s="2412"/>
      <c r="AJ88" s="2318"/>
      <c r="AK88" s="2318"/>
      <c r="AL88" s="2318"/>
    </row>
    <row r="89" spans="35:38" ht="15">
      <c r="AI89" s="2412"/>
      <c r="AJ89" s="2318"/>
      <c r="AK89" s="2318"/>
      <c r="AL89" s="2318"/>
    </row>
    <row r="90" spans="35:38" ht="15">
      <c r="AI90" s="2412"/>
      <c r="AJ90" s="2318"/>
      <c r="AK90" s="2318"/>
      <c r="AL90" s="2318"/>
    </row>
    <row r="91" spans="35:38" ht="15">
      <c r="AI91" s="2412"/>
      <c r="AJ91" s="2318"/>
      <c r="AK91" s="2318"/>
      <c r="AL91" s="2318"/>
    </row>
    <row r="92" spans="35:38" ht="15">
      <c r="AI92" s="2412"/>
      <c r="AJ92" s="2318"/>
      <c r="AK92" s="2318"/>
      <c r="AL92" s="2318"/>
    </row>
    <row r="93" spans="35:38" ht="15">
      <c r="AI93" s="2412"/>
      <c r="AJ93" s="2318"/>
      <c r="AK93" s="2318"/>
      <c r="AL93" s="2318"/>
    </row>
    <row r="94" spans="35:38" ht="15">
      <c r="AI94" s="2412"/>
      <c r="AJ94" s="2318"/>
      <c r="AK94" s="2318"/>
      <c r="AL94" s="2318"/>
    </row>
    <row r="95" spans="35:38" ht="15">
      <c r="AI95" s="2412"/>
      <c r="AJ95" s="2318"/>
      <c r="AK95" s="2318"/>
      <c r="AL95" s="2318"/>
    </row>
    <row r="96" spans="35:38" ht="15">
      <c r="AI96" s="2412"/>
      <c r="AJ96" s="2318"/>
      <c r="AK96" s="2318"/>
      <c r="AL96" s="2318"/>
    </row>
    <row r="97" spans="35:38" ht="15">
      <c r="AI97" s="2412"/>
      <c r="AJ97" s="2318"/>
      <c r="AK97" s="2318"/>
      <c r="AL97" s="2318"/>
    </row>
    <row r="98" spans="35:38" ht="15">
      <c r="AI98" s="2412"/>
      <c r="AJ98" s="2318"/>
      <c r="AK98" s="2318"/>
      <c r="AL98" s="2318"/>
    </row>
    <row r="99" spans="35:38" ht="15">
      <c r="AI99" s="2412"/>
      <c r="AJ99" s="2318"/>
      <c r="AK99" s="2318"/>
      <c r="AL99" s="2318"/>
    </row>
    <row r="100" spans="35:38" ht="15">
      <c r="AI100" s="2412"/>
      <c r="AJ100" s="2318"/>
      <c r="AK100" s="2318"/>
      <c r="AL100" s="2318"/>
    </row>
    <row r="101" spans="35:38" ht="15">
      <c r="AI101" s="2412"/>
      <c r="AJ101" s="2318"/>
      <c r="AK101" s="2318"/>
      <c r="AL101" s="2318"/>
    </row>
    <row r="102" spans="35:38" ht="15">
      <c r="AI102" s="2412"/>
      <c r="AJ102" s="2318"/>
      <c r="AK102" s="2318"/>
      <c r="AL102" s="2318"/>
    </row>
    <row r="103" spans="35:38" ht="15">
      <c r="AI103" s="2412"/>
      <c r="AJ103" s="2318"/>
      <c r="AK103" s="2318"/>
      <c r="AL103" s="2318"/>
    </row>
    <row r="104" spans="35:38" ht="15">
      <c r="AI104" s="2412"/>
      <c r="AJ104" s="2318"/>
      <c r="AK104" s="2318"/>
      <c r="AL104" s="2318"/>
    </row>
    <row r="105" spans="35:38" ht="15">
      <c r="AI105" s="2412"/>
      <c r="AJ105" s="2318"/>
      <c r="AK105" s="2318"/>
      <c r="AL105" s="2318"/>
    </row>
    <row r="106" spans="35:38" ht="15">
      <c r="AI106" s="2412"/>
      <c r="AJ106" s="2318"/>
      <c r="AK106" s="2318"/>
      <c r="AL106" s="2318"/>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77734375" defaultRowHeight="11.25"/>
  <cols>
    <col min="1" max="1" width="38.44140625" style="2311" customWidth="1"/>
    <col min="2" max="2" width="6.77734375" style="2311" customWidth="1"/>
    <col min="3" max="3" width="4.21875" style="2311" customWidth="1"/>
    <col min="4" max="4" width="14" style="2311" customWidth="1"/>
    <col min="5" max="5" width="1.109375" style="2311" customWidth="1"/>
    <col min="6" max="6" width="13.44140625" style="2311" customWidth="1"/>
    <col min="7" max="7" width="1.109375" style="2311" customWidth="1"/>
    <col min="8" max="8" width="13.44140625" style="2312" customWidth="1"/>
    <col min="9" max="9" width="1.77734375" style="2311" customWidth="1"/>
    <col min="10" max="10" width="13.44140625" style="2311" customWidth="1"/>
    <col min="11" max="11" width="1.109375" style="2311" customWidth="1"/>
    <col min="12" max="12" width="11.77734375" style="2311" customWidth="1"/>
    <col min="13" max="13" width="1.109375" style="2311" customWidth="1"/>
    <col min="14" max="14" width="13.5546875" style="2311" customWidth="1"/>
    <col min="15" max="15" width="1.109375" style="2311" customWidth="1"/>
    <col min="16" max="16" width="0.77734375" style="2311" customWidth="1"/>
    <col min="17" max="17" width="1.109375" style="2311" customWidth="1"/>
    <col min="18" max="18" width="14.44140625" style="2311" customWidth="1"/>
    <col min="19" max="19" width="1.109375" style="2311" customWidth="1"/>
    <col min="20" max="20" width="14.44140625" style="2311" customWidth="1"/>
    <col min="21" max="21" width="1.109375" style="2313" customWidth="1"/>
    <col min="22" max="22" width="0.77734375" style="2313" customWidth="1"/>
    <col min="23" max="24" width="1.109375" style="2313" customWidth="1"/>
    <col min="25" max="25" width="12.77734375" style="2313" customWidth="1"/>
    <col min="26" max="26" width="1.109375" style="2313" customWidth="1"/>
    <col min="27" max="27" width="16.77734375" style="2313" bestFit="1" customWidth="1"/>
    <col min="28" max="28" width="1.77734375" style="2313" customWidth="1"/>
    <col min="29" max="29" width="1.21875" style="2419" customWidth="1"/>
    <col min="30" max="30" width="13.109375" style="2313" customWidth="1"/>
    <col min="31" max="31" width="3" style="2313" customWidth="1"/>
    <col min="32" max="32" width="12" style="2313" customWidth="1"/>
    <col min="33" max="16384" width="8.77734375" style="2313"/>
  </cols>
  <sheetData>
    <row r="1" spans="1:33" ht="15">
      <c r="A1" s="2310" t="s">
        <v>980</v>
      </c>
    </row>
    <row r="2" spans="1:33" ht="15" customHeight="1">
      <c r="A2" s="2310"/>
    </row>
    <row r="3" spans="1:33" ht="21" customHeight="1">
      <c r="A3" s="3792" t="s">
        <v>0</v>
      </c>
      <c r="B3" s="3793"/>
      <c r="C3" s="3793"/>
      <c r="D3" s="3793"/>
      <c r="E3" s="3793"/>
      <c r="F3" s="3793"/>
      <c r="G3" s="3793"/>
      <c r="H3" s="3793"/>
      <c r="I3" s="3793"/>
      <c r="J3" s="3793"/>
      <c r="K3" s="3793"/>
      <c r="L3" s="3793"/>
      <c r="M3" s="3793"/>
      <c r="N3" s="3793"/>
      <c r="O3" s="3793"/>
      <c r="P3" s="3793"/>
      <c r="Q3" s="3793"/>
      <c r="R3" s="3793"/>
      <c r="S3" s="3793"/>
      <c r="T3" s="3793"/>
      <c r="U3" s="3793"/>
      <c r="V3" s="3793"/>
      <c r="W3" s="3793"/>
      <c r="X3" s="3793"/>
      <c r="Y3" s="3793"/>
      <c r="Z3" s="3793"/>
      <c r="AA3" s="3793"/>
      <c r="AB3" s="3793"/>
      <c r="AC3" s="2420"/>
      <c r="AF3" s="2317" t="s">
        <v>55</v>
      </c>
    </row>
    <row r="4" spans="1:33" ht="20.25">
      <c r="A4" s="3794" t="s">
        <v>1187</v>
      </c>
      <c r="B4" s="3793"/>
      <c r="C4" s="3793"/>
      <c r="D4" s="3793"/>
      <c r="E4" s="3793"/>
      <c r="F4" s="3793"/>
      <c r="G4" s="3793"/>
      <c r="H4" s="3793"/>
      <c r="I4" s="3793"/>
      <c r="J4" s="3793"/>
      <c r="K4" s="3793"/>
      <c r="L4" s="3793"/>
      <c r="M4" s="3793"/>
      <c r="N4" s="3793"/>
      <c r="O4" s="3793"/>
      <c r="P4" s="3793"/>
      <c r="Q4" s="3793"/>
      <c r="R4" s="3793"/>
      <c r="S4" s="3793"/>
      <c r="T4" s="3793"/>
      <c r="U4" s="3793"/>
      <c r="V4" s="3793"/>
      <c r="W4" s="3793"/>
      <c r="X4" s="3793"/>
      <c r="Y4" s="3793"/>
      <c r="Z4" s="3793"/>
      <c r="AA4" s="3793"/>
      <c r="AB4" s="3793"/>
      <c r="AC4" s="2420"/>
      <c r="AF4" s="2317" t="s">
        <v>56</v>
      </c>
    </row>
    <row r="5" spans="1:33" ht="21" customHeight="1">
      <c r="A5" s="3794" t="s">
        <v>883</v>
      </c>
      <c r="B5" s="3793"/>
      <c r="C5" s="3793"/>
      <c r="D5" s="3793"/>
      <c r="E5" s="3793"/>
      <c r="F5" s="3793"/>
      <c r="G5" s="3793"/>
      <c r="H5" s="3793"/>
      <c r="I5" s="3793"/>
      <c r="J5" s="3793"/>
      <c r="K5" s="3793"/>
      <c r="L5" s="3793"/>
      <c r="M5" s="3793"/>
      <c r="N5" s="3793"/>
      <c r="O5" s="3793"/>
      <c r="P5" s="3793"/>
      <c r="Q5" s="3793"/>
      <c r="R5" s="3793"/>
      <c r="S5" s="3793"/>
      <c r="T5" s="3793"/>
      <c r="U5" s="3793"/>
      <c r="V5" s="3793"/>
      <c r="W5" s="3793"/>
      <c r="X5" s="3793"/>
      <c r="Y5" s="3793"/>
      <c r="Z5" s="3793"/>
      <c r="AA5" s="3793"/>
      <c r="AB5" s="3793"/>
      <c r="AC5" s="2420"/>
    </row>
    <row r="6" spans="1:33" ht="21" customHeight="1">
      <c r="A6" s="2421" t="s">
        <v>1433</v>
      </c>
      <c r="B6" s="2422"/>
      <c r="C6" s="2422"/>
      <c r="D6" s="2422"/>
      <c r="E6" s="2422"/>
      <c r="F6" s="2422"/>
      <c r="G6" s="2422"/>
      <c r="H6" s="2422"/>
      <c r="I6" s="2422"/>
      <c r="J6" s="2422"/>
      <c r="K6" s="2422"/>
      <c r="L6" s="2422"/>
      <c r="M6" s="2422"/>
      <c r="N6" s="2422"/>
      <c r="O6" s="2422"/>
      <c r="P6" s="2422"/>
      <c r="Q6" s="2422"/>
      <c r="R6" s="2422"/>
      <c r="S6" s="2422"/>
      <c r="T6" s="2422"/>
      <c r="U6" s="2422"/>
      <c r="V6" s="2422"/>
      <c r="W6" s="2422"/>
      <c r="X6" s="2422"/>
      <c r="Y6" s="3672"/>
      <c r="Z6" s="3628"/>
      <c r="AA6" s="3628"/>
      <c r="AB6" s="2422"/>
      <c r="AC6" s="2420"/>
    </row>
    <row r="7" spans="1:33" ht="15.75" customHeight="1">
      <c r="A7" s="3794"/>
      <c r="B7" s="3793"/>
      <c r="C7" s="3793"/>
      <c r="D7" s="3793"/>
      <c r="E7" s="3793"/>
      <c r="F7" s="3793"/>
      <c r="G7" s="3793"/>
      <c r="H7" s="3793"/>
      <c r="I7" s="3793"/>
      <c r="J7" s="3793"/>
      <c r="K7" s="3793"/>
      <c r="L7" s="3793"/>
      <c r="M7" s="3793"/>
      <c r="N7" s="3793"/>
      <c r="O7" s="3793"/>
      <c r="P7" s="3793"/>
      <c r="Q7" s="3793"/>
      <c r="R7" s="3793"/>
      <c r="S7" s="3793"/>
      <c r="T7" s="3793"/>
      <c r="U7" s="3793"/>
      <c r="V7" s="3793"/>
      <c r="W7" s="3793"/>
      <c r="X7" s="3793"/>
      <c r="Y7" s="3793"/>
      <c r="Z7" s="3793"/>
      <c r="AA7" s="3793"/>
      <c r="AB7" s="3793"/>
      <c r="AC7" s="2420"/>
    </row>
    <row r="8" spans="1:33" ht="15.75" customHeight="1">
      <c r="A8" s="1"/>
      <c r="B8" s="1"/>
      <c r="C8" s="1"/>
      <c r="D8" s="1"/>
      <c r="E8" s="1"/>
      <c r="F8" s="1"/>
      <c r="G8" s="1"/>
      <c r="H8" s="2320"/>
      <c r="I8" s="2"/>
      <c r="J8" s="2"/>
      <c r="K8" s="2"/>
      <c r="L8" s="2"/>
      <c r="M8" s="1"/>
      <c r="N8" s="2"/>
      <c r="O8" s="2"/>
      <c r="P8" s="2"/>
      <c r="Q8" s="2"/>
      <c r="R8" s="2"/>
      <c r="S8" s="2"/>
      <c r="T8" s="2"/>
      <c r="U8" s="2423"/>
      <c r="V8" s="2423"/>
      <c r="W8" s="2423"/>
      <c r="X8" s="2423"/>
      <c r="Y8" s="2424"/>
      <c r="Z8" s="2424"/>
      <c r="AA8" s="2317"/>
      <c r="AB8" s="2424"/>
      <c r="AC8" s="2425"/>
    </row>
    <row r="9" spans="1:33" ht="15.75" customHeight="1">
      <c r="A9" s="1"/>
      <c r="B9" s="1"/>
      <c r="C9" s="1"/>
      <c r="D9" s="1"/>
      <c r="E9" s="1"/>
      <c r="F9" s="1"/>
      <c r="G9" s="1"/>
      <c r="H9" s="2320"/>
      <c r="I9" s="2"/>
      <c r="J9" s="2"/>
      <c r="K9" s="2"/>
      <c r="L9" s="2"/>
      <c r="M9" s="1"/>
      <c r="N9" s="2"/>
      <c r="O9" s="2426"/>
      <c r="P9" s="2426"/>
      <c r="Q9" s="2426"/>
      <c r="R9" s="2426"/>
      <c r="S9" s="2380"/>
      <c r="T9" s="2380"/>
      <c r="U9" s="2419"/>
      <c r="V9" s="2419"/>
      <c r="W9" s="2419"/>
      <c r="X9" s="2427"/>
      <c r="Y9" s="2424"/>
      <c r="Z9" s="2424"/>
      <c r="AA9" s="2317"/>
      <c r="AB9" s="2424"/>
      <c r="AC9" s="2425"/>
    </row>
    <row r="10" spans="1:33" ht="16.149999999999999" customHeight="1">
      <c r="A10" s="1"/>
      <c r="B10" s="1"/>
      <c r="C10" s="2325"/>
      <c r="D10" s="3789"/>
      <c r="E10" s="3790"/>
      <c r="F10" s="3790"/>
      <c r="G10" s="3790"/>
      <c r="H10" s="3790"/>
      <c r="I10" s="3790"/>
      <c r="J10" s="3790"/>
      <c r="K10" s="3790"/>
      <c r="L10" s="3790"/>
      <c r="M10" s="3790"/>
      <c r="N10" s="3790"/>
      <c r="O10" s="2427"/>
      <c r="P10" s="2428"/>
      <c r="Q10" s="2427"/>
      <c r="R10" s="3788"/>
      <c r="S10" s="3788"/>
      <c r="T10" s="3788"/>
      <c r="U10" s="3788"/>
      <c r="V10" s="3788"/>
      <c r="W10" s="3788"/>
      <c r="X10" s="3788"/>
      <c r="Y10" s="3788"/>
      <c r="Z10" s="3788"/>
      <c r="AA10" s="3788"/>
      <c r="AB10" s="3788"/>
      <c r="AC10" s="2429"/>
      <c r="AD10" s="2419"/>
      <c r="AE10" s="2419"/>
      <c r="AF10" s="2419"/>
      <c r="AG10" s="2419"/>
    </row>
    <row r="11" spans="1:33" ht="16.149999999999999" customHeight="1">
      <c r="A11" s="2336"/>
      <c r="B11" s="627"/>
      <c r="C11" s="627"/>
      <c r="D11" s="3" t="s">
        <v>3</v>
      </c>
      <c r="E11" s="3"/>
      <c r="F11" s="3"/>
      <c r="G11" s="2330"/>
      <c r="H11" s="2430" t="s">
        <v>1168</v>
      </c>
      <c r="I11" s="3"/>
      <c r="J11" s="3"/>
      <c r="K11" s="2380"/>
      <c r="L11" s="3791" t="s">
        <v>5</v>
      </c>
      <c r="M11" s="3791"/>
      <c r="N11" s="3791"/>
      <c r="O11" s="5"/>
      <c r="P11" s="2332"/>
      <c r="Q11" s="2332"/>
      <c r="R11" s="2431" t="s">
        <v>1186</v>
      </c>
      <c r="S11" s="2431"/>
      <c r="T11" s="2431"/>
      <c r="U11" s="2431"/>
      <c r="V11" s="2431"/>
      <c r="W11" s="2431"/>
      <c r="X11" s="2431"/>
      <c r="Y11" s="2431"/>
      <c r="Z11" s="2431"/>
      <c r="AA11" s="2431"/>
      <c r="AB11" s="2431"/>
      <c r="AC11" s="2432"/>
      <c r="AD11" s="2433"/>
      <c r="AE11" s="2433"/>
      <c r="AF11" s="2433"/>
    </row>
    <row r="12" spans="1:33" ht="15.75" customHeight="1">
      <c r="A12" s="2329"/>
      <c r="B12" s="2329"/>
      <c r="C12" s="7"/>
      <c r="D12" s="5" t="s">
        <v>7</v>
      </c>
      <c r="E12" s="5"/>
      <c r="F12" s="4" t="str">
        <f>'Exhibit A'!F11</f>
        <v>4 MOS. ENDED</v>
      </c>
      <c r="G12" s="2324"/>
      <c r="H12" s="5" t="s">
        <v>7</v>
      </c>
      <c r="I12" s="5"/>
      <c r="J12" s="5" t="str">
        <f>F12</f>
        <v>4 MOS. ENDED</v>
      </c>
      <c r="K12" s="2324"/>
      <c r="L12" s="5" t="s">
        <v>7</v>
      </c>
      <c r="M12" s="5"/>
      <c r="N12" s="5" t="str">
        <f>F12</f>
        <v>4 MOS. ENDED</v>
      </c>
      <c r="O12" s="5"/>
      <c r="P12" s="2434"/>
      <c r="Q12" s="5"/>
      <c r="R12" s="5" t="s">
        <v>7</v>
      </c>
      <c r="S12" s="5"/>
      <c r="T12" s="5" t="str">
        <f>F12</f>
        <v>4 MOS. ENDED</v>
      </c>
      <c r="U12" s="2332"/>
      <c r="V12" s="2332"/>
      <c r="W12" s="2332"/>
      <c r="X12" s="2332"/>
      <c r="Y12" s="3671" t="s">
        <v>7</v>
      </c>
      <c r="Z12" s="3627"/>
      <c r="AA12" s="3627" t="str">
        <f>'Exhibit A'!AD11</f>
        <v>4 MOS. ENDED</v>
      </c>
      <c r="AB12" s="2332"/>
      <c r="AC12" s="2435"/>
      <c r="AD12" s="2332" t="s">
        <v>8</v>
      </c>
      <c r="AE12" s="2333"/>
      <c r="AF12" s="5" t="s">
        <v>9</v>
      </c>
    </row>
    <row r="13" spans="1:33" ht="16.149999999999999" customHeight="1">
      <c r="A13" s="2329"/>
      <c r="B13" s="2329"/>
      <c r="C13" s="2329"/>
      <c r="D13" s="923" t="str">
        <f>'Exhibit A'!D12</f>
        <v>JULY 2019</v>
      </c>
      <c r="E13" s="2324"/>
      <c r="F13" s="923" t="str">
        <f>'Exhibit A'!F12</f>
        <v>JULY 31, 2019</v>
      </c>
      <c r="G13" s="2324"/>
      <c r="H13" s="6" t="str">
        <f>D13</f>
        <v>JULY 2019</v>
      </c>
      <c r="I13" s="2324"/>
      <c r="J13" s="6" t="str">
        <f>F13</f>
        <v>JULY 31, 2019</v>
      </c>
      <c r="K13" s="2324"/>
      <c r="L13" s="6" t="str">
        <f>D13</f>
        <v>JULY 2019</v>
      </c>
      <c r="M13" s="2324"/>
      <c r="N13" s="6" t="str">
        <f>F13</f>
        <v>JULY 31, 2019</v>
      </c>
      <c r="O13" s="5"/>
      <c r="P13" s="2434"/>
      <c r="Q13" s="5"/>
      <c r="R13" s="6" t="str">
        <f>D13</f>
        <v>JULY 2019</v>
      </c>
      <c r="S13" s="2324"/>
      <c r="T13" s="6" t="str">
        <f>F13</f>
        <v>JULY 31, 2019</v>
      </c>
      <c r="U13" s="2332"/>
      <c r="V13" s="2332"/>
      <c r="W13" s="2332"/>
      <c r="X13" s="2436"/>
      <c r="Y13" s="3613" t="str">
        <f>'Exhibit A'!AB12</f>
        <v>JULY 2018</v>
      </c>
      <c r="Z13" s="2436"/>
      <c r="AA13" s="3613" t="str">
        <f>'Exhibit A'!AD12</f>
        <v>JULY 31, 2018</v>
      </c>
      <c r="AB13" s="2436"/>
      <c r="AC13" s="2435"/>
      <c r="AD13" s="2437" t="s">
        <v>12</v>
      </c>
      <c r="AE13" s="2310"/>
      <c r="AF13" s="923" t="s">
        <v>13</v>
      </c>
    </row>
    <row r="14" spans="1:33" ht="16.149999999999999" customHeight="1">
      <c r="A14" s="2328" t="s">
        <v>14</v>
      </c>
      <c r="B14" s="2329"/>
      <c r="C14" s="2329"/>
      <c r="D14" s="2438" t="s">
        <v>15</v>
      </c>
      <c r="E14" s="2329"/>
      <c r="F14" s="7"/>
      <c r="G14" s="2329"/>
      <c r="H14" s="627" t="s">
        <v>15</v>
      </c>
      <c r="I14" s="2329"/>
      <c r="J14" s="7"/>
      <c r="K14" s="2329"/>
      <c r="L14" s="627" t="s">
        <v>15</v>
      </c>
      <c r="M14" s="2329"/>
      <c r="N14" s="7"/>
      <c r="O14" s="7"/>
      <c r="P14" s="2439"/>
      <c r="Q14" s="2440"/>
      <c r="R14" s="7"/>
      <c r="S14" s="7"/>
      <c r="T14" s="7"/>
      <c r="U14" s="2339"/>
      <c r="V14" s="2339"/>
      <c r="W14" s="2441"/>
      <c r="X14" s="2339"/>
      <c r="Y14" s="2339"/>
      <c r="Z14" s="2378"/>
      <c r="AA14" s="2339"/>
      <c r="AB14" s="2339"/>
      <c r="AC14" s="2442"/>
      <c r="AD14" s="2339"/>
      <c r="AE14" s="2311"/>
      <c r="AF14" s="1468"/>
    </row>
    <row r="15" spans="1:33" ht="18" customHeight="1">
      <c r="A15" s="2329" t="s">
        <v>16</v>
      </c>
      <c r="B15" s="2341" t="s">
        <v>15</v>
      </c>
      <c r="C15" s="2329"/>
      <c r="D15" s="1400">
        <f>+'Exhibit A'!D14</f>
        <v>1665.8</v>
      </c>
      <c r="E15" s="669" t="s">
        <v>15</v>
      </c>
      <c r="F15" s="669">
        <f>+'Exhibit A'!F14</f>
        <v>10120.799999999999</v>
      </c>
      <c r="G15" s="669"/>
      <c r="H15" s="2443">
        <f>+'Exhibit G State'!J17</f>
        <v>0</v>
      </c>
      <c r="I15" s="669"/>
      <c r="J15" s="2444">
        <f>'Exhibit G State'!AD17</f>
        <v>0</v>
      </c>
      <c r="K15" s="669"/>
      <c r="L15" s="1461">
        <f>+'Exhibit A'!L14</f>
        <v>1665.7999999999993</v>
      </c>
      <c r="M15" s="669"/>
      <c r="N15" s="669">
        <f>+'Exhibit A'!N14</f>
        <v>10120.699999999999</v>
      </c>
      <c r="O15" s="2345"/>
      <c r="P15" s="2445"/>
      <c r="Q15" s="2446"/>
      <c r="R15" s="669">
        <f t="shared" ref="R15:R20" si="0">ROUND(SUM(D15+H15+L15),1)</f>
        <v>3331.6</v>
      </c>
      <c r="S15" s="669"/>
      <c r="T15" s="2447">
        <f t="shared" ref="T15:T20" si="1">ROUND(SUM(F15+J15+N15),1)</f>
        <v>20241.5</v>
      </c>
      <c r="U15" s="2448"/>
      <c r="V15" s="2448"/>
      <c r="W15" s="2449"/>
      <c r="X15" s="2448"/>
      <c r="Y15" s="2448">
        <v>2899.7000000000003</v>
      </c>
      <c r="Z15" s="2448" t="s">
        <v>15</v>
      </c>
      <c r="AA15" s="2448">
        <f>'Exhibit F'!AF26+'Exhibit G State'!AG17+'Exhibit H'!AD16</f>
        <v>15890.7</v>
      </c>
      <c r="AB15" s="2450"/>
      <c r="AC15" s="2451"/>
      <c r="AD15" s="2448">
        <f t="shared" ref="AD15:AD20" si="2">ROUND(SUM(T15-AA15),1)</f>
        <v>4350.8</v>
      </c>
      <c r="AE15" s="2350"/>
      <c r="AF15" s="1465">
        <f>ROUND(+AD15/AA15,3)</f>
        <v>0.27400000000000002</v>
      </c>
    </row>
    <row r="16" spans="1:33" ht="18" customHeight="1">
      <c r="A16" s="2329" t="s">
        <v>17</v>
      </c>
      <c r="B16" s="2352">
        <v>-4</v>
      </c>
      <c r="C16" s="2329"/>
      <c r="D16" s="629">
        <f>+'Exhibit A'!D15</f>
        <v>636.79999999999995</v>
      </c>
      <c r="E16" s="9"/>
      <c r="F16" s="9">
        <f>+'Exhibit A'!F15</f>
        <v>2616.1999999999998</v>
      </c>
      <c r="G16" s="9"/>
      <c r="H16" s="2452">
        <f>+'Exhibit G State'!J28</f>
        <v>163.80000000000001</v>
      </c>
      <c r="I16" s="9"/>
      <c r="J16" s="2453">
        <f>'Exhibit G State'!AD28</f>
        <v>677.1</v>
      </c>
      <c r="K16" s="9"/>
      <c r="L16" s="629">
        <f>+'Exhibit A'!L15</f>
        <v>579.29999999999995</v>
      </c>
      <c r="M16" s="9"/>
      <c r="N16" s="9">
        <f>+'Exhibit A'!N15</f>
        <v>2411.6999999999998</v>
      </c>
      <c r="O16" s="14"/>
      <c r="P16" s="2454"/>
      <c r="Q16" s="2455"/>
      <c r="R16" s="9">
        <f t="shared" si="0"/>
        <v>1379.9</v>
      </c>
      <c r="S16" s="9"/>
      <c r="T16" s="2456">
        <f t="shared" si="1"/>
        <v>5705</v>
      </c>
      <c r="U16" s="22"/>
      <c r="V16" s="22"/>
      <c r="W16" s="2384"/>
      <c r="X16" s="22"/>
      <c r="Y16" s="22">
        <v>1322.9</v>
      </c>
      <c r="Z16" s="22" t="s">
        <v>15</v>
      </c>
      <c r="AA16" s="22">
        <f>'Exhibit F'!AF35+'Exhibit G State'!AG28+'Exhibit H'!AD20</f>
        <v>5530.5</v>
      </c>
      <c r="AB16" s="2339"/>
      <c r="AC16" s="2442"/>
      <c r="AD16" s="22">
        <f t="shared" si="2"/>
        <v>174.5</v>
      </c>
      <c r="AE16" s="2311"/>
      <c r="AF16" s="1465">
        <f t="shared" ref="AF16:AF21" si="3">ROUND(+AD16/AA16,3)</f>
        <v>3.2000000000000001E-2</v>
      </c>
    </row>
    <row r="17" spans="1:32" ht="18" customHeight="1">
      <c r="A17" s="2329" t="s">
        <v>18</v>
      </c>
      <c r="B17" s="2356"/>
      <c r="C17" s="2329"/>
      <c r="D17" s="629">
        <f>+'Exhibit A'!D16</f>
        <v>160.19999999999999</v>
      </c>
      <c r="E17" s="9"/>
      <c r="F17" s="9">
        <f>+'Exhibit A'!F16</f>
        <v>1665</v>
      </c>
      <c r="G17" s="9"/>
      <c r="H17" s="2452">
        <f>+'Exhibit G State'!J35</f>
        <v>84.4</v>
      </c>
      <c r="I17" s="9"/>
      <c r="J17" s="2453">
        <f>'Exhibit G State'!AD35</f>
        <v>623.6</v>
      </c>
      <c r="K17" s="9"/>
      <c r="L17" s="629">
        <f>+'Exhibit A'!L16</f>
        <v>0</v>
      </c>
      <c r="M17" s="9"/>
      <c r="N17" s="9">
        <f>+'Exhibit A'!N16</f>
        <v>0</v>
      </c>
      <c r="O17" s="17"/>
      <c r="P17" s="2457"/>
      <c r="Q17" s="2458"/>
      <c r="R17" s="9">
        <f t="shared" si="0"/>
        <v>244.6</v>
      </c>
      <c r="S17" s="9"/>
      <c r="T17" s="2456">
        <f t="shared" si="1"/>
        <v>2288.6</v>
      </c>
      <c r="U17" s="22"/>
      <c r="V17" s="22"/>
      <c r="W17" s="2459"/>
      <c r="X17" s="21"/>
      <c r="Y17" s="22">
        <v>243.6</v>
      </c>
      <c r="Z17" s="22" t="s">
        <v>15</v>
      </c>
      <c r="AA17" s="22">
        <f>'Exhibit F'!AF42+'Exhibit G State'!AG35</f>
        <v>1986.5</v>
      </c>
      <c r="AB17" s="2339"/>
      <c r="AC17" s="2442"/>
      <c r="AD17" s="22">
        <f t="shared" si="2"/>
        <v>302.10000000000002</v>
      </c>
      <c r="AE17" s="2311"/>
      <c r="AF17" s="1465">
        <f t="shared" si="3"/>
        <v>0.152</v>
      </c>
    </row>
    <row r="18" spans="1:32" ht="18" customHeight="1">
      <c r="A18" s="2329" t="s">
        <v>19</v>
      </c>
      <c r="B18" s="2352">
        <v>-3</v>
      </c>
      <c r="C18" s="2329"/>
      <c r="D18" s="629">
        <f>+'Exhibit A'!D17</f>
        <v>126.2</v>
      </c>
      <c r="E18" s="9"/>
      <c r="F18" s="9">
        <f>+'Exhibit A'!F17</f>
        <v>329.7</v>
      </c>
      <c r="G18" s="9"/>
      <c r="H18" s="2452">
        <v>0</v>
      </c>
      <c r="I18" s="9"/>
      <c r="J18" s="2453">
        <v>0</v>
      </c>
      <c r="K18" s="9"/>
      <c r="L18" s="629">
        <f>+'Exhibit A'!L17</f>
        <v>119</v>
      </c>
      <c r="M18" s="9"/>
      <c r="N18" s="9">
        <f>+'Exhibit A'!N17</f>
        <v>374.7</v>
      </c>
      <c r="O18" s="14"/>
      <c r="P18" s="2454"/>
      <c r="Q18" s="2455"/>
      <c r="R18" s="9">
        <f t="shared" si="0"/>
        <v>245.2</v>
      </c>
      <c r="S18" s="9"/>
      <c r="T18" s="2456">
        <f t="shared" si="1"/>
        <v>704.4</v>
      </c>
      <c r="U18" s="22"/>
      <c r="V18" s="22"/>
      <c r="W18" s="2384"/>
      <c r="X18" s="22"/>
      <c r="Y18" s="22">
        <v>186.5</v>
      </c>
      <c r="Z18" s="22" t="s">
        <v>15</v>
      </c>
      <c r="AA18" s="22">
        <f>'Exhibit F'!AF51+'Exhibit H'!AD24</f>
        <v>659.8</v>
      </c>
      <c r="AB18" s="2339"/>
      <c r="AC18" s="2442"/>
      <c r="AD18" s="22">
        <f t="shared" si="2"/>
        <v>44.6</v>
      </c>
      <c r="AE18" s="2311"/>
      <c r="AF18" s="1465">
        <f t="shared" si="3"/>
        <v>6.8000000000000005E-2</v>
      </c>
    </row>
    <row r="19" spans="1:32" ht="18" customHeight="1">
      <c r="A19" s="2329" t="s">
        <v>20</v>
      </c>
      <c r="B19" s="2352">
        <v>-4</v>
      </c>
      <c r="C19" s="2329"/>
      <c r="D19" s="629">
        <f>+'Exhibit A'!D18</f>
        <v>87.4</v>
      </c>
      <c r="E19" s="629" t="s">
        <v>1488</v>
      </c>
      <c r="F19" s="9">
        <f>+'Exhibit A'!F18</f>
        <v>1266.5</v>
      </c>
      <c r="G19" s="9"/>
      <c r="H19" s="2452">
        <f>+'Exhibit G State'!J80</f>
        <v>1531.9</v>
      </c>
      <c r="I19" s="9"/>
      <c r="J19" s="2453">
        <f>'Exhibit G State'!AD80</f>
        <v>6009.9</v>
      </c>
      <c r="K19" s="9"/>
      <c r="L19" s="629">
        <f>+'Exhibit A'!L18</f>
        <v>90.1</v>
      </c>
      <c r="M19" s="9"/>
      <c r="N19" s="9">
        <f>+'Exhibit A'!N18</f>
        <v>207</v>
      </c>
      <c r="O19" s="14"/>
      <c r="P19" s="2454"/>
      <c r="Q19" s="2455"/>
      <c r="R19" s="9">
        <f t="shared" si="0"/>
        <v>1709.4</v>
      </c>
      <c r="S19" s="9"/>
      <c r="T19" s="2456">
        <f t="shared" si="1"/>
        <v>7483.4</v>
      </c>
      <c r="U19" s="22"/>
      <c r="V19" s="22"/>
      <c r="W19" s="2384"/>
      <c r="X19" s="22"/>
      <c r="Y19" s="22">
        <v>2594.6999999999998</v>
      </c>
      <c r="Z19" s="22" t="s">
        <v>15</v>
      </c>
      <c r="AA19" s="22">
        <f>+'Exhibit F'!AF91+'Exhibit G State'!AG80+'Exhibit H'!AD45</f>
        <v>7836</v>
      </c>
      <c r="AB19" s="2339"/>
      <c r="AC19" s="2442"/>
      <c r="AD19" s="22">
        <f t="shared" si="2"/>
        <v>-352.6</v>
      </c>
      <c r="AE19" s="2311"/>
      <c r="AF19" s="1465">
        <f t="shared" si="3"/>
        <v>-4.4999999999999998E-2</v>
      </c>
    </row>
    <row r="20" spans="1:32" ht="18" customHeight="1">
      <c r="A20" s="2329" t="s">
        <v>21</v>
      </c>
      <c r="B20" s="2372"/>
      <c r="C20" s="2329"/>
      <c r="D20" s="629">
        <f>+'Exhibit A'!D19</f>
        <v>0</v>
      </c>
      <c r="E20" s="9"/>
      <c r="F20" s="9">
        <f>+'Exhibit A'!F19</f>
        <v>0</v>
      </c>
      <c r="G20" s="9"/>
      <c r="H20" s="2452">
        <f>+'Exhibit G State'!J82</f>
        <v>9.9999999999999978E-2</v>
      </c>
      <c r="I20" s="9"/>
      <c r="J20" s="2453">
        <f>'Exhibit G State'!AD82</f>
        <v>-0.8</v>
      </c>
      <c r="K20" s="9"/>
      <c r="L20" s="629">
        <f>+'Exhibit A'!L19</f>
        <v>1.6</v>
      </c>
      <c r="M20" s="10"/>
      <c r="N20" s="9">
        <f>+'Exhibit A'!N19</f>
        <v>1.6</v>
      </c>
      <c r="O20" s="17"/>
      <c r="P20" s="2457"/>
      <c r="Q20" s="2458"/>
      <c r="R20" s="10">
        <f t="shared" si="0"/>
        <v>1.7</v>
      </c>
      <c r="S20" s="17"/>
      <c r="T20" s="2456">
        <f t="shared" si="1"/>
        <v>0.8</v>
      </c>
      <c r="U20" s="22"/>
      <c r="V20" s="22"/>
      <c r="W20" s="2459"/>
      <c r="X20" s="2460"/>
      <c r="Y20" s="22">
        <v>1.6</v>
      </c>
      <c r="Z20" s="22" t="s">
        <v>15</v>
      </c>
      <c r="AA20" s="22">
        <f>+'Exhibit F'!AF93+'Exhibit G State'!AG82+'Exhibit H'!AD47</f>
        <v>-1</v>
      </c>
      <c r="AB20" s="2339"/>
      <c r="AC20" s="2442"/>
      <c r="AD20" s="22">
        <f t="shared" si="2"/>
        <v>1.8</v>
      </c>
      <c r="AE20" s="2311"/>
      <c r="AF20" s="1505">
        <f>ROUND(IF(AA20=0,1,AD20/ABS(AA20)),3)</f>
        <v>1.8</v>
      </c>
    </row>
    <row r="21" spans="1:32" ht="18" customHeight="1">
      <c r="A21" s="2328" t="s">
        <v>22</v>
      </c>
      <c r="B21" s="2329"/>
      <c r="C21" s="2329"/>
      <c r="D21" s="12">
        <f>ROUND(SUM(D15:D20),1)</f>
        <v>2676.4</v>
      </c>
      <c r="E21" s="1402"/>
      <c r="F21" s="11">
        <f>ROUND(SUM(F15:F20),1)</f>
        <v>15998.2</v>
      </c>
      <c r="G21" s="1402"/>
      <c r="H21" s="12">
        <f>ROUND(SUM(H15:H20),1)</f>
        <v>1780.2</v>
      </c>
      <c r="I21" s="1402"/>
      <c r="J21" s="12">
        <f>ROUND(SUM(J15:J20),1)</f>
        <v>7309.8</v>
      </c>
      <c r="K21" s="1402"/>
      <c r="L21" s="12">
        <f>ROUND(SUM(L15:L20),1)</f>
        <v>2455.8000000000002</v>
      </c>
      <c r="M21" s="1402"/>
      <c r="N21" s="12">
        <f>ROUND(SUM(N15:N20),1)</f>
        <v>13115.7</v>
      </c>
      <c r="O21" s="2360"/>
      <c r="P21" s="2461"/>
      <c r="Q21" s="2462"/>
      <c r="R21" s="12">
        <f>ROUND(SUM(R15:R20),1)</f>
        <v>6912.4</v>
      </c>
      <c r="S21" s="2360"/>
      <c r="T21" s="12">
        <f>ROUND(SUM(T15:T20),1)</f>
        <v>36423.699999999997</v>
      </c>
      <c r="U21" s="1520"/>
      <c r="V21" s="1520"/>
      <c r="W21" s="2390"/>
      <c r="X21" s="1520"/>
      <c r="Y21" s="1612">
        <f>ROUND(SUM(Y15:Y20),1)</f>
        <v>7249</v>
      </c>
      <c r="Z21" s="23"/>
      <c r="AA21" s="1612">
        <f>ROUND(SUM(AA15:AA20),1)</f>
        <v>31902.5</v>
      </c>
      <c r="AB21" s="2391"/>
      <c r="AC21" s="2463"/>
      <c r="AD21" s="1612">
        <f>ROUND(SUM(AD15:AD20),1)</f>
        <v>4521.2</v>
      </c>
      <c r="AE21" s="2363"/>
      <c r="AF21" s="1482">
        <f t="shared" si="3"/>
        <v>0.14199999999999999</v>
      </c>
    </row>
    <row r="22" spans="1:32" ht="16.149999999999999" customHeight="1">
      <c r="A22" s="2328"/>
      <c r="B22" s="2329"/>
      <c r="C22" s="2329"/>
      <c r="D22" s="630"/>
      <c r="E22" s="9"/>
      <c r="F22" s="14"/>
      <c r="G22" s="9"/>
      <c r="H22" s="630"/>
      <c r="I22" s="9"/>
      <c r="J22" s="14"/>
      <c r="K22" s="9"/>
      <c r="L22" s="630"/>
      <c r="M22" s="9"/>
      <c r="N22" s="14"/>
      <c r="O22" s="14"/>
      <c r="P22" s="2454"/>
      <c r="Q22" s="2455"/>
      <c r="R22" s="14"/>
      <c r="S22" s="14"/>
      <c r="T22" s="14"/>
      <c r="U22" s="1464"/>
      <c r="V22" s="1464"/>
      <c r="W22" s="2384"/>
      <c r="X22" s="1464"/>
      <c r="Y22" s="1464"/>
      <c r="Z22" s="22"/>
      <c r="AA22" s="1464"/>
      <c r="AB22" s="2339"/>
      <c r="AC22" s="2442"/>
      <c r="AD22" s="1464"/>
      <c r="AE22" s="2311"/>
      <c r="AF22" s="1468"/>
    </row>
    <row r="23" spans="1:32" ht="16.149999999999999" customHeight="1">
      <c r="A23" s="2328" t="s">
        <v>23</v>
      </c>
      <c r="B23" s="2329"/>
      <c r="C23" s="2329"/>
      <c r="D23" s="629"/>
      <c r="E23" s="9"/>
      <c r="F23" s="9"/>
      <c r="G23" s="9"/>
      <c r="H23" s="629"/>
      <c r="I23" s="9"/>
      <c r="J23" s="9"/>
      <c r="K23" s="9"/>
      <c r="L23" s="629"/>
      <c r="M23" s="9"/>
      <c r="N23" s="9"/>
      <c r="O23" s="14"/>
      <c r="P23" s="2454"/>
      <c r="Q23" s="2455"/>
      <c r="R23" s="9"/>
      <c r="S23" s="9"/>
      <c r="T23" s="9"/>
      <c r="U23" s="22"/>
      <c r="V23" s="22"/>
      <c r="W23" s="2384"/>
      <c r="X23" s="22"/>
      <c r="Y23" s="22"/>
      <c r="Z23" s="22"/>
      <c r="AA23" s="22"/>
      <c r="AB23" s="2339"/>
      <c r="AC23" s="2442"/>
      <c r="AD23" s="22"/>
      <c r="AE23" s="2311"/>
      <c r="AF23" s="1468"/>
    </row>
    <row r="24" spans="1:32" ht="16.149999999999999" customHeight="1">
      <c r="A24" s="2329" t="s">
        <v>24</v>
      </c>
      <c r="B24" s="2464" t="s">
        <v>1432</v>
      </c>
      <c r="C24" s="2329"/>
      <c r="D24" s="631"/>
      <c r="E24" s="10"/>
      <c r="F24" s="15"/>
      <c r="G24" s="9"/>
      <c r="H24" s="631"/>
      <c r="I24" s="10"/>
      <c r="J24" s="15"/>
      <c r="K24" s="9"/>
      <c r="L24" s="631"/>
      <c r="M24" s="9"/>
      <c r="N24" s="10"/>
      <c r="O24" s="14"/>
      <c r="P24" s="2454"/>
      <c r="Q24" s="2455"/>
      <c r="R24" s="10"/>
      <c r="S24" s="10"/>
      <c r="T24" s="10"/>
      <c r="U24" s="22"/>
      <c r="V24" s="22"/>
      <c r="W24" s="2384"/>
      <c r="X24" s="21"/>
      <c r="Y24" s="22"/>
      <c r="Z24" s="22"/>
      <c r="AA24" s="22"/>
      <c r="AB24" s="2339"/>
      <c r="AC24" s="2442"/>
      <c r="AD24" s="2465"/>
      <c r="AE24" s="2311"/>
      <c r="AF24" s="2366"/>
    </row>
    <row r="25" spans="1:32" ht="18" customHeight="1">
      <c r="A25" s="2367" t="s">
        <v>25</v>
      </c>
      <c r="B25" s="2329"/>
      <c r="C25" s="2329"/>
      <c r="D25" s="1403">
        <f>+'Exhibit A'!D24</f>
        <v>1611.3999999999996</v>
      </c>
      <c r="E25" s="9"/>
      <c r="F25" s="2466">
        <f>+'Exhibit A'!F24</f>
        <v>8697.9</v>
      </c>
      <c r="G25" s="9"/>
      <c r="H25" s="1403">
        <f>+'Exhibit G State'!J88</f>
        <v>0.19999999999998863</v>
      </c>
      <c r="I25" s="9"/>
      <c r="J25" s="2466">
        <f>+'Exhibit G State'!AD88</f>
        <v>350.2</v>
      </c>
      <c r="K25" s="9"/>
      <c r="L25" s="631">
        <f>+'Exhibit A'!L24</f>
        <v>0</v>
      </c>
      <c r="M25" s="9"/>
      <c r="N25" s="10">
        <f>+'Exhibit A'!N24</f>
        <v>0</v>
      </c>
      <c r="O25" s="17"/>
      <c r="P25" s="2457"/>
      <c r="Q25" s="2458"/>
      <c r="R25" s="2456">
        <f>ROUND(SUM(D25+H25+L25),1)</f>
        <v>1611.6</v>
      </c>
      <c r="S25" s="2456"/>
      <c r="T25" s="2456">
        <f>ROUND(SUM(F25+J25+N25),1)</f>
        <v>9048.1</v>
      </c>
      <c r="U25" s="22"/>
      <c r="V25" s="22"/>
      <c r="W25" s="2459"/>
      <c r="X25" s="21"/>
      <c r="Y25" s="22">
        <v>1788.5</v>
      </c>
      <c r="Z25" s="22" t="s">
        <v>15</v>
      </c>
      <c r="AA25" s="22">
        <f>+'Exhibit F'!AF99+'Exhibit G State'!AG88</f>
        <v>8801.6</v>
      </c>
      <c r="AB25" s="2339"/>
      <c r="AC25" s="2442"/>
      <c r="AD25" s="22">
        <f>ROUND(SUM(T25-AA25),1)</f>
        <v>246.5</v>
      </c>
      <c r="AE25" s="2311"/>
      <c r="AF25" s="1465">
        <f>ROUND(+AD25/AA25,3)</f>
        <v>2.8000000000000001E-2</v>
      </c>
    </row>
    <row r="26" spans="1:32" ht="18" customHeight="1">
      <c r="A26" s="2367" t="s">
        <v>26</v>
      </c>
      <c r="B26" s="2370"/>
      <c r="C26" s="2329"/>
      <c r="D26" s="1403">
        <f>+'Exhibit A'!D25</f>
        <v>0</v>
      </c>
      <c r="E26" s="9"/>
      <c r="F26" s="2466">
        <f>+'Exhibit A'!F25</f>
        <v>0.3</v>
      </c>
      <c r="G26" s="9"/>
      <c r="H26" s="1403">
        <f>+'Exhibit G State'!J89</f>
        <v>-9.9999999999999978E-2</v>
      </c>
      <c r="I26" s="2456"/>
      <c r="J26" s="2466">
        <f>+'Exhibit G State'!AD89</f>
        <v>0.5</v>
      </c>
      <c r="K26" s="9"/>
      <c r="L26" s="631">
        <f>+'Exhibit A'!L25</f>
        <v>0</v>
      </c>
      <c r="M26" s="9"/>
      <c r="N26" s="10">
        <f>+'Exhibit A'!N25</f>
        <v>0</v>
      </c>
      <c r="O26" s="17"/>
      <c r="P26" s="2457"/>
      <c r="Q26" s="2458"/>
      <c r="R26" s="2456">
        <f t="shared" ref="R26:R33" si="4">ROUND(SUM(D26+H26+L26),1)</f>
        <v>-0.1</v>
      </c>
      <c r="S26" s="2456"/>
      <c r="T26" s="2456">
        <f t="shared" ref="T26:T33" si="5">ROUND(SUM(F26+J26+N26),1)</f>
        <v>0.8</v>
      </c>
      <c r="U26" s="22"/>
      <c r="V26" s="22"/>
      <c r="W26" s="2459"/>
      <c r="X26" s="21"/>
      <c r="Y26" s="22">
        <v>0.19999999999999998</v>
      </c>
      <c r="Z26" s="22" t="s">
        <v>15</v>
      </c>
      <c r="AA26" s="22">
        <f>+'Exhibit F'!AF100+'Exhibit G State'!AG89</f>
        <v>1.3</v>
      </c>
      <c r="AB26" s="2339"/>
      <c r="AC26" s="2442"/>
      <c r="AD26" s="22">
        <f>ROUND(SUM(T26-AA26),1)</f>
        <v>-0.5</v>
      </c>
      <c r="AE26" s="2311"/>
      <c r="AF26" s="1465">
        <f>ROUND(IF(AA26=0,1,AD26/ABS(AA26)),3)</f>
        <v>-0.38500000000000001</v>
      </c>
    </row>
    <row r="27" spans="1:32" ht="18" customHeight="1">
      <c r="A27" s="2367" t="s">
        <v>27</v>
      </c>
      <c r="B27" s="2371"/>
      <c r="C27" s="2329"/>
      <c r="D27" s="1403">
        <f>+'Exhibit A'!D26</f>
        <v>2.2000000000000455</v>
      </c>
      <c r="E27" s="9"/>
      <c r="F27" s="2466">
        <f>+'Exhibit A'!F26</f>
        <v>594.5</v>
      </c>
      <c r="G27" s="9"/>
      <c r="H27" s="1403">
        <f>+'Exhibit G State'!J90</f>
        <v>20.199999999999996</v>
      </c>
      <c r="I27" s="9"/>
      <c r="J27" s="2466">
        <f>+'Exhibit G State'!AD90</f>
        <v>66.099999999999994</v>
      </c>
      <c r="K27" s="9"/>
      <c r="L27" s="631">
        <f>+'Exhibit A'!L26</f>
        <v>0</v>
      </c>
      <c r="M27" s="9"/>
      <c r="N27" s="10">
        <f>+'Exhibit A'!N26</f>
        <v>0</v>
      </c>
      <c r="O27" s="17"/>
      <c r="P27" s="2457"/>
      <c r="Q27" s="2458"/>
      <c r="R27" s="2456">
        <f t="shared" si="4"/>
        <v>22.4</v>
      </c>
      <c r="S27" s="2456"/>
      <c r="T27" s="2456">
        <f t="shared" si="5"/>
        <v>660.6</v>
      </c>
      <c r="U27" s="22"/>
      <c r="V27" s="22"/>
      <c r="W27" s="2459"/>
      <c r="X27" s="21"/>
      <c r="Y27" s="22">
        <v>18.2</v>
      </c>
      <c r="Z27" s="22" t="s">
        <v>15</v>
      </c>
      <c r="AA27" s="22">
        <f>+'Exhibit F'!AF101+'Exhibit G State'!AG90</f>
        <v>633.5</v>
      </c>
      <c r="AB27" s="2339"/>
      <c r="AC27" s="2442"/>
      <c r="AD27" s="22">
        <f>ROUND(SUM(T27-AA27),1)</f>
        <v>27.1</v>
      </c>
      <c r="AE27" s="2311"/>
      <c r="AF27" s="1465">
        <f>ROUND(+AD27/AA27,3)</f>
        <v>4.2999999999999997E-2</v>
      </c>
    </row>
    <row r="28" spans="1:32" ht="18" customHeight="1">
      <c r="A28" s="2367" t="s">
        <v>28</v>
      </c>
      <c r="B28" s="2371"/>
      <c r="C28" s="2329"/>
      <c r="D28" s="1403"/>
      <c r="E28" s="9"/>
      <c r="F28" s="2466"/>
      <c r="G28" s="9"/>
      <c r="H28" s="1403"/>
      <c r="I28" s="9"/>
      <c r="J28" s="2466"/>
      <c r="K28" s="9"/>
      <c r="L28" s="631"/>
      <c r="M28" s="9"/>
      <c r="N28" s="10"/>
      <c r="O28" s="17"/>
      <c r="P28" s="2457"/>
      <c r="Q28" s="2458"/>
      <c r="R28" s="1460" t="s">
        <v>15</v>
      </c>
      <c r="S28" s="2456"/>
      <c r="T28" s="1460" t="s">
        <v>15</v>
      </c>
      <c r="U28" s="22"/>
      <c r="V28" s="22"/>
      <c r="W28" s="2459"/>
      <c r="X28" s="21"/>
      <c r="Y28" s="634"/>
      <c r="Z28" s="22" t="s">
        <v>15</v>
      </c>
      <c r="AA28" s="634" t="s">
        <v>15</v>
      </c>
      <c r="AB28" s="2339"/>
      <c r="AC28" s="2442"/>
      <c r="AD28" s="22"/>
      <c r="AE28" s="2311"/>
      <c r="AF28" s="1465"/>
    </row>
    <row r="29" spans="1:32" ht="18" customHeight="1">
      <c r="A29" s="2467" t="s">
        <v>29</v>
      </c>
      <c r="B29" s="2372"/>
      <c r="C29" s="2329"/>
      <c r="D29" s="1403">
        <f>+'Exhibit A'!D28</f>
        <v>1320.2000000000003</v>
      </c>
      <c r="E29" s="9"/>
      <c r="F29" s="2466">
        <f>+'Exhibit A'!F28</f>
        <v>7599.3</v>
      </c>
      <c r="G29" s="9"/>
      <c r="H29" s="1403">
        <f>+'Exhibit G State'!J92</f>
        <v>582.80000000000018</v>
      </c>
      <c r="I29" s="9"/>
      <c r="J29" s="2466">
        <f>+'Exhibit G State'!AD92</f>
        <v>1828.9</v>
      </c>
      <c r="K29" s="9"/>
      <c r="L29" s="631">
        <f>+'Exhibit A'!L28</f>
        <v>0</v>
      </c>
      <c r="M29" s="9"/>
      <c r="N29" s="10">
        <f>+'Exhibit A'!N28</f>
        <v>0</v>
      </c>
      <c r="O29" s="17"/>
      <c r="P29" s="2457"/>
      <c r="Q29" s="2458"/>
      <c r="R29" s="2456">
        <f t="shared" si="4"/>
        <v>1903</v>
      </c>
      <c r="S29" s="2456"/>
      <c r="T29" s="2456">
        <f t="shared" si="5"/>
        <v>9428.2000000000007</v>
      </c>
      <c r="U29" s="22"/>
      <c r="V29" s="22"/>
      <c r="W29" s="2459"/>
      <c r="X29" s="21"/>
      <c r="Y29" s="22">
        <v>1468.7</v>
      </c>
      <c r="Z29" s="22" t="s">
        <v>15</v>
      </c>
      <c r="AA29" s="22">
        <f>+'Exhibit F'!AF103+'Exhibit G State'!AG92</f>
        <v>7535.6</v>
      </c>
      <c r="AB29" s="2339"/>
      <c r="AC29" s="2442"/>
      <c r="AD29" s="22">
        <f t="shared" ref="AD29:AD34" si="6">ROUND(SUM(T29-AA29),1)</f>
        <v>1892.6</v>
      </c>
      <c r="AE29" s="2311"/>
      <c r="AF29" s="1465">
        <f t="shared" ref="AF29:AF34" si="7">ROUND(+AD29/AA29,3)</f>
        <v>0.251</v>
      </c>
    </row>
    <row r="30" spans="1:32" ht="18" customHeight="1">
      <c r="A30" s="2367" t="s">
        <v>30</v>
      </c>
      <c r="B30" s="2371"/>
      <c r="C30" s="2329"/>
      <c r="D30" s="1403">
        <f>+'Exhibit A'!D29</f>
        <v>217.70000000000016</v>
      </c>
      <c r="E30" s="9"/>
      <c r="F30" s="2466">
        <f>+'Exhibit A'!F29</f>
        <v>824.20000000000016</v>
      </c>
      <c r="G30" s="9"/>
      <c r="H30" s="1403">
        <f>+'Exhibit G State'!J93</f>
        <v>43.5</v>
      </c>
      <c r="I30" s="9"/>
      <c r="J30" s="2466">
        <f>+'Exhibit G State'!AD93</f>
        <v>241</v>
      </c>
      <c r="K30" s="9"/>
      <c r="L30" s="631">
        <f>+'Exhibit A'!L29</f>
        <v>0</v>
      </c>
      <c r="M30" s="9"/>
      <c r="N30" s="10">
        <f>+'Exhibit A'!N29</f>
        <v>0</v>
      </c>
      <c r="O30" s="17"/>
      <c r="P30" s="2457"/>
      <c r="Q30" s="2458"/>
      <c r="R30" s="2456">
        <f t="shared" si="4"/>
        <v>261.2</v>
      </c>
      <c r="S30" s="2456"/>
      <c r="T30" s="2456">
        <f t="shared" si="5"/>
        <v>1065.2</v>
      </c>
      <c r="U30" s="22"/>
      <c r="V30" s="22"/>
      <c r="W30" s="2459"/>
      <c r="X30" s="21"/>
      <c r="Y30" s="22">
        <v>398.4</v>
      </c>
      <c r="Z30" s="22" t="s">
        <v>15</v>
      </c>
      <c r="AA30" s="22">
        <f>+'Exhibit F'!AF104+'Exhibit G State'!AG93</f>
        <v>1316</v>
      </c>
      <c r="AB30" s="2339"/>
      <c r="AC30" s="2442"/>
      <c r="AD30" s="22">
        <f t="shared" si="6"/>
        <v>-250.8</v>
      </c>
      <c r="AE30" s="2311"/>
      <c r="AF30" s="1465">
        <f t="shared" si="7"/>
        <v>-0.191</v>
      </c>
    </row>
    <row r="31" spans="1:32" ht="18" customHeight="1">
      <c r="A31" s="2367" t="s">
        <v>31</v>
      </c>
      <c r="B31" s="2329"/>
      <c r="C31" s="2329"/>
      <c r="D31" s="1403">
        <f>+'Exhibit A'!D30</f>
        <v>18.5</v>
      </c>
      <c r="E31" s="9"/>
      <c r="F31" s="2466">
        <f>+'Exhibit A'!F30</f>
        <v>55</v>
      </c>
      <c r="G31" s="9"/>
      <c r="H31" s="1403">
        <f>+'Exhibit G State'!J94</f>
        <v>9.5</v>
      </c>
      <c r="I31" s="9"/>
      <c r="J31" s="2466">
        <f>+'Exhibit G State'!AD94</f>
        <v>60.1</v>
      </c>
      <c r="K31" s="9"/>
      <c r="L31" s="631">
        <f>+'Exhibit A'!L30</f>
        <v>0</v>
      </c>
      <c r="M31" s="9"/>
      <c r="N31" s="10">
        <f>+'Exhibit A'!N30</f>
        <v>0</v>
      </c>
      <c r="O31" s="17"/>
      <c r="P31" s="2457"/>
      <c r="Q31" s="2458"/>
      <c r="R31" s="2456">
        <f t="shared" si="4"/>
        <v>28</v>
      </c>
      <c r="S31" s="2456"/>
      <c r="T31" s="2456">
        <f t="shared" si="5"/>
        <v>115.1</v>
      </c>
      <c r="U31" s="22"/>
      <c r="V31" s="22"/>
      <c r="W31" s="2459"/>
      <c r="X31" s="21"/>
      <c r="Y31" s="22">
        <v>34.799999999999997</v>
      </c>
      <c r="Z31" s="22" t="s">
        <v>15</v>
      </c>
      <c r="AA31" s="22">
        <f>+'Exhibit F'!AF105+'Exhibit G State'!AG94</f>
        <v>122.5</v>
      </c>
      <c r="AB31" s="2339"/>
      <c r="AC31" s="2442"/>
      <c r="AD31" s="22">
        <f t="shared" si="6"/>
        <v>-7.4</v>
      </c>
      <c r="AE31" s="2311"/>
      <c r="AF31" s="1465">
        <f t="shared" si="7"/>
        <v>-0.06</v>
      </c>
    </row>
    <row r="32" spans="1:32" ht="18" customHeight="1">
      <c r="A32" s="2367" t="s">
        <v>32</v>
      </c>
      <c r="B32" s="2329"/>
      <c r="C32" s="2329"/>
      <c r="D32" s="1403">
        <f>+'Exhibit A'!D31</f>
        <v>128.40000000000003</v>
      </c>
      <c r="E32" s="9"/>
      <c r="F32" s="2466">
        <f>+'Exhibit A'!F31</f>
        <v>481.6</v>
      </c>
      <c r="G32" s="9"/>
      <c r="H32" s="1403">
        <f>+'Exhibit G State'!J95</f>
        <v>0.50000000000000011</v>
      </c>
      <c r="I32" s="9"/>
      <c r="J32" s="2466">
        <f>+'Exhibit G State'!AD95</f>
        <v>2.7</v>
      </c>
      <c r="K32" s="9"/>
      <c r="L32" s="631">
        <f>+'Exhibit A'!L31</f>
        <v>0</v>
      </c>
      <c r="M32" s="9"/>
      <c r="N32" s="10">
        <f>+'Exhibit A'!N31</f>
        <v>0</v>
      </c>
      <c r="O32" s="17"/>
      <c r="P32" s="2457"/>
      <c r="Q32" s="2458"/>
      <c r="R32" s="2456">
        <f t="shared" si="4"/>
        <v>128.9</v>
      </c>
      <c r="S32" s="2456"/>
      <c r="T32" s="2456">
        <f t="shared" si="5"/>
        <v>484.3</v>
      </c>
      <c r="U32" s="22"/>
      <c r="V32" s="22"/>
      <c r="W32" s="2459"/>
      <c r="X32" s="21"/>
      <c r="Y32" s="22">
        <v>211.3</v>
      </c>
      <c r="Z32" s="22" t="s">
        <v>15</v>
      </c>
      <c r="AA32" s="22">
        <f>+'Exhibit F'!AF106+'Exhibit G State'!AG95</f>
        <v>558.9</v>
      </c>
      <c r="AB32" s="2339"/>
      <c r="AC32" s="2442"/>
      <c r="AD32" s="22">
        <f t="shared" si="6"/>
        <v>-74.599999999999994</v>
      </c>
      <c r="AE32" s="2311"/>
      <c r="AF32" s="1465">
        <f t="shared" si="7"/>
        <v>-0.13300000000000001</v>
      </c>
    </row>
    <row r="33" spans="1:32" ht="18" customHeight="1">
      <c r="A33" s="2367" t="s">
        <v>33</v>
      </c>
      <c r="B33" s="2329"/>
      <c r="C33" s="2329"/>
      <c r="D33" s="1403">
        <f>+'Exhibit A'!D32</f>
        <v>22</v>
      </c>
      <c r="E33" s="9"/>
      <c r="F33" s="2466">
        <f>+'Exhibit A'!F32</f>
        <v>41.4</v>
      </c>
      <c r="G33" s="9"/>
      <c r="H33" s="1403">
        <f>+'Exhibit G State'!J96</f>
        <v>5.8000000000000007</v>
      </c>
      <c r="I33" s="9"/>
      <c r="J33" s="2466">
        <f>+'Exhibit G State'!AD96</f>
        <v>14.9</v>
      </c>
      <c r="K33" s="9"/>
      <c r="L33" s="631">
        <f>+'Exhibit A'!L32</f>
        <v>0</v>
      </c>
      <c r="M33" s="9"/>
      <c r="N33" s="10">
        <f>+'Exhibit A'!N32</f>
        <v>0</v>
      </c>
      <c r="O33" s="17"/>
      <c r="P33" s="2457"/>
      <c r="Q33" s="2458"/>
      <c r="R33" s="2456">
        <f t="shared" si="4"/>
        <v>27.8</v>
      </c>
      <c r="S33" s="2456"/>
      <c r="T33" s="2456">
        <f t="shared" si="5"/>
        <v>56.3</v>
      </c>
      <c r="U33" s="22"/>
      <c r="V33" s="22"/>
      <c r="W33" s="2459"/>
      <c r="X33" s="21"/>
      <c r="Y33" s="22">
        <v>10.199999999999999</v>
      </c>
      <c r="Z33" s="22" t="s">
        <v>15</v>
      </c>
      <c r="AA33" s="22">
        <f>+'Exhibit F'!AF107+'Exhibit G State'!AG96</f>
        <v>37.5</v>
      </c>
      <c r="AB33" s="2339"/>
      <c r="AC33" s="2442"/>
      <c r="AD33" s="22">
        <f t="shared" si="6"/>
        <v>18.8</v>
      </c>
      <c r="AE33" s="2311"/>
      <c r="AF33" s="1465">
        <f t="shared" si="7"/>
        <v>0.501</v>
      </c>
    </row>
    <row r="34" spans="1:32" ht="18" customHeight="1">
      <c r="A34" s="2367" t="s">
        <v>34</v>
      </c>
      <c r="B34" s="2329"/>
      <c r="C34" s="2329"/>
      <c r="D34" s="1403">
        <f>+'Exhibit A'!D33</f>
        <v>0.20000000000000284</v>
      </c>
      <c r="E34" s="9"/>
      <c r="F34" s="2466">
        <f>+'Exhibit A'!F33</f>
        <v>38.200000000000003</v>
      </c>
      <c r="G34" s="9"/>
      <c r="H34" s="1403">
        <f>+'Exhibit G State'!J97</f>
        <v>274.10000000000008</v>
      </c>
      <c r="I34" s="9"/>
      <c r="J34" s="2466">
        <f>+'Exhibit G State'!AD97</f>
        <v>1010.4</v>
      </c>
      <c r="K34" s="9"/>
      <c r="L34" s="631">
        <f>+'Exhibit A'!L33</f>
        <v>0</v>
      </c>
      <c r="M34" s="9"/>
      <c r="N34" s="10">
        <f>+'Exhibit A'!N33</f>
        <v>0</v>
      </c>
      <c r="O34" s="17"/>
      <c r="P34" s="2457"/>
      <c r="Q34" s="2458"/>
      <c r="R34" s="2468">
        <f>ROUND(SUM(D34+H34+L34),1)</f>
        <v>274.3</v>
      </c>
      <c r="S34" s="2456"/>
      <c r="T34" s="2468">
        <f>ROUND(SUM(F34+J34+N34),1)</f>
        <v>1048.5999999999999</v>
      </c>
      <c r="U34" s="22"/>
      <c r="V34" s="22"/>
      <c r="W34" s="2459"/>
      <c r="X34" s="21"/>
      <c r="Y34" s="22">
        <v>332.90000000000003</v>
      </c>
      <c r="Z34" s="22" t="s">
        <v>15</v>
      </c>
      <c r="AA34" s="1464">
        <f>+'Exhibit F'!AF108+'Exhibit G State'!AG97</f>
        <v>1381.1</v>
      </c>
      <c r="AB34" s="2339"/>
      <c r="AC34" s="2442"/>
      <c r="AD34" s="22">
        <f t="shared" si="6"/>
        <v>-332.5</v>
      </c>
      <c r="AE34" s="2311"/>
      <c r="AF34" s="1465">
        <f t="shared" si="7"/>
        <v>-0.24099999999999999</v>
      </c>
    </row>
    <row r="35" spans="1:32" ht="18" customHeight="1">
      <c r="A35" s="2328" t="s">
        <v>35</v>
      </c>
      <c r="B35" s="2329"/>
      <c r="C35" s="2329"/>
      <c r="D35" s="12">
        <f>ROUND(SUM(D25:D34),1)</f>
        <v>3320.6</v>
      </c>
      <c r="E35" s="1402"/>
      <c r="F35" s="12">
        <f>ROUND(SUM(F25:F34),1)</f>
        <v>18332.400000000001</v>
      </c>
      <c r="G35" s="1402"/>
      <c r="H35" s="12">
        <f>ROUND(SUM(H25:H34),1)</f>
        <v>936.5</v>
      </c>
      <c r="I35" s="1402"/>
      <c r="J35" s="12">
        <f>ROUND(SUM(J25:J34),1)</f>
        <v>3574.8</v>
      </c>
      <c r="K35" s="1402"/>
      <c r="L35" s="2469">
        <f>ROUND(SUM(L25:L34),1)</f>
        <v>0</v>
      </c>
      <c r="M35" s="1402"/>
      <c r="N35" s="1462">
        <f>ROUND(SUM(N25:N34),1)</f>
        <v>0</v>
      </c>
      <c r="O35" s="2470"/>
      <c r="P35" s="2471"/>
      <c r="Q35" s="2472"/>
      <c r="R35" s="12">
        <f>ROUND(SUM(R25:R34),1)</f>
        <v>4257.1000000000004</v>
      </c>
      <c r="S35" s="2470"/>
      <c r="T35" s="12">
        <f>ROUND(SUM(T25:T34),1)</f>
        <v>21907.200000000001</v>
      </c>
      <c r="U35" s="1520"/>
      <c r="V35" s="1520"/>
      <c r="W35" s="2473"/>
      <c r="X35" s="2474"/>
      <c r="Y35" s="1612">
        <f>ROUND(SUM(Y25:Y34),1)</f>
        <v>4263.2</v>
      </c>
      <c r="Z35" s="23"/>
      <c r="AA35" s="1612">
        <f>ROUND(SUM(AA25:AA34),1)</f>
        <v>20388</v>
      </c>
      <c r="AB35" s="2391"/>
      <c r="AC35" s="2463"/>
      <c r="AD35" s="1612">
        <f>ROUND(SUM(AD25:AD34),1)</f>
        <v>1519.2</v>
      </c>
      <c r="AE35" s="2363"/>
      <c r="AF35" s="1482">
        <f>ROUND(+AD35/AA35,3)</f>
        <v>7.4999999999999997E-2</v>
      </c>
    </row>
    <row r="36" spans="1:32" ht="18" customHeight="1">
      <c r="A36" s="2329" t="s">
        <v>36</v>
      </c>
      <c r="B36" s="2371"/>
      <c r="C36" s="2329"/>
      <c r="D36" s="629"/>
      <c r="E36" s="9"/>
      <c r="F36" s="9"/>
      <c r="G36" s="9"/>
      <c r="H36" s="629"/>
      <c r="I36" s="9"/>
      <c r="J36" s="9"/>
      <c r="K36" s="9"/>
      <c r="L36" s="629"/>
      <c r="M36" s="9"/>
      <c r="N36" s="9"/>
      <c r="O36" s="14"/>
      <c r="P36" s="2454"/>
      <c r="Q36" s="2455"/>
      <c r="R36" s="9"/>
      <c r="S36" s="9"/>
      <c r="T36" s="9"/>
      <c r="U36" s="22"/>
      <c r="V36" s="22"/>
      <c r="W36" s="2384"/>
      <c r="X36" s="22"/>
      <c r="Y36" s="22"/>
      <c r="Z36" s="22"/>
      <c r="AA36" s="22"/>
      <c r="AB36" s="2339"/>
      <c r="AC36" s="2442"/>
      <c r="AD36" s="22"/>
      <c r="AE36" s="2311"/>
      <c r="AF36" s="1468"/>
    </row>
    <row r="37" spans="1:32" ht="18" customHeight="1">
      <c r="A37" s="2329" t="s">
        <v>37</v>
      </c>
      <c r="B37" s="2370"/>
      <c r="C37" s="2329"/>
      <c r="D37" s="629">
        <f>+'Exhibit A'!D36</f>
        <v>697.30000000000041</v>
      </c>
      <c r="E37" s="9"/>
      <c r="F37" s="2466">
        <f>+'Exhibit A'!F36</f>
        <v>3136.9</v>
      </c>
      <c r="G37" s="9"/>
      <c r="H37" s="629">
        <f>+'Exhibit G State'!J100</f>
        <v>449.40000000000009</v>
      </c>
      <c r="I37" s="9"/>
      <c r="J37" s="2466">
        <f>+'Exhibit G State'!AD100</f>
        <v>1824.7</v>
      </c>
      <c r="K37" s="9"/>
      <c r="L37" s="632">
        <f>+'Exhibit A'!L36</f>
        <v>0</v>
      </c>
      <c r="M37" s="2456"/>
      <c r="N37" s="10">
        <f>+'Exhibit A'!N36</f>
        <v>0</v>
      </c>
      <c r="O37" s="17"/>
      <c r="P37" s="2457"/>
      <c r="Q37" s="2458"/>
      <c r="R37" s="2456">
        <f>ROUND(SUM(D37+H37+L37),1)</f>
        <v>1146.7</v>
      </c>
      <c r="S37" s="10"/>
      <c r="T37" s="9">
        <f>ROUND(SUM(F37+J37+N37),1)</f>
        <v>4961.6000000000004</v>
      </c>
      <c r="U37" s="22"/>
      <c r="V37" s="22"/>
      <c r="W37" s="2459"/>
      <c r="X37" s="21"/>
      <c r="Y37" s="22">
        <v>1060.5</v>
      </c>
      <c r="Z37" s="22" t="s">
        <v>15</v>
      </c>
      <c r="AA37" s="22">
        <f>+'Exhibit F'!AF111+'Exhibit G State'!AG100</f>
        <v>4572.7</v>
      </c>
      <c r="AB37" s="2339"/>
      <c r="AC37" s="2442"/>
      <c r="AD37" s="22">
        <f t="shared" ref="AD37:AD41" si="8">ROUND(SUM(T37-AA37),1)</f>
        <v>388.9</v>
      </c>
      <c r="AE37" s="2311"/>
      <c r="AF37" s="1465">
        <f>ROUND(+AD37/AA37,3)</f>
        <v>8.5000000000000006E-2</v>
      </c>
    </row>
    <row r="38" spans="1:32" ht="18" customHeight="1">
      <c r="A38" s="2378" t="s">
        <v>38</v>
      </c>
      <c r="B38" s="3710"/>
      <c r="C38" s="2378"/>
      <c r="D38" s="634">
        <f>+'Exhibit A'!D37</f>
        <v>200.89999999999998</v>
      </c>
      <c r="E38" s="22"/>
      <c r="F38" s="3711">
        <f>+'Exhibit A'!F37</f>
        <v>828</v>
      </c>
      <c r="G38" s="22"/>
      <c r="H38" s="634">
        <f>+'Exhibit G State'!J101</f>
        <v>228.40000000000015</v>
      </c>
      <c r="I38" s="22"/>
      <c r="J38" s="3711">
        <f>+'Exhibit G State'!AD101</f>
        <v>919.2</v>
      </c>
      <c r="K38" s="22"/>
      <c r="L38" s="1458">
        <f>+'Exhibit A'!L37</f>
        <v>8.6</v>
      </c>
      <c r="M38" s="3572"/>
      <c r="N38" s="21">
        <f>+'Exhibit A'!N37</f>
        <v>14.2</v>
      </c>
      <c r="O38" s="1464"/>
      <c r="P38" s="2454"/>
      <c r="Q38" s="2476"/>
      <c r="R38" s="3572">
        <f>ROUND(SUM(D38+H38+L38),1)</f>
        <v>437.9</v>
      </c>
      <c r="S38" s="21"/>
      <c r="T38" s="22">
        <f>ROUND(SUM(F38+J38+N38),1)</f>
        <v>1761.4</v>
      </c>
      <c r="U38" s="22"/>
      <c r="V38" s="22"/>
      <c r="W38" s="2384"/>
      <c r="X38" s="22"/>
      <c r="Y38" s="22">
        <v>368.5</v>
      </c>
      <c r="Z38" s="22" t="s">
        <v>15</v>
      </c>
      <c r="AA38" s="22">
        <f>+'Exhibit F'!AF112+'Exhibit G State'!AG101+'Exhibit H'!AD53</f>
        <v>1719.8</v>
      </c>
      <c r="AB38" s="2339"/>
      <c r="AC38" s="2442"/>
      <c r="AD38" s="22">
        <f t="shared" si="8"/>
        <v>41.6</v>
      </c>
      <c r="AF38" s="1711">
        <f>ROUND(+AD38/AA38,3)</f>
        <v>2.4E-2</v>
      </c>
    </row>
    <row r="39" spans="1:32" ht="18" customHeight="1">
      <c r="A39" s="2329" t="s">
        <v>39</v>
      </c>
      <c r="B39" s="2352"/>
      <c r="C39" s="2329"/>
      <c r="D39" s="629">
        <f>+'Exhibit A'!D38</f>
        <v>384.80000000000018</v>
      </c>
      <c r="E39" s="9"/>
      <c r="F39" s="2466">
        <f>+'Exhibit A'!F38</f>
        <v>3827.2</v>
      </c>
      <c r="G39" s="9"/>
      <c r="H39" s="629">
        <f>+'Exhibit G State'!J102</f>
        <v>78.599999999999994</v>
      </c>
      <c r="I39" s="9"/>
      <c r="J39" s="2466">
        <f>+'Exhibit G State'!AD102</f>
        <v>285.5</v>
      </c>
      <c r="K39" s="9"/>
      <c r="L39" s="632">
        <f>+'Exhibit A'!L38</f>
        <v>0</v>
      </c>
      <c r="M39" s="9"/>
      <c r="N39" s="10">
        <f>+'Exhibit A'!N38</f>
        <v>0</v>
      </c>
      <c r="O39" s="17"/>
      <c r="P39" s="2457"/>
      <c r="Q39" s="2458"/>
      <c r="R39" s="2456">
        <f>ROUND(SUM(D39+H39+L39),1)</f>
        <v>463.4</v>
      </c>
      <c r="S39" s="10"/>
      <c r="T39" s="9">
        <f>ROUND(SUM(F39+J39+N39),1)</f>
        <v>4112.7</v>
      </c>
      <c r="U39" s="22"/>
      <c r="V39" s="22"/>
      <c r="W39" s="2459"/>
      <c r="X39" s="21"/>
      <c r="Y39" s="22">
        <v>396.2</v>
      </c>
      <c r="Z39" s="22" t="s">
        <v>15</v>
      </c>
      <c r="AA39" s="22">
        <f>+'Exhibit F'!AF113+'Exhibit G State'!AG102</f>
        <v>4177</v>
      </c>
      <c r="AB39" s="2339"/>
      <c r="AC39" s="2442"/>
      <c r="AD39" s="22">
        <f t="shared" si="8"/>
        <v>-64.3</v>
      </c>
      <c r="AE39" s="2311"/>
      <c r="AF39" s="1465">
        <f>ROUND(+AD39/AA39,3)</f>
        <v>-1.4999999999999999E-2</v>
      </c>
    </row>
    <row r="40" spans="1:32" ht="18" customHeight="1">
      <c r="A40" s="2329" t="s">
        <v>40</v>
      </c>
      <c r="B40" s="2329"/>
      <c r="C40" s="2329"/>
      <c r="D40" s="629"/>
      <c r="E40" s="9"/>
      <c r="F40" s="9"/>
      <c r="G40" s="9"/>
      <c r="H40" s="629"/>
      <c r="I40" s="9"/>
      <c r="J40" s="9"/>
      <c r="K40" s="9"/>
      <c r="L40" s="629"/>
      <c r="M40" s="9"/>
      <c r="N40" s="9"/>
      <c r="O40" s="14"/>
      <c r="P40" s="2454"/>
      <c r="Q40" s="2455"/>
      <c r="R40" s="1460" t="s">
        <v>15</v>
      </c>
      <c r="S40" s="9"/>
      <c r="T40" s="629" t="s">
        <v>15</v>
      </c>
      <c r="U40" s="22"/>
      <c r="V40" s="22"/>
      <c r="W40" s="2384"/>
      <c r="X40" s="22"/>
      <c r="Y40" s="634"/>
      <c r="Z40" s="22"/>
      <c r="AA40" s="634" t="s">
        <v>15</v>
      </c>
      <c r="AB40" s="2339"/>
      <c r="AC40" s="2442"/>
      <c r="AD40" s="22"/>
      <c r="AE40" s="2311"/>
      <c r="AF40" s="1465"/>
    </row>
    <row r="41" spans="1:32" ht="18" customHeight="1">
      <c r="A41" s="2329" t="s">
        <v>41</v>
      </c>
      <c r="B41" s="2370"/>
      <c r="C41" s="2329"/>
      <c r="D41" s="632">
        <v>0</v>
      </c>
      <c r="E41" s="9"/>
      <c r="F41" s="10">
        <v>0</v>
      </c>
      <c r="G41" s="9"/>
      <c r="H41" s="632">
        <v>0</v>
      </c>
      <c r="I41" s="9"/>
      <c r="J41" s="10">
        <v>0</v>
      </c>
      <c r="K41" s="9"/>
      <c r="L41" s="632">
        <f>+'Exhibit A'!L40</f>
        <v>45.099999999999994</v>
      </c>
      <c r="M41" s="2456"/>
      <c r="N41" s="10">
        <f>+'Exhibit A'!N40</f>
        <v>468.9</v>
      </c>
      <c r="O41" s="14"/>
      <c r="P41" s="2454"/>
      <c r="Q41" s="2455"/>
      <c r="R41" s="2456">
        <f>ROUND(SUM(D41+H41+L41),1)</f>
        <v>45.1</v>
      </c>
      <c r="S41" s="9"/>
      <c r="T41" s="9">
        <f>ROUND(SUM(F41+J41+N41),1)</f>
        <v>468.9</v>
      </c>
      <c r="U41" s="22"/>
      <c r="V41" s="22"/>
      <c r="W41" s="2384"/>
      <c r="X41" s="22"/>
      <c r="Y41" s="22">
        <v>25.400000000000002</v>
      </c>
      <c r="Z41" s="22" t="s">
        <v>15</v>
      </c>
      <c r="AA41" s="22">
        <f>+'Exhibit H'!AD55</f>
        <v>381.8</v>
      </c>
      <c r="AB41" s="2339"/>
      <c r="AC41" s="2442"/>
      <c r="AD41" s="22">
        <f t="shared" si="8"/>
        <v>87.1</v>
      </c>
      <c r="AE41" s="2311"/>
      <c r="AF41" s="1465">
        <f>ROUND(+AD41/AA41,3)</f>
        <v>0.22800000000000001</v>
      </c>
    </row>
    <row r="42" spans="1:32" ht="18" customHeight="1">
      <c r="A42" s="2329" t="s">
        <v>42</v>
      </c>
      <c r="B42" s="2370"/>
      <c r="C42" s="2329"/>
      <c r="D42" s="632">
        <v>0</v>
      </c>
      <c r="E42" s="9"/>
      <c r="F42" s="10">
        <v>0</v>
      </c>
      <c r="G42" s="9"/>
      <c r="H42" s="632">
        <f>'Exhibit G State'!J103</f>
        <v>0</v>
      </c>
      <c r="I42" s="9"/>
      <c r="J42" s="632">
        <f>'Exhibit G State'!AD103</f>
        <v>0.1</v>
      </c>
      <c r="K42" s="9"/>
      <c r="L42" s="632">
        <v>0</v>
      </c>
      <c r="M42" s="2456"/>
      <c r="N42" s="10">
        <v>0</v>
      </c>
      <c r="O42" s="14"/>
      <c r="P42" s="2454"/>
      <c r="Q42" s="3759"/>
      <c r="R42" s="2456">
        <f>ROUND(SUM(D42+H42+L42),1)</f>
        <v>0</v>
      </c>
      <c r="S42" s="9"/>
      <c r="T42" s="9">
        <f>ROUND(SUM(F42+J42+N42),1)</f>
        <v>0.1</v>
      </c>
      <c r="U42" s="22"/>
      <c r="V42" s="22"/>
      <c r="W42" s="3760"/>
      <c r="X42" s="22"/>
      <c r="Y42" s="22">
        <v>0</v>
      </c>
      <c r="Z42" s="22"/>
      <c r="AA42" s="22">
        <f>'Exhibit G State'!AG103</f>
        <v>0</v>
      </c>
      <c r="AB42" s="2339"/>
      <c r="AC42" s="2442"/>
      <c r="AD42" s="22">
        <f>ROUND(SUM(T42-AA42),1)</f>
        <v>0.1</v>
      </c>
      <c r="AE42" s="2311"/>
      <c r="AF42" s="1465">
        <f>IF(AA42=0,1,AD42/AA42)</f>
        <v>1</v>
      </c>
    </row>
    <row r="43" spans="1:32" ht="18" customHeight="1">
      <c r="A43" s="2328" t="s">
        <v>58</v>
      </c>
      <c r="B43" s="2329"/>
      <c r="C43" s="2329"/>
      <c r="D43" s="12">
        <f>SUM(D35:D42)</f>
        <v>4603.6000000000004</v>
      </c>
      <c r="E43" s="1402"/>
      <c r="F43" s="12">
        <f>SUM(F35:F42)</f>
        <v>26124.500000000004</v>
      </c>
      <c r="G43" s="1402"/>
      <c r="H43" s="12">
        <f>SUM(H35:H42)</f>
        <v>1692.9</v>
      </c>
      <c r="I43" s="1402"/>
      <c r="J43" s="12">
        <f>SUM(J35:J42)</f>
        <v>6604.3</v>
      </c>
      <c r="K43" s="1402"/>
      <c r="L43" s="12">
        <f>SUM(L35:L42)</f>
        <v>53.699999999999996</v>
      </c>
      <c r="M43" s="1402"/>
      <c r="N43" s="12">
        <f>SUM(N35:N42)</f>
        <v>483.09999999999997</v>
      </c>
      <c r="O43" s="2360"/>
      <c r="P43" s="2461"/>
      <c r="Q43" s="2462"/>
      <c r="R43" s="12">
        <f>ROUND(SUM(R35:R42),1)</f>
        <v>6350.2</v>
      </c>
      <c r="S43" s="2360"/>
      <c r="T43" s="12">
        <f>ROUND(SUM(T35:T42),1)</f>
        <v>33211.9</v>
      </c>
      <c r="U43" s="1520"/>
      <c r="V43" s="1520"/>
      <c r="W43" s="2390"/>
      <c r="X43" s="1520"/>
      <c r="Y43" s="1612">
        <f>ROUND(SUM(Y35:Y42),1)</f>
        <v>6113.8</v>
      </c>
      <c r="Z43" s="23"/>
      <c r="AA43" s="1612">
        <f>ROUND(SUM(AA35:AA42),1)</f>
        <v>31239.3</v>
      </c>
      <c r="AB43" s="2391"/>
      <c r="AC43" s="2463"/>
      <c r="AD43" s="1612">
        <f>ROUND(SUM(AD35:AD42),1)</f>
        <v>1972.6</v>
      </c>
      <c r="AE43" s="2363"/>
      <c r="AF43" s="1482">
        <f>ROUND(+AD43/AA43,3)</f>
        <v>6.3E-2</v>
      </c>
    </row>
    <row r="44" spans="1:32" ht="16.149999999999999" customHeight="1">
      <c r="A44" s="2328"/>
      <c r="B44" s="2329"/>
      <c r="C44" s="2329"/>
      <c r="D44" s="630"/>
      <c r="E44" s="9"/>
      <c r="F44" s="14"/>
      <c r="G44" s="9"/>
      <c r="H44" s="630"/>
      <c r="I44" s="9"/>
      <c r="J44" s="14"/>
      <c r="K44" s="9"/>
      <c r="L44" s="630"/>
      <c r="M44" s="9"/>
      <c r="N44" s="14"/>
      <c r="O44" s="14"/>
      <c r="P44" s="2454"/>
      <c r="Q44" s="2455"/>
      <c r="R44" s="14"/>
      <c r="S44" s="14"/>
      <c r="T44" s="14"/>
      <c r="U44" s="1464"/>
      <c r="V44" s="1464"/>
      <c r="W44" s="2384"/>
      <c r="X44" s="1464"/>
      <c r="Y44" s="1464"/>
      <c r="Z44" s="22"/>
      <c r="AA44" s="1464"/>
      <c r="AB44" s="2339"/>
      <c r="AC44" s="2442"/>
      <c r="AD44" s="1464"/>
      <c r="AE44" s="2311"/>
      <c r="AF44" s="1468"/>
    </row>
    <row r="45" spans="1:32" ht="16.149999999999999" customHeight="1">
      <c r="A45" s="2328" t="s">
        <v>44</v>
      </c>
      <c r="B45" s="2328"/>
      <c r="C45" s="2329"/>
      <c r="D45" s="629"/>
      <c r="E45" s="9"/>
      <c r="F45" s="9"/>
      <c r="G45" s="9"/>
      <c r="H45" s="629"/>
      <c r="I45" s="9"/>
      <c r="J45" s="9"/>
      <c r="K45" s="9"/>
      <c r="L45" s="629"/>
      <c r="M45" s="9"/>
      <c r="N45" s="9"/>
      <c r="O45" s="14"/>
      <c r="P45" s="2454"/>
      <c r="Q45" s="2455"/>
      <c r="R45" s="9"/>
      <c r="S45" s="9"/>
      <c r="T45" s="9"/>
      <c r="U45" s="22"/>
      <c r="V45" s="22"/>
      <c r="W45" s="2384"/>
      <c r="X45" s="22"/>
      <c r="Y45" s="22"/>
      <c r="Z45" s="22"/>
      <c r="AA45" s="22"/>
      <c r="AB45" s="2339"/>
      <c r="AC45" s="2442"/>
      <c r="AD45" s="22"/>
      <c r="AE45" s="2311"/>
      <c r="AF45" s="1468"/>
    </row>
    <row r="46" spans="1:32" ht="16.149999999999999" customHeight="1">
      <c r="A46" s="2328" t="s">
        <v>45</v>
      </c>
      <c r="B46" s="2328"/>
      <c r="C46" s="2329"/>
      <c r="D46" s="19">
        <f>ROUND(SUM(D21-D43),1)</f>
        <v>-1927.2</v>
      </c>
      <c r="E46" s="1402"/>
      <c r="F46" s="19">
        <f>ROUND(SUM(F21-F43),1)</f>
        <v>-10126.299999999999</v>
      </c>
      <c r="G46" s="1402"/>
      <c r="H46" s="19">
        <f>ROUND(SUM(H21-H43),1)</f>
        <v>87.3</v>
      </c>
      <c r="I46" s="1402"/>
      <c r="J46" s="19">
        <f>ROUND(SUM(J21-J43),1)</f>
        <v>705.5</v>
      </c>
      <c r="K46" s="1402"/>
      <c r="L46" s="19">
        <f>ROUND(SUM(L21-L43),1)</f>
        <v>2402.1</v>
      </c>
      <c r="M46" s="1402" t="s">
        <v>15</v>
      </c>
      <c r="N46" s="19">
        <f>ROUND(SUM(N21-N43),1)</f>
        <v>12632.6</v>
      </c>
      <c r="O46" s="2360"/>
      <c r="P46" s="2461"/>
      <c r="Q46" s="2462"/>
      <c r="R46" s="19">
        <f>ROUND(SUM(+R21-R43),1)</f>
        <v>562.20000000000005</v>
      </c>
      <c r="S46" s="2360"/>
      <c r="T46" s="19">
        <f>ROUND(SUM(+T21-T43),1)</f>
        <v>3211.8</v>
      </c>
      <c r="U46" s="1520"/>
      <c r="V46" s="1520"/>
      <c r="W46" s="2390"/>
      <c r="X46" s="1520"/>
      <c r="Y46" s="1713">
        <f>ROUND(SUM(Y21-Y43),1)</f>
        <v>1135.2</v>
      </c>
      <c r="Z46" s="23" t="s">
        <v>15</v>
      </c>
      <c r="AA46" s="1713">
        <f>ROUND(SUM(AA21-AA43),1)</f>
        <v>663.2</v>
      </c>
      <c r="AB46" s="2391"/>
      <c r="AC46" s="2463"/>
      <c r="AD46" s="1713">
        <f>ROUND(SUM(AD21-AD43),1)</f>
        <v>2548.6</v>
      </c>
      <c r="AE46" s="2377"/>
      <c r="AF46" s="1497">
        <f>ROUND(AD46/AA46,3)</f>
        <v>3.843</v>
      </c>
    </row>
    <row r="47" spans="1:32" ht="16.149999999999999" customHeight="1">
      <c r="A47" s="2329"/>
      <c r="B47" s="2329"/>
      <c r="C47" s="2329"/>
      <c r="D47" s="630"/>
      <c r="E47" s="9"/>
      <c r="F47" s="14"/>
      <c r="G47" s="9"/>
      <c r="H47" s="630"/>
      <c r="I47" s="9"/>
      <c r="J47" s="14"/>
      <c r="K47" s="9"/>
      <c r="L47" s="630"/>
      <c r="M47" s="9"/>
      <c r="N47" s="14"/>
      <c r="O47" s="14"/>
      <c r="P47" s="2454"/>
      <c r="Q47" s="2455"/>
      <c r="R47" s="14"/>
      <c r="S47" s="14"/>
      <c r="T47" s="14"/>
      <c r="U47" s="1464"/>
      <c r="V47" s="1464"/>
      <c r="W47" s="2384"/>
      <c r="X47" s="1464"/>
      <c r="Y47" s="1464"/>
      <c r="Z47" s="22"/>
      <c r="AA47" s="1464"/>
      <c r="AB47" s="2339"/>
      <c r="AC47" s="2442"/>
      <c r="AD47" s="1464"/>
      <c r="AE47" s="2311"/>
      <c r="AF47" s="1468"/>
    </row>
    <row r="48" spans="1:32" ht="16.149999999999999" customHeight="1">
      <c r="A48" s="2328" t="s">
        <v>46</v>
      </c>
      <c r="B48" s="2328"/>
      <c r="C48" s="2329"/>
      <c r="D48" s="629"/>
      <c r="E48" s="9"/>
      <c r="F48" s="9"/>
      <c r="G48" s="9"/>
      <c r="H48" s="629"/>
      <c r="I48" s="9"/>
      <c r="J48" s="9"/>
      <c r="K48" s="9"/>
      <c r="L48" s="629"/>
      <c r="M48" s="9"/>
      <c r="N48" s="9"/>
      <c r="O48" s="14"/>
      <c r="P48" s="2454"/>
      <c r="Q48" s="2455"/>
      <c r="R48" s="9"/>
      <c r="S48" s="9"/>
      <c r="T48" s="9"/>
      <c r="U48" s="22"/>
      <c r="V48" s="22"/>
      <c r="W48" s="2384"/>
      <c r="X48" s="22"/>
      <c r="Y48" s="22"/>
      <c r="Z48" s="22"/>
      <c r="AA48" s="22"/>
      <c r="AB48" s="2339"/>
      <c r="AC48" s="2442"/>
      <c r="AD48" s="22"/>
      <c r="AE48" s="2311"/>
      <c r="AF48" s="1468"/>
    </row>
    <row r="49" spans="1:32" ht="18" customHeight="1">
      <c r="A49" s="2378" t="s">
        <v>48</v>
      </c>
      <c r="B49" s="2475" t="s">
        <v>1271</v>
      </c>
      <c r="C49" s="2378"/>
      <c r="D49" s="634">
        <f>+'Exhibit A'!D49</f>
        <v>2522.5000000000009</v>
      </c>
      <c r="E49" s="9"/>
      <c r="F49" s="9">
        <f>+'Exhibit A'!F49</f>
        <v>12972.2</v>
      </c>
      <c r="G49" s="22"/>
      <c r="H49" s="634">
        <f>+'Exhibit G State'!J111</f>
        <v>215.40000000000009</v>
      </c>
      <c r="I49" s="22"/>
      <c r="J49" s="9">
        <f>+'Exhibit G State'!AD111</f>
        <v>1675.5</v>
      </c>
      <c r="K49" s="1464"/>
      <c r="L49" s="1459">
        <f>+'Exhibit A'!L49</f>
        <v>281.90000000000003</v>
      </c>
      <c r="M49" s="1464"/>
      <c r="N49" s="17">
        <f>+'Exhibit A'!N49</f>
        <v>794.3</v>
      </c>
      <c r="O49" s="14"/>
      <c r="P49" s="2454"/>
      <c r="Q49" s="2455"/>
      <c r="R49" s="10">
        <f>ROUND(SUM(L49+H49+D49),1)</f>
        <v>3019.8</v>
      </c>
      <c r="S49" s="9"/>
      <c r="T49" s="10">
        <f>ROUND(SUM(F49+J49+N49),1)</f>
        <v>15442</v>
      </c>
      <c r="U49" s="22"/>
      <c r="V49" s="22"/>
      <c r="W49" s="2384"/>
      <c r="X49" s="22"/>
      <c r="Y49" s="22">
        <v>2586.5</v>
      </c>
      <c r="Z49" s="22" t="s">
        <v>15</v>
      </c>
      <c r="AA49" s="22">
        <f>'Exhibit F'!AF122+'Exhibit F'!AF123+'Exhibit F'!AF124+'Exhibit F'!AF125+'Exhibit G State'!AG111+'Exhibit H'!AD64</f>
        <v>12937.9</v>
      </c>
      <c r="AB49" s="2339"/>
      <c r="AC49" s="2442"/>
      <c r="AD49" s="22">
        <f>ROUND(SUM(T49-AA49),1)</f>
        <v>2504.1</v>
      </c>
      <c r="AE49" s="2380"/>
      <c r="AF49" s="1465">
        <f>ROUND(SUM(+AD49/AA49),3)</f>
        <v>0.19400000000000001</v>
      </c>
    </row>
    <row r="50" spans="1:32" ht="18" customHeight="1">
      <c r="A50" s="2378" t="s">
        <v>49</v>
      </c>
      <c r="B50" s="2475" t="s">
        <v>1271</v>
      </c>
      <c r="C50" s="2378"/>
      <c r="D50" s="634">
        <f>+'Exhibit A'!D50</f>
        <v>-574</v>
      </c>
      <c r="E50" s="22"/>
      <c r="F50" s="9">
        <f>+'Exhibit A'!F50</f>
        <v>-3437.3</v>
      </c>
      <c r="G50" s="22"/>
      <c r="H50" s="634">
        <f>+'Exhibit G State'!J112</f>
        <v>-120.79999999999995</v>
      </c>
      <c r="I50" s="22"/>
      <c r="J50" s="2456">
        <f>'Exhibit G State'!AD112</f>
        <v>-194.7</v>
      </c>
      <c r="K50" s="22"/>
      <c r="L50" s="1459">
        <f>+'Exhibit A'!L50</f>
        <v>-2430.7999999999993</v>
      </c>
      <c r="M50" s="1464"/>
      <c r="N50" s="17">
        <f>+'Exhibit A'!N50</f>
        <v>-12877</v>
      </c>
      <c r="O50" s="1464"/>
      <c r="P50" s="2454"/>
      <c r="Q50" s="2476"/>
      <c r="R50" s="2456">
        <f>ROUND(SUM(D50+H50+L50),1)</f>
        <v>-3125.6</v>
      </c>
      <c r="S50" s="1464"/>
      <c r="T50" s="9">
        <f>ROUND(SUM(F50+J50+N50),1)</f>
        <v>-16509</v>
      </c>
      <c r="U50" s="22"/>
      <c r="V50" s="22"/>
      <c r="W50" s="2384"/>
      <c r="X50" s="1464"/>
      <c r="Y50" s="22">
        <v>-2802.5</v>
      </c>
      <c r="Z50" s="22" t="s">
        <v>15</v>
      </c>
      <c r="AA50" s="22">
        <f>'Exhibit F'!AF126+'Exhibit F'!AF127+'Exhibit F'!AF128+'Exhibit F'!AF129+'Exhibit G State'!AG112+'Exhibit H'!AD65</f>
        <v>-13951.1</v>
      </c>
      <c r="AB50" s="2339"/>
      <c r="AC50" s="2442"/>
      <c r="AD50" s="22">
        <f>-ROUND(SUM(T50-AA50),1)</f>
        <v>2557.9</v>
      </c>
      <c r="AE50" s="2311"/>
      <c r="AF50" s="2477">
        <f>ROUND(SUM(-AD50/AA50),3)</f>
        <v>0.183</v>
      </c>
    </row>
    <row r="51" spans="1:32" ht="18" customHeight="1">
      <c r="A51" s="2328" t="s">
        <v>50</v>
      </c>
      <c r="B51" s="2328"/>
      <c r="C51" s="2329"/>
      <c r="D51" s="12">
        <f>ROUND(SUM(D49:D50),1)</f>
        <v>1948.5</v>
      </c>
      <c r="E51" s="1402"/>
      <c r="F51" s="12">
        <f>ROUND(SUM(F49:F50),1)</f>
        <v>9534.9</v>
      </c>
      <c r="G51" s="1402"/>
      <c r="H51" s="12">
        <f>ROUND(SUM(H49:H50),1)</f>
        <v>94.6</v>
      </c>
      <c r="I51" s="1402"/>
      <c r="J51" s="12">
        <f>ROUND(SUM(J49:J50),1)</f>
        <v>1480.8</v>
      </c>
      <c r="K51" s="1402"/>
      <c r="L51" s="12">
        <f>ROUND(SUM(L49:L50),1)</f>
        <v>-2148.9</v>
      </c>
      <c r="M51" s="1402"/>
      <c r="N51" s="12">
        <f>ROUND(SUM(N49:N50),1)</f>
        <v>-12082.7</v>
      </c>
      <c r="O51" s="2360"/>
      <c r="P51" s="2461"/>
      <c r="Q51" s="2462"/>
      <c r="R51" s="12">
        <f>ROUND(SUM(R49:R50),1)</f>
        <v>-105.8</v>
      </c>
      <c r="S51" s="2360"/>
      <c r="T51" s="12">
        <f>ROUND(SUM(T49:T50),1)</f>
        <v>-1067</v>
      </c>
      <c r="U51" s="1520"/>
      <c r="V51" s="1520"/>
      <c r="W51" s="2390"/>
      <c r="X51" s="1520"/>
      <c r="Y51" s="3614">
        <f>ROUND(SUM(+Y49+Y50),1)</f>
        <v>-216</v>
      </c>
      <c r="Z51" s="23"/>
      <c r="AA51" s="2387">
        <f>ROUND(SUM(+AA49+AA50),1)</f>
        <v>-1013.2</v>
      </c>
      <c r="AB51" s="2391"/>
      <c r="AC51" s="2463"/>
      <c r="AD51" s="2387">
        <f>ROUND(SUM(+AD49-AD50),1)</f>
        <v>-53.8</v>
      </c>
      <c r="AE51" s="2363"/>
      <c r="AF51" s="1467">
        <f>-ROUND(SUM(AD51/AA51),3)</f>
        <v>-5.2999999999999999E-2</v>
      </c>
    </row>
    <row r="52" spans="1:32" ht="16.149999999999999" customHeight="1">
      <c r="A52" s="2329"/>
      <c r="B52" s="2329"/>
      <c r="C52" s="2329"/>
      <c r="D52" s="630"/>
      <c r="E52" s="9"/>
      <c r="F52" s="14"/>
      <c r="G52" s="9"/>
      <c r="H52" s="630"/>
      <c r="I52" s="9"/>
      <c r="J52" s="14"/>
      <c r="K52" s="9"/>
      <c r="L52" s="630"/>
      <c r="M52" s="9"/>
      <c r="N52" s="14"/>
      <c r="O52" s="14"/>
      <c r="P52" s="2454"/>
      <c r="Q52" s="2455"/>
      <c r="R52" s="14"/>
      <c r="S52" s="14"/>
      <c r="T52" s="14"/>
      <c r="U52" s="1464"/>
      <c r="V52" s="1464"/>
      <c r="W52" s="2384"/>
      <c r="X52" s="1464"/>
      <c r="Y52" s="1464"/>
      <c r="Z52" s="22"/>
      <c r="AA52" s="1464"/>
      <c r="AB52" s="2339"/>
      <c r="AC52" s="2442"/>
      <c r="AD52" s="1464"/>
      <c r="AE52" s="2311"/>
      <c r="AF52" s="1468"/>
    </row>
    <row r="53" spans="1:32" ht="18" customHeight="1">
      <c r="A53" s="2327" t="s">
        <v>44</v>
      </c>
      <c r="B53" s="2328"/>
      <c r="C53" s="2329"/>
      <c r="D53" s="629"/>
      <c r="E53" s="9"/>
      <c r="F53" s="9"/>
      <c r="G53" s="9"/>
      <c r="H53" s="629"/>
      <c r="I53" s="9"/>
      <c r="J53" s="9"/>
      <c r="K53" s="9"/>
      <c r="L53" s="629"/>
      <c r="M53" s="9"/>
      <c r="N53" s="9"/>
      <c r="O53" s="14"/>
      <c r="P53" s="2454"/>
      <c r="Q53" s="2455"/>
      <c r="R53" s="9"/>
      <c r="S53" s="9"/>
      <c r="T53" s="9"/>
      <c r="U53" s="22"/>
      <c r="V53" s="22"/>
      <c r="W53" s="2384"/>
      <c r="X53" s="22"/>
      <c r="Y53" s="22"/>
      <c r="Z53" s="22"/>
      <c r="AA53" s="22"/>
      <c r="AB53" s="2339"/>
      <c r="AC53" s="2442"/>
      <c r="AD53" s="22"/>
      <c r="AE53" s="2311"/>
      <c r="AF53" s="1469"/>
    </row>
    <row r="54" spans="1:32" ht="18" customHeight="1">
      <c r="A54" s="2327" t="s">
        <v>59</v>
      </c>
      <c r="B54" s="2327"/>
      <c r="C54" s="2378"/>
      <c r="D54" s="634"/>
      <c r="E54" s="9"/>
      <c r="F54" s="9"/>
      <c r="G54" s="9"/>
      <c r="H54" s="629"/>
      <c r="I54" s="9"/>
      <c r="J54" s="9"/>
      <c r="K54" s="9"/>
      <c r="L54" s="629"/>
      <c r="M54" s="9"/>
      <c r="N54" s="9"/>
      <c r="O54" s="14"/>
      <c r="P54" s="2454"/>
      <c r="Q54" s="2455"/>
      <c r="R54" s="9"/>
      <c r="S54" s="9"/>
      <c r="T54" s="9"/>
      <c r="U54" s="22"/>
      <c r="V54" s="22"/>
      <c r="W54" s="2384"/>
      <c r="X54" s="22"/>
      <c r="Y54" s="22" t="s">
        <v>15</v>
      </c>
      <c r="Z54" s="22"/>
      <c r="AA54" s="22"/>
      <c r="AB54" s="2339"/>
      <c r="AC54" s="2442"/>
      <c r="AD54" s="22"/>
      <c r="AE54" s="2311"/>
      <c r="AF54" s="1468"/>
    </row>
    <row r="55" spans="1:32" ht="18" customHeight="1">
      <c r="A55" s="2327" t="s">
        <v>60</v>
      </c>
      <c r="B55" s="2327"/>
      <c r="C55" s="2378"/>
      <c r="D55" s="23">
        <f>ROUND(SUM(D46+D51),1)</f>
        <v>21.3</v>
      </c>
      <c r="E55" s="23"/>
      <c r="F55" s="23">
        <f>ROUND(SUM(F46)+SUM(F51),1)</f>
        <v>-591.4</v>
      </c>
      <c r="G55" s="23"/>
      <c r="H55" s="23">
        <f>ROUND(SUM(H46+H51),1)</f>
        <v>181.9</v>
      </c>
      <c r="I55" s="23"/>
      <c r="J55" s="23">
        <f>ROUND(SUM(J46)+SUM(J51),1)</f>
        <v>2186.3000000000002</v>
      </c>
      <c r="K55" s="23"/>
      <c r="L55" s="23">
        <f>ROUND(SUM(L46+L51),1)</f>
        <v>253.2</v>
      </c>
      <c r="M55" s="2478"/>
      <c r="N55" s="2478">
        <f>ROUND(SUM(N46+N51),1)</f>
        <v>549.9</v>
      </c>
      <c r="O55" s="2461"/>
      <c r="P55" s="2461"/>
      <c r="Q55" s="2479"/>
      <c r="R55" s="2478">
        <f>ROUND(SUM(+R46+R51),1)</f>
        <v>456.4</v>
      </c>
      <c r="S55" s="2478"/>
      <c r="T55" s="2478">
        <f>ROUND(SUM(T46+T51),1)</f>
        <v>2144.8000000000002</v>
      </c>
      <c r="U55" s="2478"/>
      <c r="V55" s="2478"/>
      <c r="W55" s="2480"/>
      <c r="X55" s="2478"/>
      <c r="Y55" s="23">
        <f>ROUND(SUM(Y46)+SUM(Y51),1)</f>
        <v>919.2</v>
      </c>
      <c r="Z55" s="23"/>
      <c r="AA55" s="23">
        <f>ROUND(SUM(AA46)+SUM(AA51),1)</f>
        <v>-350</v>
      </c>
      <c r="AB55" s="2391"/>
      <c r="AC55" s="2463"/>
      <c r="AD55" s="1520">
        <f>ROUND(SUM(+AD46+AD51),1)</f>
        <v>2494.8000000000002</v>
      </c>
      <c r="AE55" s="2363"/>
      <c r="AF55" s="1533">
        <f>-ROUND(SUM(AD55/AA55),3)</f>
        <v>7.1280000000000001</v>
      </c>
    </row>
    <row r="56" spans="1:32" ht="16.149999999999999" customHeight="1">
      <c r="A56" s="2328"/>
      <c r="B56" s="2328"/>
      <c r="C56" s="2329"/>
      <c r="D56" s="629"/>
      <c r="E56" s="9"/>
      <c r="F56" s="14"/>
      <c r="G56" s="9"/>
      <c r="H56" s="629"/>
      <c r="I56" s="9"/>
      <c r="J56" s="9"/>
      <c r="K56" s="9"/>
      <c r="L56" s="634"/>
      <c r="M56" s="22"/>
      <c r="N56" s="22"/>
      <c r="O56" s="1464"/>
      <c r="P56" s="2454"/>
      <c r="Q56" s="2476"/>
      <c r="R56" s="22"/>
      <c r="S56" s="22"/>
      <c r="T56" s="22"/>
      <c r="U56" s="22"/>
      <c r="V56" s="22"/>
      <c r="W56" s="2384"/>
      <c r="X56" s="22"/>
      <c r="Y56" s="22"/>
      <c r="Z56" s="22"/>
      <c r="AA56" s="22"/>
      <c r="AB56" s="2339"/>
      <c r="AC56" s="2442"/>
      <c r="AD56" s="22"/>
      <c r="AE56" s="2311"/>
      <c r="AF56" s="1468"/>
    </row>
    <row r="57" spans="1:32" ht="18" customHeight="1">
      <c r="A57" s="2481" t="s">
        <v>53</v>
      </c>
      <c r="B57" s="2372"/>
      <c r="C57" s="2329"/>
      <c r="D57" s="19">
        <f>+'Exhibit A'!D57</f>
        <v>6593</v>
      </c>
      <c r="E57" s="1402"/>
      <c r="F57" s="19">
        <f>'Exhibit A'!F57</f>
        <v>7205.7</v>
      </c>
      <c r="G57" s="1402"/>
      <c r="H57" s="19">
        <f>+'Exhibit G State'!J13</f>
        <v>7095.2</v>
      </c>
      <c r="I57" s="1402"/>
      <c r="J57" s="19">
        <f>'Exhibit G State'!D13</f>
        <v>5090.8</v>
      </c>
      <c r="K57" s="1402"/>
      <c r="L57" s="1713">
        <f>+'Exhibit A'!L57</f>
        <v>361.5</v>
      </c>
      <c r="M57" s="1520"/>
      <c r="N57" s="2482">
        <f>+'Exhibit A'!N57</f>
        <v>64.8</v>
      </c>
      <c r="O57" s="2360"/>
      <c r="P57" s="2461"/>
      <c r="Q57" s="2462"/>
      <c r="R57" s="19">
        <f>ROUND(SUM(D57+H57+L57),1)</f>
        <v>14049.7</v>
      </c>
      <c r="S57" s="2360"/>
      <c r="T57" s="19">
        <f>ROUND(SUM(F57+J57+N57),1)</f>
        <v>12361.3</v>
      </c>
      <c r="U57" s="1520"/>
      <c r="V57" s="1520"/>
      <c r="W57" s="2390"/>
      <c r="X57" s="1520"/>
      <c r="Y57" s="1713">
        <v>12337.4</v>
      </c>
      <c r="Z57" s="23" t="s">
        <v>15</v>
      </c>
      <c r="AA57" s="1713">
        <f>'Exhibit F'!AF12+'Exhibit G State'!AG13+'Exhibit H'!AD12</f>
        <v>13606.6</v>
      </c>
      <c r="AB57" s="2391"/>
      <c r="AC57" s="2463"/>
      <c r="AD57" s="1713">
        <f>ROUND(SUM(T57-AA57),1)</f>
        <v>-1245.3</v>
      </c>
      <c r="AE57" s="2363"/>
      <c r="AF57" s="2393">
        <f>ROUND(+AD57/AA57,3)</f>
        <v>-9.1999999999999998E-2</v>
      </c>
    </row>
    <row r="58" spans="1:32" ht="16.149999999999999" customHeight="1">
      <c r="A58" s="2378"/>
      <c r="B58" s="2329"/>
      <c r="C58" s="2329"/>
      <c r="D58" s="2483"/>
      <c r="E58" s="2329"/>
      <c r="F58" s="7"/>
      <c r="G58" s="2329"/>
      <c r="H58" s="627"/>
      <c r="I58" s="2329"/>
      <c r="J58" s="7"/>
      <c r="K58" s="2329"/>
      <c r="L58" s="2483"/>
      <c r="M58" s="2329"/>
      <c r="N58" s="7"/>
      <c r="O58" s="7"/>
      <c r="P58" s="2439"/>
      <c r="Q58" s="2440"/>
      <c r="R58" s="7"/>
      <c r="S58" s="7"/>
      <c r="T58" s="7"/>
      <c r="U58" s="2339"/>
      <c r="V58" s="2339"/>
      <c r="W58" s="2441"/>
      <c r="X58" s="2339"/>
      <c r="Y58" s="2339"/>
      <c r="Z58" s="2378"/>
      <c r="AA58" s="2339"/>
      <c r="AB58" s="2339"/>
      <c r="AC58" s="2442"/>
      <c r="AD58" s="1464"/>
      <c r="AE58" s="2311"/>
      <c r="AF58" s="1468"/>
    </row>
    <row r="59" spans="1:32" ht="18" customHeight="1" thickBot="1">
      <c r="A59" s="2484" t="s">
        <v>61</v>
      </c>
      <c r="B59" s="2485" t="s">
        <v>15</v>
      </c>
      <c r="C59" s="2329"/>
      <c r="D59" s="25">
        <f>ROUND(SUM(D55+D57),1)</f>
        <v>6614.3</v>
      </c>
      <c r="E59" s="2396"/>
      <c r="F59" s="25">
        <f>ROUND(SUM(F55+F57),1)</f>
        <v>6614.3</v>
      </c>
      <c r="G59" s="2396"/>
      <c r="H59" s="25">
        <f>ROUND(SUM(H55+H57),1)</f>
        <v>7277.1</v>
      </c>
      <c r="I59" s="2396"/>
      <c r="J59" s="25">
        <f>ROUND(SUM(J55)+SUM(J57),1)</f>
        <v>7277.1</v>
      </c>
      <c r="K59" s="2396"/>
      <c r="L59" s="25">
        <f>ROUND(SUM(L55+L57),1)</f>
        <v>614.70000000000005</v>
      </c>
      <c r="M59" s="2486"/>
      <c r="N59" s="2487">
        <f>ROUND(SUM(N55+N57),1)</f>
        <v>614.70000000000005</v>
      </c>
      <c r="O59" s="2488"/>
      <c r="P59" s="2488"/>
      <c r="Q59" s="2489"/>
      <c r="R59" s="2487">
        <f>ROUND(SUM(R55+R57),1)</f>
        <v>14506.1</v>
      </c>
      <c r="S59" s="2488"/>
      <c r="T59" s="2487">
        <f>ROUND(SUM(T55+T57),1)</f>
        <v>14506.1</v>
      </c>
      <c r="U59" s="2488"/>
      <c r="V59" s="2488"/>
      <c r="W59" s="2490"/>
      <c r="X59" s="2488"/>
      <c r="Y59" s="25">
        <f>ROUND(SUM(Y55+Y57),1)</f>
        <v>13256.6</v>
      </c>
      <c r="Z59" s="2396"/>
      <c r="AA59" s="25">
        <f>ROUND(SUM(AA55+AA57),1)</f>
        <v>13256.6</v>
      </c>
      <c r="AB59" s="2401"/>
      <c r="AC59" s="2491"/>
      <c r="AD59" s="25">
        <f>ROUND(SUM(AD55+AD57),1)</f>
        <v>1249.5</v>
      </c>
      <c r="AE59" s="2363"/>
      <c r="AF59" s="2400">
        <f>ROUND(+AD59/AA59,3)</f>
        <v>9.4E-2</v>
      </c>
    </row>
    <row r="60" spans="1:32" ht="15.75" thickTop="1">
      <c r="A60" s="2402"/>
      <c r="B60" s="2402"/>
      <c r="C60" s="2402"/>
      <c r="D60" s="2404"/>
      <c r="E60" s="2404"/>
      <c r="F60" s="2404"/>
      <c r="G60" s="2404"/>
      <c r="H60" s="2403"/>
      <c r="I60" s="2404"/>
      <c r="J60" s="2404"/>
      <c r="K60" s="2404"/>
      <c r="L60" s="2404"/>
      <c r="M60" s="2404"/>
      <c r="N60" s="2404"/>
      <c r="O60" s="2404"/>
      <c r="P60" s="2492"/>
      <c r="Q60" s="2404"/>
      <c r="R60" s="2404"/>
      <c r="S60" s="2404"/>
      <c r="T60" s="2404"/>
      <c r="U60" s="2406"/>
      <c r="V60" s="2406"/>
      <c r="W60" s="2406"/>
      <c r="X60" s="2406"/>
      <c r="Y60" s="2406"/>
      <c r="Z60" s="2406"/>
      <c r="AA60" s="2406"/>
      <c r="AB60" s="2406"/>
      <c r="AC60" s="2406"/>
      <c r="AD60" s="2406"/>
      <c r="AE60" s="2311"/>
      <c r="AF60" s="2407"/>
    </row>
    <row r="61" spans="1:32">
      <c r="A61" s="2380"/>
      <c r="B61" s="2380"/>
      <c r="C61" s="2380"/>
      <c r="D61" s="2380"/>
      <c r="E61" s="2380"/>
      <c r="F61" s="2380"/>
      <c r="G61" s="2380"/>
      <c r="H61" s="2409"/>
      <c r="I61" s="2380"/>
      <c r="J61" s="2380"/>
      <c r="K61" s="2380"/>
      <c r="L61" s="2380"/>
      <c r="M61" s="2380"/>
      <c r="N61" s="2380"/>
      <c r="O61" s="2380"/>
      <c r="P61" s="2380"/>
      <c r="Q61" s="2380"/>
      <c r="R61" s="2380"/>
      <c r="S61" s="2380"/>
      <c r="T61" s="2380"/>
      <c r="U61" s="2419"/>
      <c r="V61" s="2419"/>
      <c r="W61" s="2419"/>
      <c r="X61" s="2419"/>
      <c r="Y61" s="2419"/>
      <c r="Z61" s="2419"/>
      <c r="AA61" s="2419"/>
      <c r="AB61" s="2419"/>
    </row>
    <row r="62" spans="1:32" ht="18" customHeight="1">
      <c r="A62" s="2333" t="s">
        <v>1216</v>
      </c>
      <c r="B62" s="2380"/>
      <c r="C62" s="2380"/>
      <c r="D62" s="2380"/>
      <c r="E62" s="2380"/>
      <c r="F62" s="2380"/>
      <c r="G62" s="2380"/>
      <c r="H62" s="2409"/>
      <c r="I62" s="2380"/>
      <c r="J62" s="2380"/>
      <c r="K62" s="2380"/>
      <c r="L62" s="2380"/>
      <c r="M62" s="2380"/>
      <c r="N62" s="2380"/>
      <c r="O62" s="2380"/>
      <c r="P62" s="2380"/>
      <c r="Q62" s="2380"/>
      <c r="R62" s="2380"/>
      <c r="S62" s="2380"/>
      <c r="T62" s="2380"/>
      <c r="U62" s="2419"/>
      <c r="V62" s="2419"/>
      <c r="W62" s="2419"/>
      <c r="X62" s="2419"/>
      <c r="Y62" s="2419"/>
      <c r="Z62" s="2419"/>
      <c r="AA62" s="2419"/>
      <c r="AB62" s="2419"/>
    </row>
    <row r="63" spans="1:32" ht="18" customHeight="1">
      <c r="A63" s="2493" t="s">
        <v>1215</v>
      </c>
      <c r="B63" s="2380"/>
      <c r="C63" s="2380"/>
      <c r="D63" s="2380"/>
      <c r="E63" s="2380"/>
      <c r="F63" s="2380"/>
      <c r="G63" s="2380"/>
      <c r="H63" s="2409"/>
      <c r="I63" s="2380"/>
      <c r="J63" s="2380"/>
      <c r="K63" s="2380"/>
      <c r="L63" s="2380"/>
      <c r="M63" s="2380"/>
      <c r="N63" s="2380"/>
      <c r="O63" s="2380"/>
      <c r="P63" s="2380"/>
      <c r="Q63" s="2380"/>
      <c r="R63" s="2380"/>
      <c r="S63" s="2380"/>
      <c r="T63" s="2380"/>
      <c r="U63" s="2419"/>
      <c r="V63" s="2419"/>
      <c r="W63" s="2419"/>
      <c r="X63" s="2419"/>
      <c r="Y63" s="2419"/>
      <c r="Z63" s="2419"/>
      <c r="AA63" s="2419"/>
      <c r="AB63" s="2419"/>
    </row>
    <row r="64" spans="1:32" ht="15">
      <c r="A64" s="2438"/>
      <c r="B64" s="2380"/>
      <c r="C64" s="2380"/>
      <c r="D64" s="2380"/>
      <c r="E64" s="2380"/>
      <c r="F64" s="2380"/>
      <c r="G64" s="2380"/>
      <c r="H64" s="2409"/>
      <c r="I64" s="2380"/>
      <c r="J64" s="2380"/>
      <c r="K64" s="2380"/>
      <c r="L64" s="2380"/>
      <c r="M64" s="2380"/>
      <c r="N64" s="2380"/>
      <c r="O64" s="2380"/>
      <c r="P64" s="2380"/>
      <c r="Q64" s="2380"/>
      <c r="R64" s="2380"/>
      <c r="S64" s="2380"/>
      <c r="T64" s="2380"/>
      <c r="U64" s="2419"/>
      <c r="V64" s="2419"/>
      <c r="W64" s="2419"/>
      <c r="X64" s="2419"/>
      <c r="Y64" s="634" t="s">
        <v>15</v>
      </c>
      <c r="Z64" s="2419"/>
      <c r="AA64" s="2419"/>
      <c r="AB64" s="2419"/>
    </row>
    <row r="65" spans="1:28" ht="15.75">
      <c r="A65" s="2414"/>
      <c r="B65" s="2415"/>
      <c r="C65" s="2408"/>
      <c r="D65" s="2417"/>
      <c r="E65" s="2417"/>
      <c r="F65" s="2417"/>
      <c r="G65" s="2417"/>
      <c r="H65" s="2416"/>
      <c r="I65" s="2417"/>
      <c r="J65" s="2417"/>
      <c r="K65" s="2417"/>
      <c r="L65" s="2417"/>
      <c r="M65" s="2380"/>
      <c r="N65" s="2380"/>
      <c r="O65" s="2380"/>
      <c r="P65" s="2380"/>
      <c r="Q65" s="2380"/>
      <c r="R65" s="2380"/>
      <c r="S65" s="2380"/>
      <c r="T65" s="2380"/>
      <c r="U65" s="2419"/>
      <c r="V65" s="2419"/>
      <c r="W65" s="2419"/>
      <c r="X65" s="2419"/>
      <c r="Y65" s="634" t="s">
        <v>15</v>
      </c>
      <c r="Z65" s="2419"/>
      <c r="AA65" s="2419"/>
      <c r="AB65" s="2419"/>
    </row>
    <row r="66" spans="1:28" ht="15">
      <c r="A66" s="1468"/>
      <c r="B66" s="1468"/>
      <c r="C66" s="1468"/>
      <c r="D66" s="2333"/>
      <c r="E66" s="1468"/>
      <c r="F66" s="1468"/>
      <c r="G66" s="1468"/>
      <c r="H66" s="2418"/>
      <c r="I66" s="1468"/>
      <c r="J66" s="1468"/>
      <c r="K66" s="1468"/>
      <c r="L66" s="2333"/>
      <c r="M66" s="2380"/>
      <c r="N66" s="2380"/>
      <c r="O66" s="2380"/>
      <c r="P66" s="2380"/>
      <c r="Q66" s="2380"/>
      <c r="R66" s="2380"/>
      <c r="S66" s="2380"/>
      <c r="T66" s="2380"/>
      <c r="U66" s="2419"/>
      <c r="V66" s="2419"/>
      <c r="W66" s="2419"/>
      <c r="X66" s="2419"/>
      <c r="Y66" s="2419"/>
      <c r="Z66" s="2419"/>
      <c r="AA66" s="2419"/>
      <c r="AB66" s="2419"/>
    </row>
    <row r="67" spans="1:28" ht="15">
      <c r="A67" s="1468"/>
      <c r="B67" s="1468"/>
      <c r="C67" s="1468"/>
      <c r="D67" s="2333"/>
      <c r="E67" s="1468"/>
      <c r="F67" s="1468"/>
      <c r="G67" s="1468"/>
      <c r="H67" s="2418"/>
      <c r="I67" s="1468"/>
      <c r="J67" s="1468"/>
      <c r="K67" s="1468"/>
      <c r="L67" s="2333"/>
      <c r="M67" s="2380"/>
      <c r="N67" s="2380"/>
      <c r="O67" s="2380"/>
      <c r="P67" s="2380"/>
      <c r="Q67" s="2380"/>
      <c r="R67" s="2380"/>
      <c r="S67" s="2380"/>
      <c r="T67" s="2380"/>
      <c r="U67" s="2419"/>
      <c r="V67" s="2419"/>
      <c r="W67" s="2419"/>
      <c r="X67" s="2419"/>
      <c r="Y67" s="2419"/>
      <c r="Z67" s="2419"/>
      <c r="AA67" s="2419"/>
      <c r="AB67" s="2419"/>
    </row>
    <row r="68" spans="1:28" ht="15">
      <c r="A68" s="1468"/>
      <c r="B68" s="1468"/>
      <c r="C68" s="1468"/>
      <c r="D68" s="2333"/>
      <c r="E68" s="1468"/>
      <c r="F68" s="1468"/>
      <c r="G68" s="1468"/>
      <c r="H68" s="2418"/>
      <c r="I68" s="1468"/>
      <c r="J68" s="1468"/>
      <c r="K68" s="1468"/>
      <c r="L68" s="2333"/>
      <c r="M68" s="2380"/>
      <c r="N68" s="2380"/>
      <c r="O68" s="2380"/>
      <c r="P68" s="2380"/>
      <c r="Q68" s="2380"/>
      <c r="R68" s="2380"/>
      <c r="S68" s="2380"/>
      <c r="T68" s="2380"/>
      <c r="U68" s="2419"/>
      <c r="V68" s="2419"/>
      <c r="W68" s="2419"/>
      <c r="X68" s="2419"/>
      <c r="Y68" s="2419"/>
      <c r="Z68" s="2419"/>
      <c r="AA68" s="2419"/>
      <c r="AB68" s="2419"/>
    </row>
    <row r="69" spans="1:28" ht="19.5" customHeight="1">
      <c r="A69" s="2318"/>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20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workbookViewId="0"/>
  </sheetViews>
  <sheetFormatPr defaultColWidth="8.77734375" defaultRowHeight="15.75"/>
  <cols>
    <col min="1" max="1" width="3.5546875" style="1537" customWidth="1"/>
    <col min="2" max="2" width="8.44140625" style="1538" customWidth="1"/>
    <col min="3" max="3" width="12.21875" style="1538" customWidth="1"/>
    <col min="4" max="4" width="15" style="1539" customWidth="1"/>
    <col min="5" max="5" width="15.21875" style="1536" customWidth="1"/>
    <col min="6" max="6" width="10.44140625" style="1537" customWidth="1"/>
    <col min="7" max="7" width="10.21875" style="1537" customWidth="1"/>
    <col min="8" max="8" width="9.109375" style="1607" customWidth="1"/>
    <col min="9" max="9" width="5.5546875" style="1535" customWidth="1"/>
    <col min="10" max="10" width="9.21875" style="1535" customWidth="1"/>
    <col min="11" max="11" width="8.21875" style="1536" customWidth="1"/>
    <col min="12" max="12" width="16" style="1536" customWidth="1"/>
    <col min="13" max="13" width="12.21875" style="1536" customWidth="1"/>
    <col min="14" max="14" width="5.44140625" style="1536" customWidth="1"/>
    <col min="15" max="15" width="12.44140625" style="1609" customWidth="1"/>
    <col min="16" max="16" width="4.77734375" style="1609" customWidth="1"/>
    <col min="17" max="17" width="8" style="1609" customWidth="1"/>
    <col min="18" max="18" width="3.77734375" style="1609" customWidth="1"/>
    <col min="19" max="19" width="13.21875" style="1609" customWidth="1"/>
    <col min="20" max="20" width="12.109375" style="1609" customWidth="1"/>
    <col min="21" max="21" width="12.21875" style="1609" customWidth="1"/>
    <col min="22" max="16384" width="8.77734375" style="1609"/>
  </cols>
  <sheetData>
    <row r="1" spans="1:20">
      <c r="A1" s="657" t="s">
        <v>980</v>
      </c>
    </row>
    <row r="2" spans="1:20">
      <c r="A2" s="555" t="s">
        <v>793</v>
      </c>
      <c r="B2" s="556"/>
      <c r="C2" s="557"/>
      <c r="D2" s="558"/>
      <c r="E2" s="1607"/>
      <c r="F2" s="1607"/>
      <c r="G2" s="1607"/>
      <c r="I2" s="559"/>
      <c r="J2" s="559"/>
      <c r="K2" s="1607"/>
      <c r="L2" s="1607"/>
      <c r="M2" s="1607"/>
      <c r="N2" s="560"/>
      <c r="O2" s="903" t="s">
        <v>975</v>
      </c>
      <c r="Q2" s="562"/>
      <c r="R2" s="562"/>
      <c r="S2" s="563"/>
      <c r="T2" s="564"/>
    </row>
    <row r="3" spans="1:20" ht="12.75" customHeight="1">
      <c r="A3" s="556"/>
      <c r="B3" s="556"/>
      <c r="C3" s="557"/>
      <c r="D3" s="558"/>
      <c r="E3" s="1607"/>
      <c r="F3" s="1607"/>
      <c r="G3" s="1607"/>
      <c r="I3" s="1538"/>
      <c r="J3" s="1538"/>
      <c r="K3" s="1539"/>
      <c r="M3" s="1537"/>
      <c r="N3" s="1537"/>
      <c r="O3" s="904" t="s">
        <v>1470</v>
      </c>
      <c r="T3" s="564"/>
    </row>
    <row r="4" spans="1:20" ht="9" customHeight="1">
      <c r="B4" s="1681"/>
      <c r="C4" s="1681"/>
      <c r="D4" s="1676"/>
      <c r="E4" s="1677"/>
      <c r="F4" s="1678"/>
      <c r="G4" s="1678"/>
      <c r="H4" s="572"/>
      <c r="I4" s="681"/>
      <c r="J4" s="681"/>
      <c r="K4" s="1677"/>
      <c r="L4" s="1677"/>
      <c r="M4" s="1677"/>
      <c r="N4" s="1677"/>
      <c r="O4" s="1683"/>
      <c r="P4" s="1683"/>
      <c r="T4" s="564"/>
    </row>
    <row r="5" spans="1:20" ht="13.5" customHeight="1">
      <c r="T5" s="564"/>
    </row>
    <row r="6" spans="1:20" ht="13.5" customHeight="1">
      <c r="A6" s="565" t="s">
        <v>794</v>
      </c>
      <c r="B6" s="1608" t="s">
        <v>795</v>
      </c>
      <c r="C6" s="1608"/>
      <c r="D6" s="1608"/>
      <c r="E6" s="572"/>
      <c r="F6" s="572"/>
      <c r="G6" s="572"/>
      <c r="H6" s="1537"/>
      <c r="I6" s="1708" t="s">
        <v>1292</v>
      </c>
    </row>
    <row r="7" spans="1:20" ht="13.5" customHeight="1">
      <c r="A7" s="565"/>
      <c r="B7" s="1608" t="s">
        <v>796</v>
      </c>
      <c r="C7" s="1608"/>
      <c r="D7" s="1608"/>
      <c r="E7" s="572"/>
      <c r="F7" s="572"/>
      <c r="G7" s="572"/>
      <c r="H7" s="572"/>
      <c r="I7" s="1608" t="s">
        <v>1506</v>
      </c>
    </row>
    <row r="8" spans="1:20" ht="13.15" customHeight="1">
      <c r="A8" s="565"/>
      <c r="B8" s="1608" t="s">
        <v>797</v>
      </c>
      <c r="C8" s="1608"/>
      <c r="D8" s="1608"/>
      <c r="E8" s="572"/>
      <c r="F8" s="572"/>
      <c r="G8" s="572"/>
      <c r="H8" s="1537"/>
      <c r="I8" s="1608" t="s">
        <v>1462</v>
      </c>
    </row>
    <row r="9" spans="1:20" ht="12.75" customHeight="1">
      <c r="A9" s="565"/>
      <c r="B9" s="1608" t="s">
        <v>798</v>
      </c>
      <c r="C9" s="1608"/>
      <c r="D9" s="1608"/>
      <c r="E9" s="572"/>
      <c r="F9" s="572"/>
      <c r="G9" s="572"/>
      <c r="H9" s="1537"/>
      <c r="I9" s="2183" t="s">
        <v>1493</v>
      </c>
    </row>
    <row r="10" spans="1:20" ht="12.75" customHeight="1">
      <c r="B10" s="1681"/>
      <c r="C10" s="1681"/>
      <c r="D10" s="1676"/>
      <c r="E10" s="1677"/>
      <c r="F10" s="1685"/>
      <c r="G10" s="1678"/>
      <c r="H10" s="1537"/>
      <c r="I10" s="1538"/>
    </row>
    <row r="11" spans="1:20" ht="12.75" customHeight="1">
      <c r="A11" s="1607"/>
      <c r="B11" s="1608"/>
      <c r="C11" s="1684" t="s">
        <v>846</v>
      </c>
      <c r="D11" s="1679"/>
      <c r="E11" s="572"/>
      <c r="F11" s="1679">
        <v>305.8</v>
      </c>
      <c r="G11" s="572" t="s">
        <v>799</v>
      </c>
      <c r="H11" s="1537"/>
      <c r="I11" s="1608" t="s">
        <v>988</v>
      </c>
      <c r="K11" s="681"/>
      <c r="L11" s="1676"/>
      <c r="M11" s="1677"/>
      <c r="N11" s="1678"/>
    </row>
    <row r="12" spans="1:20" ht="12.75" customHeight="1">
      <c r="A12" s="1607"/>
      <c r="B12" s="1684"/>
      <c r="C12" s="1684" t="s">
        <v>1007</v>
      </c>
      <c r="D12" s="1686"/>
      <c r="E12" s="572"/>
      <c r="F12" s="3177">
        <v>21.8</v>
      </c>
      <c r="G12" s="572"/>
      <c r="H12" s="1537"/>
      <c r="I12" s="1607"/>
      <c r="J12" s="681"/>
      <c r="K12" s="681"/>
      <c r="L12" s="1676"/>
      <c r="M12" s="1677"/>
      <c r="N12" s="1678"/>
    </row>
    <row r="13" spans="1:20" ht="12.75" customHeight="1">
      <c r="A13" s="1607"/>
      <c r="B13" s="1684"/>
      <c r="C13" s="1684" t="s">
        <v>800</v>
      </c>
      <c r="D13" s="1686"/>
      <c r="E13" s="572"/>
      <c r="F13" s="3178">
        <v>220</v>
      </c>
      <c r="G13" s="572"/>
      <c r="H13" s="1537"/>
      <c r="I13" s="1607"/>
      <c r="J13" s="559" t="s">
        <v>1494</v>
      </c>
      <c r="O13" s="3779">
        <v>101.3</v>
      </c>
      <c r="P13" s="572" t="s">
        <v>799</v>
      </c>
      <c r="T13" s="1607"/>
    </row>
    <row r="14" spans="1:20" ht="12.75" customHeight="1">
      <c r="A14" s="1607"/>
      <c r="B14" s="1684"/>
      <c r="C14" s="1684" t="s">
        <v>801</v>
      </c>
      <c r="D14" s="1686"/>
      <c r="E14" s="572"/>
      <c r="F14" s="3178">
        <v>12.9</v>
      </c>
      <c r="G14" s="1678"/>
      <c r="H14" s="1678"/>
      <c r="J14" s="1684" t="s">
        <v>1459</v>
      </c>
      <c r="O14" s="1682">
        <v>8.1999999999999993</v>
      </c>
      <c r="T14" s="566"/>
    </row>
    <row r="15" spans="1:20" ht="12.75" customHeight="1">
      <c r="A15" s="1607"/>
      <c r="B15" s="1684"/>
      <c r="C15" s="1684" t="s">
        <v>1008</v>
      </c>
      <c r="D15" s="1686"/>
      <c r="E15" s="572"/>
      <c r="F15" s="3178">
        <v>501.2</v>
      </c>
      <c r="G15" s="572"/>
      <c r="J15" s="1684" t="s">
        <v>1458</v>
      </c>
      <c r="O15" s="1682">
        <v>1</v>
      </c>
      <c r="T15" s="566"/>
    </row>
    <row r="16" spans="1:20" ht="12.75" customHeight="1">
      <c r="A16" s="1607"/>
      <c r="B16" s="1684"/>
      <c r="C16" s="1684" t="s">
        <v>847</v>
      </c>
      <c r="D16" s="1686"/>
      <c r="E16" s="572"/>
      <c r="F16" s="3177">
        <v>348.3</v>
      </c>
      <c r="G16" s="572"/>
      <c r="J16" s="1684" t="s">
        <v>1350</v>
      </c>
      <c r="O16" s="1682">
        <v>22.9</v>
      </c>
      <c r="R16" s="1607"/>
    </row>
    <row r="17" spans="1:16" ht="12.75" customHeight="1">
      <c r="A17" s="1607"/>
      <c r="B17" s="1684"/>
      <c r="C17" s="1684" t="s">
        <v>802</v>
      </c>
      <c r="D17" s="1687"/>
      <c r="E17" s="572"/>
      <c r="F17" s="3177">
        <v>562.70000000000005</v>
      </c>
      <c r="G17" s="572"/>
      <c r="J17" s="2184" t="s">
        <v>1024</v>
      </c>
      <c r="O17" s="1682">
        <v>5.0999999999999996</v>
      </c>
    </row>
    <row r="18" spans="1:16" ht="12.75" customHeight="1">
      <c r="A18" s="1607"/>
      <c r="B18" s="1684"/>
      <c r="C18" s="1684" t="s">
        <v>1275</v>
      </c>
      <c r="D18" s="1687"/>
      <c r="E18" s="572"/>
      <c r="F18" s="3178">
        <v>51.5</v>
      </c>
      <c r="G18" s="572"/>
      <c r="J18" s="2184" t="s">
        <v>1460</v>
      </c>
      <c r="O18" s="1682">
        <v>4.0999999999999996</v>
      </c>
    </row>
    <row r="19" spans="1:16" ht="12.75" customHeight="1">
      <c r="A19" s="1678"/>
      <c r="B19" s="1681"/>
      <c r="C19" s="1681"/>
      <c r="D19" s="1676"/>
      <c r="E19" s="1677"/>
      <c r="F19" s="1678"/>
      <c r="G19" s="1678"/>
    </row>
    <row r="20" spans="1:16" ht="13.15" customHeight="1">
      <c r="A20" s="1690" t="s">
        <v>803</v>
      </c>
      <c r="B20" s="1608" t="s">
        <v>989</v>
      </c>
      <c r="C20" s="1608"/>
      <c r="D20" s="1608"/>
      <c r="E20" s="572"/>
      <c r="F20" s="572"/>
      <c r="G20" s="572"/>
      <c r="I20" s="1708" t="s">
        <v>1192</v>
      </c>
      <c r="J20" s="1708"/>
      <c r="K20" s="572"/>
      <c r="L20" s="572"/>
      <c r="M20" s="572"/>
      <c r="N20" s="572"/>
    </row>
    <row r="21" spans="1:16" ht="12.75" customHeight="1">
      <c r="A21" s="1690"/>
      <c r="B21" s="1608" t="s">
        <v>1447</v>
      </c>
      <c r="C21" s="1608"/>
      <c r="D21" s="1608"/>
      <c r="E21" s="572"/>
      <c r="F21" s="572"/>
      <c r="G21" s="572"/>
      <c r="I21" s="681"/>
      <c r="J21" s="681"/>
      <c r="K21" s="1677"/>
      <c r="L21" s="1677"/>
      <c r="M21" s="1677"/>
      <c r="N21" s="1677"/>
    </row>
    <row r="22" spans="1:16" ht="13.9" customHeight="1">
      <c r="A22" s="1690"/>
      <c r="B22" s="1608"/>
      <c r="C22" s="1608"/>
      <c r="D22" s="1608"/>
      <c r="E22" s="572"/>
      <c r="F22" s="572"/>
      <c r="G22" s="572"/>
      <c r="I22" s="1684"/>
      <c r="J22" s="1684" t="s">
        <v>805</v>
      </c>
      <c r="K22" s="1679"/>
      <c r="L22" s="572"/>
      <c r="O22" s="1709">
        <v>9997.7999999999993</v>
      </c>
      <c r="P22" s="572" t="s">
        <v>799</v>
      </c>
    </row>
    <row r="23" spans="1:16" ht="12.75" customHeight="1">
      <c r="A23" s="572"/>
      <c r="B23" s="1689" t="s">
        <v>1293</v>
      </c>
      <c r="C23" s="1689"/>
      <c r="D23" s="1608"/>
      <c r="E23" s="572"/>
      <c r="F23" s="572"/>
      <c r="G23" s="572"/>
      <c r="I23" s="1684"/>
      <c r="J23" s="1684" t="s">
        <v>806</v>
      </c>
      <c r="K23" s="1679"/>
      <c r="L23" s="572"/>
      <c r="O23" s="1680">
        <v>1197.2</v>
      </c>
      <c r="P23" s="1683"/>
    </row>
    <row r="24" spans="1:16" ht="12.75" customHeight="1">
      <c r="A24" s="1678"/>
      <c r="B24" s="1681"/>
      <c r="C24" s="1681"/>
      <c r="D24" s="1676"/>
      <c r="E24" s="1677"/>
      <c r="F24" s="1678"/>
      <c r="G24" s="572"/>
      <c r="I24" s="1684"/>
      <c r="J24" s="1684" t="s">
        <v>807</v>
      </c>
      <c r="K24" s="1679"/>
      <c r="L24" s="572"/>
      <c r="O24" s="1680">
        <v>894.6</v>
      </c>
      <c r="P24" s="1683"/>
    </row>
    <row r="25" spans="1:16" ht="13.35" customHeight="1">
      <c r="A25" s="1678"/>
      <c r="B25" s="1681"/>
      <c r="C25" s="1684" t="s">
        <v>1246</v>
      </c>
      <c r="D25" s="1676"/>
      <c r="E25" s="1677"/>
      <c r="F25" s="1709">
        <v>1250.7</v>
      </c>
      <c r="G25" s="572" t="s">
        <v>799</v>
      </c>
      <c r="I25" s="681"/>
      <c r="J25" s="1684" t="s">
        <v>808</v>
      </c>
      <c r="K25" s="1679"/>
      <c r="L25" s="572"/>
      <c r="O25" s="1680">
        <v>356</v>
      </c>
      <c r="P25" s="1683"/>
    </row>
    <row r="26" spans="1:16" ht="12.75" customHeight="1">
      <c r="A26" s="1678"/>
      <c r="B26" s="1681"/>
      <c r="C26" s="1684" t="s">
        <v>804</v>
      </c>
      <c r="D26" s="1679"/>
      <c r="E26" s="572"/>
      <c r="F26" s="1680">
        <v>270.5</v>
      </c>
      <c r="G26" s="1683"/>
      <c r="J26" s="559" t="s">
        <v>1345</v>
      </c>
      <c r="K26" s="2242"/>
      <c r="L26" s="1607"/>
      <c r="O26" s="1682">
        <v>378.3</v>
      </c>
    </row>
    <row r="27" spans="1:16" ht="12.75" customHeight="1">
      <c r="A27" s="1678"/>
      <c r="B27" s="1681"/>
      <c r="C27" s="1684" t="s">
        <v>1227</v>
      </c>
      <c r="D27" s="1679"/>
      <c r="E27" s="572"/>
      <c r="F27" s="1680">
        <v>11.3</v>
      </c>
      <c r="G27" s="572"/>
      <c r="I27" s="681"/>
      <c r="J27" s="1684"/>
      <c r="K27" s="1677"/>
      <c r="L27" s="1677"/>
      <c r="M27" s="1677"/>
      <c r="N27" s="1677"/>
    </row>
    <row r="28" spans="1:16" ht="12.75" customHeight="1">
      <c r="C28" s="1684" t="s">
        <v>1443</v>
      </c>
      <c r="D28" s="1679"/>
      <c r="E28" s="572"/>
      <c r="F28" s="1680">
        <v>8</v>
      </c>
      <c r="I28" s="572" t="s">
        <v>1005</v>
      </c>
      <c r="J28" s="1684"/>
      <c r="K28" s="572"/>
      <c r="L28" s="572"/>
      <c r="M28" s="572"/>
      <c r="N28" s="572"/>
    </row>
    <row r="29" spans="1:16" ht="13.15" customHeight="1">
      <c r="C29" s="1684" t="s">
        <v>1441</v>
      </c>
      <c r="D29" s="1679"/>
      <c r="E29" s="572"/>
      <c r="F29" s="1680">
        <v>8.1</v>
      </c>
      <c r="I29" s="572" t="s">
        <v>1453</v>
      </c>
      <c r="J29" s="1684"/>
      <c r="K29" s="572"/>
      <c r="L29" s="572"/>
      <c r="M29" s="572"/>
      <c r="N29" s="572"/>
    </row>
    <row r="30" spans="1:16" ht="12.75" customHeight="1">
      <c r="C30" s="1684" t="s">
        <v>1348</v>
      </c>
      <c r="D30" s="1679"/>
      <c r="E30" s="572"/>
      <c r="F30" s="1680">
        <v>11.5</v>
      </c>
      <c r="I30" s="572" t="s">
        <v>1495</v>
      </c>
      <c r="J30" s="1684"/>
      <c r="K30" s="572"/>
      <c r="L30" s="572"/>
      <c r="M30" s="572"/>
      <c r="N30" s="572"/>
    </row>
    <row r="31" spans="1:16" ht="12.75" customHeight="1">
      <c r="C31" s="1684" t="s">
        <v>1442</v>
      </c>
      <c r="D31" s="1679"/>
      <c r="E31" s="572"/>
      <c r="F31" s="1680">
        <v>65.3</v>
      </c>
      <c r="I31" s="681"/>
      <c r="J31" s="681"/>
      <c r="K31" s="1677"/>
      <c r="L31" s="1677"/>
      <c r="M31" s="1677"/>
      <c r="N31" s="1677"/>
    </row>
    <row r="32" spans="1:16" ht="12.75" customHeight="1">
      <c r="C32" s="1684" t="s">
        <v>1454</v>
      </c>
      <c r="D32" s="1679"/>
      <c r="E32" s="572"/>
      <c r="F32" s="1680">
        <v>16.5</v>
      </c>
      <c r="I32" s="1708" t="s">
        <v>1491</v>
      </c>
      <c r="J32" s="1684"/>
      <c r="K32" s="572"/>
      <c r="L32" s="572"/>
      <c r="M32" s="572"/>
      <c r="N32" s="572"/>
    </row>
    <row r="33" spans="1:20" ht="12.75" customHeight="1">
      <c r="C33" s="1684" t="s">
        <v>1278</v>
      </c>
      <c r="D33" s="1679"/>
      <c r="E33" s="572"/>
      <c r="F33" s="1680">
        <v>500</v>
      </c>
      <c r="I33" s="1608" t="s">
        <v>1492</v>
      </c>
      <c r="J33" s="1684"/>
      <c r="K33" s="572"/>
      <c r="L33" s="572"/>
      <c r="M33" s="572"/>
      <c r="N33" s="572"/>
    </row>
    <row r="34" spans="1:20" ht="13.15" customHeight="1">
      <c r="C34" s="1684" t="s">
        <v>1455</v>
      </c>
      <c r="D34" s="1679"/>
      <c r="E34" s="572"/>
      <c r="F34" s="1680">
        <v>2.2000000000000002</v>
      </c>
      <c r="G34" s="1678"/>
    </row>
    <row r="35" spans="1:20" ht="12.75" customHeight="1">
      <c r="C35" s="1684" t="s">
        <v>1456</v>
      </c>
      <c r="D35" s="1679"/>
      <c r="E35" s="572"/>
      <c r="F35" s="1680">
        <v>12.2</v>
      </c>
    </row>
    <row r="36" spans="1:20" ht="12.75" customHeight="1">
      <c r="C36" s="1684" t="s">
        <v>1457</v>
      </c>
      <c r="D36" s="1679"/>
      <c r="E36" s="572"/>
      <c r="F36" s="1680">
        <v>1.3</v>
      </c>
      <c r="H36" s="1688" t="s">
        <v>810</v>
      </c>
      <c r="I36" s="572" t="s">
        <v>1340</v>
      </c>
      <c r="J36" s="559"/>
      <c r="O36" s="1682"/>
      <c r="R36" s="1607"/>
    </row>
    <row r="37" spans="1:20" ht="12.75" customHeight="1">
      <c r="B37" s="1538" t="s">
        <v>15</v>
      </c>
      <c r="C37" s="1684" t="s">
        <v>809</v>
      </c>
      <c r="D37" s="1679"/>
      <c r="E37" s="572"/>
      <c r="F37" s="1680">
        <v>97.7</v>
      </c>
      <c r="H37" s="572"/>
      <c r="I37" s="572" t="s">
        <v>1343</v>
      </c>
      <c r="J37" s="559"/>
      <c r="O37" s="1682"/>
      <c r="R37" s="566"/>
    </row>
    <row r="38" spans="1:20" ht="12.75" customHeight="1">
      <c r="B38" s="1684"/>
      <c r="C38" s="1684" t="s">
        <v>1347</v>
      </c>
      <c r="D38" s="1679"/>
      <c r="E38" s="572"/>
      <c r="F38" s="1680">
        <v>25.7</v>
      </c>
      <c r="H38" s="1690" t="s">
        <v>15</v>
      </c>
      <c r="I38" s="1608" t="s">
        <v>1341</v>
      </c>
      <c r="J38" s="559"/>
      <c r="O38" s="1682"/>
      <c r="R38" s="566"/>
      <c r="T38" s="675"/>
    </row>
    <row r="39" spans="1:20" ht="12.75" customHeight="1">
      <c r="A39" s="572"/>
      <c r="C39" s="1684" t="s">
        <v>1444</v>
      </c>
      <c r="D39" s="1679"/>
      <c r="E39" s="572"/>
      <c r="F39" s="1680">
        <v>3.2</v>
      </c>
      <c r="H39" s="572"/>
      <c r="I39" s="1608" t="s">
        <v>1342</v>
      </c>
      <c r="J39" s="1684"/>
      <c r="L39" s="1676"/>
      <c r="M39" s="1677"/>
      <c r="O39" s="1682"/>
      <c r="T39" s="675"/>
    </row>
    <row r="40" spans="1:20" ht="13.15" customHeight="1">
      <c r="C40" s="1684" t="s">
        <v>947</v>
      </c>
      <c r="D40" s="1679"/>
      <c r="E40" s="572"/>
      <c r="F40" s="1680">
        <v>945.4</v>
      </c>
      <c r="G40" s="1678"/>
      <c r="H40" s="1683"/>
      <c r="I40" s="1608" t="s">
        <v>1410</v>
      </c>
      <c r="J40" s="1684"/>
      <c r="L40" s="1676"/>
      <c r="M40" s="1677"/>
      <c r="O40" s="1682"/>
      <c r="T40" s="675"/>
    </row>
    <row r="41" spans="1:20" ht="12.75" customHeight="1">
      <c r="C41" s="1684"/>
      <c r="D41" s="1679"/>
      <c r="E41" s="572"/>
      <c r="F41" s="1680"/>
      <c r="G41" s="1678"/>
      <c r="J41" s="1684"/>
      <c r="L41" s="1676"/>
      <c r="M41" s="1677"/>
      <c r="O41" s="1682"/>
      <c r="P41" s="1536"/>
      <c r="T41" s="675"/>
    </row>
    <row r="42" spans="1:20" ht="12.75" customHeight="1">
      <c r="B42" s="1684" t="s">
        <v>811</v>
      </c>
      <c r="C42" s="1684"/>
      <c r="D42" s="1679"/>
      <c r="E42" s="572"/>
      <c r="F42" s="1680"/>
      <c r="J42" s="1684"/>
      <c r="L42" s="1676"/>
      <c r="M42" s="1677"/>
      <c r="O42" s="1682"/>
      <c r="T42" s="675"/>
    </row>
    <row r="43" spans="1:20" ht="12.75" customHeight="1">
      <c r="B43" s="572" t="s">
        <v>1489</v>
      </c>
      <c r="C43" s="1684"/>
      <c r="D43" s="1679"/>
      <c r="E43" s="572"/>
      <c r="F43" s="1680"/>
      <c r="H43" s="1688" t="s">
        <v>1339</v>
      </c>
      <c r="I43" s="3738" t="s">
        <v>1431</v>
      </c>
      <c r="J43" s="2184"/>
      <c r="O43" s="1682"/>
      <c r="T43" s="675"/>
    </row>
    <row r="44" spans="1:20" ht="12.75" customHeight="1">
      <c r="B44" s="572" t="s">
        <v>1490</v>
      </c>
      <c r="C44" s="1684"/>
      <c r="D44" s="1679"/>
      <c r="E44" s="572"/>
      <c r="F44" s="1680"/>
      <c r="G44" s="1536"/>
      <c r="H44" s="572"/>
      <c r="I44" s="1607" t="s">
        <v>1450</v>
      </c>
      <c r="J44" s="2184"/>
      <c r="O44" s="1682"/>
      <c r="P44" s="1678"/>
      <c r="T44" s="675"/>
    </row>
    <row r="45" spans="1:20" ht="12.75" customHeight="1">
      <c r="A45" s="1678"/>
      <c r="B45" s="572"/>
      <c r="G45" s="1536"/>
      <c r="H45" s="1690" t="s">
        <v>15</v>
      </c>
      <c r="I45" s="1607" t="s">
        <v>1451</v>
      </c>
      <c r="J45" s="2184"/>
      <c r="O45" s="1682"/>
      <c r="T45" s="675"/>
    </row>
    <row r="46" spans="1:20" ht="12.75" customHeight="1">
      <c r="A46" s="572"/>
      <c r="C46" s="1684"/>
      <c r="D46" s="1679"/>
      <c r="E46" s="572"/>
      <c r="F46" s="1680"/>
      <c r="G46" s="1536"/>
      <c r="H46" s="572"/>
      <c r="I46" s="3761" t="s">
        <v>1463</v>
      </c>
      <c r="J46" s="2184"/>
      <c r="O46" s="1682"/>
      <c r="T46" s="675"/>
    </row>
    <row r="47" spans="1:20" ht="13.5" customHeight="1">
      <c r="B47" s="1608" t="s">
        <v>990</v>
      </c>
      <c r="C47" s="1535"/>
      <c r="D47" s="1536"/>
      <c r="F47" s="1536"/>
      <c r="G47" s="1536"/>
      <c r="I47" s="3761" t="s">
        <v>1452</v>
      </c>
    </row>
    <row r="48" spans="1:20" ht="13.5" customHeight="1">
      <c r="A48" s="572"/>
      <c r="B48" s="1608" t="s">
        <v>991</v>
      </c>
      <c r="C48" s="1535"/>
      <c r="D48" s="1536"/>
      <c r="F48" s="1536"/>
      <c r="G48" s="1536"/>
      <c r="J48" s="559"/>
      <c r="O48" s="1682"/>
    </row>
    <row r="49" spans="1:21" ht="12.75" customHeight="1">
      <c r="B49" s="1608" t="s">
        <v>1482</v>
      </c>
      <c r="C49" s="1535"/>
      <c r="D49" s="1536"/>
      <c r="F49" s="1536"/>
      <c r="G49" s="1536"/>
      <c r="J49" s="559"/>
      <c r="O49" s="1682"/>
    </row>
    <row r="50" spans="1:21" ht="12.75" customHeight="1">
      <c r="A50" s="1678"/>
      <c r="B50" s="2182" t="s">
        <v>1483</v>
      </c>
      <c r="C50" s="1535"/>
      <c r="D50" s="1536"/>
      <c r="F50" s="1536"/>
      <c r="H50" s="1690" t="s">
        <v>1429</v>
      </c>
      <c r="I50" s="1607" t="s">
        <v>1400</v>
      </c>
      <c r="J50" s="559"/>
      <c r="O50" s="1682"/>
    </row>
    <row r="51" spans="1:21" ht="13.15" customHeight="1">
      <c r="A51" s="572"/>
      <c r="I51" s="1607" t="s">
        <v>1407</v>
      </c>
      <c r="J51" s="1684"/>
      <c r="L51" s="1676"/>
      <c r="M51" s="1677"/>
      <c r="O51" s="1682"/>
    </row>
    <row r="52" spans="1:21" ht="12.75" customHeight="1">
      <c r="B52" s="2182"/>
      <c r="I52" s="559" t="s">
        <v>1408</v>
      </c>
      <c r="J52" s="2184"/>
      <c r="O52" s="1682"/>
      <c r="S52" s="557"/>
      <c r="T52" s="675"/>
      <c r="U52" s="675"/>
    </row>
    <row r="53" spans="1:21" ht="12.75" customHeight="1">
      <c r="I53" s="559" t="s">
        <v>1409</v>
      </c>
      <c r="J53" s="2184"/>
      <c r="O53" s="1682"/>
      <c r="S53" s="569"/>
      <c r="T53" s="675"/>
      <c r="U53" s="675"/>
    </row>
    <row r="54" spans="1:21" ht="12.75" customHeight="1">
      <c r="I54" s="559" t="s">
        <v>1410</v>
      </c>
      <c r="L54" s="1676"/>
      <c r="M54" s="1677"/>
      <c r="O54" s="1682" t="s">
        <v>15</v>
      </c>
      <c r="S54" s="569"/>
      <c r="T54" s="675"/>
      <c r="U54" s="675"/>
    </row>
    <row r="55" spans="1:21" ht="12.75" customHeight="1">
      <c r="J55" s="2184"/>
      <c r="O55" s="1682"/>
      <c r="S55" s="570"/>
      <c r="T55" s="675"/>
      <c r="U55" s="675"/>
    </row>
    <row r="56" spans="1:21" ht="12.75" customHeight="1">
      <c r="J56" s="2184"/>
      <c r="O56" s="1682"/>
      <c r="R56" s="561"/>
    </row>
    <row r="57" spans="1:21" ht="12.75" customHeight="1">
      <c r="J57" s="2184"/>
      <c r="O57" s="1682"/>
      <c r="R57" s="561"/>
    </row>
    <row r="58" spans="1:21" ht="12.75" customHeight="1">
      <c r="J58" s="2184"/>
      <c r="O58" s="1682"/>
      <c r="R58" s="1540"/>
    </row>
    <row r="59" spans="1:21" ht="12.75" customHeight="1">
      <c r="J59" s="2184"/>
      <c r="O59" s="1682"/>
      <c r="R59" s="1540"/>
    </row>
    <row r="60" spans="1:21" ht="12.75" customHeight="1">
      <c r="R60" s="1540"/>
    </row>
    <row r="61" spans="1:21" ht="12.75" customHeight="1">
      <c r="R61" s="1540"/>
    </row>
    <row r="62" spans="1:21" ht="12.75" customHeight="1">
      <c r="I62" s="572"/>
      <c r="J62" s="1609"/>
      <c r="K62" s="1609"/>
      <c r="L62" s="1609"/>
      <c r="M62" s="1609"/>
      <c r="N62" s="1609"/>
      <c r="R62" s="1540"/>
    </row>
    <row r="63" spans="1:21" ht="12.75" customHeight="1">
      <c r="I63" s="1609"/>
      <c r="J63" s="1609"/>
      <c r="K63" s="1609"/>
      <c r="L63" s="1609"/>
      <c r="M63" s="1609"/>
      <c r="N63" s="1609"/>
      <c r="R63" s="1540"/>
    </row>
    <row r="64" spans="1:21" ht="12.75" customHeight="1">
      <c r="J64" s="1607"/>
      <c r="K64" s="1607"/>
      <c r="L64" s="1607"/>
      <c r="M64" s="1607"/>
      <c r="N64" s="1607"/>
      <c r="O64" s="1607"/>
      <c r="R64" s="1540"/>
    </row>
    <row r="65" spans="2:19" ht="12.75" customHeight="1">
      <c r="J65" s="1607"/>
      <c r="K65" s="1607"/>
      <c r="L65" s="1607"/>
      <c r="M65" s="1607"/>
      <c r="N65" s="1607"/>
      <c r="O65" s="1607"/>
      <c r="R65" s="1540"/>
    </row>
    <row r="66" spans="2:19" ht="12.75" customHeight="1">
      <c r="J66" s="1607"/>
      <c r="K66" s="1607"/>
      <c r="L66" s="1607"/>
      <c r="M66" s="1607"/>
      <c r="N66" s="1607"/>
      <c r="O66" s="1607"/>
      <c r="R66" s="1540"/>
    </row>
    <row r="67" spans="2:19" ht="12.75" customHeight="1">
      <c r="J67" s="559"/>
      <c r="K67" s="1607"/>
      <c r="L67" s="1607"/>
      <c r="M67" s="1607"/>
      <c r="N67" s="1607"/>
      <c r="O67" s="1607"/>
      <c r="R67" s="1540"/>
    </row>
    <row r="68" spans="2:19" ht="12.75" customHeight="1">
      <c r="J68" s="559"/>
      <c r="K68" s="1607"/>
      <c r="L68" s="1607"/>
      <c r="M68" s="1607"/>
      <c r="N68" s="1607"/>
      <c r="O68" s="1607"/>
      <c r="R68" s="1540"/>
    </row>
    <row r="69" spans="2:19" ht="12.75" customHeight="1">
      <c r="I69" s="559"/>
      <c r="J69" s="1607"/>
      <c r="K69" s="1607"/>
      <c r="L69" s="1607"/>
      <c r="M69" s="1607"/>
      <c r="N69" s="1607"/>
      <c r="O69" s="1607"/>
      <c r="P69" s="1683"/>
      <c r="R69" s="1540"/>
    </row>
    <row r="70" spans="2:19" ht="12.75" customHeight="1">
      <c r="I70" s="559"/>
      <c r="J70" s="1607"/>
      <c r="K70" s="1607"/>
      <c r="L70" s="1607"/>
      <c r="M70" s="1607"/>
      <c r="N70" s="1607"/>
      <c r="O70" s="1607"/>
      <c r="P70" s="1683"/>
      <c r="R70" s="1540"/>
    </row>
    <row r="71" spans="2:19" ht="12.75" customHeight="1">
      <c r="H71" s="572"/>
      <c r="I71" s="1607"/>
      <c r="J71" s="559"/>
      <c r="K71" s="1607"/>
      <c r="L71" s="1607"/>
      <c r="M71" s="1607"/>
      <c r="N71" s="1607"/>
      <c r="O71" s="1607"/>
      <c r="P71" s="1683"/>
      <c r="R71" s="1540"/>
    </row>
    <row r="72" spans="2:19" ht="12.75" customHeight="1">
      <c r="H72" s="1680"/>
      <c r="I72" s="1607"/>
      <c r="J72" s="559"/>
      <c r="K72" s="1607"/>
      <c r="L72" s="1607"/>
      <c r="M72" s="1607"/>
      <c r="N72" s="1607"/>
      <c r="O72" s="1607"/>
      <c r="R72" s="1540"/>
    </row>
    <row r="73" spans="2:19" ht="12.75" customHeight="1">
      <c r="H73" s="1680"/>
      <c r="I73" s="1607"/>
      <c r="J73" s="1607"/>
      <c r="K73" s="1607"/>
      <c r="L73" s="1607"/>
      <c r="M73" s="1607"/>
      <c r="N73" s="1607"/>
      <c r="O73" s="1607"/>
      <c r="R73" s="1540"/>
    </row>
    <row r="74" spans="2:19" s="567" customFormat="1" ht="12.75" customHeight="1">
      <c r="H74" s="1680"/>
      <c r="I74" s="1607"/>
      <c r="J74" s="1684"/>
      <c r="K74" s="1608"/>
      <c r="L74" s="572"/>
      <c r="M74" s="572"/>
      <c r="N74" s="572"/>
      <c r="O74" s="572"/>
      <c r="P74" s="1609"/>
      <c r="R74" s="1540"/>
    </row>
    <row r="75" spans="2:19" s="567" customFormat="1" ht="12.75" customHeight="1">
      <c r="H75" s="572"/>
      <c r="I75" s="1607"/>
      <c r="J75" s="1684"/>
      <c r="K75" s="572"/>
      <c r="L75" s="572"/>
      <c r="M75" s="572"/>
      <c r="N75" s="572"/>
      <c r="O75" s="572"/>
      <c r="P75" s="1609"/>
      <c r="R75" s="1540"/>
    </row>
    <row r="76" spans="2:19" ht="12.75" customHeight="1">
      <c r="H76" s="572"/>
      <c r="I76" s="572"/>
      <c r="J76" s="1684"/>
      <c r="K76" s="572"/>
      <c r="L76" s="572"/>
      <c r="M76" s="572"/>
      <c r="N76" s="572"/>
      <c r="O76" s="572"/>
      <c r="R76" s="571"/>
    </row>
    <row r="77" spans="2:19" ht="12.75" customHeight="1">
      <c r="H77" s="572"/>
      <c r="I77" s="572"/>
      <c r="J77" s="1684"/>
      <c r="K77" s="572"/>
      <c r="L77" s="572"/>
      <c r="M77" s="572"/>
      <c r="N77" s="572"/>
      <c r="O77" s="572"/>
      <c r="R77" s="571"/>
    </row>
    <row r="78" spans="2:19" ht="12.75" customHeight="1">
      <c r="B78" s="1608"/>
      <c r="C78" s="1684"/>
      <c r="D78" s="572"/>
      <c r="E78" s="572"/>
      <c r="F78" s="572"/>
      <c r="G78" s="572"/>
      <c r="H78" s="572"/>
      <c r="I78" s="572"/>
      <c r="J78" s="1684"/>
      <c r="K78" s="572"/>
      <c r="L78" s="572"/>
      <c r="M78" s="572"/>
      <c r="N78" s="572"/>
      <c r="O78" s="572"/>
      <c r="R78" s="571"/>
    </row>
    <row r="79" spans="2:19" ht="12.75" customHeight="1">
      <c r="I79" s="1607"/>
      <c r="J79" s="1607"/>
      <c r="K79" s="1607"/>
      <c r="L79" s="1607"/>
      <c r="M79" s="1607"/>
      <c r="N79" s="1607"/>
      <c r="O79" s="1607"/>
      <c r="R79" s="1607"/>
      <c r="S79" s="1607"/>
    </row>
    <row r="80" spans="2:19" ht="12.75" customHeight="1">
      <c r="C80" s="676"/>
      <c r="D80" s="699"/>
      <c r="E80" s="583"/>
      <c r="F80" s="699"/>
      <c r="G80" s="677"/>
      <c r="I80" s="1607"/>
      <c r="J80" s="1607"/>
      <c r="K80" s="1607"/>
      <c r="L80" s="1607"/>
      <c r="M80" s="1607"/>
      <c r="N80" s="1607"/>
      <c r="O80" s="1607"/>
      <c r="R80" s="1607"/>
      <c r="S80" s="1607"/>
    </row>
    <row r="81" spans="1:19" ht="12.75" customHeight="1">
      <c r="C81" s="676"/>
      <c r="D81" s="699"/>
      <c r="E81" s="583"/>
      <c r="F81" s="699"/>
      <c r="G81" s="677"/>
      <c r="I81" s="1607"/>
      <c r="J81" s="1607"/>
      <c r="K81" s="1607"/>
      <c r="L81" s="1607"/>
      <c r="M81" s="1607"/>
      <c r="N81" s="1607"/>
      <c r="O81" s="1607"/>
      <c r="R81" s="1607"/>
      <c r="S81" s="1607"/>
    </row>
    <row r="82" spans="1:19" ht="12.75" customHeight="1">
      <c r="C82" s="676"/>
      <c r="D82" s="698"/>
      <c r="E82" s="583"/>
      <c r="F82" s="698"/>
      <c r="G82" s="698"/>
      <c r="I82" s="1607"/>
      <c r="J82" s="1607"/>
      <c r="K82" s="1607"/>
      <c r="L82" s="1607"/>
      <c r="M82" s="1607"/>
      <c r="N82" s="1607"/>
      <c r="O82" s="1607"/>
      <c r="R82" s="1607"/>
      <c r="S82" s="1607"/>
    </row>
    <row r="83" spans="1:19" ht="12.75" customHeight="1">
      <c r="C83" s="583"/>
      <c r="D83" s="583"/>
      <c r="E83" s="699"/>
      <c r="F83" s="699"/>
      <c r="G83" s="698"/>
      <c r="I83" s="1607"/>
      <c r="J83" s="1607"/>
      <c r="K83" s="1607"/>
      <c r="L83" s="1607"/>
      <c r="M83" s="1607"/>
      <c r="N83" s="1607"/>
      <c r="O83" s="1607"/>
      <c r="R83" s="1607"/>
      <c r="S83" s="1607"/>
    </row>
    <row r="84" spans="1:19" ht="12.75" customHeight="1">
      <c r="C84" s="583"/>
      <c r="D84" s="583"/>
      <c r="E84" s="699"/>
      <c r="F84" s="699"/>
      <c r="G84" s="573"/>
      <c r="I84" s="1607"/>
      <c r="J84" s="1607"/>
      <c r="K84" s="1607"/>
      <c r="L84" s="1607"/>
      <c r="M84" s="1607"/>
      <c r="N84" s="1607"/>
      <c r="O84" s="1607"/>
      <c r="R84" s="1607"/>
    </row>
    <row r="85" spans="1:19" ht="12.75" customHeight="1">
      <c r="C85" s="1608"/>
      <c r="D85" s="1608"/>
      <c r="E85" s="574"/>
      <c r="F85" s="574"/>
      <c r="G85" s="573"/>
      <c r="I85" s="1607"/>
      <c r="J85" s="1607"/>
      <c r="K85" s="1607"/>
      <c r="L85" s="1607"/>
      <c r="M85" s="1607"/>
      <c r="N85" s="1607"/>
      <c r="O85" s="1607"/>
      <c r="R85" s="1607"/>
      <c r="S85" s="1607"/>
    </row>
    <row r="86" spans="1:19" ht="12.75" customHeight="1">
      <c r="A86" s="565"/>
      <c r="B86" s="578"/>
      <c r="C86" s="558"/>
      <c r="D86" s="558"/>
      <c r="E86" s="1607"/>
      <c r="F86" s="1607"/>
      <c r="H86" s="697"/>
      <c r="L86" s="557"/>
      <c r="M86" s="557"/>
      <c r="N86" s="557"/>
      <c r="O86" s="557"/>
      <c r="R86" s="1607"/>
      <c r="S86" s="1607"/>
    </row>
    <row r="87" spans="1:19" ht="12.75" customHeight="1">
      <c r="A87" s="1609"/>
      <c r="B87" s="1607"/>
      <c r="G87" s="579"/>
      <c r="H87" s="697"/>
      <c r="L87" s="557"/>
      <c r="M87" s="557"/>
      <c r="N87" s="557"/>
      <c r="O87" s="557"/>
      <c r="R87" s="1607"/>
      <c r="S87" s="1607"/>
    </row>
    <row r="88" spans="1:19" ht="12.75" customHeight="1">
      <c r="A88" s="555"/>
      <c r="B88" s="559"/>
      <c r="C88" s="559"/>
      <c r="E88" s="579"/>
      <c r="F88" s="676"/>
      <c r="G88" s="579"/>
      <c r="H88" s="697"/>
      <c r="M88" s="1609"/>
      <c r="N88" s="1609"/>
      <c r="R88" s="1607"/>
      <c r="S88" s="1607"/>
    </row>
    <row r="89" spans="1:19" ht="12.75" customHeight="1">
      <c r="A89" s="555"/>
      <c r="B89" s="1372"/>
      <c r="C89" s="1372"/>
      <c r="D89" s="1386"/>
      <c r="E89" s="579"/>
      <c r="F89" s="676"/>
      <c r="G89" s="1386"/>
      <c r="H89" s="697"/>
      <c r="I89" s="559"/>
      <c r="M89" s="575"/>
      <c r="N89" s="576"/>
      <c r="R89" s="1607"/>
      <c r="S89" s="1607"/>
    </row>
    <row r="90" spans="1:19" ht="12.75" customHeight="1">
      <c r="A90" s="555"/>
      <c r="B90" s="1372"/>
      <c r="C90" s="1372"/>
      <c r="D90" s="1386"/>
      <c r="E90" s="1387"/>
      <c r="F90" s="1387"/>
      <c r="G90" s="1374"/>
      <c r="H90" s="697"/>
      <c r="I90" s="559"/>
      <c r="M90" s="575"/>
      <c r="N90" s="576"/>
      <c r="P90" s="576"/>
      <c r="R90" s="1607"/>
      <c r="S90" s="586"/>
    </row>
    <row r="91" spans="1:19" ht="12.75" customHeight="1">
      <c r="A91" s="555"/>
      <c r="B91" s="1373"/>
      <c r="C91" s="1373"/>
      <c r="D91" s="1374"/>
      <c r="E91" s="1374"/>
      <c r="F91" s="1374"/>
      <c r="G91" s="1376"/>
      <c r="H91" s="582"/>
      <c r="I91" s="1609"/>
      <c r="M91" s="575"/>
      <c r="N91" s="576"/>
      <c r="P91" s="562"/>
      <c r="R91" s="586"/>
      <c r="S91" s="586"/>
    </row>
    <row r="92" spans="1:19" ht="12.75" customHeight="1">
      <c r="A92" s="555"/>
      <c r="B92" s="1372"/>
      <c r="C92" s="1372"/>
      <c r="D92" s="1373"/>
      <c r="E92" s="1375"/>
      <c r="F92" s="1373"/>
      <c r="G92" s="1378"/>
      <c r="H92" s="582"/>
      <c r="I92" s="1609"/>
      <c r="M92" s="575"/>
      <c r="N92" s="576"/>
      <c r="P92" s="562"/>
      <c r="R92" s="586"/>
      <c r="S92" s="1607"/>
    </row>
    <row r="93" spans="1:19" ht="12.75" customHeight="1">
      <c r="A93" s="555"/>
      <c r="B93" s="1372"/>
      <c r="C93" s="1372"/>
      <c r="D93" s="1373"/>
      <c r="E93" s="1377"/>
      <c r="F93" s="1373"/>
      <c r="G93" s="1378"/>
      <c r="H93" s="697"/>
      <c r="I93" s="1609"/>
      <c r="M93" s="575"/>
      <c r="N93" s="576"/>
      <c r="P93" s="562"/>
      <c r="R93" s="586"/>
    </row>
    <row r="94" spans="1:19" ht="12.75" customHeight="1">
      <c r="A94" s="581"/>
      <c r="B94" s="1372"/>
      <c r="C94" s="1372"/>
      <c r="D94" s="1373"/>
      <c r="E94" s="1377"/>
      <c r="F94" s="1373"/>
      <c r="G94" s="1378"/>
      <c r="H94" s="567"/>
      <c r="I94" s="1609"/>
      <c r="M94" s="575"/>
      <c r="N94" s="576"/>
      <c r="P94" s="562"/>
      <c r="R94" s="586"/>
    </row>
    <row r="95" spans="1:19" ht="12.75" customHeight="1">
      <c r="A95" s="1609"/>
      <c r="B95" s="1372"/>
      <c r="C95" s="1372"/>
      <c r="D95" s="1373"/>
      <c r="E95" s="1379"/>
      <c r="F95" s="1373"/>
      <c r="G95" s="1382"/>
      <c r="H95" s="567"/>
      <c r="I95" s="1609"/>
      <c r="M95" s="575"/>
      <c r="N95" s="576"/>
      <c r="P95" s="562"/>
      <c r="R95" s="586"/>
    </row>
    <row r="96" spans="1:19" ht="12.75" customHeight="1">
      <c r="A96" s="1609"/>
      <c r="B96" s="1372"/>
      <c r="C96" s="1372"/>
      <c r="D96" s="1373"/>
      <c r="E96" s="1380"/>
      <c r="F96" s="1381"/>
      <c r="G96" s="1382"/>
      <c r="H96" s="567"/>
      <c r="I96" s="1609"/>
      <c r="M96" s="575"/>
      <c r="N96" s="576"/>
      <c r="P96" s="562"/>
      <c r="R96" s="1607"/>
    </row>
    <row r="97" spans="1:18" ht="12.75" customHeight="1">
      <c r="A97" s="1609"/>
      <c r="B97" s="1372"/>
      <c r="C97" s="1372"/>
      <c r="D97" s="1373"/>
      <c r="E97" s="1382"/>
      <c r="F97" s="1381"/>
      <c r="G97" s="1383"/>
      <c r="I97" s="1609"/>
      <c r="M97" s="575"/>
      <c r="N97" s="576"/>
      <c r="P97" s="562"/>
      <c r="R97" s="1607"/>
    </row>
    <row r="98" spans="1:18" ht="12.75" customHeight="1">
      <c r="A98" s="1538"/>
      <c r="B98" s="1372"/>
      <c r="C98" s="1372"/>
      <c r="D98" s="1373"/>
      <c r="E98" s="1375"/>
      <c r="F98" s="1381"/>
      <c r="G98" s="584"/>
      <c r="I98" s="1609"/>
      <c r="M98" s="575"/>
      <c r="N98" s="576"/>
      <c r="P98" s="562"/>
      <c r="R98" s="1607"/>
    </row>
    <row r="99" spans="1:18" ht="12.75" customHeight="1">
      <c r="B99" s="1608"/>
      <c r="C99" s="1608"/>
      <c r="D99" s="1608"/>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7"/>
      <c r="L103" s="568"/>
      <c r="M103" s="577"/>
      <c r="N103" s="577"/>
      <c r="P103" s="562"/>
    </row>
    <row r="104" spans="1:18" ht="12.75" customHeight="1">
      <c r="I104" s="559"/>
      <c r="J104" s="559"/>
      <c r="K104" s="1607"/>
      <c r="L104" s="568"/>
      <c r="M104" s="577"/>
      <c r="N104" s="577"/>
      <c r="P104" s="562"/>
    </row>
    <row r="105" spans="1:18">
      <c r="G105" s="1607"/>
      <c r="I105" s="559"/>
      <c r="J105" s="559"/>
      <c r="K105" s="1607"/>
      <c r="L105" s="568"/>
      <c r="M105" s="577"/>
      <c r="N105" s="577"/>
      <c r="P105" s="562"/>
    </row>
    <row r="106" spans="1:18">
      <c r="C106" s="1535"/>
      <c r="D106" s="558"/>
      <c r="E106" s="1607"/>
      <c r="F106" s="1607"/>
      <c r="G106" s="1607"/>
      <c r="I106" s="559"/>
      <c r="J106" s="559"/>
      <c r="K106" s="1607"/>
      <c r="L106" s="568"/>
      <c r="M106" s="577"/>
      <c r="N106" s="577"/>
      <c r="P106" s="562"/>
    </row>
    <row r="107" spans="1:18">
      <c r="C107" s="681"/>
      <c r="D107" s="558"/>
      <c r="E107" s="1607"/>
      <c r="F107" s="1607"/>
      <c r="G107" s="1607"/>
      <c r="I107" s="559"/>
      <c r="J107" s="559"/>
      <c r="K107" s="1607"/>
      <c r="L107" s="568"/>
      <c r="M107" s="577"/>
      <c r="N107" s="577"/>
      <c r="P107" s="562"/>
    </row>
    <row r="108" spans="1:18">
      <c r="B108" s="587"/>
      <c r="C108" s="558"/>
      <c r="D108" s="558"/>
      <c r="E108" s="1607"/>
      <c r="F108" s="1607"/>
      <c r="G108" s="1607"/>
      <c r="I108" s="559"/>
      <c r="J108" s="559"/>
      <c r="K108" s="1607"/>
      <c r="L108" s="568"/>
      <c r="M108" s="577"/>
      <c r="N108" s="577"/>
      <c r="P108" s="562"/>
    </row>
    <row r="109" spans="1:18">
      <c r="A109" s="565"/>
      <c r="B109" s="587"/>
      <c r="C109" s="558"/>
      <c r="D109" s="558"/>
      <c r="E109" s="1607"/>
      <c r="F109" s="1607"/>
      <c r="G109" s="1607"/>
      <c r="I109" s="559"/>
      <c r="J109" s="559"/>
      <c r="K109" s="1607"/>
      <c r="L109" s="568"/>
      <c r="M109" s="577"/>
      <c r="N109" s="577"/>
    </row>
    <row r="110" spans="1:18">
      <c r="A110" s="1607"/>
      <c r="B110" s="587"/>
      <c r="C110" s="558"/>
      <c r="D110" s="558"/>
      <c r="E110" s="1607"/>
      <c r="F110" s="1607"/>
      <c r="I110" s="559"/>
      <c r="J110" s="559"/>
      <c r="K110" s="1607"/>
      <c r="L110" s="568"/>
      <c r="M110" s="577"/>
      <c r="N110" s="577"/>
    </row>
    <row r="111" spans="1:18">
      <c r="A111" s="1607"/>
      <c r="I111" s="559"/>
      <c r="J111" s="559"/>
      <c r="K111" s="1607"/>
      <c r="L111" s="568"/>
      <c r="M111" s="577"/>
      <c r="N111" s="577"/>
    </row>
    <row r="112" spans="1:18">
      <c r="I112" s="559"/>
      <c r="J112" s="559"/>
      <c r="K112" s="1607"/>
      <c r="L112" s="568"/>
      <c r="M112" s="577"/>
      <c r="N112" s="577"/>
      <c r="Q112" s="1607"/>
    </row>
    <row r="113" spans="1:17">
      <c r="A113" s="1607"/>
      <c r="I113" s="559"/>
      <c r="J113" s="559"/>
      <c r="K113" s="1607"/>
      <c r="L113" s="568"/>
      <c r="M113" s="577"/>
      <c r="N113" s="577"/>
      <c r="Q113" s="1607"/>
    </row>
    <row r="114" spans="1:17">
      <c r="A114" s="1607"/>
      <c r="G114" s="1609"/>
      <c r="I114" s="559"/>
      <c r="J114" s="559"/>
      <c r="K114" s="1607"/>
      <c r="L114" s="568"/>
      <c r="M114" s="577"/>
      <c r="N114" s="577"/>
      <c r="Q114" s="1607"/>
    </row>
    <row r="115" spans="1:17">
      <c r="B115" s="1609"/>
      <c r="C115" s="1609"/>
      <c r="D115" s="1609"/>
      <c r="E115" s="1609"/>
      <c r="F115" s="1609"/>
      <c r="G115" s="1609"/>
      <c r="I115" s="559"/>
      <c r="J115" s="559"/>
      <c r="K115" s="1607"/>
      <c r="L115" s="568"/>
      <c r="M115" s="577"/>
      <c r="N115" s="577"/>
      <c r="Q115" s="1607"/>
    </row>
    <row r="116" spans="1:17">
      <c r="B116" s="1609"/>
      <c r="C116" s="1609"/>
      <c r="D116" s="1609"/>
      <c r="E116" s="1609"/>
      <c r="F116" s="1609"/>
      <c r="G116" s="1609"/>
      <c r="I116" s="559"/>
      <c r="J116" s="559"/>
      <c r="K116" s="1607"/>
      <c r="L116" s="568"/>
      <c r="M116" s="577"/>
      <c r="N116" s="577"/>
      <c r="Q116" s="1607"/>
    </row>
    <row r="117" spans="1:17">
      <c r="B117" s="1609"/>
      <c r="C117" s="1609"/>
      <c r="D117" s="1609"/>
      <c r="E117" s="1609"/>
      <c r="F117" s="1609"/>
      <c r="G117" s="1609"/>
      <c r="I117" s="559"/>
      <c r="J117" s="559"/>
      <c r="K117" s="1607"/>
      <c r="L117" s="568"/>
      <c r="M117" s="577"/>
      <c r="N117" s="577"/>
      <c r="Q117" s="1607"/>
    </row>
    <row r="118" spans="1:17">
      <c r="B118" s="1609"/>
      <c r="C118" s="1609"/>
      <c r="D118" s="1609"/>
      <c r="E118" s="1609"/>
      <c r="F118" s="1609"/>
      <c r="G118" s="1609"/>
      <c r="I118" s="559"/>
      <c r="J118" s="559"/>
      <c r="K118" s="1607"/>
      <c r="L118" s="568"/>
      <c r="M118" s="577"/>
      <c r="N118" s="577"/>
      <c r="Q118" s="1607"/>
    </row>
    <row r="119" spans="1:17">
      <c r="B119" s="1609"/>
      <c r="C119" s="1609"/>
      <c r="D119" s="1609"/>
      <c r="E119" s="1609"/>
      <c r="F119" s="1609"/>
      <c r="G119" s="1609"/>
      <c r="I119" s="559"/>
      <c r="J119" s="559"/>
      <c r="K119" s="1607"/>
      <c r="L119" s="568"/>
      <c r="M119" s="577"/>
      <c r="N119" s="577"/>
      <c r="P119" s="562"/>
      <c r="Q119" s="1607"/>
    </row>
    <row r="120" spans="1:17">
      <c r="B120" s="1609"/>
      <c r="C120" s="1609"/>
      <c r="D120" s="1609"/>
      <c r="E120" s="1609"/>
      <c r="F120" s="1609"/>
      <c r="G120" s="1609"/>
      <c r="I120" s="559"/>
      <c r="J120" s="559"/>
      <c r="K120" s="1607"/>
      <c r="L120" s="568"/>
      <c r="M120" s="577"/>
      <c r="N120" s="577"/>
      <c r="P120" s="562"/>
      <c r="Q120" s="1607"/>
    </row>
    <row r="121" spans="1:17">
      <c r="A121" s="1609"/>
      <c r="B121" s="1609"/>
      <c r="C121" s="1609"/>
      <c r="D121" s="1609"/>
      <c r="E121" s="1609"/>
      <c r="F121" s="1609"/>
      <c r="G121" s="1609"/>
      <c r="I121" s="559"/>
      <c r="J121" s="559"/>
      <c r="K121" s="1607"/>
      <c r="L121" s="568"/>
      <c r="M121" s="577"/>
      <c r="N121" s="577"/>
      <c r="P121" s="562"/>
      <c r="Q121" s="1607"/>
    </row>
    <row r="122" spans="1:17">
      <c r="A122" s="1609"/>
      <c r="B122" s="1609"/>
      <c r="C122" s="1609"/>
      <c r="D122" s="1609"/>
      <c r="E122" s="1609"/>
      <c r="F122" s="1609"/>
      <c r="G122" s="1609"/>
      <c r="J122" s="1538"/>
      <c r="K122" s="1607"/>
      <c r="L122" s="568"/>
      <c r="M122" s="577"/>
      <c r="N122" s="577"/>
      <c r="P122" s="562"/>
      <c r="Q122" s="1607"/>
    </row>
    <row r="123" spans="1:17">
      <c r="A123" s="1609"/>
      <c r="B123" s="1609"/>
      <c r="C123" s="1609"/>
      <c r="D123" s="1609"/>
      <c r="E123" s="1609"/>
      <c r="F123" s="1609"/>
      <c r="G123" s="1609"/>
      <c r="J123" s="1538"/>
      <c r="K123" s="1607"/>
      <c r="L123" s="568"/>
      <c r="M123" s="577"/>
      <c r="N123" s="577"/>
      <c r="P123" s="1607"/>
      <c r="Q123" s="1607"/>
    </row>
    <row r="124" spans="1:17">
      <c r="A124" s="1609"/>
      <c r="B124" s="1609"/>
      <c r="C124" s="1609"/>
      <c r="D124" s="1609"/>
      <c r="E124" s="1609"/>
      <c r="F124" s="1609"/>
      <c r="G124" s="1609"/>
      <c r="H124" s="582"/>
      <c r="P124" s="1607"/>
      <c r="Q124" s="1607"/>
    </row>
    <row r="125" spans="1:17">
      <c r="A125" s="1609"/>
      <c r="B125" s="1609"/>
      <c r="C125" s="1609"/>
      <c r="D125" s="1609"/>
      <c r="E125" s="1609"/>
      <c r="F125" s="1609"/>
      <c r="G125" s="1609"/>
      <c r="H125" s="582"/>
      <c r="P125" s="1607"/>
      <c r="Q125" s="1607"/>
    </row>
    <row r="126" spans="1:17">
      <c r="A126" s="1609"/>
      <c r="B126" s="1609"/>
      <c r="C126" s="1609"/>
      <c r="D126" s="1609"/>
      <c r="E126" s="1609"/>
      <c r="F126" s="1609"/>
      <c r="G126" s="1609"/>
      <c r="H126" s="582"/>
      <c r="P126" s="1607"/>
      <c r="Q126" s="1607"/>
    </row>
    <row r="127" spans="1:17">
      <c r="A127" s="1609"/>
      <c r="B127" s="1609"/>
      <c r="C127" s="1609"/>
      <c r="D127" s="1609"/>
      <c r="E127" s="1609"/>
      <c r="F127" s="1609"/>
      <c r="G127" s="1609"/>
      <c r="H127" s="582"/>
      <c r="P127" s="1607"/>
      <c r="Q127" s="1607"/>
    </row>
    <row r="128" spans="1:17">
      <c r="A128" s="1609"/>
      <c r="B128" s="1609"/>
      <c r="C128" s="1609"/>
      <c r="D128" s="1609"/>
      <c r="E128" s="1609"/>
      <c r="F128" s="1609"/>
      <c r="G128" s="1609"/>
      <c r="I128" s="562"/>
      <c r="J128" s="559"/>
      <c r="K128" s="1607"/>
      <c r="L128" s="1607"/>
      <c r="M128" s="1607"/>
      <c r="N128" s="1607"/>
      <c r="O128" s="1607"/>
      <c r="P128" s="1607"/>
      <c r="Q128" s="1607"/>
    </row>
    <row r="129" spans="1:17">
      <c r="A129" s="1609"/>
      <c r="B129" s="1609"/>
      <c r="C129" s="1609"/>
      <c r="D129" s="1609"/>
      <c r="E129" s="1609"/>
      <c r="F129" s="1609"/>
      <c r="G129" s="1609"/>
      <c r="I129" s="562"/>
      <c r="J129" s="559"/>
      <c r="K129" s="1607"/>
      <c r="L129" s="1607"/>
      <c r="M129" s="1607"/>
      <c r="N129" s="1607"/>
      <c r="O129" s="1607"/>
      <c r="P129" s="1607"/>
      <c r="Q129" s="1607"/>
    </row>
    <row r="130" spans="1:17">
      <c r="A130" s="1609"/>
      <c r="B130" s="1609"/>
      <c r="C130" s="1609"/>
      <c r="D130" s="1609"/>
      <c r="E130" s="1609"/>
      <c r="F130" s="1609"/>
      <c r="I130" s="562"/>
      <c r="J130" s="559"/>
      <c r="K130" s="1607"/>
      <c r="L130" s="1607"/>
      <c r="M130" s="1607"/>
      <c r="N130" s="1607"/>
      <c r="O130" s="1607"/>
      <c r="P130" s="1607"/>
      <c r="Q130" s="1607"/>
    </row>
    <row r="131" spans="1:17">
      <c r="A131" s="1609"/>
      <c r="I131" s="562"/>
      <c r="J131" s="559"/>
      <c r="K131" s="1607"/>
      <c r="L131" s="1607"/>
      <c r="M131" s="1607"/>
      <c r="N131" s="1607"/>
      <c r="O131" s="1607"/>
      <c r="Q131" s="1607"/>
    </row>
    <row r="132" spans="1:17">
      <c r="A132" s="1609"/>
      <c r="I132" s="562"/>
      <c r="J132" s="559"/>
      <c r="K132" s="1607"/>
      <c r="L132" s="1607"/>
      <c r="M132" s="1607"/>
      <c r="N132" s="1607"/>
      <c r="O132" s="1607"/>
      <c r="P132" s="1607"/>
      <c r="Q132" s="1607"/>
    </row>
    <row r="133" spans="1:17">
      <c r="A133" s="1609"/>
      <c r="G133" s="1609"/>
      <c r="I133" s="562"/>
      <c r="J133" s="559"/>
      <c r="K133" s="1607"/>
      <c r="L133" s="1607"/>
      <c r="M133" s="1607"/>
      <c r="N133" s="1607"/>
      <c r="O133" s="1607"/>
      <c r="P133" s="580"/>
      <c r="Q133" s="1607"/>
    </row>
    <row r="134" spans="1:17">
      <c r="B134" s="1609"/>
      <c r="C134" s="1609"/>
      <c r="D134" s="1609"/>
      <c r="E134" s="1609"/>
      <c r="F134" s="1609"/>
      <c r="G134" s="1609"/>
      <c r="I134" s="1609"/>
      <c r="J134" s="559"/>
      <c r="K134" s="1607"/>
      <c r="L134" s="1607"/>
      <c r="M134" s="1607"/>
      <c r="N134" s="1607"/>
      <c r="O134" s="1607"/>
      <c r="P134" s="1607"/>
      <c r="Q134" s="1607"/>
    </row>
    <row r="135" spans="1:17">
      <c r="B135" s="1609"/>
      <c r="C135" s="1609"/>
      <c r="D135" s="1609"/>
      <c r="E135" s="1609"/>
      <c r="F135" s="1609"/>
      <c r="G135" s="1609"/>
      <c r="I135" s="1607"/>
      <c r="J135" s="559"/>
      <c r="K135" s="1607"/>
      <c r="L135" s="1607"/>
      <c r="M135" s="1607"/>
      <c r="N135" s="1607"/>
      <c r="O135" s="1607"/>
      <c r="P135" s="588"/>
      <c r="Q135" s="1607"/>
    </row>
    <row r="136" spans="1:17">
      <c r="A136" s="1609"/>
      <c r="B136" s="1609"/>
      <c r="C136" s="1609"/>
      <c r="D136" s="1609"/>
      <c r="E136" s="1609"/>
      <c r="F136" s="1609"/>
      <c r="G136" s="1609"/>
      <c r="I136" s="559"/>
      <c r="J136" s="559"/>
      <c r="K136" s="1607"/>
      <c r="L136" s="1607"/>
      <c r="M136" s="1607"/>
      <c r="N136" s="1607"/>
      <c r="O136" s="1607"/>
      <c r="P136" s="1607"/>
      <c r="Q136" s="1607"/>
    </row>
    <row r="137" spans="1:17">
      <c r="A137" s="1609"/>
      <c r="B137" s="1609"/>
      <c r="C137" s="1609"/>
      <c r="D137" s="1609"/>
      <c r="E137" s="1609"/>
      <c r="F137" s="1609"/>
      <c r="G137" s="1609"/>
      <c r="I137" s="559"/>
      <c r="J137" s="559"/>
      <c r="K137" s="1607"/>
      <c r="L137" s="1607"/>
      <c r="M137" s="1607"/>
      <c r="N137" s="1607"/>
      <c r="O137" s="1607"/>
      <c r="P137" s="1607"/>
      <c r="Q137" s="1607"/>
    </row>
    <row r="138" spans="1:17">
      <c r="A138" s="1609"/>
      <c r="B138" s="1609"/>
      <c r="C138" s="1609"/>
      <c r="D138" s="1609"/>
      <c r="E138" s="1609"/>
      <c r="F138" s="1609"/>
      <c r="G138" s="1609"/>
      <c r="I138" s="559"/>
      <c r="J138" s="559"/>
      <c r="K138" s="1607"/>
      <c r="L138" s="1607"/>
      <c r="M138" s="1607"/>
      <c r="N138" s="1607"/>
      <c r="O138" s="1607"/>
      <c r="P138" s="1607"/>
    </row>
    <row r="139" spans="1:17">
      <c r="A139" s="1609"/>
      <c r="B139" s="1609"/>
      <c r="C139" s="1609"/>
      <c r="D139" s="1609"/>
      <c r="E139" s="1609"/>
      <c r="F139" s="1609"/>
      <c r="G139" s="1609"/>
      <c r="I139" s="559"/>
      <c r="J139" s="559"/>
      <c r="K139" s="1607"/>
      <c r="L139" s="1607"/>
      <c r="M139" s="1607"/>
      <c r="N139" s="1607"/>
      <c r="O139" s="1607"/>
      <c r="P139" s="1607"/>
      <c r="Q139" s="1607"/>
    </row>
    <row r="140" spans="1:17">
      <c r="A140" s="1609"/>
      <c r="B140" s="1609"/>
      <c r="C140" s="1609"/>
      <c r="D140" s="1609"/>
      <c r="E140" s="1609"/>
      <c r="F140" s="1609"/>
      <c r="G140" s="1609"/>
      <c r="I140" s="559"/>
      <c r="J140" s="559"/>
      <c r="K140" s="1607"/>
      <c r="L140" s="1607"/>
      <c r="M140" s="1607"/>
      <c r="N140" s="1607"/>
      <c r="P140" s="1607"/>
      <c r="Q140" s="580"/>
    </row>
    <row r="141" spans="1:17">
      <c r="A141" s="1609"/>
      <c r="B141" s="1609"/>
      <c r="C141" s="1609"/>
      <c r="D141" s="1609"/>
      <c r="E141" s="1609"/>
      <c r="F141" s="1609"/>
      <c r="G141" s="1609"/>
      <c r="I141" s="559"/>
      <c r="J141" s="559"/>
      <c r="K141" s="1607"/>
      <c r="L141" s="1607"/>
      <c r="M141" s="1607"/>
      <c r="N141" s="1607"/>
      <c r="O141" s="1607"/>
      <c r="P141" s="1607"/>
      <c r="Q141" s="1607"/>
    </row>
    <row r="142" spans="1:17">
      <c r="A142" s="1609"/>
      <c r="B142" s="1609"/>
      <c r="C142" s="1609"/>
      <c r="D142" s="1609"/>
      <c r="E142" s="1609"/>
      <c r="F142" s="1609"/>
      <c r="G142" s="1609"/>
      <c r="I142" s="559"/>
      <c r="J142" s="559"/>
      <c r="K142" s="1607"/>
      <c r="L142" s="1607"/>
      <c r="M142" s="1607"/>
      <c r="N142" s="1607"/>
      <c r="O142" s="1607"/>
      <c r="P142" s="586"/>
      <c r="Q142" s="1607"/>
    </row>
    <row r="143" spans="1:17">
      <c r="A143" s="1609"/>
      <c r="B143" s="1609"/>
      <c r="C143" s="1609"/>
      <c r="D143" s="1609"/>
      <c r="E143" s="1609"/>
      <c r="F143" s="1609"/>
      <c r="G143" s="1609"/>
      <c r="I143" s="559"/>
      <c r="J143" s="559"/>
      <c r="K143" s="1607"/>
      <c r="L143" s="589"/>
      <c r="O143" s="1607"/>
      <c r="Q143" s="1607"/>
    </row>
    <row r="144" spans="1:17">
      <c r="A144" s="1609"/>
      <c r="B144" s="1609"/>
      <c r="C144" s="1609"/>
      <c r="D144" s="1609"/>
      <c r="E144" s="1609"/>
      <c r="F144" s="1609"/>
      <c r="G144" s="1609"/>
      <c r="I144" s="559"/>
      <c r="J144" s="559"/>
      <c r="K144" s="1607"/>
      <c r="L144" s="589"/>
      <c r="M144" s="1607"/>
      <c r="N144" s="568"/>
      <c r="O144" s="1607"/>
    </row>
    <row r="145" spans="1:14">
      <c r="A145" s="1609"/>
      <c r="B145" s="1609"/>
      <c r="C145" s="1609"/>
      <c r="D145" s="1609"/>
      <c r="E145" s="1609"/>
      <c r="F145" s="1609"/>
      <c r="G145" s="1609"/>
      <c r="I145" s="1607"/>
      <c r="J145" s="1607"/>
      <c r="K145" s="589"/>
      <c r="L145" s="1609"/>
      <c r="M145" s="1609"/>
      <c r="N145" s="1609"/>
    </row>
    <row r="146" spans="1:14">
      <c r="A146" s="1609"/>
      <c r="B146" s="1609"/>
      <c r="C146" s="1609"/>
      <c r="D146" s="1609"/>
      <c r="E146" s="1609"/>
      <c r="F146" s="1609"/>
      <c r="I146" s="1607"/>
      <c r="J146" s="1607"/>
      <c r="K146" s="590"/>
      <c r="L146" s="1609"/>
      <c r="M146" s="1609"/>
      <c r="N146" s="1609"/>
    </row>
    <row r="147" spans="1:14">
      <c r="A147" s="1609"/>
      <c r="I147" s="1607"/>
      <c r="J147" s="1607"/>
      <c r="K147" s="1607"/>
      <c r="L147" s="1609"/>
      <c r="M147" s="1609"/>
      <c r="N147" s="1609"/>
    </row>
    <row r="148" spans="1:14">
      <c r="A148" s="1609"/>
      <c r="I148" s="1607"/>
      <c r="J148" s="1607"/>
      <c r="K148" s="1607"/>
      <c r="L148" s="1609"/>
      <c r="M148" s="1609"/>
      <c r="N148" s="1609"/>
    </row>
    <row r="149" spans="1:14">
      <c r="A149" s="1609"/>
      <c r="G149" s="1609"/>
      <c r="I149" s="1607"/>
      <c r="J149" s="1607"/>
      <c r="L149" s="1609"/>
      <c r="M149" s="1609"/>
      <c r="N149" s="1609"/>
    </row>
    <row r="150" spans="1:14">
      <c r="B150" s="1609"/>
      <c r="C150" s="1609"/>
      <c r="D150" s="1609"/>
      <c r="E150" s="1609"/>
      <c r="F150" s="1609"/>
      <c r="G150" s="1609"/>
    </row>
    <row r="151" spans="1:14">
      <c r="B151" s="1609"/>
      <c r="C151" s="1609"/>
      <c r="D151" s="1609"/>
      <c r="E151" s="1609"/>
      <c r="F151" s="1609"/>
      <c r="G151" s="1609"/>
    </row>
    <row r="152" spans="1:14">
      <c r="B152" s="1609"/>
      <c r="C152" s="1609"/>
      <c r="D152" s="1609"/>
      <c r="E152" s="1609"/>
      <c r="F152" s="1609"/>
      <c r="G152" s="1609"/>
    </row>
    <row r="153" spans="1:14">
      <c r="A153" s="1609"/>
      <c r="B153" s="1609"/>
      <c r="C153" s="1609"/>
      <c r="D153" s="1609"/>
      <c r="E153" s="1609"/>
      <c r="F153" s="1609"/>
      <c r="J153" s="1609"/>
      <c r="K153" s="1609"/>
      <c r="L153" s="1609"/>
      <c r="M153" s="1609"/>
      <c r="N153" s="1609"/>
    </row>
    <row r="154" spans="1:14">
      <c r="A154" s="1609"/>
      <c r="J154" s="1609"/>
      <c r="K154" s="1609"/>
      <c r="L154" s="1609"/>
      <c r="M154" s="1609"/>
      <c r="N154" s="1609"/>
    </row>
    <row r="155" spans="1:14">
      <c r="A155" s="1609"/>
      <c r="I155" s="1609"/>
      <c r="J155" s="1609"/>
      <c r="K155" s="1609"/>
      <c r="L155" s="1609"/>
      <c r="M155" s="1609"/>
      <c r="N155" s="1609"/>
    </row>
    <row r="156" spans="1:14">
      <c r="A156" s="1609"/>
      <c r="I156" s="1609"/>
      <c r="J156" s="1609"/>
      <c r="K156" s="1609"/>
      <c r="L156" s="1609"/>
      <c r="M156" s="1609"/>
      <c r="N156" s="1609"/>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36:H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77734375" defaultRowHeight="15"/>
  <cols>
    <col min="1" max="1" width="44.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776" customWidth="1"/>
    <col min="15" max="15" width="1.21875" style="1776" customWidth="1"/>
    <col min="16" max="16" width="13.21875" style="1776"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7" t="s">
        <v>980</v>
      </c>
    </row>
    <row r="2" spans="1:254">
      <c r="A2" s="842"/>
    </row>
    <row r="3" spans="1:254" s="34" customFormat="1" ht="18" customHeight="1">
      <c r="A3" s="29" t="s">
        <v>0</v>
      </c>
      <c r="B3" s="29"/>
      <c r="C3" s="29"/>
      <c r="D3" s="29"/>
      <c r="E3" s="29"/>
      <c r="F3" s="30"/>
      <c r="G3" s="30"/>
      <c r="H3" s="29"/>
      <c r="I3" s="29"/>
      <c r="J3" s="29"/>
      <c r="K3" s="29"/>
      <c r="L3" s="29"/>
      <c r="M3" s="29"/>
      <c r="N3" s="3696"/>
      <c r="O3" s="3795"/>
      <c r="P3" s="3795"/>
      <c r="Q3" s="1384"/>
      <c r="R3" s="1384"/>
      <c r="S3" s="31"/>
      <c r="T3" s="33"/>
      <c r="U3" s="3796" t="s">
        <v>62</v>
      </c>
      <c r="V3" s="3796"/>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5" t="s">
        <v>883</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1433</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8"/>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4"/>
      <c r="C12" s="754" t="s">
        <v>63</v>
      </c>
      <c r="D12" s="754"/>
      <c r="E12" s="29"/>
      <c r="F12" s="754"/>
      <c r="G12" s="754" t="s">
        <v>64</v>
      </c>
      <c r="H12" s="754"/>
      <c r="I12" s="29"/>
      <c r="J12" s="754"/>
      <c r="K12" s="754"/>
      <c r="L12" s="1388"/>
      <c r="M12" s="754" t="s">
        <v>65</v>
      </c>
      <c r="N12" s="757"/>
      <c r="O12" s="757"/>
      <c r="P12" s="757"/>
      <c r="Q12" s="754"/>
      <c r="R12" s="771"/>
      <c r="S12" s="2303" t="s">
        <v>905</v>
      </c>
      <c r="T12" s="2304"/>
      <c r="U12" s="2304"/>
      <c r="V12" s="39"/>
      <c r="W12" s="40"/>
      <c r="X12" s="40"/>
    </row>
    <row r="13" spans="1:254" ht="13.15" customHeight="1">
      <c r="A13" s="31"/>
      <c r="B13" s="42"/>
      <c r="C13" s="42"/>
      <c r="D13" s="42"/>
      <c r="E13" s="31"/>
      <c r="F13" s="42"/>
      <c r="G13" s="43"/>
      <c r="H13" s="42"/>
      <c r="I13" s="31"/>
      <c r="J13" s="42"/>
      <c r="K13" s="42"/>
      <c r="L13" s="42"/>
      <c r="M13" s="42"/>
      <c r="N13" s="3700"/>
      <c r="O13" s="3700"/>
      <c r="P13" s="3700"/>
      <c r="Q13" s="36"/>
      <c r="R13" s="1003"/>
      <c r="S13" s="38"/>
      <c r="T13" s="44"/>
      <c r="U13" s="40"/>
      <c r="V13" s="44"/>
      <c r="W13" s="40"/>
      <c r="X13" s="40"/>
    </row>
    <row r="14" spans="1:254" ht="16.149999999999999" customHeight="1">
      <c r="A14" s="31"/>
      <c r="B14" s="754" t="s">
        <v>7</v>
      </c>
      <c r="C14" s="29"/>
      <c r="D14" s="754" t="str">
        <f>'Exhibit A'!F11</f>
        <v>4 MOS. ENDED</v>
      </c>
      <c r="E14" s="29"/>
      <c r="F14" s="754" t="s">
        <v>7</v>
      </c>
      <c r="G14" s="209"/>
      <c r="H14" s="754" t="str">
        <f>D14</f>
        <v>4 MOS. ENDED</v>
      </c>
      <c r="I14" s="29"/>
      <c r="J14" s="754" t="s">
        <v>7</v>
      </c>
      <c r="K14" s="29"/>
      <c r="L14" s="754" t="str">
        <f>D14</f>
        <v>4 MOS. ENDED</v>
      </c>
      <c r="M14" s="29"/>
      <c r="N14" s="757" t="s">
        <v>7</v>
      </c>
      <c r="O14" s="105"/>
      <c r="P14" s="757" t="str">
        <f>H14</f>
        <v>4 MOS. ENDED</v>
      </c>
      <c r="Q14" s="754"/>
      <c r="R14" s="1004"/>
      <c r="S14" s="765" t="s">
        <v>8</v>
      </c>
      <c r="T14" s="210"/>
      <c r="U14" s="766" t="s">
        <v>9</v>
      </c>
      <c r="V14" s="44"/>
      <c r="W14" s="40"/>
      <c r="X14" s="40"/>
    </row>
    <row r="15" spans="1:254" ht="16.149999999999999" customHeight="1">
      <c r="A15" s="31"/>
      <c r="B15" s="755" t="str">
        <f>'Exhibit A'!D12</f>
        <v>JULY 2019</v>
      </c>
      <c r="C15" s="29"/>
      <c r="D15" s="756" t="str">
        <f>'Exhibit A'!F12</f>
        <v>JULY 31, 2019</v>
      </c>
      <c r="E15" s="29"/>
      <c r="F15" s="754" t="str">
        <f>B15</f>
        <v>JULY 2019</v>
      </c>
      <c r="G15" s="29"/>
      <c r="H15" s="754" t="str">
        <f>D15</f>
        <v>JULY 31, 2019</v>
      </c>
      <c r="I15" s="29"/>
      <c r="J15" s="754" t="str">
        <f>B15</f>
        <v>JULY 2019</v>
      </c>
      <c r="K15" s="29"/>
      <c r="L15" s="754" t="str">
        <f>D15</f>
        <v>JULY 31, 2019</v>
      </c>
      <c r="M15" s="29"/>
      <c r="N15" s="3697" t="str">
        <f>'Exhibit A'!AB12</f>
        <v>JULY 2018</v>
      </c>
      <c r="O15" s="105"/>
      <c r="P15" s="3697" t="str">
        <f>'Exhibit A'!AD12</f>
        <v>JULY 31, 2018</v>
      </c>
      <c r="Q15" s="753"/>
      <c r="R15" s="1005"/>
      <c r="S15" s="768" t="s">
        <v>12</v>
      </c>
      <c r="T15" s="209"/>
      <c r="U15" s="769"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03"/>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673"/>
      <c r="O17" s="3701"/>
      <c r="P17" s="3747"/>
      <c r="Q17" s="49"/>
      <c r="R17" s="1006"/>
      <c r="S17" s="38"/>
      <c r="T17" s="49"/>
      <c r="U17" s="40"/>
      <c r="V17" s="49"/>
      <c r="W17" s="40"/>
      <c r="X17" s="40"/>
    </row>
    <row r="18" spans="1:247" ht="16.149999999999999" customHeight="1">
      <c r="A18" s="31" t="s">
        <v>20</v>
      </c>
      <c r="B18" s="671">
        <f>'Exhibit J'!I19</f>
        <v>5.4999999999999991</v>
      </c>
      <c r="C18" s="671"/>
      <c r="D18" s="990">
        <f>+'Exhibit J'!AB19</f>
        <v>21.5</v>
      </c>
      <c r="E18" s="671"/>
      <c r="F18" s="990">
        <f>'Exhibit K'!H17</f>
        <v>56.59999999999998</v>
      </c>
      <c r="G18" s="671"/>
      <c r="H18" s="990">
        <f>+'Exhibit K'!AA17</f>
        <v>164.6</v>
      </c>
      <c r="I18" s="1236"/>
      <c r="J18" s="1236">
        <f>ROUND(SUM(B18)+SUM(F18),1)</f>
        <v>62.1</v>
      </c>
      <c r="K18" s="671"/>
      <c r="L18" s="1423">
        <f>ROUND(SUM(D18)+SUM(H18),1)</f>
        <v>186.1</v>
      </c>
      <c r="M18" s="1236"/>
      <c r="N18" s="1034">
        <v>31.099999999999998</v>
      </c>
      <c r="O18" s="1034"/>
      <c r="P18" s="1034">
        <f>'Exhibit J'!AE19+'Exhibit K'!AD17</f>
        <v>191.7</v>
      </c>
      <c r="Q18" s="990"/>
      <c r="R18" s="1424"/>
      <c r="S18" s="671">
        <f>ROUND(SUM(L18-P18),1)</f>
        <v>-5.6</v>
      </c>
      <c r="T18" s="1220"/>
      <c r="U18" s="1471">
        <f>ROUND(+S18/P18,3)</f>
        <v>-2.9000000000000001E-2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38" t="s">
        <v>66</v>
      </c>
      <c r="B19" s="656">
        <f>'Exhibit J'!I20</f>
        <v>1</v>
      </c>
      <c r="C19" s="656"/>
      <c r="D19" s="962">
        <f>+'Exhibit J'!AB20</f>
        <v>4</v>
      </c>
      <c r="E19" s="656"/>
      <c r="F19" s="672">
        <v>0</v>
      </c>
      <c r="G19" s="656"/>
      <c r="H19" s="672">
        <v>0</v>
      </c>
      <c r="I19" s="1425"/>
      <c r="J19" s="1426">
        <f>ROUND(SUM(B19)+SUM(F19),1)</f>
        <v>1</v>
      </c>
      <c r="K19" s="684"/>
      <c r="L19" s="962">
        <f>ROUND(SUM(D19)+SUM(H19),1)</f>
        <v>4</v>
      </c>
      <c r="M19" s="1427"/>
      <c r="N19" s="1043">
        <v>1.1000000000000001</v>
      </c>
      <c r="O19" s="1043"/>
      <c r="P19" s="1043">
        <f>'Exhibit J'!AE20</f>
        <v>4.2</v>
      </c>
      <c r="Q19" s="962"/>
      <c r="R19" s="1428"/>
      <c r="S19" s="656">
        <f>ROUND(SUM(L19-P19),1)</f>
        <v>-0.2</v>
      </c>
      <c r="T19" s="1429"/>
      <c r="U19" s="1566">
        <f>ROUND(+S19/P19,3)</f>
        <v>-4.8000000000000001E-2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6">
        <f>'Exhibit J'!I21</f>
        <v>186.00000000000006</v>
      </c>
      <c r="C20" s="656"/>
      <c r="D20" s="962">
        <f>+'Exhibit J'!AB21</f>
        <v>647.6</v>
      </c>
      <c r="E20" s="656"/>
      <c r="F20" s="672">
        <v>0</v>
      </c>
      <c r="G20" s="656"/>
      <c r="H20" s="672">
        <v>0</v>
      </c>
      <c r="I20" s="1425"/>
      <c r="J20" s="1430">
        <f>ROUND(SUM(B20+F20),1)</f>
        <v>186</v>
      </c>
      <c r="K20" s="684"/>
      <c r="L20" s="962">
        <f>ROUND(SUM(D20)+SUM(H20),1)</f>
        <v>647.6</v>
      </c>
      <c r="M20" s="1427"/>
      <c r="N20" s="1043">
        <v>182.1</v>
      </c>
      <c r="O20" s="3699"/>
      <c r="P20" s="1043">
        <f>'Exhibit J'!AE21</f>
        <v>656.3</v>
      </c>
      <c r="Q20" s="962"/>
      <c r="R20" s="1428"/>
      <c r="S20" s="656">
        <f>ROUND(SUM(L20-P20),1)</f>
        <v>-8.6999999999999993</v>
      </c>
      <c r="T20" s="1429"/>
      <c r="U20" s="1471">
        <f>ROUND(+S20/P20,3)</f>
        <v>-1.2999999999999999E-2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609">
        <f>ROUND(SUM(B18:B20),1)</f>
        <v>192.5</v>
      </c>
      <c r="C21" s="941"/>
      <c r="D21" s="61">
        <f>ROUND(SUM(D18:D20),1)</f>
        <v>673.1</v>
      </c>
      <c r="E21" s="941"/>
      <c r="F21" s="61">
        <f>ROUND(SUM(F18:F20),1)</f>
        <v>56.6</v>
      </c>
      <c r="G21" s="941"/>
      <c r="H21" s="61">
        <f>ROUND(SUM(H18:H20),1)</f>
        <v>164.6</v>
      </c>
      <c r="I21" s="63"/>
      <c r="J21" s="61">
        <f>SUM(J18:J20)</f>
        <v>249.1</v>
      </c>
      <c r="K21" s="941"/>
      <c r="L21" s="61">
        <f>SUM(L18:L20)</f>
        <v>837.7</v>
      </c>
      <c r="M21" s="64"/>
      <c r="N21" s="3609">
        <f>ROUND(SUM(N18:N20),1)</f>
        <v>214.3</v>
      </c>
      <c r="O21" s="112"/>
      <c r="P21" s="3609">
        <f>ROUND(SUM(P18:P20),1)</f>
        <v>852.2</v>
      </c>
      <c r="Q21" s="76"/>
      <c r="R21" s="337"/>
      <c r="S21" s="61">
        <f>ROUND(SUM(S18:S20),1)</f>
        <v>-14.5</v>
      </c>
      <c r="T21" s="682"/>
      <c r="U21" s="1472">
        <f>ROUND(+S21/P21,3)</f>
        <v>-1.7000000000000001E-2</v>
      </c>
      <c r="V21" s="59"/>
      <c r="W21" s="40"/>
      <c r="X21" s="40"/>
    </row>
    <row r="22" spans="1:247" ht="15.75">
      <c r="A22" s="29"/>
      <c r="B22" s="656"/>
      <c r="C22" s="656"/>
      <c r="D22" s="656"/>
      <c r="E22" s="656"/>
      <c r="F22" s="656"/>
      <c r="G22" s="656"/>
      <c r="H22" s="656"/>
      <c r="I22" s="1426"/>
      <c r="J22" s="1426"/>
      <c r="K22" s="656"/>
      <c r="L22" s="656"/>
      <c r="M22" s="1426"/>
      <c r="N22" s="1043"/>
      <c r="O22" s="914"/>
      <c r="P22" s="1043"/>
      <c r="Q22" s="962"/>
      <c r="R22" s="1428"/>
      <c r="S22" s="939"/>
      <c r="T22" s="1431"/>
      <c r="U22" s="1473"/>
      <c r="V22" s="49"/>
      <c r="W22" s="40"/>
      <c r="X22" s="40"/>
    </row>
    <row r="23" spans="1:247" ht="16.149999999999999" customHeight="1">
      <c r="A23" s="29" t="s">
        <v>23</v>
      </c>
      <c r="B23" s="656"/>
      <c r="C23" s="656"/>
      <c r="D23" s="656"/>
      <c r="E23" s="656"/>
      <c r="F23" s="656"/>
      <c r="G23" s="656"/>
      <c r="H23" s="656"/>
      <c r="I23" s="1426"/>
      <c r="J23" s="1426"/>
      <c r="K23" s="656"/>
      <c r="L23" s="656"/>
      <c r="M23" s="1426"/>
      <c r="N23" s="1043"/>
      <c r="O23" s="914"/>
      <c r="P23" s="1043"/>
      <c r="Q23" s="962"/>
      <c r="R23" s="1428"/>
      <c r="S23" s="939"/>
      <c r="T23" s="1431"/>
      <c r="U23" s="1473"/>
      <c r="V23" s="49"/>
      <c r="W23" s="40"/>
      <c r="X23" s="40"/>
    </row>
    <row r="24" spans="1:247" ht="16.149999999999999" customHeight="1">
      <c r="A24" s="31" t="s">
        <v>36</v>
      </c>
      <c r="B24" s="656"/>
      <c r="C24" s="656"/>
      <c r="D24" s="656"/>
      <c r="E24" s="656"/>
      <c r="F24" s="656"/>
      <c r="G24" s="656"/>
      <c r="H24" s="656"/>
      <c r="I24" s="1426"/>
      <c r="J24" s="1426"/>
      <c r="K24" s="656"/>
      <c r="L24" s="656"/>
      <c r="M24" s="1426"/>
      <c r="N24" s="1043"/>
      <c r="O24" s="914"/>
      <c r="P24" s="1043"/>
      <c r="Q24" s="962"/>
      <c r="R24" s="1428"/>
      <c r="S24" s="939"/>
      <c r="T24" s="1431"/>
      <c r="U24" s="1473"/>
      <c r="V24" s="49"/>
      <c r="W24" s="40"/>
      <c r="X24" s="40"/>
    </row>
    <row r="25" spans="1:247" ht="16.149999999999999" customHeight="1">
      <c r="A25" s="31" t="s">
        <v>68</v>
      </c>
      <c r="B25" s="656">
        <f>'Exhibit J'!I29</f>
        <v>0.30000000000000004</v>
      </c>
      <c r="C25" s="656"/>
      <c r="D25" s="962">
        <f>+'Exhibit J'!AB29</f>
        <v>1.5</v>
      </c>
      <c r="E25" s="656"/>
      <c r="F25" s="656">
        <f>'Exhibit K'!H25</f>
        <v>9.6999999999999993</v>
      </c>
      <c r="G25" s="656"/>
      <c r="H25" s="656">
        <f>+'Exhibit K'!AA25</f>
        <v>43</v>
      </c>
      <c r="I25" s="1426"/>
      <c r="J25" s="1426">
        <f>ROUND(SUM(B25)+SUM(F25),1)</f>
        <v>10</v>
      </c>
      <c r="K25" s="656"/>
      <c r="L25" s="962">
        <f>ROUND(SUM(D25)+SUM(H25),1)</f>
        <v>44.5</v>
      </c>
      <c r="M25" s="1426"/>
      <c r="N25" s="1043">
        <v>8.4</v>
      </c>
      <c r="O25" s="1043"/>
      <c r="P25" s="1043">
        <f>'Exhibit J'!AE29+'Exhibit K'!AD25</f>
        <v>37.799999999999997</v>
      </c>
      <c r="Q25" s="962"/>
      <c r="R25" s="1428"/>
      <c r="S25" s="656">
        <f>ROUND(SUM(L25-P25),1)</f>
        <v>6.7</v>
      </c>
      <c r="T25" s="682"/>
      <c r="U25" s="1471">
        <f>ROUND(+S25/P25,3)</f>
        <v>0.17699999999999999</v>
      </c>
      <c r="V25" s="49"/>
      <c r="W25" s="40"/>
      <c r="X25" s="40"/>
    </row>
    <row r="26" spans="1:247" ht="16.149999999999999" customHeight="1">
      <c r="A26" s="31" t="s">
        <v>69</v>
      </c>
      <c r="B26" s="656">
        <f>'Exhibit J'!I30</f>
        <v>4.3999999999999986</v>
      </c>
      <c r="C26" s="656"/>
      <c r="D26" s="962">
        <f>+'Exhibit J'!AB30</f>
        <v>17.599999999999998</v>
      </c>
      <c r="E26" s="656"/>
      <c r="F26" s="656">
        <f>'Exhibit K'!H26</f>
        <v>34.70000000000001</v>
      </c>
      <c r="G26" s="656"/>
      <c r="H26" s="656">
        <f>+'Exhibit K'!AA26</f>
        <v>121.3</v>
      </c>
      <c r="I26" s="1426"/>
      <c r="J26" s="1426">
        <f>ROUND(SUM(B26)+SUM(F26),1)</f>
        <v>39.1</v>
      </c>
      <c r="K26" s="656"/>
      <c r="L26" s="962">
        <f>ROUND(SUM(D26)+SUM(H26),1)</f>
        <v>138.9</v>
      </c>
      <c r="M26" s="1426"/>
      <c r="N26" s="1043">
        <v>26.5</v>
      </c>
      <c r="O26" s="1043"/>
      <c r="P26" s="1043">
        <f>'Exhibit J'!AE30+'Exhibit K'!AD26</f>
        <v>159</v>
      </c>
      <c r="Q26" s="962"/>
      <c r="R26" s="1428"/>
      <c r="S26" s="656">
        <f>ROUND(SUM(L26-P26),1)</f>
        <v>-20.100000000000001</v>
      </c>
      <c r="T26" s="682"/>
      <c r="U26" s="1471">
        <f>ROUND(+S26/P26,3)</f>
        <v>-0.126</v>
      </c>
      <c r="V26" s="49"/>
      <c r="W26" s="40"/>
      <c r="X26" s="40"/>
    </row>
    <row r="27" spans="1:247" ht="16.149999999999999" customHeight="1">
      <c r="A27" s="31" t="s">
        <v>70</v>
      </c>
      <c r="B27" s="656">
        <f>'Exhibit J'!I31</f>
        <v>9.9999999999999978E-2</v>
      </c>
      <c r="C27" s="656"/>
      <c r="D27" s="962">
        <f>+'Exhibit J'!AB31</f>
        <v>0.3</v>
      </c>
      <c r="E27" s="962"/>
      <c r="F27" s="656">
        <f>'Exhibit K'!H27</f>
        <v>5.2000000000000028</v>
      </c>
      <c r="G27" s="656"/>
      <c r="H27" s="1432">
        <f>+'Exhibit K'!AA27</f>
        <v>20.8</v>
      </c>
      <c r="I27" s="962"/>
      <c r="J27" s="1426">
        <f>ROUND(SUM(B27)+SUM(F27),1)</f>
        <v>5.3</v>
      </c>
      <c r="K27" s="656"/>
      <c r="L27" s="962">
        <f>ROUND(SUM(D27)+SUM(H27),1)</f>
        <v>21.1</v>
      </c>
      <c r="M27" s="1426"/>
      <c r="N27" s="1043">
        <v>6.8999999999999995</v>
      </c>
      <c r="O27" s="3699"/>
      <c r="P27" s="1043">
        <f>'Exhibit J'!AE31+'Exhibit K'!AD27</f>
        <v>21.2</v>
      </c>
      <c r="Q27" s="962"/>
      <c r="R27" s="1428"/>
      <c r="S27" s="656">
        <f>ROUND(SUM(L27-P27),1)</f>
        <v>-0.1</v>
      </c>
      <c r="T27" s="682"/>
      <c r="U27" s="1471">
        <f>ROUND(+S27/P27,3)</f>
        <v>-5.0000000000000001E-3</v>
      </c>
      <c r="V27" s="49"/>
      <c r="W27" s="40"/>
      <c r="X27" s="40"/>
    </row>
    <row r="28" spans="1:247" ht="15.75" customHeight="1">
      <c r="A28" s="838" t="s">
        <v>71</v>
      </c>
      <c r="B28" s="656">
        <f>'Exhibit J'!I32</f>
        <v>187.20000000000007</v>
      </c>
      <c r="C28" s="656"/>
      <c r="D28" s="962">
        <f>+'Exhibit J'!AB32</f>
        <v>652.5</v>
      </c>
      <c r="E28" s="656"/>
      <c r="F28" s="965">
        <v>0</v>
      </c>
      <c r="G28" s="656"/>
      <c r="H28" s="1434">
        <v>0</v>
      </c>
      <c r="I28" s="962"/>
      <c r="J28" s="1426">
        <f>ROUND(SUM(B28)+SUM(F28),1)</f>
        <v>187.2</v>
      </c>
      <c r="K28" s="1213"/>
      <c r="L28" s="962">
        <f>ROUND(SUM(D28)+SUM(H28),1)</f>
        <v>652.5</v>
      </c>
      <c r="M28" s="1435"/>
      <c r="N28" s="1043">
        <v>183.4</v>
      </c>
      <c r="O28" s="1050"/>
      <c r="P28" s="1777">
        <f>'Exhibit J'!AE32</f>
        <v>660.7</v>
      </c>
      <c r="Q28" s="993"/>
      <c r="R28" s="1436"/>
      <c r="S28" s="656">
        <f>ROUND(SUM(L28-P28),1)</f>
        <v>-8.1999999999999993</v>
      </c>
      <c r="T28" s="682"/>
      <c r="U28" s="1471">
        <f>ROUND(+S28/P28,3)</f>
        <v>-1.2E-2</v>
      </c>
      <c r="V28" s="59"/>
      <c r="W28" s="40"/>
      <c r="X28" s="40"/>
    </row>
    <row r="29" spans="1:247" ht="15.75">
      <c r="A29" s="29" t="s">
        <v>58</v>
      </c>
      <c r="B29" s="3609">
        <f>ROUND(SUM(B25:B28),1)</f>
        <v>192</v>
      </c>
      <c r="C29" s="941"/>
      <c r="D29" s="61">
        <f>ROUND(SUM(D25:D28),1)</f>
        <v>671.9</v>
      </c>
      <c r="E29" s="941"/>
      <c r="F29" s="61">
        <f>ROUND(SUM(F24:F28),1)</f>
        <v>49.6</v>
      </c>
      <c r="G29" s="941"/>
      <c r="H29" s="61">
        <f>ROUND(SUM(H25:H28),1)</f>
        <v>185.1</v>
      </c>
      <c r="I29" s="63"/>
      <c r="J29" s="71">
        <f>ROUND(SUM(J25:J28),1)</f>
        <v>241.6</v>
      </c>
      <c r="K29" s="941"/>
      <c r="L29" s="72">
        <f>ROUND(SUM(L25:L28),1)</f>
        <v>857</v>
      </c>
      <c r="M29" s="64"/>
      <c r="N29" s="3609">
        <f>ROUND(SUM(N25:N28),1)</f>
        <v>225.2</v>
      </c>
      <c r="O29" s="112"/>
      <c r="P29" s="3609">
        <f>ROUND(SUM(P25:P28),1)</f>
        <v>878.7</v>
      </c>
      <c r="Q29" s="76"/>
      <c r="R29" s="337"/>
      <c r="S29" s="61">
        <f>ROUND(SUM(S25:S28),1)</f>
        <v>-21.7</v>
      </c>
      <c r="T29" s="682"/>
      <c r="U29" s="1474">
        <f>ROUND(+S29/P29,3)</f>
        <v>-2.5000000000000001E-2</v>
      </c>
      <c r="V29" s="59"/>
      <c r="W29" s="40"/>
      <c r="X29" s="40"/>
    </row>
    <row r="30" spans="1:247" ht="15.75">
      <c r="A30" s="29"/>
      <c r="B30" s="656"/>
      <c r="C30" s="656"/>
      <c r="D30" s="656"/>
      <c r="E30" s="656"/>
      <c r="F30" s="656"/>
      <c r="G30" s="656"/>
      <c r="H30" s="656"/>
      <c r="I30" s="1426"/>
      <c r="J30" s="1426"/>
      <c r="K30" s="656"/>
      <c r="L30" s="656"/>
      <c r="M30" s="1426"/>
      <c r="N30" s="1043"/>
      <c r="O30" s="914"/>
      <c r="P30" s="1043"/>
      <c r="Q30" s="962"/>
      <c r="R30" s="1428"/>
      <c r="S30" s="939"/>
      <c r="T30" s="1431"/>
      <c r="U30" s="1473"/>
      <c r="V30" s="49"/>
      <c r="W30" s="40"/>
      <c r="X30" s="40"/>
    </row>
    <row r="31" spans="1:247" ht="16.149999999999999" customHeight="1">
      <c r="A31" s="29" t="s">
        <v>44</v>
      </c>
      <c r="B31" s="656"/>
      <c r="C31" s="656"/>
      <c r="D31" s="656"/>
      <c r="E31" s="656"/>
      <c r="F31" s="656"/>
      <c r="G31" s="656"/>
      <c r="H31" s="656"/>
      <c r="I31" s="1426"/>
      <c r="J31" s="1426"/>
      <c r="K31" s="656"/>
      <c r="L31" s="656"/>
      <c r="M31" s="1426"/>
      <c r="N31" s="1043"/>
      <c r="O31" s="914"/>
      <c r="P31" s="1043"/>
      <c r="Q31" s="962"/>
      <c r="R31" s="1428"/>
      <c r="S31" s="939"/>
      <c r="T31" s="1431"/>
      <c r="U31" s="1473"/>
      <c r="V31" s="49"/>
      <c r="W31" s="40"/>
      <c r="X31" s="40"/>
    </row>
    <row r="32" spans="1:247" ht="15.75">
      <c r="A32" s="29" t="s">
        <v>72</v>
      </c>
      <c r="B32" s="73">
        <f>ROUND(SUM(B21-B29),1)</f>
        <v>0.5</v>
      </c>
      <c r="C32" s="941"/>
      <c r="D32" s="74">
        <f>ROUND(SUM(D21-D29),1)</f>
        <v>1.2</v>
      </c>
      <c r="E32" s="941"/>
      <c r="F32" s="74">
        <f>ROUND(SUM(F21-F29),1)</f>
        <v>7</v>
      </c>
      <c r="G32" s="941"/>
      <c r="H32" s="74">
        <f>ROUND(SUM(H21-H29),1)</f>
        <v>-20.5</v>
      </c>
      <c r="I32" s="64"/>
      <c r="J32" s="75">
        <f>ROUND(SUM(J21-J29),1)</f>
        <v>7.5</v>
      </c>
      <c r="K32" s="941"/>
      <c r="L32" s="74">
        <f>ROUND(SUM(L21-L29),1)</f>
        <v>-19.3</v>
      </c>
      <c r="M32" s="64"/>
      <c r="N32" s="113">
        <f>ROUND(SUM(N21-N29),1)</f>
        <v>-10.9</v>
      </c>
      <c r="O32" s="115"/>
      <c r="P32" s="113">
        <f>ROUND(SUM(P21-P29),1)</f>
        <v>-26.5</v>
      </c>
      <c r="Q32" s="76"/>
      <c r="R32" s="337"/>
      <c r="S32" s="74">
        <f>ROUND(SUM(S21-S29),1)</f>
        <v>7.2</v>
      </c>
      <c r="T32" s="1431"/>
      <c r="U32" s="1675">
        <f>-ROUND(+S32/P32,3)</f>
        <v>0.27200000000000002</v>
      </c>
      <c r="V32" s="49"/>
      <c r="W32" s="40"/>
      <c r="X32" s="40"/>
    </row>
    <row r="33" spans="1:247">
      <c r="A33" s="31"/>
      <c r="B33" s="656"/>
      <c r="C33" s="656"/>
      <c r="D33" s="656"/>
      <c r="E33" s="656"/>
      <c r="F33" s="656"/>
      <c r="G33" s="656"/>
      <c r="H33" s="656"/>
      <c r="I33" s="1426"/>
      <c r="J33" s="1426"/>
      <c r="K33" s="656"/>
      <c r="L33" s="656"/>
      <c r="M33" s="1426"/>
      <c r="N33" s="1043"/>
      <c r="O33" s="914"/>
      <c r="P33" s="1043"/>
      <c r="Q33" s="962"/>
      <c r="R33" s="1428"/>
      <c r="S33" s="939"/>
      <c r="T33" s="1431"/>
      <c r="U33" s="1473"/>
      <c r="V33" s="49"/>
      <c r="W33" s="40"/>
      <c r="X33" s="40"/>
    </row>
    <row r="34" spans="1:247" ht="16.149999999999999" customHeight="1">
      <c r="A34" s="29" t="s">
        <v>46</v>
      </c>
      <c r="B34" s="656"/>
      <c r="C34" s="656"/>
      <c r="D34" s="656"/>
      <c r="E34" s="656"/>
      <c r="F34" s="656"/>
      <c r="G34" s="656"/>
      <c r="H34" s="656"/>
      <c r="I34" s="1426"/>
      <c r="J34" s="1426"/>
      <c r="K34" s="656"/>
      <c r="L34" s="656"/>
      <c r="M34" s="1426"/>
      <c r="N34" s="1043"/>
      <c r="O34" s="914"/>
      <c r="P34" s="1043"/>
      <c r="Q34" s="962"/>
      <c r="R34" s="1428"/>
      <c r="S34" s="939"/>
      <c r="T34" s="1431"/>
      <c r="U34" s="1473"/>
      <c r="V34" s="49"/>
      <c r="W34" s="40"/>
      <c r="X34" s="40"/>
    </row>
    <row r="35" spans="1:247" ht="16.149999999999999" customHeight="1">
      <c r="A35" s="31" t="s">
        <v>48</v>
      </c>
      <c r="B35" s="965">
        <f>+'Exhibit J'!I44</f>
        <v>0</v>
      </c>
      <c r="C35" s="656"/>
      <c r="D35" s="965">
        <f>+'Exhibit J'!AB44</f>
        <v>0</v>
      </c>
      <c r="E35" s="656"/>
      <c r="F35" s="656">
        <f>'Exhibit K'!H39</f>
        <v>2.2999999999999972</v>
      </c>
      <c r="G35" s="695"/>
      <c r="H35" s="1437">
        <f>+'Exhibit K'!AA39</f>
        <v>38.799999999999997</v>
      </c>
      <c r="I35" s="1426"/>
      <c r="J35" s="1426">
        <f>ROUND(SUM(B35)+SUM(F35),1)</f>
        <v>2.2999999999999998</v>
      </c>
      <c r="K35" s="695"/>
      <c r="L35" s="1432">
        <f>ROUND(SUM(D35)+SUM(H35),1)</f>
        <v>38.799999999999997</v>
      </c>
      <c r="M35" s="962"/>
      <c r="N35" s="1043">
        <v>1.5999999999999999</v>
      </c>
      <c r="O35" s="1043"/>
      <c r="P35" s="1778">
        <f>'Exhibit J'!AE44+'Exhibit K'!AD39</f>
        <v>34.700000000000003</v>
      </c>
      <c r="Q35" s="1433"/>
      <c r="R35" s="1438"/>
      <c r="S35" s="656">
        <f>ROUND(SUM(L35-P35),1)</f>
        <v>4.0999999999999996</v>
      </c>
      <c r="T35" s="682"/>
      <c r="U35" s="1421">
        <f>ROUND(IF(S35=0,0,S35/(P35)),3)</f>
        <v>0.11799999999999999</v>
      </c>
      <c r="V35" s="80"/>
      <c r="W35" s="40"/>
      <c r="X35" s="40"/>
    </row>
    <row r="36" spans="1:247" s="1776" customFormat="1" ht="16.149999999999999" customHeight="1">
      <c r="A36" s="107" t="s">
        <v>73</v>
      </c>
      <c r="B36" s="3192">
        <f>+'Exhibit J'!I45</f>
        <v>0</v>
      </c>
      <c r="C36" s="1063"/>
      <c r="D36" s="1057">
        <f>+'Exhibit J'!AB45</f>
        <v>0</v>
      </c>
      <c r="E36" s="914"/>
      <c r="F36" s="914">
        <f>'Exhibit K'!H40</f>
        <v>0</v>
      </c>
      <c r="G36" s="914"/>
      <c r="H36" s="1047">
        <f>+'Exhibit K'!AA40</f>
        <v>0</v>
      </c>
      <c r="I36" s="3193"/>
      <c r="J36" s="1454">
        <f>ROUND(SUM(B36)+SUM(F36),1)</f>
        <v>0</v>
      </c>
      <c r="K36" s="914"/>
      <c r="L36" s="1043">
        <f>ROUND(SUM(D36)+SUM(H36),1)</f>
        <v>0</v>
      </c>
      <c r="M36" s="1454"/>
      <c r="N36" s="1043">
        <v>0</v>
      </c>
      <c r="O36" s="3699"/>
      <c r="P36" s="1778">
        <f>'Exhibit J'!AE45+'Exhibit K'!AD40</f>
        <v>-0.1</v>
      </c>
      <c r="Q36" s="1778"/>
      <c r="R36" s="3194"/>
      <c r="S36" s="3195">
        <f>-ROUND(SUM(L36-P36),1)</f>
        <v>-0.1</v>
      </c>
      <c r="T36" s="662"/>
      <c r="U36" s="3196">
        <f>ROUND(IF(P36=0,0,S36/ABS(P36)),3)</f>
        <v>-1</v>
      </c>
      <c r="V36" s="3197"/>
      <c r="W36" s="3198"/>
      <c r="X36" s="3198"/>
    </row>
    <row r="37" spans="1:247" ht="15.75">
      <c r="A37" s="29" t="s">
        <v>50</v>
      </c>
      <c r="B37" s="81">
        <f>ROUND(SUM(B35:B36),1)</f>
        <v>0</v>
      </c>
      <c r="C37" s="82"/>
      <c r="D37" s="81">
        <f>ROUND(SUM(D35:D36),1)</f>
        <v>0</v>
      </c>
      <c r="E37" s="941"/>
      <c r="F37" s="83">
        <f>ROUND(SUM(F35:F36),1)</f>
        <v>2.2999999999999998</v>
      </c>
      <c r="G37" s="84"/>
      <c r="H37" s="85">
        <f>ROUND(SUM(H35:H36),1)</f>
        <v>38.799999999999997</v>
      </c>
      <c r="I37" s="76"/>
      <c r="J37" s="86">
        <f>ROUND(SUM(J35:J36),1)</f>
        <v>2.2999999999999998</v>
      </c>
      <c r="K37" s="84"/>
      <c r="L37" s="85">
        <f>ROUND(SUM(L35:L36),1)</f>
        <v>38.799999999999997</v>
      </c>
      <c r="M37" s="64"/>
      <c r="N37" s="3702">
        <f>ROUND(SUM(N35:N36),1)</f>
        <v>1.6</v>
      </c>
      <c r="O37" s="112"/>
      <c r="P37" s="3702">
        <f>ROUND(SUM(P35:P36),1)</f>
        <v>34.6</v>
      </c>
      <c r="Q37" s="1001"/>
      <c r="R37" s="1007"/>
      <c r="S37" s="83">
        <f>L37-P37</f>
        <v>4.1999999999999957</v>
      </c>
      <c r="T37" s="1439"/>
      <c r="U37" s="286">
        <f>ROUND(SUM(S37/P37),3)</f>
        <v>0.121</v>
      </c>
      <c r="V37" s="87"/>
      <c r="W37" s="40"/>
      <c r="X37" s="40"/>
    </row>
    <row r="38" spans="1:247" ht="15.75">
      <c r="A38" s="29"/>
      <c r="B38" s="704"/>
      <c r="C38" s="656"/>
      <c r="D38" s="704"/>
      <c r="E38" s="656"/>
      <c r="F38" s="962"/>
      <c r="G38" s="656"/>
      <c r="H38" s="962"/>
      <c r="I38" s="1426"/>
      <c r="J38" s="1426"/>
      <c r="K38" s="656"/>
      <c r="L38" s="704"/>
      <c r="M38" s="1426"/>
      <c r="N38" s="1043"/>
      <c r="O38" s="914"/>
      <c r="P38" s="1043"/>
      <c r="Q38" s="962"/>
      <c r="R38" s="1428"/>
      <c r="S38" s="939"/>
      <c r="T38" s="1431"/>
      <c r="U38" s="842"/>
      <c r="V38" s="49"/>
      <c r="W38" s="40"/>
      <c r="X38" s="40"/>
    </row>
    <row r="39" spans="1:247" ht="15.75" customHeight="1">
      <c r="A39" s="29" t="s">
        <v>44</v>
      </c>
      <c r="B39" s="656"/>
      <c r="C39" s="656"/>
      <c r="D39" s="656"/>
      <c r="E39" s="656"/>
      <c r="F39" s="914"/>
      <c r="G39" s="656"/>
      <c r="H39" s="656"/>
      <c r="I39" s="1426"/>
      <c r="J39" s="1426"/>
      <c r="K39" s="656"/>
      <c r="L39" s="656"/>
      <c r="M39" s="1426"/>
      <c r="N39" s="1043"/>
      <c r="O39" s="914"/>
      <c r="P39" s="1043"/>
      <c r="Q39" s="962"/>
      <c r="R39" s="1428"/>
      <c r="S39" s="939"/>
      <c r="T39" s="1431"/>
      <c r="U39" s="842"/>
      <c r="V39" s="49"/>
      <c r="W39" s="40"/>
      <c r="X39" s="40"/>
    </row>
    <row r="40" spans="1:247" ht="15.75" customHeight="1">
      <c r="A40" s="29" t="s">
        <v>74</v>
      </c>
      <c r="B40" s="656"/>
      <c r="C40" s="656"/>
      <c r="D40" s="656"/>
      <c r="E40" s="656"/>
      <c r="F40" s="914"/>
      <c r="G40" s="656"/>
      <c r="H40" s="656"/>
      <c r="I40" s="1426"/>
      <c r="J40" s="1426"/>
      <c r="K40" s="656"/>
      <c r="L40" s="656"/>
      <c r="M40" s="1426"/>
      <c r="N40" s="1043"/>
      <c r="O40" s="914"/>
      <c r="P40" s="1043"/>
      <c r="Q40" s="962"/>
      <c r="R40" s="1428"/>
      <c r="S40" s="939"/>
      <c r="T40" s="1431"/>
      <c r="U40" s="842"/>
      <c r="V40" s="49"/>
      <c r="W40" s="40"/>
      <c r="X40" s="40"/>
    </row>
    <row r="41" spans="1:247" ht="15.75" customHeight="1">
      <c r="A41" s="29" t="s">
        <v>75</v>
      </c>
      <c r="B41" s="656"/>
      <c r="C41" s="656"/>
      <c r="D41" s="656"/>
      <c r="E41" s="656"/>
      <c r="F41" s="914"/>
      <c r="G41" s="656"/>
      <c r="H41" s="656"/>
      <c r="I41" s="1426"/>
      <c r="J41" s="1426"/>
      <c r="K41" s="656"/>
      <c r="L41" s="656"/>
      <c r="M41" s="1426"/>
      <c r="N41" s="1043"/>
      <c r="O41" s="914"/>
      <c r="P41" s="1043"/>
      <c r="Q41" s="962"/>
      <c r="R41" s="1428"/>
      <c r="S41" s="939"/>
      <c r="T41" s="1431"/>
      <c r="U41" s="842"/>
      <c r="V41" s="49"/>
      <c r="W41" s="40"/>
      <c r="X41" s="40"/>
    </row>
    <row r="42" spans="1:247" ht="15.75" customHeight="1">
      <c r="A42" s="29" t="s">
        <v>76</v>
      </c>
      <c r="B42" s="89">
        <f>ROUND(SUM(B32,B37),1)</f>
        <v>0.5</v>
      </c>
      <c r="C42" s="941"/>
      <c r="D42" s="89">
        <f>ROUND(SUM(D32,D37),1)</f>
        <v>1.2</v>
      </c>
      <c r="E42" s="941"/>
      <c r="F42" s="1674">
        <f>ROUND(SUM(F32,F37),1)</f>
        <v>9.3000000000000007</v>
      </c>
      <c r="G42" s="941"/>
      <c r="H42" s="89">
        <f>ROUND(SUM(H32,H37),1)</f>
        <v>18.3</v>
      </c>
      <c r="I42" s="90"/>
      <c r="J42" s="89">
        <f>ROUND(SUM(J32,J37),1)</f>
        <v>9.8000000000000007</v>
      </c>
      <c r="K42" s="941"/>
      <c r="L42" s="89">
        <f>ROUND(SUM(L32,L37),1)</f>
        <v>19.5</v>
      </c>
      <c r="M42" s="64"/>
      <c r="N42" s="1674">
        <f>ROUND(SUM(N32,N37),1)</f>
        <v>-9.3000000000000007</v>
      </c>
      <c r="O42" s="112"/>
      <c r="P42" s="1674">
        <f>ROUND(SUM(P32,P37),1)</f>
        <v>8.1</v>
      </c>
      <c r="Q42" s="89"/>
      <c r="R42" s="1008"/>
      <c r="S42" s="89">
        <f>ROUND(SUM(S32,S37),1)</f>
        <v>11.4</v>
      </c>
      <c r="T42" s="91"/>
      <c r="U42" s="1546">
        <f>ROUND(S42/P42,3)</f>
        <v>1.407</v>
      </c>
      <c r="V42" s="49"/>
      <c r="W42" s="40"/>
      <c r="X42" s="40"/>
    </row>
    <row r="43" spans="1:247" ht="15.75">
      <c r="A43" s="29"/>
      <c r="B43" s="656"/>
      <c r="C43" s="656"/>
      <c r="D43" s="656"/>
      <c r="E43" s="656"/>
      <c r="F43" s="914"/>
      <c r="G43" s="656"/>
      <c r="H43" s="656"/>
      <c r="I43" s="1426"/>
      <c r="J43" s="1426"/>
      <c r="K43" s="656"/>
      <c r="L43" s="656"/>
      <c r="M43" s="1426"/>
      <c r="N43" s="1043"/>
      <c r="O43" s="914"/>
      <c r="P43" s="1043"/>
      <c r="Q43" s="962"/>
      <c r="R43" s="1428"/>
      <c r="S43" s="939"/>
      <c r="T43" s="1431"/>
      <c r="U43" s="939"/>
      <c r="V43" s="49"/>
      <c r="W43" s="40"/>
      <c r="X43" s="40"/>
    </row>
    <row r="44" spans="1:247" s="65" customFormat="1" ht="15.75">
      <c r="A44" s="29" t="s">
        <v>77</v>
      </c>
      <c r="B44" s="941">
        <f>+'Exhibit J'!I16</f>
        <v>27.3</v>
      </c>
      <c r="C44" s="941"/>
      <c r="D44" s="941">
        <f>+'Exhibit J'!AB16</f>
        <v>26.6</v>
      </c>
      <c r="E44" s="941"/>
      <c r="F44" s="3706">
        <f>+'Exhibit K'!H14</f>
        <v>-293.7</v>
      </c>
      <c r="G44" s="941"/>
      <c r="H44" s="941">
        <f>+'Exhibit K'!AA14</f>
        <v>-302.7</v>
      </c>
      <c r="I44" s="64"/>
      <c r="J44" s="64">
        <f>ROUND(SUM(B44)+SUM(F44),1)</f>
        <v>-266.39999999999998</v>
      </c>
      <c r="K44" s="941"/>
      <c r="L44" s="941">
        <f>ROUND(SUM(D44)+SUM(H44),1)</f>
        <v>-276.10000000000002</v>
      </c>
      <c r="M44" s="64"/>
      <c r="N44" s="120">
        <v>-227.2</v>
      </c>
      <c r="O44" s="112"/>
      <c r="P44" s="113">
        <f>'Exhibit J'!AE16+'Exhibit K'!AD14</f>
        <v>-244.6</v>
      </c>
      <c r="Q44" s="76"/>
      <c r="R44" s="337"/>
      <c r="S44" s="941">
        <f>ROUND(SUM(L44-P44),1)</f>
        <v>-31.5</v>
      </c>
      <c r="T44" s="91"/>
      <c r="U44" s="1546">
        <f>-ROUND(SUM(S44/P44),3)</f>
        <v>-0.129</v>
      </c>
      <c r="V44" s="91"/>
      <c r="W44" s="92"/>
      <c r="X44" s="92"/>
    </row>
    <row r="45" spans="1:247" ht="16.5" thickBot="1">
      <c r="A45" s="29" t="s">
        <v>78</v>
      </c>
      <c r="B45" s="93">
        <f>ROUND(SUM(B42+B44),1)</f>
        <v>27.8</v>
      </c>
      <c r="C45" s="94"/>
      <c r="D45" s="93">
        <f>ROUND(SUM(D42+D44),1)</f>
        <v>27.8</v>
      </c>
      <c r="E45" s="94"/>
      <c r="F45" s="136">
        <f>ROUND(SUM(F42+F44),1)</f>
        <v>-284.39999999999998</v>
      </c>
      <c r="G45" s="94"/>
      <c r="H45" s="93">
        <f>ROUND(SUM(H42+H44),1)</f>
        <v>-284.39999999999998</v>
      </c>
      <c r="I45" s="95"/>
      <c r="J45" s="96">
        <f>ROUND(SUM(J42+J44),1)</f>
        <v>-256.60000000000002</v>
      </c>
      <c r="K45" s="94"/>
      <c r="L45" s="97">
        <f>ROUND(SUM(L42+L44),1)</f>
        <v>-256.60000000000002</v>
      </c>
      <c r="M45" s="95"/>
      <c r="N45" s="1529">
        <f>ROUND(SUM(N42+N44),1)</f>
        <v>-236.5</v>
      </c>
      <c r="O45" s="135"/>
      <c r="P45" s="1529">
        <f>ROUND(SUM(P42+P44),1)</f>
        <v>-236.5</v>
      </c>
      <c r="Q45" s="219"/>
      <c r="R45" s="329"/>
      <c r="S45" s="98">
        <f>ROUND(SUM(S42+S44),1)</f>
        <v>-20.100000000000001</v>
      </c>
      <c r="T45" s="1220"/>
      <c r="U45" s="1518">
        <f>ROUND(SUM(S45/ABS(P45)),3)</f>
        <v>-8.5000000000000006E-2</v>
      </c>
      <c r="V45" s="52"/>
      <c r="W45" s="40"/>
      <c r="X45" s="40"/>
    </row>
    <row r="46" spans="1:247" ht="4.1500000000000004" customHeight="1" thickTop="1">
      <c r="A46" s="31"/>
      <c r="B46" s="1440"/>
      <c r="C46" s="945"/>
      <c r="D46" s="1440"/>
      <c r="E46" s="945"/>
      <c r="F46" s="1065"/>
      <c r="G46" s="945"/>
      <c r="H46" s="1440"/>
      <c r="I46" s="945"/>
      <c r="J46" s="1440"/>
      <c r="K46" s="945"/>
      <c r="L46" s="1440"/>
      <c r="M46" s="945"/>
      <c r="N46" s="1038"/>
      <c r="O46" s="1036"/>
      <c r="P46" s="1038"/>
      <c r="Q46" s="1220"/>
      <c r="R46" s="1220"/>
      <c r="S46" s="945"/>
      <c r="T46" s="1441"/>
      <c r="U46" s="1442"/>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2"/>
      <c r="G47" s="38"/>
      <c r="H47" s="38"/>
      <c r="I47" s="38"/>
      <c r="J47" s="38"/>
      <c r="K47" s="38"/>
      <c r="L47" s="38"/>
      <c r="M47" s="38"/>
      <c r="N47" s="3703"/>
      <c r="O47" s="3703"/>
      <c r="P47" s="3703"/>
      <c r="Q47" s="38"/>
      <c r="R47" s="103"/>
      <c r="S47" s="38"/>
      <c r="T47" s="44"/>
      <c r="U47" s="40"/>
      <c r="V47" s="44"/>
      <c r="W47" s="40"/>
      <c r="X47" s="40"/>
    </row>
    <row r="48" spans="1:247" s="102" customFormat="1" ht="16.5" customHeight="1">
      <c r="A48" s="1070"/>
      <c r="N48" s="1775"/>
      <c r="O48" s="1775"/>
      <c r="P48" s="1775"/>
      <c r="R48" s="1002"/>
    </row>
    <row r="49" spans="1:21">
      <c r="A49" s="706"/>
      <c r="B49" s="38"/>
      <c r="C49" s="38"/>
      <c r="D49" s="38"/>
      <c r="E49" s="38"/>
      <c r="F49" s="38"/>
      <c r="G49" s="38"/>
      <c r="H49" s="38"/>
      <c r="I49" s="38"/>
      <c r="J49" s="38"/>
      <c r="K49" s="38"/>
      <c r="L49" s="38"/>
      <c r="M49" s="38"/>
      <c r="N49" s="3704"/>
      <c r="O49" s="3703"/>
      <c r="P49" s="3704"/>
      <c r="Q49" s="38"/>
      <c r="R49" s="103"/>
      <c r="S49" s="38"/>
      <c r="T49" s="103"/>
      <c r="U49" s="38"/>
    </row>
    <row r="50" spans="1:21">
      <c r="A50" s="706"/>
      <c r="B50" s="38"/>
      <c r="C50" s="38"/>
      <c r="D50" s="38"/>
      <c r="E50" s="38"/>
      <c r="F50" s="38"/>
      <c r="G50" s="38"/>
      <c r="H50" s="38"/>
      <c r="I50" s="38"/>
      <c r="J50" s="38"/>
      <c r="K50" s="38"/>
      <c r="L50" s="38"/>
      <c r="M50" s="38"/>
      <c r="N50" s="279"/>
      <c r="O50" s="3703"/>
      <c r="P50" s="279"/>
      <c r="Q50" s="38"/>
      <c r="R50" s="103"/>
      <c r="S50" s="38"/>
      <c r="T50" s="103"/>
      <c r="U50" s="38"/>
    </row>
    <row r="51" spans="1:21">
      <c r="A51" s="706"/>
      <c r="B51" s="38"/>
      <c r="C51" s="38"/>
      <c r="D51" s="38"/>
      <c r="E51" s="38"/>
      <c r="F51" s="38"/>
      <c r="G51" s="38"/>
      <c r="H51" s="38"/>
      <c r="I51" s="38"/>
      <c r="J51" s="38"/>
      <c r="K51" s="38"/>
      <c r="L51" s="38"/>
      <c r="M51" s="38"/>
      <c r="N51" s="3703"/>
      <c r="O51" s="3703"/>
      <c r="P51" s="3703"/>
      <c r="Q51" s="38"/>
      <c r="R51" s="103"/>
      <c r="S51" s="38"/>
      <c r="T51" s="103"/>
      <c r="U51" s="38"/>
    </row>
    <row r="52" spans="1:21">
      <c r="A52" s="706"/>
      <c r="B52" s="38"/>
      <c r="C52" s="38"/>
      <c r="D52" s="38"/>
      <c r="E52" s="38"/>
      <c r="F52" s="38"/>
      <c r="G52" s="38"/>
      <c r="H52" s="38"/>
      <c r="I52" s="38"/>
      <c r="J52" s="38"/>
      <c r="K52" s="38"/>
      <c r="L52" s="38"/>
      <c r="M52" s="38"/>
      <c r="N52" s="3703"/>
      <c r="O52" s="3703"/>
      <c r="P52" s="3703"/>
      <c r="Q52" s="38"/>
      <c r="R52" s="103"/>
      <c r="S52" s="38"/>
      <c r="T52" s="103"/>
      <c r="U52" s="38"/>
    </row>
    <row r="53" spans="1:21">
      <c r="A53" s="939"/>
    </row>
    <row r="54" spans="1:21">
      <c r="A54" s="939"/>
    </row>
    <row r="55" spans="1:21">
      <c r="A55" s="939"/>
    </row>
    <row r="56" spans="1:21">
      <c r="A56" s="939"/>
    </row>
    <row r="57" spans="1:21">
      <c r="A57" s="939"/>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77734375" defaultRowHeight="15"/>
  <cols>
    <col min="1" max="1" width="44.77734375" style="907" customWidth="1"/>
    <col min="2" max="2" width="13.77734375" style="907" customWidth="1"/>
    <col min="3" max="3" width="1.77734375" style="907" customWidth="1"/>
    <col min="4" max="4" width="13.77734375" style="907" customWidth="1"/>
    <col min="5" max="5" width="2.44140625" style="907" customWidth="1"/>
    <col min="6" max="6" width="13.77734375" style="907" customWidth="1"/>
    <col min="7" max="7" width="1.77734375" style="907" customWidth="1"/>
    <col min="8" max="8" width="13.77734375" style="907" customWidth="1"/>
    <col min="9" max="9" width="1.77734375" style="907" customWidth="1"/>
    <col min="10" max="10" width="13.77734375" style="907" customWidth="1"/>
    <col min="11" max="11" width="1.77734375" style="907" customWidth="1"/>
    <col min="12" max="12" width="13.77734375" style="907" customWidth="1"/>
    <col min="13" max="13" width="0.5546875" style="907" customWidth="1"/>
    <col min="14" max="14" width="13.77734375" style="907" customWidth="1"/>
    <col min="15" max="15" width="2.5546875" style="907" customWidth="1"/>
    <col min="16" max="16" width="13.77734375" style="907" customWidth="1"/>
    <col min="17" max="17" width="1.5546875" style="907" customWidth="1"/>
    <col min="18" max="18" width="2.109375" style="1011" customWidth="1"/>
    <col min="19" max="19" width="10.5546875" style="907" bestFit="1" customWidth="1"/>
    <col min="20" max="20" width="2.44140625" style="1011" customWidth="1"/>
    <col min="21" max="21" width="11.109375" style="907" bestFit="1" customWidth="1"/>
    <col min="22" max="16384" width="8.77734375" style="907"/>
  </cols>
  <sheetData>
    <row r="1" spans="1:252">
      <c r="A1" s="657" t="s">
        <v>980</v>
      </c>
    </row>
    <row r="2" spans="1:252">
      <c r="A2" s="843"/>
    </row>
    <row r="3" spans="1:252" s="1012" customFormat="1" ht="18" customHeight="1">
      <c r="A3" s="105" t="s">
        <v>0</v>
      </c>
      <c r="B3" s="105"/>
      <c r="C3" s="105"/>
      <c r="D3" s="105"/>
      <c r="E3" s="105"/>
      <c r="F3" s="907"/>
      <c r="G3" s="907"/>
      <c r="H3" s="105"/>
      <c r="I3" s="105"/>
      <c r="J3" s="105"/>
      <c r="K3" s="105"/>
      <c r="L3" s="105"/>
      <c r="M3" s="105"/>
      <c r="N3" s="3696"/>
      <c r="P3" s="1027"/>
      <c r="Q3" s="1013"/>
      <c r="R3" s="1014"/>
      <c r="S3" s="843"/>
      <c r="T3" s="1014"/>
      <c r="U3" s="998" t="s">
        <v>79</v>
      </c>
      <c r="V3" s="843"/>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c r="FX3" s="907"/>
      <c r="FY3" s="907"/>
      <c r="FZ3" s="907"/>
      <c r="GA3" s="907"/>
      <c r="GB3" s="907"/>
      <c r="GC3" s="907"/>
      <c r="GD3" s="907"/>
      <c r="GE3" s="907"/>
      <c r="GF3" s="907"/>
      <c r="GG3" s="907"/>
      <c r="GH3" s="907"/>
      <c r="GI3" s="907"/>
      <c r="GJ3" s="907"/>
      <c r="GK3" s="907"/>
      <c r="GL3" s="907"/>
      <c r="GM3" s="907"/>
      <c r="GN3" s="907"/>
      <c r="GO3" s="907"/>
      <c r="GP3" s="907"/>
      <c r="GQ3" s="907"/>
      <c r="GR3" s="907"/>
      <c r="GS3" s="907"/>
      <c r="GT3" s="907"/>
      <c r="GU3" s="907"/>
      <c r="GV3" s="907"/>
      <c r="GW3" s="907"/>
      <c r="GX3" s="907"/>
      <c r="GY3" s="907"/>
      <c r="GZ3" s="907"/>
      <c r="HA3" s="907"/>
      <c r="HB3" s="907"/>
      <c r="HC3" s="907"/>
      <c r="HD3" s="907"/>
      <c r="HE3" s="907"/>
      <c r="HF3" s="907"/>
      <c r="HG3" s="907"/>
      <c r="HH3" s="907"/>
      <c r="HI3" s="907"/>
      <c r="HJ3" s="907"/>
      <c r="HK3" s="907"/>
      <c r="HL3" s="907"/>
      <c r="HM3" s="907"/>
      <c r="HN3" s="907"/>
      <c r="HO3" s="907"/>
      <c r="HP3" s="907"/>
      <c r="HQ3" s="907"/>
      <c r="HR3" s="907"/>
      <c r="HS3" s="907"/>
      <c r="HT3" s="907"/>
      <c r="HU3" s="907"/>
      <c r="HV3" s="907"/>
      <c r="HW3" s="907"/>
      <c r="HX3" s="907"/>
      <c r="HY3" s="907"/>
      <c r="HZ3" s="907"/>
      <c r="IA3" s="907"/>
      <c r="IB3" s="907"/>
      <c r="IC3" s="907"/>
      <c r="ID3" s="907"/>
      <c r="IE3" s="907"/>
      <c r="IF3" s="907"/>
      <c r="IG3" s="907"/>
      <c r="IH3" s="907"/>
      <c r="II3" s="907"/>
      <c r="IJ3" s="907"/>
      <c r="IK3" s="907"/>
      <c r="IL3" s="907"/>
      <c r="IM3" s="907"/>
      <c r="IN3" s="907"/>
      <c r="IO3" s="907"/>
      <c r="IP3" s="907"/>
      <c r="IQ3" s="907"/>
      <c r="IR3" s="907"/>
    </row>
    <row r="4" spans="1:252" s="1012" customFormat="1" ht="15.75" customHeight="1">
      <c r="A4" s="105" t="s">
        <v>884</v>
      </c>
      <c r="B4" s="105"/>
      <c r="C4" s="105"/>
      <c r="D4" s="105"/>
      <c r="E4" s="105"/>
      <c r="F4" s="907"/>
      <c r="G4" s="907"/>
      <c r="H4" s="105"/>
      <c r="I4" s="105"/>
      <c r="J4" s="105"/>
      <c r="K4" s="105"/>
      <c r="L4" s="105"/>
      <c r="M4" s="105"/>
      <c r="N4" s="105"/>
      <c r="O4" s="105"/>
      <c r="P4" s="105"/>
      <c r="Q4" s="1013"/>
      <c r="R4" s="1014"/>
      <c r="S4" s="843"/>
      <c r="T4" s="1014"/>
      <c r="U4" s="843"/>
      <c r="V4" s="843"/>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c r="CI4" s="907"/>
      <c r="CJ4" s="907"/>
      <c r="CK4" s="907"/>
      <c r="CL4" s="907"/>
      <c r="CM4" s="907"/>
      <c r="CN4" s="907"/>
      <c r="CO4" s="907"/>
      <c r="CP4" s="907"/>
      <c r="CQ4" s="907"/>
      <c r="CR4" s="907"/>
      <c r="CS4" s="907"/>
      <c r="CT4" s="907"/>
      <c r="CU4" s="907"/>
      <c r="CV4" s="907"/>
      <c r="CW4" s="907"/>
      <c r="CX4" s="907"/>
      <c r="CY4" s="907"/>
      <c r="CZ4" s="907"/>
      <c r="DA4" s="907"/>
      <c r="DB4" s="907"/>
      <c r="DC4" s="907"/>
      <c r="DD4" s="907"/>
      <c r="DE4" s="907"/>
      <c r="DF4" s="907"/>
      <c r="DG4" s="907"/>
      <c r="DH4" s="907"/>
      <c r="DI4" s="907"/>
      <c r="DJ4" s="907"/>
      <c r="DK4" s="907"/>
      <c r="DL4" s="907"/>
      <c r="DM4" s="907"/>
      <c r="DN4" s="907"/>
      <c r="DO4" s="907"/>
      <c r="DP4" s="907"/>
      <c r="DQ4" s="907"/>
      <c r="DR4" s="907"/>
      <c r="DS4" s="907"/>
      <c r="DT4" s="907"/>
      <c r="DU4" s="907"/>
      <c r="DV4" s="907"/>
      <c r="DW4" s="907"/>
      <c r="DX4" s="907"/>
      <c r="DY4" s="907"/>
      <c r="DZ4" s="907"/>
      <c r="EA4" s="907"/>
      <c r="EB4" s="907"/>
      <c r="EC4" s="907"/>
      <c r="ED4" s="907"/>
      <c r="EE4" s="907"/>
      <c r="EF4" s="907"/>
      <c r="EG4" s="907"/>
      <c r="EH4" s="907"/>
      <c r="EI4" s="907"/>
      <c r="EJ4" s="907"/>
      <c r="EK4" s="907"/>
      <c r="EL4" s="907"/>
      <c r="EM4" s="907"/>
      <c r="EN4" s="907"/>
      <c r="EO4" s="907"/>
      <c r="EP4" s="907"/>
      <c r="EQ4" s="907"/>
      <c r="ER4" s="907"/>
      <c r="ES4" s="907"/>
      <c r="ET4" s="907"/>
      <c r="EU4" s="907"/>
      <c r="EV4" s="907"/>
      <c r="EW4" s="907"/>
      <c r="EX4" s="907"/>
      <c r="EY4" s="907"/>
      <c r="EZ4" s="907"/>
      <c r="FA4" s="907"/>
      <c r="FB4" s="907"/>
      <c r="FC4" s="907"/>
      <c r="FD4" s="907"/>
      <c r="FE4" s="907"/>
      <c r="FF4" s="907"/>
      <c r="FG4" s="907"/>
      <c r="FH4" s="907"/>
      <c r="FI4" s="907"/>
      <c r="FJ4" s="907"/>
      <c r="FK4" s="907"/>
      <c r="FL4" s="907"/>
      <c r="FM4" s="907"/>
      <c r="FN4" s="907"/>
      <c r="FO4" s="907"/>
      <c r="FP4" s="907"/>
      <c r="FQ4" s="907"/>
      <c r="FR4" s="907"/>
      <c r="FS4" s="907"/>
      <c r="FT4" s="907"/>
      <c r="FU4" s="907"/>
      <c r="FV4" s="907"/>
      <c r="FW4" s="907"/>
      <c r="FX4" s="907"/>
      <c r="FY4" s="907"/>
      <c r="FZ4" s="907"/>
      <c r="GA4" s="907"/>
      <c r="GB4" s="907"/>
      <c r="GC4" s="907"/>
      <c r="GD4" s="907"/>
      <c r="GE4" s="907"/>
      <c r="GF4" s="907"/>
      <c r="GG4" s="907"/>
      <c r="GH4" s="907"/>
      <c r="GI4" s="907"/>
      <c r="GJ4" s="907"/>
      <c r="GK4" s="907"/>
      <c r="GL4" s="907"/>
      <c r="GM4" s="907"/>
      <c r="GN4" s="907"/>
      <c r="GO4" s="907"/>
      <c r="GP4" s="907"/>
      <c r="GQ4" s="907"/>
      <c r="GR4" s="907"/>
      <c r="GS4" s="907"/>
      <c r="GT4" s="907"/>
      <c r="GU4" s="907"/>
      <c r="GV4" s="907"/>
      <c r="GW4" s="907"/>
      <c r="GX4" s="907"/>
      <c r="GY4" s="907"/>
      <c r="GZ4" s="907"/>
      <c r="HA4" s="907"/>
      <c r="HB4" s="907"/>
      <c r="HC4" s="907"/>
      <c r="HD4" s="907"/>
      <c r="HE4" s="907"/>
      <c r="HF4" s="907"/>
      <c r="HG4" s="907"/>
      <c r="HH4" s="907"/>
      <c r="HI4" s="907"/>
      <c r="HJ4" s="907"/>
      <c r="HK4" s="907"/>
      <c r="HL4" s="907"/>
      <c r="HM4" s="907"/>
      <c r="HN4" s="907"/>
      <c r="HO4" s="907"/>
      <c r="HP4" s="907"/>
      <c r="HQ4" s="907"/>
      <c r="HR4" s="907"/>
      <c r="HS4" s="907"/>
      <c r="HT4" s="907"/>
      <c r="HU4" s="907"/>
      <c r="HV4" s="907"/>
      <c r="HW4" s="907"/>
      <c r="HX4" s="907"/>
      <c r="HY4" s="907"/>
      <c r="HZ4" s="907"/>
      <c r="IA4" s="907"/>
      <c r="IB4" s="907"/>
      <c r="IC4" s="907"/>
      <c r="ID4" s="907"/>
      <c r="IE4" s="907"/>
      <c r="IF4" s="907"/>
      <c r="IG4" s="907"/>
      <c r="IH4" s="907"/>
      <c r="II4" s="907"/>
      <c r="IJ4" s="907"/>
      <c r="IK4" s="907"/>
      <c r="IL4" s="907"/>
      <c r="IM4" s="907"/>
      <c r="IN4" s="907"/>
      <c r="IO4" s="907"/>
      <c r="IP4" s="907"/>
      <c r="IQ4" s="907"/>
      <c r="IR4" s="907"/>
    </row>
    <row r="5" spans="1:252" s="1012" customFormat="1" ht="15.75" customHeight="1">
      <c r="A5" s="261" t="s">
        <v>885</v>
      </c>
      <c r="B5" s="105"/>
      <c r="C5" s="105"/>
      <c r="D5" s="105"/>
      <c r="E5" s="105"/>
      <c r="F5" s="907"/>
      <c r="G5" s="907"/>
      <c r="H5" s="105"/>
      <c r="I5" s="105"/>
      <c r="J5" s="105"/>
      <c r="K5" s="105"/>
      <c r="L5" s="105"/>
      <c r="M5" s="105"/>
      <c r="N5" s="105"/>
      <c r="O5" s="105"/>
      <c r="P5" s="105" t="s">
        <v>15</v>
      </c>
      <c r="Q5" s="1013"/>
      <c r="R5" s="1014"/>
      <c r="S5" s="843"/>
      <c r="T5" s="1014"/>
      <c r="U5" s="843"/>
      <c r="V5" s="843"/>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7"/>
      <c r="CQ5" s="907"/>
      <c r="CR5" s="907"/>
      <c r="CS5" s="907"/>
      <c r="CT5" s="907"/>
      <c r="CU5" s="907"/>
      <c r="CV5" s="907"/>
      <c r="CW5" s="907"/>
      <c r="CX5" s="907"/>
      <c r="CY5" s="907"/>
      <c r="CZ5" s="907"/>
      <c r="DA5" s="907"/>
      <c r="DB5" s="907"/>
      <c r="DC5" s="907"/>
      <c r="DD5" s="907"/>
      <c r="DE5" s="907"/>
      <c r="DF5" s="907"/>
      <c r="DG5" s="907"/>
      <c r="DH5" s="907"/>
      <c r="DI5" s="907"/>
      <c r="DJ5" s="907"/>
      <c r="DK5" s="907"/>
      <c r="DL5" s="907"/>
      <c r="DM5" s="907"/>
      <c r="DN5" s="907"/>
      <c r="DO5" s="907"/>
      <c r="DP5" s="907"/>
      <c r="DQ5" s="907"/>
      <c r="DR5" s="907"/>
      <c r="DS5" s="907"/>
      <c r="DT5" s="907"/>
      <c r="DU5" s="907"/>
      <c r="DV5" s="907"/>
      <c r="DW5" s="907"/>
      <c r="DX5" s="907"/>
      <c r="DY5" s="907"/>
      <c r="DZ5" s="907"/>
      <c r="EA5" s="907"/>
      <c r="EB5" s="907"/>
      <c r="EC5" s="907"/>
      <c r="ED5" s="907"/>
      <c r="EE5" s="907"/>
      <c r="EF5" s="907"/>
      <c r="EG5" s="907"/>
      <c r="EH5" s="907"/>
      <c r="EI5" s="907"/>
      <c r="EJ5" s="907"/>
      <c r="EK5" s="907"/>
      <c r="EL5" s="907"/>
      <c r="EM5" s="907"/>
      <c r="EN5" s="907"/>
      <c r="EO5" s="907"/>
      <c r="EP5" s="907"/>
      <c r="EQ5" s="907"/>
      <c r="ER5" s="907"/>
      <c r="ES5" s="907"/>
      <c r="ET5" s="907"/>
      <c r="EU5" s="907"/>
      <c r="EV5" s="907"/>
      <c r="EW5" s="907"/>
      <c r="EX5" s="907"/>
      <c r="EY5" s="907"/>
      <c r="EZ5" s="907"/>
      <c r="FA5" s="907"/>
      <c r="FB5" s="907"/>
      <c r="FC5" s="907"/>
      <c r="FD5" s="907"/>
      <c r="FE5" s="907"/>
      <c r="FF5" s="907"/>
      <c r="FG5" s="907"/>
      <c r="FH5" s="907"/>
      <c r="FI5" s="907"/>
      <c r="FJ5" s="907"/>
      <c r="FK5" s="907"/>
      <c r="FL5" s="907"/>
      <c r="FM5" s="907"/>
      <c r="FN5" s="907"/>
      <c r="FO5" s="907"/>
      <c r="FP5" s="907"/>
      <c r="FQ5" s="907"/>
      <c r="FR5" s="907"/>
      <c r="FS5" s="907"/>
      <c r="FT5" s="907"/>
      <c r="FU5" s="907"/>
      <c r="FV5" s="907"/>
      <c r="FW5" s="907"/>
      <c r="FX5" s="907"/>
      <c r="FY5" s="907"/>
      <c r="FZ5" s="907"/>
      <c r="GA5" s="907"/>
      <c r="GB5" s="907"/>
      <c r="GC5" s="907"/>
      <c r="GD5" s="907"/>
      <c r="GE5" s="907"/>
      <c r="GF5" s="907"/>
      <c r="GG5" s="907"/>
      <c r="GH5" s="907"/>
      <c r="GI5" s="907"/>
      <c r="GJ5" s="907"/>
      <c r="GK5" s="907"/>
      <c r="GL5" s="907"/>
      <c r="GM5" s="907"/>
      <c r="GN5" s="907"/>
      <c r="GO5" s="907"/>
      <c r="GP5" s="907"/>
      <c r="GQ5" s="907"/>
      <c r="GR5" s="907"/>
      <c r="GS5" s="907"/>
      <c r="GT5" s="907"/>
      <c r="GU5" s="907"/>
      <c r="GV5" s="907"/>
      <c r="GW5" s="907"/>
      <c r="GX5" s="907"/>
      <c r="GY5" s="907"/>
      <c r="GZ5" s="907"/>
      <c r="HA5" s="907"/>
      <c r="HB5" s="907"/>
      <c r="HC5" s="907"/>
      <c r="HD5" s="907"/>
      <c r="HE5" s="907"/>
      <c r="HF5" s="907"/>
      <c r="HG5" s="907"/>
      <c r="HH5" s="907"/>
      <c r="HI5" s="907"/>
      <c r="HJ5" s="907"/>
      <c r="HK5" s="907"/>
      <c r="HL5" s="907"/>
      <c r="HM5" s="907"/>
      <c r="HN5" s="907"/>
      <c r="HO5" s="907"/>
      <c r="HP5" s="907"/>
      <c r="HQ5" s="907"/>
      <c r="HR5" s="907"/>
      <c r="HS5" s="907"/>
      <c r="HT5" s="907"/>
      <c r="HU5" s="907"/>
      <c r="HV5" s="907"/>
      <c r="HW5" s="907"/>
      <c r="HX5" s="907"/>
      <c r="HY5" s="907"/>
      <c r="HZ5" s="907"/>
      <c r="IA5" s="907"/>
      <c r="IB5" s="907"/>
      <c r="IC5" s="907"/>
      <c r="ID5" s="907"/>
      <c r="IE5" s="907"/>
      <c r="IF5" s="907"/>
      <c r="IG5" s="907"/>
      <c r="IH5" s="907"/>
      <c r="II5" s="907"/>
      <c r="IJ5" s="907"/>
      <c r="IK5" s="907"/>
      <c r="IL5" s="907"/>
      <c r="IM5" s="907"/>
      <c r="IN5" s="907"/>
      <c r="IO5" s="907"/>
      <c r="IP5" s="907"/>
      <c r="IQ5" s="907"/>
      <c r="IR5" s="907"/>
    </row>
    <row r="6" spans="1:252" s="1012" customFormat="1" ht="15.75" customHeight="1">
      <c r="A6" s="105" t="s">
        <v>1433</v>
      </c>
      <c r="B6" s="105"/>
      <c r="C6" s="105"/>
      <c r="D6" s="105"/>
      <c r="E6" s="105"/>
      <c r="F6" s="907"/>
      <c r="G6" s="907"/>
      <c r="H6" s="105"/>
      <c r="I6" s="105"/>
      <c r="J6" s="105"/>
      <c r="K6" s="105"/>
      <c r="L6" s="105"/>
      <c r="M6" s="105"/>
      <c r="N6" s="105"/>
      <c r="O6" s="105"/>
      <c r="P6" s="105"/>
      <c r="Q6" s="1013"/>
      <c r="R6" s="1014"/>
      <c r="S6" s="843"/>
      <c r="T6" s="1014"/>
      <c r="U6" s="843"/>
      <c r="V6" s="843"/>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7"/>
      <c r="CD6" s="907"/>
      <c r="CE6" s="907"/>
      <c r="CF6" s="907"/>
      <c r="CG6" s="907"/>
      <c r="CH6" s="907"/>
      <c r="CI6" s="907"/>
      <c r="CJ6" s="907"/>
      <c r="CK6" s="907"/>
      <c r="CL6" s="907"/>
      <c r="CM6" s="907"/>
      <c r="CN6" s="907"/>
      <c r="CO6" s="907"/>
      <c r="CP6" s="907"/>
      <c r="CQ6" s="907"/>
      <c r="CR6" s="907"/>
      <c r="CS6" s="907"/>
      <c r="CT6" s="907"/>
      <c r="CU6" s="907"/>
      <c r="CV6" s="907"/>
      <c r="CW6" s="907"/>
      <c r="CX6" s="907"/>
      <c r="CY6" s="907"/>
      <c r="CZ6" s="907"/>
      <c r="DA6" s="907"/>
      <c r="DB6" s="907"/>
      <c r="DC6" s="907"/>
      <c r="DD6" s="907"/>
      <c r="DE6" s="907"/>
      <c r="DF6" s="907"/>
      <c r="DG6" s="907"/>
      <c r="DH6" s="907"/>
      <c r="DI6" s="907"/>
      <c r="DJ6" s="907"/>
      <c r="DK6" s="907"/>
      <c r="DL6" s="907"/>
      <c r="DM6" s="907"/>
      <c r="DN6" s="907"/>
      <c r="DO6" s="907"/>
      <c r="DP6" s="907"/>
      <c r="DQ6" s="907"/>
      <c r="DR6" s="907"/>
      <c r="DS6" s="907"/>
      <c r="DT6" s="907"/>
      <c r="DU6" s="907"/>
      <c r="DV6" s="907"/>
      <c r="DW6" s="907"/>
      <c r="DX6" s="907"/>
      <c r="DY6" s="907"/>
      <c r="DZ6" s="907"/>
      <c r="EA6" s="907"/>
      <c r="EB6" s="907"/>
      <c r="EC6" s="907"/>
      <c r="ED6" s="907"/>
      <c r="EE6" s="907"/>
      <c r="EF6" s="907"/>
      <c r="EG6" s="907"/>
      <c r="EH6" s="907"/>
      <c r="EI6" s="907"/>
      <c r="EJ6" s="907"/>
      <c r="EK6" s="907"/>
      <c r="EL6" s="907"/>
      <c r="EM6" s="907"/>
      <c r="EN6" s="907"/>
      <c r="EO6" s="907"/>
      <c r="EP6" s="907"/>
      <c r="EQ6" s="907"/>
      <c r="ER6" s="907"/>
      <c r="ES6" s="907"/>
      <c r="ET6" s="907"/>
      <c r="EU6" s="907"/>
      <c r="EV6" s="907"/>
      <c r="EW6" s="907"/>
      <c r="EX6" s="907"/>
      <c r="EY6" s="907"/>
      <c r="EZ6" s="907"/>
      <c r="FA6" s="907"/>
      <c r="FB6" s="907"/>
      <c r="FC6" s="907"/>
      <c r="FD6" s="907"/>
      <c r="FE6" s="907"/>
      <c r="FF6" s="907"/>
      <c r="FG6" s="907"/>
      <c r="FH6" s="907"/>
      <c r="FI6" s="907"/>
      <c r="FJ6" s="907"/>
      <c r="FK6" s="907"/>
      <c r="FL6" s="907"/>
      <c r="FM6" s="907"/>
      <c r="FN6" s="907"/>
      <c r="FO6" s="907"/>
      <c r="FP6" s="907"/>
      <c r="FQ6" s="907"/>
      <c r="FR6" s="907"/>
      <c r="FS6" s="907"/>
      <c r="FT6" s="907"/>
      <c r="FU6" s="907"/>
      <c r="FV6" s="907"/>
      <c r="FW6" s="907"/>
      <c r="FX6" s="907"/>
      <c r="FY6" s="907"/>
      <c r="FZ6" s="907"/>
      <c r="GA6" s="907"/>
      <c r="GB6" s="907"/>
      <c r="GC6" s="907"/>
      <c r="GD6" s="907"/>
      <c r="GE6" s="907"/>
      <c r="GF6" s="907"/>
      <c r="GG6" s="907"/>
      <c r="GH6" s="907"/>
      <c r="GI6" s="907"/>
      <c r="GJ6" s="907"/>
      <c r="GK6" s="907"/>
      <c r="GL6" s="907"/>
      <c r="GM6" s="907"/>
      <c r="GN6" s="907"/>
      <c r="GO6" s="907"/>
      <c r="GP6" s="907"/>
      <c r="GQ6" s="907"/>
      <c r="GR6" s="907"/>
      <c r="GS6" s="907"/>
      <c r="GT6" s="907"/>
      <c r="GU6" s="907"/>
      <c r="GV6" s="907"/>
      <c r="GW6" s="907"/>
      <c r="GX6" s="907"/>
      <c r="GY6" s="907"/>
      <c r="GZ6" s="907"/>
      <c r="HA6" s="907"/>
      <c r="HB6" s="907"/>
      <c r="HC6" s="907"/>
      <c r="HD6" s="907"/>
      <c r="HE6" s="907"/>
      <c r="HF6" s="907"/>
      <c r="HG6" s="907"/>
      <c r="HH6" s="907"/>
      <c r="HI6" s="907"/>
      <c r="HJ6" s="907"/>
      <c r="HK6" s="907"/>
      <c r="HL6" s="907"/>
      <c r="HM6" s="907"/>
      <c r="HN6" s="907"/>
      <c r="HO6" s="907"/>
      <c r="HP6" s="907"/>
      <c r="HQ6" s="907"/>
      <c r="HR6" s="907"/>
      <c r="HS6" s="907"/>
      <c r="HT6" s="907"/>
      <c r="HU6" s="907"/>
      <c r="HV6" s="907"/>
      <c r="HW6" s="907"/>
      <c r="HX6" s="907"/>
      <c r="HY6" s="907"/>
      <c r="HZ6" s="907"/>
      <c r="IA6" s="907"/>
      <c r="IB6" s="907"/>
      <c r="IC6" s="907"/>
      <c r="ID6" s="907"/>
      <c r="IE6" s="907"/>
      <c r="IF6" s="907"/>
      <c r="IG6" s="907"/>
      <c r="IH6" s="907"/>
      <c r="II6" s="907"/>
      <c r="IJ6" s="907"/>
      <c r="IK6" s="907"/>
      <c r="IL6" s="907"/>
      <c r="IM6" s="907"/>
      <c r="IN6" s="907"/>
      <c r="IO6" s="907"/>
      <c r="IP6" s="907"/>
      <c r="IQ6" s="907"/>
      <c r="IR6" s="907"/>
    </row>
    <row r="7" spans="1:252" s="1012" customFormat="1" ht="15.75">
      <c r="A7" s="108"/>
      <c r="B7" s="105"/>
      <c r="C7" s="105"/>
      <c r="D7" s="105"/>
      <c r="E7" s="105"/>
      <c r="F7" s="907"/>
      <c r="G7" s="907"/>
      <c r="H7" s="105"/>
      <c r="I7" s="105"/>
      <c r="J7" s="105"/>
      <c r="K7" s="105"/>
      <c r="L7" s="105"/>
      <c r="M7" s="105"/>
      <c r="N7" s="105"/>
      <c r="O7" s="105"/>
      <c r="P7" s="105"/>
      <c r="Q7" s="1013"/>
      <c r="R7" s="1014"/>
      <c r="S7" s="843"/>
      <c r="T7" s="1014"/>
      <c r="U7" s="843"/>
      <c r="V7" s="843"/>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907"/>
      <c r="CE7" s="907"/>
      <c r="CF7" s="907"/>
      <c r="CG7" s="907"/>
      <c r="CH7" s="907"/>
      <c r="CI7" s="907"/>
      <c r="CJ7" s="907"/>
      <c r="CK7" s="907"/>
      <c r="CL7" s="907"/>
      <c r="CM7" s="907"/>
      <c r="CN7" s="907"/>
      <c r="CO7" s="907"/>
      <c r="CP7" s="907"/>
      <c r="CQ7" s="907"/>
      <c r="CR7" s="907"/>
      <c r="CS7" s="907"/>
      <c r="CT7" s="907"/>
      <c r="CU7" s="907"/>
      <c r="CV7" s="907"/>
      <c r="CW7" s="907"/>
      <c r="CX7" s="907"/>
      <c r="CY7" s="907"/>
      <c r="CZ7" s="907"/>
      <c r="DA7" s="907"/>
      <c r="DB7" s="907"/>
      <c r="DC7" s="907"/>
      <c r="DD7" s="907"/>
      <c r="DE7" s="907"/>
      <c r="DF7" s="907"/>
      <c r="DG7" s="907"/>
      <c r="DH7" s="907"/>
      <c r="DI7" s="907"/>
      <c r="DJ7" s="907"/>
      <c r="DK7" s="907"/>
      <c r="DL7" s="907"/>
      <c r="DM7" s="907"/>
      <c r="DN7" s="907"/>
      <c r="DO7" s="907"/>
      <c r="DP7" s="907"/>
      <c r="DQ7" s="907"/>
      <c r="DR7" s="907"/>
      <c r="DS7" s="907"/>
      <c r="DT7" s="907"/>
      <c r="DU7" s="907"/>
      <c r="DV7" s="907"/>
      <c r="DW7" s="907"/>
      <c r="DX7" s="907"/>
      <c r="DY7" s="907"/>
      <c r="DZ7" s="907"/>
      <c r="EA7" s="907"/>
      <c r="EB7" s="907"/>
      <c r="EC7" s="907"/>
      <c r="ED7" s="907"/>
      <c r="EE7" s="907"/>
      <c r="EF7" s="907"/>
      <c r="EG7" s="907"/>
      <c r="EH7" s="907"/>
      <c r="EI7" s="907"/>
      <c r="EJ7" s="907"/>
      <c r="EK7" s="907"/>
      <c r="EL7" s="907"/>
      <c r="EM7" s="907"/>
      <c r="EN7" s="907"/>
      <c r="EO7" s="907"/>
      <c r="EP7" s="907"/>
      <c r="EQ7" s="907"/>
      <c r="ER7" s="907"/>
      <c r="ES7" s="907"/>
      <c r="ET7" s="907"/>
      <c r="EU7" s="907"/>
      <c r="EV7" s="907"/>
      <c r="EW7" s="907"/>
      <c r="EX7" s="907"/>
      <c r="EY7" s="907"/>
      <c r="EZ7" s="907"/>
      <c r="FA7" s="907"/>
      <c r="FB7" s="907"/>
      <c r="FC7" s="907"/>
      <c r="FD7" s="907"/>
      <c r="FE7" s="907"/>
      <c r="FF7" s="907"/>
      <c r="FG7" s="907"/>
      <c r="FH7" s="907"/>
      <c r="FI7" s="907"/>
      <c r="FJ7" s="907"/>
      <c r="FK7" s="907"/>
      <c r="FL7" s="907"/>
      <c r="FM7" s="907"/>
      <c r="FN7" s="907"/>
      <c r="FO7" s="907"/>
      <c r="FP7" s="907"/>
      <c r="FQ7" s="907"/>
      <c r="FR7" s="907"/>
      <c r="FS7" s="907"/>
      <c r="FT7" s="907"/>
      <c r="FU7" s="907"/>
      <c r="FV7" s="907"/>
      <c r="FW7" s="907"/>
      <c r="FX7" s="907"/>
      <c r="FY7" s="907"/>
      <c r="FZ7" s="907"/>
      <c r="GA7" s="907"/>
      <c r="GB7" s="907"/>
      <c r="GC7" s="907"/>
      <c r="GD7" s="907"/>
      <c r="GE7" s="907"/>
      <c r="GF7" s="907"/>
      <c r="GG7" s="907"/>
      <c r="GH7" s="907"/>
      <c r="GI7" s="907"/>
      <c r="GJ7" s="907"/>
      <c r="GK7" s="907"/>
      <c r="GL7" s="907"/>
      <c r="GM7" s="907"/>
      <c r="GN7" s="907"/>
      <c r="GO7" s="907"/>
      <c r="GP7" s="907"/>
      <c r="GQ7" s="907"/>
      <c r="GR7" s="907"/>
      <c r="GS7" s="907"/>
      <c r="GT7" s="907"/>
      <c r="GU7" s="907"/>
      <c r="GV7" s="907"/>
      <c r="GW7" s="907"/>
      <c r="GX7" s="907"/>
      <c r="GY7" s="907"/>
      <c r="GZ7" s="907"/>
      <c r="HA7" s="907"/>
      <c r="HB7" s="907"/>
      <c r="HC7" s="907"/>
      <c r="HD7" s="907"/>
      <c r="HE7" s="907"/>
      <c r="HF7" s="907"/>
      <c r="HG7" s="907"/>
      <c r="HH7" s="907"/>
      <c r="HI7" s="907"/>
      <c r="HJ7" s="907"/>
      <c r="HK7" s="907"/>
      <c r="HL7" s="907"/>
      <c r="HM7" s="907"/>
      <c r="HN7" s="907"/>
      <c r="HO7" s="907"/>
      <c r="HP7" s="907"/>
      <c r="HQ7" s="907"/>
      <c r="HR7" s="907"/>
      <c r="HS7" s="907"/>
      <c r="HT7" s="907"/>
      <c r="HU7" s="907"/>
      <c r="HV7" s="907"/>
      <c r="HW7" s="907"/>
      <c r="HX7" s="907"/>
      <c r="HY7" s="907"/>
      <c r="HZ7" s="907"/>
      <c r="IA7" s="907"/>
      <c r="IB7" s="907"/>
      <c r="IC7" s="907"/>
      <c r="ID7" s="907"/>
      <c r="IE7" s="907"/>
      <c r="IF7" s="907"/>
      <c r="IG7" s="907"/>
      <c r="IH7" s="907"/>
      <c r="II7" s="907"/>
      <c r="IJ7" s="907"/>
      <c r="IK7" s="907"/>
      <c r="IL7" s="907"/>
      <c r="IM7" s="907"/>
      <c r="IN7" s="907"/>
      <c r="IO7" s="907"/>
      <c r="IP7" s="907"/>
      <c r="IQ7" s="907"/>
      <c r="IR7" s="907"/>
    </row>
    <row r="8" spans="1:252" s="1012" customFormat="1" ht="15.75">
      <c r="B8" s="105"/>
      <c r="C8" s="105"/>
      <c r="D8" s="105"/>
      <c r="E8" s="105"/>
      <c r="F8" s="907"/>
      <c r="G8" s="907"/>
      <c r="H8" s="105"/>
      <c r="I8" s="105"/>
      <c r="J8" s="105"/>
      <c r="K8" s="105"/>
      <c r="L8" s="105"/>
      <c r="M8" s="105"/>
      <c r="N8" s="105"/>
      <c r="O8" s="105"/>
      <c r="P8" s="105"/>
      <c r="Q8" s="1013"/>
      <c r="R8" s="1014"/>
      <c r="S8" s="843"/>
      <c r="T8" s="1014"/>
      <c r="U8" s="843"/>
      <c r="V8" s="843"/>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7"/>
      <c r="CQ8" s="907"/>
      <c r="CR8" s="907"/>
      <c r="CS8" s="907"/>
      <c r="CT8" s="907"/>
      <c r="CU8" s="907"/>
      <c r="CV8" s="907"/>
      <c r="CW8" s="907"/>
      <c r="CX8" s="907"/>
      <c r="CY8" s="907"/>
      <c r="CZ8" s="907"/>
      <c r="DA8" s="907"/>
      <c r="DB8" s="907"/>
      <c r="DC8" s="907"/>
      <c r="DD8" s="907"/>
      <c r="DE8" s="907"/>
      <c r="DF8" s="907"/>
      <c r="DG8" s="907"/>
      <c r="DH8" s="907"/>
      <c r="DI8" s="907"/>
      <c r="DJ8" s="907"/>
      <c r="DK8" s="907"/>
      <c r="DL8" s="907"/>
      <c r="DM8" s="907"/>
      <c r="DN8" s="907"/>
      <c r="DO8" s="907"/>
      <c r="DP8" s="907"/>
      <c r="DQ8" s="907"/>
      <c r="DR8" s="907"/>
      <c r="DS8" s="907"/>
      <c r="DT8" s="907"/>
      <c r="DU8" s="907"/>
      <c r="DV8" s="907"/>
      <c r="DW8" s="907"/>
      <c r="DX8" s="907"/>
      <c r="DY8" s="907"/>
      <c r="DZ8" s="907"/>
      <c r="EA8" s="907"/>
      <c r="EB8" s="907"/>
      <c r="EC8" s="907"/>
      <c r="ED8" s="907"/>
      <c r="EE8" s="907"/>
      <c r="EF8" s="907"/>
      <c r="EG8" s="907"/>
      <c r="EH8" s="907"/>
      <c r="EI8" s="907"/>
      <c r="EJ8" s="907"/>
      <c r="EK8" s="907"/>
      <c r="EL8" s="907"/>
      <c r="EM8" s="907"/>
      <c r="EN8" s="907"/>
      <c r="EO8" s="907"/>
      <c r="EP8" s="907"/>
      <c r="EQ8" s="907"/>
      <c r="ER8" s="907"/>
      <c r="ES8" s="907"/>
      <c r="ET8" s="907"/>
      <c r="EU8" s="907"/>
      <c r="EV8" s="907"/>
      <c r="EW8" s="907"/>
      <c r="EX8" s="907"/>
      <c r="EY8" s="907"/>
      <c r="EZ8" s="907"/>
      <c r="FA8" s="907"/>
      <c r="FB8" s="907"/>
      <c r="FC8" s="907"/>
      <c r="FD8" s="907"/>
      <c r="FE8" s="907"/>
      <c r="FF8" s="907"/>
      <c r="FG8" s="907"/>
      <c r="FH8" s="907"/>
      <c r="FI8" s="907"/>
      <c r="FJ8" s="907"/>
      <c r="FK8" s="907"/>
      <c r="FL8" s="907"/>
      <c r="FM8" s="907"/>
      <c r="FN8" s="907"/>
      <c r="FO8" s="907"/>
      <c r="FP8" s="907"/>
      <c r="FQ8" s="907"/>
      <c r="FR8" s="907"/>
      <c r="FS8" s="907"/>
      <c r="FT8" s="907"/>
      <c r="FU8" s="907"/>
      <c r="FV8" s="907"/>
      <c r="FW8" s="907"/>
      <c r="FX8" s="907"/>
      <c r="FY8" s="907"/>
      <c r="FZ8" s="907"/>
      <c r="GA8" s="907"/>
      <c r="GB8" s="907"/>
      <c r="GC8" s="907"/>
      <c r="GD8" s="907"/>
      <c r="GE8" s="907"/>
      <c r="GF8" s="907"/>
      <c r="GG8" s="907"/>
      <c r="GH8" s="907"/>
      <c r="GI8" s="907"/>
      <c r="GJ8" s="907"/>
      <c r="GK8" s="907"/>
      <c r="GL8" s="907"/>
      <c r="GM8" s="907"/>
      <c r="GN8" s="907"/>
      <c r="GO8" s="907"/>
      <c r="GP8" s="907"/>
      <c r="GQ8" s="907"/>
      <c r="GR8" s="907"/>
      <c r="GS8" s="907"/>
      <c r="GT8" s="907"/>
      <c r="GU8" s="907"/>
      <c r="GV8" s="907"/>
      <c r="GW8" s="907"/>
      <c r="GX8" s="907"/>
      <c r="GY8" s="907"/>
      <c r="GZ8" s="907"/>
      <c r="HA8" s="907"/>
      <c r="HB8" s="907"/>
      <c r="HC8" s="907"/>
      <c r="HD8" s="907"/>
      <c r="HE8" s="907"/>
      <c r="HF8" s="907"/>
      <c r="HG8" s="907"/>
      <c r="HH8" s="907"/>
      <c r="HI8" s="907"/>
      <c r="HJ8" s="907"/>
      <c r="HK8" s="907"/>
      <c r="HL8" s="907"/>
      <c r="HM8" s="907"/>
      <c r="HN8" s="907"/>
      <c r="HO8" s="907"/>
      <c r="HP8" s="907"/>
      <c r="HQ8" s="907"/>
      <c r="HR8" s="907"/>
      <c r="HS8" s="907"/>
      <c r="HT8" s="907"/>
      <c r="HU8" s="907"/>
      <c r="HV8" s="907"/>
      <c r="HW8" s="907"/>
      <c r="HX8" s="907"/>
      <c r="HY8" s="907"/>
      <c r="HZ8" s="907"/>
      <c r="IA8" s="907"/>
      <c r="IB8" s="907"/>
      <c r="IC8" s="907"/>
      <c r="ID8" s="907"/>
      <c r="IE8" s="907"/>
      <c r="IF8" s="907"/>
      <c r="IG8" s="907"/>
      <c r="IH8" s="907"/>
      <c r="II8" s="907"/>
      <c r="IJ8" s="907"/>
      <c r="IK8" s="907"/>
      <c r="IL8" s="907"/>
      <c r="IM8" s="907"/>
      <c r="IN8" s="907"/>
      <c r="IO8" s="907"/>
      <c r="IP8" s="907"/>
      <c r="IQ8" s="907"/>
      <c r="IR8" s="907"/>
    </row>
    <row r="9" spans="1:252" s="1012" customFormat="1" ht="8.1" customHeight="1">
      <c r="A9" s="1013"/>
      <c r="B9" s="105"/>
      <c r="C9" s="105"/>
      <c r="D9" s="105"/>
      <c r="E9" s="105"/>
      <c r="F9" s="105"/>
      <c r="G9" s="907"/>
      <c r="H9" s="105"/>
      <c r="I9" s="105"/>
      <c r="J9" s="105"/>
      <c r="K9" s="105"/>
      <c r="L9" s="105"/>
      <c r="M9" s="105"/>
      <c r="N9" s="105"/>
      <c r="O9" s="105"/>
      <c r="P9" s="105"/>
      <c r="Q9" s="1013"/>
      <c r="R9" s="1015"/>
      <c r="S9" s="1013"/>
      <c r="T9" s="1011"/>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07"/>
      <c r="BZ9" s="907"/>
      <c r="CA9" s="907"/>
      <c r="CB9" s="907"/>
      <c r="CC9" s="907"/>
      <c r="CD9" s="907"/>
      <c r="CE9" s="907"/>
      <c r="CF9" s="907"/>
      <c r="CG9" s="907"/>
      <c r="CH9" s="907"/>
      <c r="CI9" s="907"/>
      <c r="CJ9" s="907"/>
      <c r="CK9" s="907"/>
      <c r="CL9" s="907"/>
      <c r="CM9" s="907"/>
      <c r="CN9" s="907"/>
      <c r="CO9" s="907"/>
      <c r="CP9" s="907"/>
      <c r="CQ9" s="907"/>
      <c r="CR9" s="907"/>
      <c r="CS9" s="907"/>
      <c r="CT9" s="907"/>
      <c r="CU9" s="907"/>
      <c r="CV9" s="907"/>
      <c r="CW9" s="907"/>
      <c r="CX9" s="907"/>
      <c r="CY9" s="907"/>
      <c r="CZ9" s="907"/>
      <c r="DA9" s="907"/>
      <c r="DB9" s="907"/>
      <c r="DC9" s="907"/>
      <c r="DD9" s="907"/>
      <c r="DE9" s="907"/>
      <c r="DF9" s="907"/>
      <c r="DG9" s="907"/>
      <c r="DH9" s="907"/>
      <c r="DI9" s="907"/>
      <c r="DJ9" s="907"/>
      <c r="DK9" s="907"/>
      <c r="DL9" s="907"/>
      <c r="DM9" s="907"/>
      <c r="DN9" s="907"/>
      <c r="DO9" s="907"/>
      <c r="DP9" s="907"/>
      <c r="DQ9" s="907"/>
      <c r="DR9" s="907"/>
      <c r="DS9" s="907"/>
      <c r="DT9" s="907"/>
      <c r="DU9" s="907"/>
      <c r="DV9" s="907"/>
      <c r="DW9" s="907"/>
      <c r="DX9" s="907"/>
      <c r="DY9" s="907"/>
      <c r="DZ9" s="907"/>
      <c r="EA9" s="907"/>
      <c r="EB9" s="907"/>
      <c r="EC9" s="907"/>
      <c r="ED9" s="907"/>
      <c r="EE9" s="907"/>
      <c r="EF9" s="907"/>
      <c r="EG9" s="907"/>
      <c r="EH9" s="907"/>
      <c r="EI9" s="907"/>
      <c r="EJ9" s="907"/>
      <c r="EK9" s="907"/>
      <c r="EL9" s="907"/>
      <c r="EM9" s="907"/>
      <c r="EN9" s="907"/>
      <c r="EO9" s="907"/>
      <c r="EP9" s="907"/>
      <c r="EQ9" s="907"/>
      <c r="ER9" s="907"/>
      <c r="ES9" s="907"/>
      <c r="ET9" s="907"/>
      <c r="EU9" s="907"/>
      <c r="EV9" s="907"/>
      <c r="EW9" s="907"/>
      <c r="EX9" s="907"/>
      <c r="EY9" s="907"/>
      <c r="EZ9" s="907"/>
      <c r="FA9" s="907"/>
      <c r="FB9" s="907"/>
      <c r="FC9" s="907"/>
      <c r="FD9" s="907"/>
      <c r="FE9" s="907"/>
      <c r="FF9" s="907"/>
      <c r="FG9" s="907"/>
      <c r="FH9" s="907"/>
      <c r="FI9" s="907"/>
      <c r="FJ9" s="907"/>
      <c r="FK9" s="907"/>
      <c r="FL9" s="907"/>
      <c r="FM9" s="907"/>
      <c r="FN9" s="907"/>
      <c r="FO9" s="907"/>
      <c r="FP9" s="907"/>
      <c r="FQ9" s="907"/>
      <c r="FR9" s="907"/>
      <c r="FS9" s="907"/>
      <c r="FT9" s="907"/>
      <c r="FU9" s="907"/>
      <c r="FV9" s="907"/>
      <c r="FW9" s="907"/>
      <c r="FX9" s="907"/>
      <c r="FY9" s="907"/>
      <c r="FZ9" s="907"/>
      <c r="GA9" s="907"/>
      <c r="GB9" s="907"/>
      <c r="GC9" s="907"/>
      <c r="GD9" s="907"/>
      <c r="GE9" s="907"/>
      <c r="GF9" s="907"/>
      <c r="GG9" s="907"/>
      <c r="GH9" s="907"/>
      <c r="GI9" s="907"/>
      <c r="GJ9" s="907"/>
      <c r="GK9" s="907"/>
      <c r="GL9" s="907"/>
      <c r="GM9" s="907"/>
      <c r="GN9" s="907"/>
      <c r="GO9" s="907"/>
      <c r="GP9" s="907"/>
      <c r="GQ9" s="907"/>
      <c r="GR9" s="907"/>
      <c r="GS9" s="907"/>
      <c r="GT9" s="907"/>
      <c r="GU9" s="907"/>
      <c r="GV9" s="907"/>
      <c r="GW9" s="907"/>
      <c r="GX9" s="907"/>
      <c r="GY9" s="907"/>
      <c r="GZ9" s="907"/>
      <c r="HA9" s="907"/>
      <c r="HB9" s="907"/>
      <c r="HC9" s="907"/>
      <c r="HD9" s="907"/>
      <c r="HE9" s="907"/>
      <c r="HF9" s="907"/>
      <c r="HG9" s="907"/>
      <c r="HH9" s="907"/>
      <c r="HI9" s="907"/>
      <c r="HJ9" s="907"/>
      <c r="HK9" s="907"/>
      <c r="HL9" s="907"/>
      <c r="HM9" s="907"/>
      <c r="HN9" s="907"/>
      <c r="HO9" s="907"/>
      <c r="HP9" s="907"/>
      <c r="HQ9" s="907"/>
      <c r="HR9" s="907"/>
      <c r="HS9" s="907"/>
      <c r="HT9" s="907"/>
      <c r="HU9" s="907"/>
      <c r="HV9" s="907"/>
      <c r="HW9" s="907"/>
      <c r="HX9" s="907"/>
      <c r="HY9" s="907"/>
      <c r="HZ9" s="907"/>
      <c r="IA9" s="907"/>
      <c r="IB9" s="907"/>
      <c r="IC9" s="907"/>
      <c r="ID9" s="907"/>
      <c r="IE9" s="907"/>
      <c r="IF9" s="907"/>
      <c r="IG9" s="907"/>
      <c r="IH9" s="907"/>
      <c r="II9" s="907"/>
      <c r="IJ9" s="907"/>
      <c r="IK9" s="907"/>
      <c r="IL9" s="907"/>
      <c r="IM9" s="907"/>
      <c r="IN9" s="907"/>
      <c r="IO9" s="907"/>
      <c r="IP9" s="907"/>
      <c r="IQ9" s="907"/>
      <c r="IR9" s="907"/>
    </row>
    <row r="10" spans="1:252" s="1012" customFormat="1" ht="15.75">
      <c r="A10" s="1013"/>
      <c r="B10" s="105"/>
      <c r="C10" s="105"/>
      <c r="D10" s="105"/>
      <c r="E10" s="105"/>
      <c r="F10" s="105"/>
      <c r="G10" s="907"/>
      <c r="H10" s="105"/>
      <c r="I10" s="105"/>
      <c r="J10" s="105"/>
      <c r="K10" s="105"/>
      <c r="L10" s="105"/>
      <c r="M10" s="105"/>
      <c r="N10" s="105"/>
      <c r="O10" s="105"/>
      <c r="P10" s="105"/>
      <c r="Q10" s="1013"/>
      <c r="R10" s="1014"/>
      <c r="S10" s="843"/>
      <c r="T10" s="1014"/>
      <c r="U10" s="843"/>
      <c r="V10" s="843"/>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7"/>
      <c r="CQ10" s="907"/>
      <c r="CR10" s="907"/>
      <c r="CS10" s="907"/>
      <c r="CT10" s="907"/>
      <c r="CU10" s="907"/>
      <c r="CV10" s="907"/>
      <c r="CW10" s="907"/>
      <c r="CX10" s="907"/>
      <c r="CY10" s="907"/>
      <c r="CZ10" s="907"/>
      <c r="DA10" s="907"/>
      <c r="DB10" s="907"/>
      <c r="DC10" s="907"/>
      <c r="DD10" s="907"/>
      <c r="DE10" s="907"/>
      <c r="DF10" s="907"/>
      <c r="DG10" s="907"/>
      <c r="DH10" s="907"/>
      <c r="DI10" s="907"/>
      <c r="DJ10" s="907"/>
      <c r="DK10" s="907"/>
      <c r="DL10" s="907"/>
      <c r="DM10" s="907"/>
      <c r="DN10" s="907"/>
      <c r="DO10" s="907"/>
      <c r="DP10" s="907"/>
      <c r="DQ10" s="907"/>
      <c r="DR10" s="907"/>
      <c r="DS10" s="907"/>
      <c r="DT10" s="907"/>
      <c r="DU10" s="907"/>
      <c r="DV10" s="907"/>
      <c r="DW10" s="907"/>
      <c r="DX10" s="907"/>
      <c r="DY10" s="907"/>
      <c r="DZ10" s="907"/>
      <c r="EA10" s="907"/>
      <c r="EB10" s="907"/>
      <c r="EC10" s="907"/>
      <c r="ED10" s="907"/>
      <c r="EE10" s="907"/>
      <c r="EF10" s="907"/>
      <c r="EG10" s="907"/>
      <c r="EH10" s="907"/>
      <c r="EI10" s="907"/>
      <c r="EJ10" s="907"/>
      <c r="EK10" s="907"/>
      <c r="EL10" s="907"/>
      <c r="EM10" s="907"/>
      <c r="EN10" s="907"/>
      <c r="EO10" s="907"/>
      <c r="EP10" s="907"/>
      <c r="EQ10" s="907"/>
      <c r="ER10" s="907"/>
      <c r="ES10" s="907"/>
      <c r="ET10" s="907"/>
      <c r="EU10" s="907"/>
      <c r="EV10" s="907"/>
      <c r="EW10" s="907"/>
      <c r="EX10" s="907"/>
      <c r="EY10" s="907"/>
      <c r="EZ10" s="907"/>
      <c r="FA10" s="907"/>
      <c r="FB10" s="907"/>
      <c r="FC10" s="907"/>
      <c r="FD10" s="907"/>
      <c r="FE10" s="907"/>
      <c r="FF10" s="907"/>
      <c r="FG10" s="907"/>
      <c r="FH10" s="907"/>
      <c r="FI10" s="907"/>
      <c r="FJ10" s="907"/>
      <c r="FK10" s="907"/>
      <c r="FL10" s="907"/>
      <c r="FM10" s="907"/>
      <c r="FN10" s="907"/>
      <c r="FO10" s="907"/>
      <c r="FP10" s="907"/>
      <c r="FQ10" s="907"/>
      <c r="FR10" s="907"/>
      <c r="FS10" s="907"/>
      <c r="FT10" s="907"/>
      <c r="FU10" s="907"/>
      <c r="FV10" s="907"/>
      <c r="FW10" s="907"/>
      <c r="FX10" s="907"/>
      <c r="FY10" s="907"/>
      <c r="FZ10" s="907"/>
      <c r="GA10" s="907"/>
      <c r="GB10" s="907"/>
      <c r="GC10" s="907"/>
      <c r="GD10" s="907"/>
      <c r="GE10" s="907"/>
      <c r="GF10" s="907"/>
      <c r="GG10" s="907"/>
      <c r="GH10" s="907"/>
      <c r="GI10" s="907"/>
      <c r="GJ10" s="907"/>
      <c r="GK10" s="907"/>
      <c r="GL10" s="907"/>
      <c r="GM10" s="907"/>
      <c r="GN10" s="907"/>
      <c r="GO10" s="907"/>
      <c r="GP10" s="907"/>
      <c r="GQ10" s="907"/>
      <c r="GR10" s="907"/>
      <c r="GS10" s="907"/>
      <c r="GT10" s="907"/>
      <c r="GU10" s="907"/>
      <c r="GV10" s="907"/>
      <c r="GW10" s="907"/>
      <c r="GX10" s="907"/>
      <c r="GY10" s="907"/>
      <c r="GZ10" s="907"/>
      <c r="HA10" s="907"/>
      <c r="HB10" s="907"/>
      <c r="HC10" s="907"/>
      <c r="HD10" s="907"/>
      <c r="HE10" s="907"/>
      <c r="HF10" s="907"/>
      <c r="HG10" s="907"/>
      <c r="HH10" s="907"/>
      <c r="HI10" s="907"/>
      <c r="HJ10" s="907"/>
      <c r="HK10" s="907"/>
      <c r="HL10" s="907"/>
      <c r="HM10" s="907"/>
      <c r="HN10" s="907"/>
      <c r="HO10" s="907"/>
      <c r="HP10" s="907"/>
      <c r="HQ10" s="907"/>
      <c r="HR10" s="907"/>
      <c r="HS10" s="907"/>
      <c r="HT10" s="907"/>
      <c r="HU10" s="907"/>
      <c r="HV10" s="907"/>
      <c r="HW10" s="907"/>
      <c r="HX10" s="907"/>
      <c r="HY10" s="907"/>
      <c r="HZ10" s="907"/>
      <c r="IA10" s="907"/>
      <c r="IB10" s="907"/>
      <c r="IC10" s="907"/>
      <c r="ID10" s="907"/>
      <c r="IE10" s="907"/>
      <c r="IF10" s="907"/>
      <c r="IG10" s="907"/>
      <c r="IH10" s="907"/>
      <c r="II10" s="907"/>
      <c r="IJ10" s="907"/>
      <c r="IK10" s="907"/>
      <c r="IL10" s="907"/>
      <c r="IM10" s="907"/>
      <c r="IN10" s="907"/>
      <c r="IO10" s="907"/>
      <c r="IP10" s="907"/>
      <c r="IQ10" s="907"/>
      <c r="IR10" s="907"/>
    </row>
    <row r="11" spans="1:252" s="1012" customFormat="1" ht="15.75">
      <c r="A11" s="1013"/>
      <c r="B11" s="105"/>
      <c r="C11" s="105"/>
      <c r="D11" s="105"/>
      <c r="E11" s="105"/>
      <c r="F11" s="105"/>
      <c r="G11" s="907"/>
      <c r="H11" s="105"/>
      <c r="I11" s="105"/>
      <c r="K11" s="110"/>
      <c r="L11" s="908"/>
      <c r="M11" s="908"/>
      <c r="N11" s="110"/>
      <c r="O11" s="110"/>
      <c r="P11" s="110"/>
      <c r="Q11" s="1013"/>
      <c r="R11" s="1014"/>
      <c r="S11" s="843"/>
      <c r="T11" s="1014"/>
      <c r="U11" s="843"/>
      <c r="V11" s="843"/>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907"/>
      <c r="DX11" s="907"/>
      <c r="DY11" s="907"/>
      <c r="DZ11" s="907"/>
      <c r="EA11" s="907"/>
      <c r="EB11" s="907"/>
      <c r="EC11" s="907"/>
      <c r="ED11" s="907"/>
      <c r="EE11" s="907"/>
      <c r="EF11" s="907"/>
      <c r="EG11" s="907"/>
      <c r="EH11" s="907"/>
      <c r="EI11" s="907"/>
      <c r="EJ11" s="907"/>
      <c r="EK11" s="907"/>
      <c r="EL11" s="907"/>
      <c r="EM11" s="907"/>
      <c r="EN11" s="907"/>
      <c r="EO11" s="907"/>
      <c r="EP11" s="907"/>
      <c r="EQ11" s="907"/>
      <c r="ER11" s="907"/>
      <c r="ES11" s="907"/>
      <c r="ET11" s="907"/>
      <c r="EU11" s="907"/>
      <c r="EV11" s="907"/>
      <c r="EW11" s="907"/>
      <c r="EX11" s="907"/>
      <c r="EY11" s="907"/>
      <c r="EZ11" s="907"/>
      <c r="FA11" s="907"/>
      <c r="FB11" s="907"/>
      <c r="FC11" s="907"/>
      <c r="FD11" s="907"/>
      <c r="FE11" s="907"/>
      <c r="FF11" s="907"/>
      <c r="FG11" s="907"/>
      <c r="FH11" s="907"/>
      <c r="FI11" s="907"/>
      <c r="FJ11" s="907"/>
      <c r="FK11" s="907"/>
      <c r="FL11" s="907"/>
      <c r="FM11" s="907"/>
      <c r="FN11" s="907"/>
      <c r="FO11" s="907"/>
      <c r="FP11" s="907"/>
      <c r="FQ11" s="907"/>
      <c r="FR11" s="907"/>
      <c r="FS11" s="907"/>
      <c r="FT11" s="907"/>
      <c r="FU11" s="907"/>
      <c r="FV11" s="907"/>
      <c r="FW11" s="907"/>
      <c r="FX11" s="907"/>
      <c r="FY11" s="907"/>
      <c r="FZ11" s="907"/>
      <c r="GA11" s="907"/>
      <c r="GB11" s="907"/>
      <c r="GC11" s="907"/>
      <c r="GD11" s="907"/>
      <c r="GE11" s="907"/>
      <c r="GF11" s="907"/>
      <c r="GG11" s="907"/>
      <c r="GH11" s="907"/>
      <c r="GI11" s="907"/>
      <c r="GJ11" s="907"/>
      <c r="GK11" s="907"/>
      <c r="GL11" s="907"/>
      <c r="GM11" s="907"/>
      <c r="GN11" s="907"/>
      <c r="GO11" s="907"/>
      <c r="GP11" s="907"/>
      <c r="GQ11" s="907"/>
      <c r="GR11" s="907"/>
      <c r="GS11" s="907"/>
      <c r="GT11" s="907"/>
      <c r="GU11" s="907"/>
      <c r="GV11" s="907"/>
      <c r="GW11" s="907"/>
      <c r="GX11" s="907"/>
      <c r="GY11" s="907"/>
      <c r="GZ11" s="907"/>
      <c r="HA11" s="907"/>
      <c r="HB11" s="907"/>
      <c r="HC11" s="907"/>
      <c r="HD11" s="907"/>
      <c r="HE11" s="907"/>
      <c r="HF11" s="907"/>
      <c r="HG11" s="907"/>
      <c r="HH11" s="907"/>
      <c r="HI11" s="907"/>
      <c r="HJ11" s="907"/>
      <c r="HK11" s="907"/>
      <c r="HL11" s="907"/>
      <c r="HM11" s="907"/>
      <c r="HN11" s="907"/>
      <c r="HO11" s="907"/>
      <c r="HP11" s="907"/>
      <c r="HQ11" s="907"/>
      <c r="HR11" s="907"/>
      <c r="HS11" s="907"/>
      <c r="HT11" s="907"/>
      <c r="HU11" s="907"/>
      <c r="HV11" s="907"/>
      <c r="HW11" s="907"/>
      <c r="HX11" s="907"/>
      <c r="HY11" s="907"/>
      <c r="HZ11" s="907"/>
      <c r="IA11" s="907"/>
      <c r="IB11" s="907"/>
      <c r="IC11" s="907"/>
      <c r="ID11" s="907"/>
      <c r="IE11" s="907"/>
      <c r="IF11" s="907"/>
      <c r="IG11" s="907"/>
      <c r="IH11" s="907"/>
      <c r="II11" s="907"/>
      <c r="IJ11" s="907"/>
      <c r="IK11" s="907"/>
      <c r="IL11" s="907"/>
      <c r="IM11" s="907"/>
      <c r="IN11" s="907"/>
      <c r="IO11" s="907"/>
      <c r="IP11" s="907"/>
      <c r="IQ11" s="907"/>
      <c r="IR11" s="907"/>
    </row>
    <row r="12" spans="1:252" ht="16.149999999999999" customHeight="1">
      <c r="A12" s="1013"/>
      <c r="B12" s="110" t="s">
        <v>80</v>
      </c>
      <c r="C12" s="1016"/>
      <c r="D12" s="110"/>
      <c r="E12" s="105"/>
      <c r="F12" s="110" t="s">
        <v>81</v>
      </c>
      <c r="G12" s="1016"/>
      <c r="H12" s="110"/>
      <c r="I12" s="105"/>
      <c r="J12" s="110" t="s">
        <v>82</v>
      </c>
      <c r="K12" s="110"/>
      <c r="L12" s="908"/>
      <c r="M12" s="110"/>
      <c r="N12" s="110"/>
      <c r="O12" s="110"/>
      <c r="P12" s="110"/>
      <c r="Q12" s="1013"/>
      <c r="R12" s="1017"/>
      <c r="S12" s="3797" t="s">
        <v>905</v>
      </c>
      <c r="T12" s="3797"/>
      <c r="U12" s="3797"/>
      <c r="V12" s="843"/>
    </row>
    <row r="13" spans="1:252" ht="13.15" customHeight="1">
      <c r="A13" s="1013"/>
      <c r="B13" s="1018"/>
      <c r="C13" s="1018"/>
      <c r="D13" s="1018"/>
      <c r="E13" s="1013"/>
      <c r="F13" s="1018"/>
      <c r="G13" s="1019"/>
      <c r="H13" s="1018"/>
      <c r="I13" s="1013"/>
      <c r="J13" s="1018"/>
      <c r="K13" s="1018"/>
      <c r="L13" s="1018"/>
      <c r="M13" s="1018"/>
      <c r="N13" s="1018"/>
      <c r="O13" s="1018"/>
      <c r="P13" s="1018"/>
      <c r="Q13" s="1013"/>
      <c r="R13" s="1020"/>
      <c r="S13" s="1013"/>
      <c r="T13" s="1021"/>
      <c r="U13" s="842"/>
      <c r="V13" s="843"/>
    </row>
    <row r="14" spans="1:252" ht="16.149999999999999" customHeight="1">
      <c r="A14" s="1013"/>
      <c r="B14" s="757" t="s">
        <v>7</v>
      </c>
      <c r="C14" s="105"/>
      <c r="D14" s="758" t="str">
        <f>'Exhibit A'!F11</f>
        <v>4 MOS. ENDED</v>
      </c>
      <c r="E14" s="105"/>
      <c r="F14" s="757" t="s">
        <v>7</v>
      </c>
      <c r="G14" s="759"/>
      <c r="H14" s="757" t="str">
        <f>D14</f>
        <v>4 MOS. ENDED</v>
      </c>
      <c r="I14" s="105"/>
      <c r="J14" s="757" t="s">
        <v>7</v>
      </c>
      <c r="K14" s="105"/>
      <c r="L14" s="757" t="str">
        <f>D14</f>
        <v>4 MOS. ENDED</v>
      </c>
      <c r="M14" s="105"/>
      <c r="N14" s="757" t="s">
        <v>7</v>
      </c>
      <c r="O14" s="105"/>
      <c r="P14" s="757" t="str">
        <f>H14</f>
        <v>4 MOS. ENDED</v>
      </c>
      <c r="Q14" s="1013"/>
      <c r="R14" s="1020"/>
      <c r="S14" s="3494" t="s">
        <v>8</v>
      </c>
      <c r="T14" s="210"/>
      <c r="U14" s="766" t="s">
        <v>9</v>
      </c>
      <c r="V14" s="843"/>
    </row>
    <row r="15" spans="1:252" ht="16.149999999999999" customHeight="1">
      <c r="A15" s="1013"/>
      <c r="B15" s="924" t="str">
        <f>'Exhibit A'!D12</f>
        <v>JULY 2019</v>
      </c>
      <c r="C15" s="105"/>
      <c r="D15" s="924" t="str">
        <f>'Exhibit A'!F12</f>
        <v>JULY 31, 2019</v>
      </c>
      <c r="E15" s="105"/>
      <c r="F15" s="760" t="str">
        <f>+B15</f>
        <v>JULY 2019</v>
      </c>
      <c r="G15" s="105"/>
      <c r="H15" s="761" t="str">
        <f>D15</f>
        <v>JULY 31, 2019</v>
      </c>
      <c r="I15" s="105"/>
      <c r="J15" s="760" t="str">
        <f>+F15</f>
        <v>JULY 2019</v>
      </c>
      <c r="K15" s="105"/>
      <c r="L15" s="761" t="str">
        <f>D15</f>
        <v>JULY 31, 2019</v>
      </c>
      <c r="M15" s="105"/>
      <c r="N15" s="3697" t="str">
        <f>'Exhibit A'!AB12</f>
        <v>JULY 2018</v>
      </c>
      <c r="O15" s="105"/>
      <c r="P15" s="924" t="str">
        <f>'Exhibit A'!AD12</f>
        <v>JULY 31, 2018</v>
      </c>
      <c r="Q15" s="1013"/>
      <c r="R15" s="1020"/>
      <c r="S15" s="3495" t="s">
        <v>12</v>
      </c>
      <c r="T15" s="209"/>
      <c r="U15" s="769" t="s">
        <v>13</v>
      </c>
      <c r="V15" s="843"/>
    </row>
    <row r="16" spans="1:252" ht="13.15" customHeight="1">
      <c r="A16" s="1013"/>
      <c r="B16" s="1015"/>
      <c r="C16" s="1013"/>
      <c r="D16" s="1015" t="s">
        <v>15</v>
      </c>
      <c r="E16" s="1013"/>
      <c r="F16" s="1018"/>
      <c r="G16" s="1013"/>
      <c r="H16" s="1022" t="s">
        <v>15</v>
      </c>
      <c r="I16" s="1015"/>
      <c r="J16" s="1023"/>
      <c r="K16" s="1013"/>
      <c r="L16" s="1024"/>
      <c r="M16" s="1015"/>
      <c r="N16" s="1015"/>
      <c r="O16" s="1013"/>
      <c r="P16" s="1015"/>
      <c r="Q16" s="1013"/>
      <c r="R16" s="1025"/>
      <c r="S16" s="843"/>
      <c r="T16" s="1015"/>
      <c r="U16" s="843"/>
      <c r="V16" s="843"/>
    </row>
    <row r="17" spans="1:245" ht="16.149999999999999" customHeight="1">
      <c r="A17" s="105" t="s">
        <v>14</v>
      </c>
      <c r="B17" s="1026"/>
      <c r="C17" s="1026"/>
      <c r="D17" s="1026"/>
      <c r="E17" s="1026"/>
      <c r="F17" s="1027"/>
      <c r="G17" s="1026"/>
      <c r="H17" s="1028"/>
      <c r="I17" s="1027"/>
      <c r="J17" s="1029"/>
      <c r="K17" s="1026"/>
      <c r="L17" s="1028"/>
      <c r="M17" s="1027"/>
      <c r="N17" s="1027"/>
      <c r="O17" s="1026"/>
      <c r="P17" s="1027"/>
      <c r="Q17" s="1013"/>
      <c r="R17" s="1030"/>
      <c r="S17" s="843"/>
      <c r="T17" s="1027"/>
      <c r="U17" s="843"/>
      <c r="V17" s="843"/>
    </row>
    <row r="18" spans="1:245" ht="16.149999999999999" customHeight="1">
      <c r="A18" s="1013" t="s">
        <v>20</v>
      </c>
      <c r="B18" s="1031">
        <f>+'Exhibit L'!H16</f>
        <v>5.1000000000000005</v>
      </c>
      <c r="C18" s="913"/>
      <c r="D18" s="912">
        <f>+'Exhibit L'!AA16</f>
        <v>23.3</v>
      </c>
      <c r="E18" s="913"/>
      <c r="F18" s="1032">
        <f>'Exhibit M'!H16</f>
        <v>0.19999999999999996</v>
      </c>
      <c r="G18" s="913"/>
      <c r="H18" s="1033">
        <f>+'Exhibit M'!AA16</f>
        <v>0.6</v>
      </c>
      <c r="I18" s="1034"/>
      <c r="J18" s="1035">
        <f>SUM(B18)+SUM(F18)</f>
        <v>5.3000000000000007</v>
      </c>
      <c r="K18" s="913"/>
      <c r="L18" s="1033">
        <f>D18+SUM(H18)</f>
        <v>23.900000000000002</v>
      </c>
      <c r="M18" s="1034"/>
      <c r="N18" s="3698">
        <v>5.1999999999999993</v>
      </c>
      <c r="O18" s="913"/>
      <c r="P18" s="3698">
        <f>'Exhibit L'!AD16+'Exhibit M'!AD16</f>
        <v>24</v>
      </c>
      <c r="Q18" s="1036"/>
      <c r="R18" s="1037"/>
      <c r="S18" s="1145">
        <f>ROUND(SUM(L18-P18),1)</f>
        <v>-0.1</v>
      </c>
      <c r="T18" s="1038"/>
      <c r="U18" s="1421">
        <f>ROUND(IF(S18=0,0,S18/ABS(P18)),3)</f>
        <v>-4.0000000000000001E-3</v>
      </c>
      <c r="V18" s="1039"/>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c r="BW18" s="1040"/>
      <c r="BX18" s="1040"/>
      <c r="BY18" s="1040"/>
      <c r="BZ18" s="1040"/>
      <c r="CA18" s="1040"/>
      <c r="CB18" s="1040"/>
      <c r="CC18" s="1040"/>
      <c r="CD18" s="1040"/>
      <c r="CE18" s="1040"/>
      <c r="CF18" s="1040"/>
      <c r="CG18" s="1040"/>
      <c r="CH18" s="1040"/>
      <c r="CI18" s="1040"/>
      <c r="CJ18" s="1040"/>
      <c r="CK18" s="1040"/>
      <c r="CL18" s="1040"/>
      <c r="CM18" s="1040"/>
      <c r="CN18" s="1040"/>
      <c r="CO18" s="1040"/>
      <c r="CP18" s="1040"/>
      <c r="CQ18" s="1040"/>
      <c r="CR18" s="1040"/>
      <c r="CS18" s="1040"/>
      <c r="CT18" s="1040"/>
      <c r="CU18" s="1040"/>
      <c r="CV18" s="1040"/>
      <c r="CW18" s="1040"/>
      <c r="CX18" s="1040"/>
      <c r="CY18" s="1040"/>
      <c r="CZ18" s="1040"/>
      <c r="DA18" s="1040"/>
      <c r="DB18" s="1040"/>
      <c r="DC18" s="1040"/>
      <c r="DD18" s="1040"/>
      <c r="DE18" s="1040"/>
      <c r="DF18" s="1040"/>
      <c r="DG18" s="1040"/>
      <c r="DH18" s="1040"/>
      <c r="DI18" s="1040"/>
      <c r="DJ18" s="1040"/>
      <c r="DK18" s="1040"/>
      <c r="DL18" s="1040"/>
      <c r="DM18" s="1040"/>
      <c r="DN18" s="1040"/>
      <c r="DO18" s="1040"/>
      <c r="DP18" s="1040"/>
      <c r="DQ18" s="1040"/>
      <c r="DR18" s="1040"/>
      <c r="DS18" s="1040"/>
      <c r="DT18" s="1040"/>
      <c r="DU18" s="1040"/>
      <c r="DV18" s="1040"/>
      <c r="DW18" s="1040"/>
      <c r="DX18" s="1040"/>
      <c r="DY18" s="1040"/>
      <c r="DZ18" s="1040"/>
      <c r="EA18" s="1040"/>
      <c r="EB18" s="1040"/>
      <c r="EC18" s="1040"/>
      <c r="ED18" s="1040"/>
      <c r="EE18" s="1040"/>
      <c r="EF18" s="1040"/>
      <c r="EG18" s="1040"/>
      <c r="EH18" s="1040"/>
      <c r="EI18" s="1040"/>
      <c r="EJ18" s="1040"/>
      <c r="EK18" s="1040"/>
      <c r="EL18" s="1040"/>
      <c r="EM18" s="1040"/>
      <c r="EN18" s="1040"/>
      <c r="EO18" s="1040"/>
      <c r="EP18" s="1040"/>
      <c r="EQ18" s="1040"/>
      <c r="ER18" s="1040"/>
      <c r="ES18" s="1040"/>
      <c r="ET18" s="1040"/>
      <c r="EU18" s="1040"/>
      <c r="EV18" s="1040"/>
      <c r="EW18" s="1040"/>
      <c r="EX18" s="1040"/>
      <c r="EY18" s="1040"/>
      <c r="EZ18" s="1040"/>
      <c r="FA18" s="1040"/>
      <c r="FB18" s="1040"/>
      <c r="FC18" s="1040"/>
      <c r="FD18" s="1040"/>
      <c r="FE18" s="1040"/>
      <c r="FF18" s="1040"/>
      <c r="FG18" s="1040"/>
      <c r="FH18" s="1040"/>
      <c r="FI18" s="1040"/>
      <c r="FJ18" s="1040"/>
      <c r="FK18" s="1040"/>
      <c r="FL18" s="1040"/>
      <c r="FM18" s="1040"/>
      <c r="FN18" s="1040"/>
      <c r="FO18" s="1040"/>
      <c r="FP18" s="1040"/>
      <c r="FQ18" s="1040"/>
      <c r="FR18" s="1040"/>
      <c r="FS18" s="1040"/>
      <c r="FT18" s="1040"/>
      <c r="FU18" s="1040"/>
      <c r="FV18" s="1040"/>
      <c r="FW18" s="1040"/>
      <c r="FX18" s="1040"/>
      <c r="FY18" s="1040"/>
      <c r="FZ18" s="1040"/>
      <c r="GA18" s="1040"/>
      <c r="GB18" s="1040"/>
      <c r="GC18" s="1040"/>
      <c r="GD18" s="1040"/>
      <c r="GE18" s="1040"/>
      <c r="GF18" s="1040"/>
      <c r="GG18" s="1040"/>
      <c r="GH18" s="1040"/>
      <c r="GI18" s="1040"/>
      <c r="GJ18" s="1040"/>
      <c r="GK18" s="1040"/>
      <c r="GL18" s="1040"/>
      <c r="GM18" s="1040"/>
      <c r="GN18" s="1040"/>
      <c r="GO18" s="1040"/>
      <c r="GP18" s="1040"/>
      <c r="GQ18" s="1040"/>
      <c r="GR18" s="1040"/>
      <c r="GS18" s="1040"/>
      <c r="GT18" s="1040"/>
      <c r="GU18" s="1040"/>
      <c r="GV18" s="1040"/>
      <c r="GW18" s="1040"/>
      <c r="GX18" s="1040"/>
      <c r="GY18" s="1040"/>
      <c r="GZ18" s="1040"/>
      <c r="HA18" s="1040"/>
      <c r="HB18" s="1040"/>
      <c r="HC18" s="1040"/>
      <c r="HD18" s="1040"/>
      <c r="HE18" s="1040"/>
      <c r="HF18" s="1040"/>
      <c r="HG18" s="1040"/>
      <c r="HH18" s="1040"/>
      <c r="HI18" s="1040"/>
      <c r="HJ18" s="1040"/>
      <c r="HK18" s="1040"/>
      <c r="HL18" s="1040"/>
      <c r="HM18" s="1040"/>
      <c r="HN18" s="1040"/>
      <c r="HO18" s="1040"/>
      <c r="HP18" s="1040"/>
      <c r="HQ18" s="1040"/>
      <c r="HR18" s="1040"/>
      <c r="HS18" s="1040"/>
      <c r="HT18" s="1040"/>
      <c r="HU18" s="1040"/>
      <c r="HV18" s="1040"/>
      <c r="HW18" s="1040"/>
      <c r="HX18" s="1040"/>
      <c r="HY18" s="1040"/>
      <c r="HZ18" s="1040"/>
      <c r="IA18" s="1040"/>
      <c r="IB18" s="1040"/>
      <c r="IC18" s="1040"/>
      <c r="ID18" s="1040"/>
      <c r="IE18" s="1040"/>
      <c r="IF18" s="1040"/>
      <c r="IG18" s="1040"/>
      <c r="IH18" s="1040"/>
      <c r="II18" s="1040"/>
      <c r="IJ18" s="1040"/>
      <c r="IK18" s="1040"/>
    </row>
    <row r="19" spans="1:245" ht="15.75">
      <c r="A19" s="105" t="s">
        <v>22</v>
      </c>
      <c r="B19" s="111">
        <f>ROUND(SUM(B18),1)</f>
        <v>5.0999999999999996</v>
      </c>
      <c r="C19" s="112"/>
      <c r="D19" s="111">
        <f>ROUND(SUM(D18),1)</f>
        <v>23.3</v>
      </c>
      <c r="E19" s="112"/>
      <c r="F19" s="113">
        <f>ROUND(SUM(F18),1)</f>
        <v>0.2</v>
      </c>
      <c r="G19" s="112"/>
      <c r="H19" s="114">
        <f>ROUND(SUM(H18),1)</f>
        <v>0.6</v>
      </c>
      <c r="I19" s="115"/>
      <c r="J19" s="116">
        <f>ROUND(SUM(J18),1)</f>
        <v>5.3</v>
      </c>
      <c r="K19" s="112"/>
      <c r="L19" s="114">
        <f>ROUND(SUM(L18),1)</f>
        <v>23.9</v>
      </c>
      <c r="M19" s="115"/>
      <c r="N19" s="111">
        <f>ROUND(SUM(N18),1)</f>
        <v>5.2</v>
      </c>
      <c r="O19" s="112"/>
      <c r="P19" s="111">
        <f>ROUND(SUM(P18),1)</f>
        <v>24</v>
      </c>
      <c r="Q19" s="759"/>
      <c r="R19" s="1041"/>
      <c r="S19" s="1068">
        <f>ROUND(SUM(S18),3)</f>
        <v>-0.1</v>
      </c>
      <c r="T19" s="662"/>
      <c r="U19" s="1069">
        <f>ROUND(+S19/P19,3)</f>
        <v>-4.0000000000000001E-3</v>
      </c>
      <c r="V19" s="843"/>
    </row>
    <row r="20" spans="1:245" ht="15.75">
      <c r="A20" s="105"/>
      <c r="B20" s="914"/>
      <c r="C20" s="914"/>
      <c r="D20" s="914"/>
      <c r="E20" s="914"/>
      <c r="F20" s="914"/>
      <c r="G20" s="914"/>
      <c r="H20" s="1042"/>
      <c r="I20" s="1043"/>
      <c r="J20" s="1044"/>
      <c r="K20" s="914"/>
      <c r="L20" s="1045"/>
      <c r="M20" s="1043"/>
      <c r="N20" s="1043"/>
      <c r="O20" s="914"/>
      <c r="P20" s="1043"/>
      <c r="R20" s="1030"/>
      <c r="S20" s="1067"/>
      <c r="T20" s="1027"/>
      <c r="U20" s="843"/>
      <c r="V20" s="843"/>
    </row>
    <row r="21" spans="1:245" ht="16.149999999999999" customHeight="1">
      <c r="A21" s="105" t="s">
        <v>23</v>
      </c>
      <c r="B21" s="914"/>
      <c r="C21" s="914"/>
      <c r="D21" s="914"/>
      <c r="E21" s="914"/>
      <c r="F21" s="914"/>
      <c r="G21" s="914"/>
      <c r="H21" s="1045"/>
      <c r="I21" s="1043"/>
      <c r="J21" s="1044"/>
      <c r="K21" s="914"/>
      <c r="L21" s="1045"/>
      <c r="M21" s="1043"/>
      <c r="N21" s="1043"/>
      <c r="O21" s="914"/>
      <c r="P21" s="1043"/>
      <c r="R21" s="1030"/>
      <c r="S21" s="1067"/>
      <c r="T21" s="1027"/>
      <c r="U21" s="843"/>
      <c r="V21" s="843"/>
    </row>
    <row r="22" spans="1:245" ht="16.149999999999999" customHeight="1">
      <c r="A22" s="1013" t="s">
        <v>36</v>
      </c>
      <c r="B22" s="914"/>
      <c r="C22" s="914"/>
      <c r="D22" s="914"/>
      <c r="E22" s="914"/>
      <c r="F22" s="914"/>
      <c r="G22" s="914"/>
      <c r="H22" s="1045"/>
      <c r="I22" s="1043"/>
      <c r="J22" s="1044"/>
      <c r="K22" s="914"/>
      <c r="L22" s="1045"/>
      <c r="M22" s="1043"/>
      <c r="N22" s="1043"/>
      <c r="O22" s="914"/>
      <c r="P22" s="1043"/>
      <c r="R22" s="1030"/>
      <c r="S22" s="1067"/>
      <c r="T22" s="1027"/>
      <c r="U22" s="843"/>
      <c r="V22" s="843"/>
    </row>
    <row r="23" spans="1:245" ht="16.149999999999999" customHeight="1">
      <c r="A23" s="1013" t="s">
        <v>68</v>
      </c>
      <c r="B23" s="700">
        <f>+'Exhibit L'!H22</f>
        <v>5.0000000000000009</v>
      </c>
      <c r="C23" s="914"/>
      <c r="D23" s="700">
        <f>+'Exhibit L'!AA22</f>
        <v>23.4</v>
      </c>
      <c r="E23" s="914"/>
      <c r="F23" s="1046">
        <f>+'Exhibit M'!H22</f>
        <v>0.1</v>
      </c>
      <c r="G23" s="914"/>
      <c r="H23" s="1047">
        <f>+'Exhibit M'!AA22</f>
        <v>0.1</v>
      </c>
      <c r="I23" s="1043"/>
      <c r="J23" s="1048">
        <f>SUM(B23)+SUM(F23)</f>
        <v>5.1000000000000005</v>
      </c>
      <c r="K23" s="914"/>
      <c r="L23" s="1049">
        <f>SUM(D23)+SUM(H23)</f>
        <v>23.5</v>
      </c>
      <c r="M23" s="1043"/>
      <c r="N23" s="1050">
        <v>5.0999999999999996</v>
      </c>
      <c r="O23" s="914"/>
      <c r="P23" s="1050">
        <f>'Exhibit L'!AD22+'Exhibit M'!AD22</f>
        <v>23.700000000000003</v>
      </c>
      <c r="R23" s="1030"/>
      <c r="S23" s="1067">
        <f>ROUND(SUM(L23-P23),1)</f>
        <v>-0.2</v>
      </c>
      <c r="T23" s="1027"/>
      <c r="U23" s="1421">
        <f>ROUND(IF(S23=0,0,S23/ABS(P23)),3)</f>
        <v>-8.0000000000000002E-3</v>
      </c>
      <c r="V23" s="843"/>
    </row>
    <row r="24" spans="1:245" ht="16.149999999999999" customHeight="1">
      <c r="A24" s="1013" t="s">
        <v>69</v>
      </c>
      <c r="B24" s="700">
        <f>+'Exhibit L'!H23</f>
        <v>1.2999999999999998</v>
      </c>
      <c r="C24" s="914"/>
      <c r="D24" s="1050">
        <f>+'Exhibit L'!AA23</f>
        <v>4.5999999999999996</v>
      </c>
      <c r="E24" s="914"/>
      <c r="F24" s="1046">
        <f>+'Exhibit M'!H23</f>
        <v>0</v>
      </c>
      <c r="G24" s="914"/>
      <c r="H24" s="1047">
        <f>+'Exhibit M'!AA23</f>
        <v>0</v>
      </c>
      <c r="I24" s="1043"/>
      <c r="J24" s="1048">
        <f>SUM(B24)+SUM(F24)</f>
        <v>1.2999999999999998</v>
      </c>
      <c r="K24" s="914"/>
      <c r="L24" s="1049">
        <f>SUM(D24)+SUM(H24)</f>
        <v>4.5999999999999996</v>
      </c>
      <c r="M24" s="1043"/>
      <c r="N24" s="1050">
        <v>1.7000000000000002</v>
      </c>
      <c r="O24" s="1043"/>
      <c r="P24" s="1050">
        <f>'Exhibit L'!AD23+'Exhibit M'!AD23</f>
        <v>4.8</v>
      </c>
      <c r="R24" s="1030"/>
      <c r="S24" s="1067">
        <f>ROUND(SUM(L24-P24),1)</f>
        <v>-0.2</v>
      </c>
      <c r="T24" s="1027"/>
      <c r="U24" s="1421">
        <f>ROUND(IF(S24=0,0,S24/ABS(P24)),3)</f>
        <v>-4.2000000000000003E-2</v>
      </c>
      <c r="V24" s="843"/>
    </row>
    <row r="25" spans="1:245" ht="16.149999999999999" customHeight="1">
      <c r="A25" s="1013" t="s">
        <v>70</v>
      </c>
      <c r="B25" s="700">
        <f>+'Exhibit L'!H24</f>
        <v>4.9000000000000012</v>
      </c>
      <c r="C25" s="914"/>
      <c r="D25" s="1051">
        <f>+'Exhibit L'!AA24</f>
        <v>14.9</v>
      </c>
      <c r="E25" s="914"/>
      <c r="F25" s="1046">
        <f>+'Exhibit M'!H24</f>
        <v>0</v>
      </c>
      <c r="G25" s="914"/>
      <c r="H25" s="1052">
        <f>+'Exhibit M'!AA24</f>
        <v>0</v>
      </c>
      <c r="I25" s="1043"/>
      <c r="J25" s="1048">
        <f>SUM(B25)+SUM(F25)</f>
        <v>4.9000000000000012</v>
      </c>
      <c r="K25" s="914"/>
      <c r="L25" s="1053">
        <f>SUM(D25)+SUM(H25)</f>
        <v>14.9</v>
      </c>
      <c r="M25" s="1043"/>
      <c r="N25" s="1050">
        <v>13.3</v>
      </c>
      <c r="O25" s="3699"/>
      <c r="P25" s="1050">
        <f>'Exhibit L'!AD24+'Exhibit M'!AD24</f>
        <v>21.1</v>
      </c>
      <c r="R25" s="1030"/>
      <c r="S25" s="1067">
        <f>ROUND(SUM(L25-P25),1)</f>
        <v>-6.2</v>
      </c>
      <c r="T25" s="1027"/>
      <c r="U25" s="2302">
        <f>ROUND(IF(P25=0,1,S25/ABS(P25)),3)</f>
        <v>-0.29399999999999998</v>
      </c>
      <c r="V25" s="843"/>
    </row>
    <row r="26" spans="1:245" ht="15.75">
      <c r="A26" s="105" t="s">
        <v>58</v>
      </c>
      <c r="B26" s="111">
        <f>ROUND(SUM(B23:B25),1)</f>
        <v>11.2</v>
      </c>
      <c r="C26" s="112"/>
      <c r="D26" s="111">
        <f>ROUND(SUM(D23:D25),1)</f>
        <v>42.9</v>
      </c>
      <c r="E26" s="112"/>
      <c r="F26" s="111">
        <f>ROUND(SUM(F23:F25),1)</f>
        <v>0.1</v>
      </c>
      <c r="G26" s="112"/>
      <c r="H26" s="114">
        <f>ROUND(SUM(H23:H25),1)</f>
        <v>0.1</v>
      </c>
      <c r="I26" s="115"/>
      <c r="J26" s="116">
        <f>ROUND(SUM(J23:J25),1)</f>
        <v>11.3</v>
      </c>
      <c r="K26" s="112"/>
      <c r="L26" s="114">
        <f>ROUND(SUM(L23:L25),1)</f>
        <v>43</v>
      </c>
      <c r="M26" s="115"/>
      <c r="N26" s="111">
        <f>ROUND(SUM(N23:N25),1)</f>
        <v>20.100000000000001</v>
      </c>
      <c r="O26" s="112"/>
      <c r="P26" s="111">
        <f>ROUND(SUM(P23:P25),1)</f>
        <v>49.6</v>
      </c>
      <c r="Q26" s="759"/>
      <c r="R26" s="1009"/>
      <c r="S26" s="1068">
        <f>ROUND(SUM(S23:S25),3)</f>
        <v>-6.6</v>
      </c>
      <c r="T26" s="662"/>
      <c r="U26" s="1476">
        <f>ROUND(S26/P26,3)</f>
        <v>-0.13300000000000001</v>
      </c>
      <c r="V26" s="843"/>
    </row>
    <row r="27" spans="1:245" ht="15.75">
      <c r="A27" s="105"/>
      <c r="B27" s="914"/>
      <c r="C27" s="914"/>
      <c r="D27" s="914"/>
      <c r="E27" s="914"/>
      <c r="F27" s="914"/>
      <c r="G27" s="914"/>
      <c r="H27" s="1045"/>
      <c r="I27" s="1043"/>
      <c r="J27" s="1044"/>
      <c r="K27" s="914"/>
      <c r="L27" s="1045"/>
      <c r="M27" s="1043"/>
      <c r="N27" s="1043"/>
      <c r="O27" s="914"/>
      <c r="P27" s="1043"/>
      <c r="R27" s="1030"/>
      <c r="S27" s="1067"/>
      <c r="T27" s="1027"/>
      <c r="U27" s="843"/>
      <c r="V27" s="843"/>
    </row>
    <row r="28" spans="1:245" ht="16.149999999999999" customHeight="1">
      <c r="A28" s="105" t="s">
        <v>44</v>
      </c>
      <c r="B28" s="914"/>
      <c r="C28" s="914"/>
      <c r="D28" s="914"/>
      <c r="E28" s="914"/>
      <c r="F28" s="914"/>
      <c r="G28" s="914"/>
      <c r="H28" s="1045"/>
      <c r="I28" s="1043"/>
      <c r="J28" s="1044"/>
      <c r="K28" s="914"/>
      <c r="L28" s="1045"/>
      <c r="M28" s="1043"/>
      <c r="N28" s="1043"/>
      <c r="O28" s="914"/>
      <c r="P28" s="1043"/>
      <c r="R28" s="1030"/>
      <c r="S28" s="1067"/>
      <c r="T28" s="1027"/>
      <c r="U28" s="843"/>
      <c r="V28" s="843"/>
    </row>
    <row r="29" spans="1:245" ht="15.75">
      <c r="A29" s="105" t="s">
        <v>72</v>
      </c>
      <c r="B29" s="120">
        <f>ROUND(SUM(B19-B26),1)</f>
        <v>-6.1</v>
      </c>
      <c r="C29" s="112"/>
      <c r="D29" s="120">
        <f>ROUND(SUM(D19-D26),1)</f>
        <v>-19.600000000000001</v>
      </c>
      <c r="E29" s="112"/>
      <c r="F29" s="120">
        <f>ROUND(SUM(F19-F26),1)</f>
        <v>0.1</v>
      </c>
      <c r="G29" s="112"/>
      <c r="H29" s="121">
        <f>ROUND(SUM(H19-H26),1)</f>
        <v>0.5</v>
      </c>
      <c r="I29" s="115"/>
      <c r="J29" s="122">
        <f>ROUND(SUM(J19-J26),1)</f>
        <v>-6</v>
      </c>
      <c r="K29" s="115"/>
      <c r="L29" s="121">
        <f>ROUND(SUM(L19-L26),1)</f>
        <v>-19.100000000000001</v>
      </c>
      <c r="M29" s="115"/>
      <c r="N29" s="120">
        <f>ROUND(SUM(N19-N26),1)</f>
        <v>-14.9</v>
      </c>
      <c r="O29" s="115"/>
      <c r="P29" s="120">
        <f>ROUND(SUM(P19-P26),1)</f>
        <v>-25.6</v>
      </c>
      <c r="Q29" s="759"/>
      <c r="R29" s="1030"/>
      <c r="S29" s="1613">
        <f>ROUND(SUM(L29-P29),1)</f>
        <v>6.5</v>
      </c>
      <c r="T29" s="1027"/>
      <c r="U29" s="2194">
        <f>ROUND(IF(P29=0,1,S29/ABS(P29)),3)</f>
        <v>0.254</v>
      </c>
      <c r="V29" s="843"/>
    </row>
    <row r="30" spans="1:245">
      <c r="A30" s="1013"/>
      <c r="B30" s="914"/>
      <c r="C30" s="914"/>
      <c r="D30" s="914"/>
      <c r="E30" s="914"/>
      <c r="F30" s="914"/>
      <c r="G30" s="914"/>
      <c r="H30" s="1045"/>
      <c r="I30" s="1043"/>
      <c r="J30" s="1044"/>
      <c r="K30" s="914"/>
      <c r="L30" s="1045"/>
      <c r="M30" s="1043"/>
      <c r="N30" s="1043"/>
      <c r="O30" s="914"/>
      <c r="P30" s="1043"/>
      <c r="R30" s="1030"/>
      <c r="S30" s="1067"/>
      <c r="T30" s="1027"/>
      <c r="U30" s="843"/>
      <c r="V30" s="843"/>
    </row>
    <row r="31" spans="1:245" ht="16.149999999999999" customHeight="1">
      <c r="A31" s="105" t="s">
        <v>46</v>
      </c>
      <c r="B31" s="914"/>
      <c r="C31" s="914"/>
      <c r="D31" s="914"/>
      <c r="E31" s="914"/>
      <c r="F31" s="914"/>
      <c r="G31" s="914"/>
      <c r="H31" s="1045"/>
      <c r="I31" s="1043"/>
      <c r="J31" s="1044"/>
      <c r="K31" s="914"/>
      <c r="L31" s="1045"/>
      <c r="M31" s="1043"/>
      <c r="N31" s="1043"/>
      <c r="O31" s="914"/>
      <c r="P31" s="1043"/>
      <c r="R31" s="1030"/>
      <c r="S31" s="1067"/>
      <c r="T31" s="1027"/>
      <c r="U31" s="843"/>
      <c r="V31" s="843"/>
    </row>
    <row r="32" spans="1:245" ht="16.149999999999999" customHeight="1">
      <c r="A32" s="1013" t="s">
        <v>48</v>
      </c>
      <c r="B32" s="1046">
        <f>+'Exhibit L'!H31</f>
        <v>0</v>
      </c>
      <c r="C32" s="914"/>
      <c r="D32" s="1046">
        <f>+'Exhibit L'!AA31</f>
        <v>0</v>
      </c>
      <c r="E32" s="914"/>
      <c r="F32" s="1046">
        <f>+'Exhibit M'!H31</f>
        <v>0</v>
      </c>
      <c r="G32" s="700"/>
      <c r="H32" s="1054">
        <f>+'Exhibit M'!AA31</f>
        <v>0</v>
      </c>
      <c r="I32" s="1043"/>
      <c r="J32" s="1055">
        <f>SUM(B32)+SUM(F32)</f>
        <v>0</v>
      </c>
      <c r="K32" s="914"/>
      <c r="L32" s="1047">
        <f>SUM(D32)+SUM(H32)</f>
        <v>0</v>
      </c>
      <c r="M32" s="1043"/>
      <c r="N32" s="1050">
        <v>0</v>
      </c>
      <c r="O32" s="1043"/>
      <c r="P32" s="1051">
        <f>'Exhibit L'!AD31+'Exhibit M'!AD31</f>
        <v>0</v>
      </c>
      <c r="R32" s="1056"/>
      <c r="S32" s="1067">
        <f>ROUND(SUM(L32-P32),1)</f>
        <v>0</v>
      </c>
      <c r="T32" s="682"/>
      <c r="U32" s="1421">
        <f>ROUND(IF(S32=0,0,S32/ABS(P32)),3)</f>
        <v>0</v>
      </c>
      <c r="V32" s="843"/>
    </row>
    <row r="33" spans="1:245" ht="16.149999999999999" customHeight="1">
      <c r="A33" s="1013" t="s">
        <v>73</v>
      </c>
      <c r="B33" s="1046">
        <f>+'Exhibit L'!HP32</f>
        <v>0</v>
      </c>
      <c r="C33" s="914"/>
      <c r="D33" s="1057">
        <f>+'Exhibit L'!AA32</f>
        <v>0</v>
      </c>
      <c r="E33" s="914"/>
      <c r="F33" s="1046">
        <f>+'Exhibit M'!H32</f>
        <v>0</v>
      </c>
      <c r="G33" s="914"/>
      <c r="H33" s="1054">
        <f>+'Exhibit M'!AA32</f>
        <v>0</v>
      </c>
      <c r="I33" s="1043"/>
      <c r="J33" s="1055">
        <f>SUM(B33)+SUM(F33)</f>
        <v>0</v>
      </c>
      <c r="K33" s="914"/>
      <c r="L33" s="1058">
        <f>SUM(D33)+SUM(H33)</f>
        <v>0</v>
      </c>
      <c r="M33" s="1043"/>
      <c r="N33" s="1050">
        <v>0</v>
      </c>
      <c r="O33" s="3699"/>
      <c r="P33" s="1051">
        <f>'Exhibit L'!AD32+'Exhibit M'!AD32</f>
        <v>0</v>
      </c>
      <c r="R33" s="1059"/>
      <c r="S33" s="1067">
        <f>ROUND(SUM(L33-P33),1)</f>
        <v>0</v>
      </c>
      <c r="T33" s="682"/>
      <c r="U33" s="1421">
        <f>ROUND(IF(S33=0,0,S33/ABS(P33)),3)</f>
        <v>0</v>
      </c>
      <c r="V33" s="843"/>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60"/>
      <c r="S34" s="3496">
        <f>ROUND(SUM(S32-S33),3)</f>
        <v>0</v>
      </c>
      <c r="T34" s="1439"/>
      <c r="U34" s="1101">
        <f>ROUND(IF(P34=0,0,S34/ABS(P34)),3)</f>
        <v>0</v>
      </c>
      <c r="V34" s="843"/>
    </row>
    <row r="35" spans="1:245" ht="15.75">
      <c r="A35" s="105"/>
      <c r="B35" s="1061"/>
      <c r="C35" s="914"/>
      <c r="D35" s="1061"/>
      <c r="E35" s="914"/>
      <c r="F35" s="1043"/>
      <c r="G35" s="914"/>
      <c r="H35" s="1045"/>
      <c r="I35" s="1043"/>
      <c r="J35" s="1044"/>
      <c r="K35" s="914"/>
      <c r="L35" s="1062"/>
      <c r="M35" s="1043"/>
      <c r="N35" s="1043"/>
      <c r="O35" s="914"/>
      <c r="P35" s="1043"/>
      <c r="R35" s="1030"/>
      <c r="S35" s="1067"/>
      <c r="T35" s="1027"/>
      <c r="U35" s="843"/>
      <c r="V35" s="843"/>
    </row>
    <row r="36" spans="1:245" ht="15.75" customHeight="1">
      <c r="A36" s="105" t="s">
        <v>44</v>
      </c>
      <c r="B36" s="914"/>
      <c r="C36" s="914"/>
      <c r="D36" s="914"/>
      <c r="E36" s="914"/>
      <c r="F36" s="914"/>
      <c r="G36" s="914"/>
      <c r="H36" s="1045"/>
      <c r="I36" s="1043"/>
      <c r="J36" s="1044"/>
      <c r="K36" s="914"/>
      <c r="L36" s="1045"/>
      <c r="M36" s="1043"/>
      <c r="N36" s="1043"/>
      <c r="O36" s="914"/>
      <c r="P36" s="1043"/>
      <c r="R36" s="1030"/>
      <c r="S36" s="1067"/>
      <c r="T36" s="1027"/>
      <c r="U36" s="843"/>
      <c r="V36" s="843"/>
    </row>
    <row r="37" spans="1:245" ht="15.75" customHeight="1">
      <c r="A37" s="105" t="s">
        <v>74</v>
      </c>
      <c r="B37" s="914"/>
      <c r="C37" s="914"/>
      <c r="D37" s="914"/>
      <c r="E37" s="914"/>
      <c r="F37" s="914"/>
      <c r="G37" s="914"/>
      <c r="H37" s="1045"/>
      <c r="I37" s="1043"/>
      <c r="J37" s="1044"/>
      <c r="K37" s="914"/>
      <c r="L37" s="1045"/>
      <c r="M37" s="1043"/>
      <c r="N37" s="1043"/>
      <c r="O37" s="914"/>
      <c r="P37" s="1043"/>
      <c r="R37" s="1030"/>
      <c r="S37" s="1067"/>
      <c r="T37" s="1027"/>
      <c r="U37" s="843"/>
      <c r="V37" s="843"/>
    </row>
    <row r="38" spans="1:245" ht="15.75" customHeight="1">
      <c r="A38" s="105" t="s">
        <v>75</v>
      </c>
      <c r="B38" s="914"/>
      <c r="C38" s="914"/>
      <c r="D38" s="914"/>
      <c r="E38" s="914"/>
      <c r="F38" s="1063"/>
      <c r="G38" s="914"/>
      <c r="H38" s="1045"/>
      <c r="I38" s="1043"/>
      <c r="J38" s="1044"/>
      <c r="K38" s="914"/>
      <c r="L38" s="1045"/>
      <c r="M38" s="1043"/>
      <c r="N38" s="1043"/>
      <c r="O38" s="914"/>
      <c r="P38" s="1043"/>
      <c r="R38" s="1030"/>
      <c r="S38" s="1067"/>
      <c r="T38" s="1027"/>
      <c r="U38" s="843"/>
      <c r="V38" s="843"/>
    </row>
    <row r="39" spans="1:245" ht="15.75" customHeight="1">
      <c r="A39" s="105" t="s">
        <v>76</v>
      </c>
      <c r="B39" s="128">
        <f>ROUND(SUM(B29+B34),1)</f>
        <v>-6.1</v>
      </c>
      <c r="C39" s="112"/>
      <c r="D39" s="128">
        <f>ROUND(SUM(D29+D34),1)</f>
        <v>-19.600000000000001</v>
      </c>
      <c r="E39" s="112"/>
      <c r="F39" s="128">
        <f>ROUND(SUM(F29+F34),1)</f>
        <v>0.1</v>
      </c>
      <c r="G39" s="112"/>
      <c r="H39" s="129">
        <f>ROUND(SUM(H29+H34),1)</f>
        <v>0.5</v>
      </c>
      <c r="I39" s="115"/>
      <c r="J39" s="130">
        <f>ROUND(SUM(J29+J34),1)</f>
        <v>-6</v>
      </c>
      <c r="K39" s="112"/>
      <c r="L39" s="129">
        <f>ROUND(SUM(L29+L34),1)</f>
        <v>-19.100000000000001</v>
      </c>
      <c r="M39" s="115"/>
      <c r="N39" s="128">
        <f>ROUND(SUM(N29+N34),1)</f>
        <v>-14.9</v>
      </c>
      <c r="O39" s="115"/>
      <c r="P39" s="128">
        <f>ROUND(SUM(P29+P34),1)</f>
        <v>-25.6</v>
      </c>
      <c r="Q39" s="759"/>
      <c r="R39" s="1030"/>
      <c r="S39" s="1502">
        <f>ROUND(SUM(L39-P39),1)</f>
        <v>6.5</v>
      </c>
      <c r="T39" s="1027"/>
      <c r="U39" s="2195">
        <f>ROUND(IF(P39=0,1,S39/ABS(P39)),3)</f>
        <v>0.254</v>
      </c>
      <c r="V39" s="843"/>
    </row>
    <row r="40" spans="1:245" ht="15.75">
      <c r="A40" s="105"/>
      <c r="B40" s="914"/>
      <c r="C40" s="914"/>
      <c r="D40" s="914"/>
      <c r="E40" s="914"/>
      <c r="F40" s="914"/>
      <c r="G40" s="914"/>
      <c r="H40" s="1045"/>
      <c r="I40" s="1043"/>
      <c r="J40" s="1044"/>
      <c r="K40" s="914"/>
      <c r="L40" s="1045"/>
      <c r="M40" s="1043"/>
      <c r="N40" s="1043"/>
      <c r="O40" s="914"/>
      <c r="P40" s="1043"/>
      <c r="R40" s="1030"/>
      <c r="T40" s="1431"/>
      <c r="U40" s="939"/>
      <c r="V40" s="843"/>
    </row>
    <row r="41" spans="1:245" s="759" customFormat="1" ht="15.75">
      <c r="A41" s="105" t="s">
        <v>53</v>
      </c>
      <c r="B41" s="131">
        <f>+'Exhibit L'!H13</f>
        <v>-16.5</v>
      </c>
      <c r="C41" s="112"/>
      <c r="D41" s="131">
        <f>+'Exhibit L'!AA13</f>
        <v>-3</v>
      </c>
      <c r="E41" s="112"/>
      <c r="F41" s="131">
        <f>+'Exhibit M'!H13</f>
        <v>13.6</v>
      </c>
      <c r="G41" s="112"/>
      <c r="H41" s="132">
        <f>+'Exhibit M'!AA13</f>
        <v>13.2</v>
      </c>
      <c r="I41" s="115"/>
      <c r="J41" s="133">
        <f>ROUND(SUM(B41)+SUM(F41),1)</f>
        <v>-2.9</v>
      </c>
      <c r="K41" s="112"/>
      <c r="L41" s="129">
        <f>ROUND(SUM(D41+H41),1)</f>
        <v>10.199999999999999</v>
      </c>
      <c r="M41" s="115"/>
      <c r="N41" s="120">
        <v>-0.80000000000000071</v>
      </c>
      <c r="O41" s="112"/>
      <c r="P41" s="120">
        <f>'Exhibit L'!AD13+'Exhibit M'!AD13</f>
        <v>9.9</v>
      </c>
      <c r="R41" s="1010"/>
      <c r="S41" s="1674">
        <f>ROUND(SUM(+L41-P41),1)</f>
        <v>0.3</v>
      </c>
      <c r="T41" s="91"/>
      <c r="U41" s="1422">
        <f>ROUND(IF(S41=0,0,S41/ABS(P41)),3)</f>
        <v>0.03</v>
      </c>
      <c r="V41" s="1064"/>
    </row>
    <row r="42" spans="1:245" ht="16.5" thickBot="1">
      <c r="A42" s="105" t="s">
        <v>78</v>
      </c>
      <c r="B42" s="134">
        <f>ROUND(SUM(B41)+SUM(B39),1)</f>
        <v>-22.6</v>
      </c>
      <c r="C42" s="135"/>
      <c r="D42" s="134">
        <f>ROUND(SUM(D41)+SUM(D39),1)</f>
        <v>-22.6</v>
      </c>
      <c r="E42" s="135"/>
      <c r="F42" s="136">
        <f>ROUND(SUM(F41)+SUM(F39),1)</f>
        <v>13.7</v>
      </c>
      <c r="G42" s="137"/>
      <c r="H42" s="819">
        <f>ROUND(SUM(H41)+SUM(H39),1)</f>
        <v>13.7</v>
      </c>
      <c r="I42" s="820"/>
      <c r="J42" s="819">
        <f>ROUND(SUM(J41)+SUM(J39),1)</f>
        <v>-8.9</v>
      </c>
      <c r="K42" s="139"/>
      <c r="L42" s="138">
        <f>ROUND(SUM(L41)+SUM(L39),1)</f>
        <v>-8.9</v>
      </c>
      <c r="M42" s="139"/>
      <c r="N42" s="819">
        <f>ROUND(SUM(N41)+SUM(N39),1)</f>
        <v>-15.7</v>
      </c>
      <c r="O42" s="139"/>
      <c r="P42" s="819">
        <f>ROUND(SUM(P41)+SUM(P39),1)</f>
        <v>-15.7</v>
      </c>
      <c r="Q42" s="263"/>
      <c r="R42" s="1037"/>
      <c r="S42" s="3497">
        <f>ROUND(SUM(S39+S41),3)</f>
        <v>6.8</v>
      </c>
      <c r="T42" s="1220"/>
      <c r="U42" s="3752">
        <f>-ROUND(S42/P42,3)</f>
        <v>0.433</v>
      </c>
      <c r="V42" s="843"/>
    </row>
    <row r="43" spans="1:245" ht="15.75" thickTop="1">
      <c r="A43" s="1013"/>
      <c r="B43" s="1065"/>
      <c r="C43" s="1036"/>
      <c r="D43" s="1065"/>
      <c r="E43" s="1036"/>
      <c r="F43" s="1065"/>
      <c r="G43" s="1036"/>
      <c r="H43" s="1065"/>
      <c r="I43" s="1038"/>
      <c r="J43" s="1065"/>
      <c r="K43" s="1036"/>
      <c r="L43" s="1065"/>
      <c r="M43" s="1036"/>
      <c r="N43" s="1065"/>
      <c r="O43" s="1036"/>
      <c r="P43" s="1065"/>
      <c r="Q43" s="1036"/>
      <c r="R43" s="1066"/>
      <c r="S43" s="1039"/>
      <c r="T43" s="1066"/>
      <c r="U43" s="1039"/>
      <c r="V43" s="1039"/>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R43" s="1040"/>
      <c r="AS43" s="1040"/>
      <c r="AT43" s="1040"/>
      <c r="AU43" s="1040"/>
      <c r="AV43" s="1040"/>
      <c r="AW43" s="1040"/>
      <c r="AX43" s="1040"/>
      <c r="AY43" s="1040"/>
      <c r="AZ43" s="1040"/>
      <c r="BA43" s="1040"/>
      <c r="BB43" s="1040"/>
      <c r="BC43" s="1040"/>
      <c r="BD43" s="1040"/>
      <c r="BE43" s="1040"/>
      <c r="BF43" s="1040"/>
      <c r="BG43" s="1040"/>
      <c r="BH43" s="1040"/>
      <c r="BI43" s="1040"/>
      <c r="BJ43" s="1040"/>
      <c r="BK43" s="1040"/>
      <c r="BL43" s="1040"/>
      <c r="BM43" s="1040"/>
      <c r="BN43" s="1040"/>
      <c r="BO43" s="1040"/>
      <c r="BP43" s="1040"/>
      <c r="BQ43" s="1040"/>
      <c r="BR43" s="1040"/>
      <c r="BS43" s="1040"/>
      <c r="BT43" s="1040"/>
      <c r="BU43" s="1040"/>
      <c r="BV43" s="1040"/>
      <c r="BW43" s="1040"/>
      <c r="BX43" s="1040"/>
      <c r="BY43" s="1040"/>
      <c r="BZ43" s="1040"/>
      <c r="CA43" s="1040"/>
      <c r="CB43" s="1040"/>
      <c r="CC43" s="1040"/>
      <c r="CD43" s="1040"/>
      <c r="CE43" s="1040"/>
      <c r="CF43" s="1040"/>
      <c r="CG43" s="1040"/>
      <c r="CH43" s="1040"/>
      <c r="CI43" s="1040"/>
      <c r="CJ43" s="1040"/>
      <c r="CK43" s="1040"/>
      <c r="CL43" s="1040"/>
      <c r="CM43" s="1040"/>
      <c r="CN43" s="1040"/>
      <c r="CO43" s="1040"/>
      <c r="CP43" s="1040"/>
      <c r="CQ43" s="1040"/>
      <c r="CR43" s="1040"/>
      <c r="CS43" s="1040"/>
      <c r="CT43" s="1040"/>
      <c r="CU43" s="1040"/>
      <c r="CV43" s="1040"/>
      <c r="CW43" s="1040"/>
      <c r="CX43" s="1040"/>
      <c r="CY43" s="1040"/>
      <c r="CZ43" s="1040"/>
      <c r="DA43" s="1040"/>
      <c r="DB43" s="1040"/>
      <c r="DC43" s="1040"/>
      <c r="DD43" s="1040"/>
      <c r="DE43" s="1040"/>
      <c r="DF43" s="1040"/>
      <c r="DG43" s="1040"/>
      <c r="DH43" s="1040"/>
      <c r="DI43" s="1040"/>
      <c r="DJ43" s="1040"/>
      <c r="DK43" s="1040"/>
      <c r="DL43" s="1040"/>
      <c r="DM43" s="1040"/>
      <c r="DN43" s="1040"/>
      <c r="DO43" s="1040"/>
      <c r="DP43" s="1040"/>
      <c r="DQ43" s="1040"/>
      <c r="DR43" s="1040"/>
      <c r="DS43" s="1040"/>
      <c r="DT43" s="1040"/>
      <c r="DU43" s="1040"/>
      <c r="DV43" s="1040"/>
      <c r="DW43" s="1040"/>
      <c r="DX43" s="1040"/>
      <c r="DY43" s="1040"/>
      <c r="DZ43" s="1040"/>
      <c r="EA43" s="1040"/>
      <c r="EB43" s="1040"/>
      <c r="EC43" s="1040"/>
      <c r="ED43" s="1040"/>
      <c r="EE43" s="1040"/>
      <c r="EF43" s="1040"/>
      <c r="EG43" s="1040"/>
      <c r="EH43" s="1040"/>
      <c r="EI43" s="1040"/>
      <c r="EJ43" s="1040"/>
      <c r="EK43" s="1040"/>
      <c r="EL43" s="1040"/>
      <c r="EM43" s="1040"/>
      <c r="EN43" s="1040"/>
      <c r="EO43" s="1040"/>
      <c r="EP43" s="1040"/>
      <c r="EQ43" s="1040"/>
      <c r="ER43" s="1040"/>
      <c r="ES43" s="1040"/>
      <c r="ET43" s="1040"/>
      <c r="EU43" s="1040"/>
      <c r="EV43" s="1040"/>
      <c r="EW43" s="1040"/>
      <c r="EX43" s="1040"/>
      <c r="EY43" s="1040"/>
      <c r="EZ43" s="1040"/>
      <c r="FA43" s="1040"/>
      <c r="FB43" s="1040"/>
      <c r="FC43" s="1040"/>
      <c r="FD43" s="1040"/>
      <c r="FE43" s="1040"/>
      <c r="FF43" s="1040"/>
      <c r="FG43" s="1040"/>
      <c r="FH43" s="1040"/>
      <c r="FI43" s="1040"/>
      <c r="FJ43" s="1040"/>
      <c r="FK43" s="1040"/>
      <c r="FL43" s="1040"/>
      <c r="FM43" s="1040"/>
      <c r="FN43" s="1040"/>
      <c r="FO43" s="1040"/>
      <c r="FP43" s="1040"/>
      <c r="FQ43" s="1040"/>
      <c r="FR43" s="1040"/>
      <c r="FS43" s="1040"/>
      <c r="FT43" s="1040"/>
      <c r="FU43" s="1040"/>
      <c r="FV43" s="1040"/>
      <c r="FW43" s="1040"/>
      <c r="FX43" s="1040"/>
      <c r="FY43" s="1040"/>
      <c r="FZ43" s="1040"/>
      <c r="GA43" s="1040"/>
      <c r="GB43" s="1040"/>
      <c r="GC43" s="1040"/>
      <c r="GD43" s="1040"/>
      <c r="GE43" s="1040"/>
      <c r="GF43" s="1040"/>
      <c r="GG43" s="1040"/>
      <c r="GH43" s="1040"/>
      <c r="GI43" s="1040"/>
      <c r="GJ43" s="1040"/>
      <c r="GK43" s="1040"/>
      <c r="GL43" s="1040"/>
      <c r="GM43" s="1040"/>
      <c r="GN43" s="1040"/>
      <c r="GO43" s="1040"/>
      <c r="GP43" s="1040"/>
      <c r="GQ43" s="1040"/>
      <c r="GR43" s="1040"/>
      <c r="GS43" s="1040"/>
      <c r="GT43" s="1040"/>
      <c r="GU43" s="1040"/>
      <c r="GV43" s="1040"/>
      <c r="GW43" s="1040"/>
      <c r="GX43" s="1040"/>
      <c r="GY43" s="1040"/>
      <c r="GZ43" s="1040"/>
      <c r="HA43" s="1040"/>
      <c r="HB43" s="1040"/>
      <c r="HC43" s="1040"/>
      <c r="HD43" s="1040"/>
      <c r="HE43" s="1040"/>
      <c r="HF43" s="1040"/>
      <c r="HG43" s="1040"/>
      <c r="HH43" s="1040"/>
      <c r="HI43" s="1040"/>
      <c r="HJ43" s="1040"/>
      <c r="HK43" s="1040"/>
      <c r="HL43" s="1040"/>
      <c r="HM43" s="1040"/>
      <c r="HN43" s="1040"/>
      <c r="HO43" s="1040"/>
      <c r="HP43" s="1040"/>
      <c r="HQ43" s="1040"/>
      <c r="HR43" s="1040"/>
      <c r="HS43" s="1040"/>
      <c r="HT43" s="1040"/>
      <c r="HU43" s="1040"/>
      <c r="HV43" s="1040"/>
      <c r="HW43" s="1040"/>
      <c r="HX43" s="1040"/>
      <c r="HY43" s="1040"/>
      <c r="HZ43" s="1040"/>
      <c r="IA43" s="1040"/>
      <c r="IB43" s="1040"/>
      <c r="IC43" s="1040"/>
      <c r="ID43" s="1040"/>
      <c r="IE43" s="1040"/>
      <c r="IF43" s="1040"/>
      <c r="IG43" s="1040"/>
      <c r="IH43" s="1040"/>
      <c r="II43" s="1040"/>
      <c r="IJ43" s="1040"/>
      <c r="IK43" s="1040"/>
    </row>
    <row r="44" spans="1:245">
      <c r="A44" s="1013"/>
      <c r="B44" s="1013"/>
      <c r="C44" s="1013"/>
      <c r="D44" s="1013"/>
      <c r="E44" s="1013"/>
      <c r="F44" s="1012"/>
      <c r="G44" s="1013"/>
      <c r="H44" s="1013"/>
      <c r="I44" s="1013"/>
      <c r="J44" s="1013"/>
      <c r="K44" s="1013"/>
      <c r="L44" s="1013"/>
      <c r="M44" s="1013"/>
      <c r="N44" s="1013"/>
      <c r="O44" s="1013"/>
      <c r="P44" s="1013"/>
      <c r="Q44" s="1013"/>
      <c r="R44" s="1014"/>
      <c r="S44" s="1389"/>
      <c r="T44" s="1014"/>
      <c r="U44" s="843"/>
      <c r="V44" s="843"/>
    </row>
    <row r="45" spans="1:245">
      <c r="A45" s="1013"/>
      <c r="B45" s="1013"/>
      <c r="C45" s="1013"/>
      <c r="D45" s="1013"/>
      <c r="E45" s="1013"/>
      <c r="F45" s="1012" t="s">
        <v>15</v>
      </c>
      <c r="G45" s="1013"/>
      <c r="H45" s="1013"/>
      <c r="I45" s="1013"/>
      <c r="J45" s="1013"/>
      <c r="K45" s="1013"/>
      <c r="L45" s="1013"/>
      <c r="N45" s="1013"/>
      <c r="O45" s="1013"/>
      <c r="P45" s="1013"/>
      <c r="Q45" s="1013"/>
      <c r="R45" s="1014"/>
      <c r="S45" s="843"/>
      <c r="T45" s="1014"/>
      <c r="U45" s="843"/>
      <c r="V45" s="843"/>
    </row>
    <row r="46" spans="1:245">
      <c r="A46" s="910"/>
      <c r="B46" s="1013"/>
      <c r="C46" s="1013"/>
      <c r="D46" s="1013"/>
      <c r="E46" s="1013"/>
      <c r="F46" s="1013"/>
      <c r="G46" s="1013"/>
      <c r="H46" s="1013"/>
      <c r="I46" s="1013"/>
      <c r="J46" s="1013"/>
      <c r="K46" s="1013"/>
      <c r="L46" s="1013"/>
      <c r="M46" s="1013"/>
      <c r="N46" s="1013"/>
      <c r="O46" s="1013"/>
      <c r="P46" s="1013"/>
      <c r="Q46" s="1013"/>
      <c r="R46" s="1014"/>
      <c r="S46" s="843"/>
      <c r="T46" s="1014"/>
      <c r="U46" s="843"/>
      <c r="V46" s="843"/>
    </row>
    <row r="47" spans="1:245">
      <c r="A47" s="1013"/>
      <c r="B47" s="1013"/>
      <c r="C47" s="1013"/>
      <c r="D47" s="1013"/>
      <c r="E47" s="1013"/>
      <c r="F47" s="1013"/>
      <c r="G47" s="1013"/>
      <c r="H47" s="1013"/>
      <c r="I47" s="1013"/>
      <c r="J47" s="1013"/>
      <c r="K47" s="1013"/>
      <c r="L47" s="1013"/>
      <c r="M47" s="1013"/>
      <c r="N47" s="1013"/>
      <c r="O47" s="1013"/>
      <c r="P47" s="1013"/>
      <c r="Q47" s="1013"/>
      <c r="R47" s="1014"/>
      <c r="S47" s="843"/>
      <c r="T47" s="1014"/>
      <c r="U47" s="843"/>
      <c r="V47" s="843"/>
    </row>
    <row r="48" spans="1:245">
      <c r="A48" s="1013"/>
      <c r="B48" s="1013"/>
      <c r="C48" s="1013"/>
      <c r="D48" s="1013"/>
      <c r="E48" s="1013"/>
      <c r="F48" s="1013"/>
      <c r="G48" s="1013"/>
      <c r="H48" s="1013"/>
      <c r="I48" s="1013"/>
      <c r="J48" s="1013"/>
      <c r="K48" s="1013"/>
      <c r="L48" s="1013"/>
      <c r="M48" s="1013"/>
      <c r="N48" s="1013"/>
      <c r="O48" s="1013"/>
      <c r="P48" s="1013"/>
      <c r="Q48" s="1013"/>
      <c r="R48" s="1014"/>
      <c r="S48" s="843"/>
      <c r="T48" s="1014"/>
      <c r="U48" s="843"/>
      <c r="V48" s="843"/>
    </row>
    <row r="49" spans="1:22">
      <c r="A49" s="1013"/>
      <c r="B49" s="1013"/>
      <c r="C49" s="1013"/>
      <c r="D49" s="1013"/>
      <c r="E49" s="1013"/>
      <c r="F49" s="1013"/>
      <c r="G49" s="1013"/>
      <c r="H49" s="1013"/>
      <c r="I49" s="1013"/>
      <c r="J49" s="1013"/>
      <c r="K49" s="1013"/>
      <c r="L49" s="1013"/>
      <c r="M49" s="1013"/>
      <c r="N49" s="1013"/>
      <c r="O49" s="1013"/>
      <c r="P49" s="1013"/>
      <c r="Q49" s="1013"/>
      <c r="R49" s="1014"/>
      <c r="S49" s="843"/>
      <c r="T49" s="1014"/>
      <c r="U49" s="843"/>
      <c r="V49" s="843"/>
    </row>
    <row r="50" spans="1:22">
      <c r="A50" s="1013"/>
      <c r="B50" s="1013"/>
      <c r="C50" s="1013"/>
      <c r="D50" s="1013"/>
      <c r="E50" s="1013"/>
      <c r="F50" s="1013"/>
      <c r="G50" s="1013"/>
      <c r="H50" s="1013"/>
      <c r="I50" s="1013"/>
      <c r="J50" s="1013"/>
      <c r="K50" s="1013"/>
      <c r="L50" s="1013"/>
      <c r="M50" s="1013"/>
      <c r="N50" s="1013"/>
      <c r="O50" s="1013"/>
      <c r="P50" s="1013"/>
      <c r="Q50" s="1013"/>
      <c r="R50" s="1014"/>
      <c r="S50" s="843"/>
      <c r="T50" s="1014"/>
      <c r="U50" s="843"/>
      <c r="V50" s="843"/>
    </row>
    <row r="51" spans="1:22">
      <c r="A51" s="1013"/>
      <c r="B51" s="1013"/>
      <c r="C51" s="1013"/>
      <c r="D51" s="1013"/>
      <c r="E51" s="1013"/>
      <c r="F51" s="1013"/>
      <c r="G51" s="1013"/>
      <c r="H51" s="1013"/>
      <c r="I51" s="1013"/>
      <c r="J51" s="1013"/>
      <c r="K51" s="1013"/>
      <c r="L51" s="1013"/>
      <c r="M51" s="1013"/>
      <c r="N51" s="1013"/>
      <c r="O51" s="1013"/>
      <c r="P51" s="1013"/>
      <c r="Q51" s="1013"/>
      <c r="R51" s="1014"/>
      <c r="S51" s="843"/>
      <c r="T51" s="1014"/>
      <c r="U51" s="843"/>
      <c r="V51" s="843"/>
    </row>
    <row r="52" spans="1:22">
      <c r="A52" s="1013"/>
      <c r="B52" s="1013"/>
      <c r="C52" s="1013"/>
      <c r="D52" s="1013"/>
      <c r="E52" s="1013"/>
      <c r="F52" s="1013"/>
      <c r="G52" s="1013"/>
      <c r="H52" s="1013"/>
      <c r="I52" s="1013"/>
      <c r="J52" s="1013"/>
      <c r="K52" s="1013"/>
      <c r="L52" s="1013"/>
      <c r="M52" s="1013"/>
      <c r="N52" s="1013"/>
      <c r="O52" s="1013"/>
      <c r="P52" s="1013"/>
      <c r="Q52" s="1013"/>
      <c r="R52" s="1014"/>
      <c r="S52" s="843"/>
      <c r="T52" s="1014"/>
      <c r="U52" s="843"/>
      <c r="V52" s="843"/>
    </row>
    <row r="53" spans="1:22">
      <c r="A53" s="1013"/>
      <c r="B53" s="1013"/>
      <c r="C53" s="1013"/>
      <c r="D53" s="1013"/>
      <c r="E53" s="1013"/>
      <c r="F53" s="1013"/>
      <c r="G53" s="1013"/>
      <c r="H53" s="1013"/>
      <c r="I53" s="1013"/>
      <c r="J53" s="1013"/>
      <c r="K53" s="1013"/>
      <c r="L53" s="1013"/>
      <c r="M53" s="1013"/>
      <c r="N53" s="1013"/>
      <c r="O53" s="1013"/>
      <c r="P53" s="1013"/>
      <c r="Q53" s="1013"/>
      <c r="R53" s="1014"/>
      <c r="S53" s="843"/>
      <c r="T53" s="1014"/>
      <c r="U53" s="843"/>
      <c r="V53" s="843"/>
    </row>
    <row r="54" spans="1:22">
      <c r="A54" s="1013"/>
      <c r="B54" s="1013"/>
      <c r="C54" s="1013"/>
      <c r="D54" s="1013"/>
      <c r="E54" s="1013"/>
      <c r="F54" s="1013"/>
      <c r="G54" s="1013"/>
      <c r="H54" s="1013"/>
      <c r="I54" s="1013"/>
      <c r="J54" s="1013"/>
      <c r="K54" s="1013"/>
      <c r="L54" s="1013"/>
      <c r="M54" s="1013"/>
      <c r="N54" s="1013"/>
      <c r="O54" s="1013"/>
      <c r="P54" s="1013"/>
      <c r="Q54" s="1013"/>
      <c r="R54" s="1014"/>
      <c r="S54" s="843"/>
      <c r="T54" s="1014"/>
      <c r="U54" s="843"/>
      <c r="V54" s="843"/>
    </row>
    <row r="55" spans="1:22">
      <c r="A55" s="1013"/>
      <c r="B55" s="1013"/>
      <c r="C55" s="1013"/>
      <c r="D55" s="1013"/>
      <c r="E55" s="1013"/>
      <c r="F55" s="1013"/>
      <c r="G55" s="1013"/>
      <c r="H55" s="1013"/>
      <c r="I55" s="1013"/>
      <c r="J55" s="1013"/>
      <c r="K55" s="1013"/>
      <c r="L55" s="1013"/>
      <c r="M55" s="1013"/>
      <c r="N55" s="1013"/>
      <c r="O55" s="1013"/>
      <c r="P55" s="1013"/>
      <c r="Q55" s="1013"/>
      <c r="R55" s="1014"/>
      <c r="S55" s="843"/>
      <c r="T55" s="1014"/>
      <c r="U55" s="843"/>
      <c r="V55" s="843"/>
    </row>
    <row r="56" spans="1:22">
      <c r="A56" s="1013"/>
      <c r="B56" s="1013"/>
      <c r="C56" s="1013"/>
      <c r="D56" s="1013"/>
      <c r="E56" s="1013"/>
      <c r="F56" s="1013"/>
      <c r="G56" s="1013"/>
      <c r="H56" s="1013"/>
      <c r="I56" s="1013"/>
      <c r="J56" s="1013"/>
      <c r="K56" s="1013"/>
      <c r="L56" s="1013"/>
      <c r="M56" s="1013"/>
      <c r="N56" s="1013"/>
      <c r="O56" s="1013"/>
      <c r="P56" s="1013"/>
      <c r="Q56" s="1013"/>
      <c r="R56" s="1015"/>
      <c r="S56" s="1013"/>
    </row>
    <row r="57" spans="1:22">
      <c r="A57" s="1013"/>
      <c r="B57" s="1013"/>
      <c r="C57" s="1013"/>
      <c r="D57" s="1013"/>
      <c r="E57" s="1013"/>
      <c r="F57" s="1013"/>
      <c r="G57" s="1013"/>
      <c r="H57" s="1013"/>
      <c r="I57" s="1013"/>
      <c r="J57" s="1013"/>
      <c r="K57" s="1013"/>
      <c r="L57" s="1013"/>
      <c r="M57" s="1013"/>
      <c r="N57" s="1013"/>
      <c r="O57" s="1013"/>
      <c r="P57" s="1013"/>
      <c r="Q57" s="1013"/>
      <c r="R57" s="1015"/>
      <c r="S57" s="1013"/>
    </row>
    <row r="58" spans="1:22">
      <c r="A58" s="1013"/>
      <c r="B58" s="1013"/>
      <c r="C58" s="1013"/>
      <c r="D58" s="1013"/>
      <c r="E58" s="1013"/>
      <c r="F58" s="1013"/>
      <c r="G58" s="1013"/>
      <c r="H58" s="1013"/>
      <c r="I58" s="1013"/>
      <c r="J58" s="1013"/>
      <c r="K58" s="1013"/>
      <c r="L58" s="1013"/>
      <c r="M58" s="1013"/>
      <c r="N58" s="1013"/>
      <c r="O58" s="1013"/>
      <c r="P58" s="1013"/>
      <c r="Q58" s="1013"/>
      <c r="R58" s="1015"/>
      <c r="S58" s="1013"/>
    </row>
    <row r="59" spans="1:22">
      <c r="A59" s="1013"/>
      <c r="B59" s="1013"/>
      <c r="C59" s="1013"/>
      <c r="D59" s="1013"/>
      <c r="E59" s="1013"/>
      <c r="F59" s="1013"/>
      <c r="G59" s="1013"/>
      <c r="H59" s="1013"/>
      <c r="I59" s="1013"/>
      <c r="J59" s="1013"/>
      <c r="K59" s="1013"/>
      <c r="L59" s="1013"/>
      <c r="M59" s="1013"/>
      <c r="N59" s="1013"/>
      <c r="O59" s="1013"/>
      <c r="P59" s="1013"/>
      <c r="Q59" s="1013"/>
      <c r="R59" s="1015"/>
      <c r="S59" s="1013"/>
    </row>
    <row r="60" spans="1:22">
      <c r="A60" s="1013"/>
      <c r="B60" s="1013"/>
      <c r="C60" s="1013"/>
      <c r="D60" s="1013"/>
      <c r="E60" s="1013"/>
      <c r="F60" s="1013"/>
      <c r="G60" s="1013"/>
      <c r="H60" s="1013"/>
      <c r="I60" s="1013"/>
      <c r="J60" s="1013"/>
      <c r="K60" s="1013"/>
      <c r="L60" s="1013"/>
      <c r="M60" s="1013"/>
      <c r="N60" s="1013"/>
      <c r="O60" s="1013"/>
      <c r="P60" s="1013"/>
      <c r="Q60" s="1013"/>
      <c r="R60" s="1015"/>
      <c r="S60" s="1013"/>
    </row>
    <row r="61" spans="1:22">
      <c r="A61" s="1013"/>
      <c r="B61" s="1013"/>
      <c r="C61" s="1013"/>
      <c r="D61" s="1013"/>
      <c r="E61" s="1013"/>
      <c r="F61" s="1013"/>
      <c r="G61" s="1013"/>
      <c r="H61" s="1013"/>
      <c r="I61" s="1013"/>
      <c r="J61" s="1013"/>
      <c r="K61" s="1013"/>
      <c r="L61" s="1013"/>
      <c r="M61" s="1013"/>
      <c r="N61" s="1013"/>
      <c r="O61" s="1013"/>
      <c r="P61" s="1013"/>
      <c r="Q61" s="1013"/>
      <c r="R61" s="1015"/>
      <c r="S61" s="1013"/>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7" t="s">
        <v>980</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798" t="s">
        <v>1413</v>
      </c>
      <c r="B5" s="3799"/>
      <c r="C5" s="3799"/>
      <c r="D5" s="3799"/>
      <c r="E5" s="3799"/>
      <c r="F5" s="143"/>
      <c r="G5" s="146"/>
      <c r="H5" s="143"/>
      <c r="I5" s="143"/>
      <c r="J5" s="143"/>
      <c r="K5" s="143"/>
    </row>
    <row r="6" spans="1:11" ht="17.25" customHeight="1">
      <c r="A6" s="839" t="s">
        <v>1471</v>
      </c>
      <c r="B6" s="147"/>
      <c r="C6" s="148"/>
      <c r="D6" s="143"/>
      <c r="E6" s="148"/>
      <c r="F6" s="143"/>
      <c r="G6" s="143"/>
      <c r="H6" s="143"/>
      <c r="I6" s="143"/>
      <c r="J6" s="143"/>
      <c r="K6" s="143"/>
    </row>
    <row r="7" spans="1:11" ht="18">
      <c r="A7" s="191" t="s">
        <v>1434</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00" t="s">
        <v>1148</v>
      </c>
      <c r="D11" s="3800"/>
      <c r="E11" s="3800"/>
      <c r="F11" s="3800"/>
      <c r="G11" s="3800"/>
      <c r="H11" s="3800"/>
      <c r="I11" s="3800"/>
      <c r="J11" s="1196"/>
      <c r="K11" s="119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886</v>
      </c>
      <c r="J13" s="153"/>
      <c r="K13" s="153" t="s">
        <v>886</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1497</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8" t="s">
        <v>88</v>
      </c>
      <c r="B19" s="160" t="s">
        <v>15</v>
      </c>
      <c r="C19" s="161"/>
      <c r="D19" s="160"/>
      <c r="E19" s="161"/>
      <c r="F19" s="160"/>
      <c r="G19" s="99"/>
      <c r="H19" s="160"/>
      <c r="I19" s="99"/>
      <c r="J19" s="99"/>
      <c r="K19" s="52"/>
    </row>
    <row r="20" spans="1:13">
      <c r="A20" s="162" t="s">
        <v>89</v>
      </c>
      <c r="B20" s="160" t="s">
        <v>15</v>
      </c>
      <c r="C20" s="1943">
        <f>'Exh D General Fund  '!C20+'Exh D Special Revenue'!C20+'Exh D Debt Service'!C20</f>
        <v>19854</v>
      </c>
      <c r="D20" s="2212"/>
      <c r="E20" s="1943">
        <f>+'Exh D General Fund  '!E20+'Exh D Special Revenue'!E20+'Exh D Debt Service'!E20</f>
        <v>20268</v>
      </c>
      <c r="F20" s="163"/>
      <c r="G20" s="50">
        <f>+'Exh D General Fund  '!G20+'Exh D Special Revenue'!G20+'Exh D Debt Service'!G20</f>
        <v>20241.5</v>
      </c>
      <c r="H20" s="163"/>
      <c r="I20" s="50">
        <f>ROUND(SUM(G20)-SUM(C20),1)</f>
        <v>387.5</v>
      </c>
      <c r="J20" s="164"/>
      <c r="K20" s="50">
        <f>ROUND(SUM(G20)-SUM(E20),1)</f>
        <v>-26.5</v>
      </c>
      <c r="M20" s="1198"/>
    </row>
    <row r="21" spans="1:13">
      <c r="A21" s="838" t="s">
        <v>90</v>
      </c>
      <c r="B21" s="158" t="s">
        <v>15</v>
      </c>
      <c r="C21" s="118">
        <f>+'Exh D General Fund  '!C21+'Exh D Debt Service'!C21+'Exh D Special Revenue'!C21+'Exh D Capital Projects'!C20</f>
        <v>5948</v>
      </c>
      <c r="D21" s="118"/>
      <c r="E21" s="118">
        <f>+'Exh D General Fund  '!E21+'Exh D Special Revenue'!E21+'Exh D Debt Service'!E21+'Exh D Capital Projects'!E20</f>
        <v>5925</v>
      </c>
      <c r="F21" s="66"/>
      <c r="G21" s="66">
        <f>+'Exh D General Fund  '!G21+'Exh D Special Revenue'!G21+'Exh D Debt Service'!G21+'Exh D Capital Projects'!G20</f>
        <v>5915.7</v>
      </c>
      <c r="H21" s="66"/>
      <c r="I21" s="66">
        <f t="shared" ref="I21:I25" si="0">ROUND(SUM(G21)-SUM(C21),1)</f>
        <v>-32.299999999999997</v>
      </c>
      <c r="J21" s="164"/>
      <c r="K21" s="66">
        <f>ROUND(SUM(G21)-SUM(E21),1)</f>
        <v>-9.3000000000000007</v>
      </c>
      <c r="M21" s="1198"/>
    </row>
    <row r="22" spans="1:13" ht="15" customHeight="1">
      <c r="A22" s="838" t="s">
        <v>91</v>
      </c>
      <c r="B22" s="160" t="s">
        <v>15</v>
      </c>
      <c r="C22" s="118">
        <f>+'Exh D General Fund  '!C22+'Exh D Special Revenue'!C22+'Exh D Capital Projects'!C21</f>
        <v>2330</v>
      </c>
      <c r="D22" s="119"/>
      <c r="E22" s="118">
        <f>+'Exh D General Fund  '!E22+'Exh D Special Revenue'!E22+'Exh D Capital Projects'!E21</f>
        <v>2519</v>
      </c>
      <c r="F22" s="77"/>
      <c r="G22" s="66">
        <f>+'Exh D General Fund  '!G22+'Exh D Special Revenue'!G22+'Exh D Capital Projects'!G21</f>
        <v>2516.6999999999998</v>
      </c>
      <c r="H22" s="77"/>
      <c r="I22" s="66">
        <f t="shared" si="0"/>
        <v>186.7</v>
      </c>
      <c r="J22" s="164"/>
      <c r="K22" s="66">
        <f t="shared" ref="K22:K25" si="1">ROUND(SUM(G22)-SUM(E22),1)</f>
        <v>-2.2999999999999998</v>
      </c>
      <c r="M22" s="1198"/>
    </row>
    <row r="23" spans="1:13" ht="14.25" customHeight="1">
      <c r="A23" s="838" t="s">
        <v>92</v>
      </c>
      <c r="B23" s="158" t="s">
        <v>15</v>
      </c>
      <c r="C23" s="118">
        <f>+'Exh D General Fund  '!C23+'Exh D Capital Projects'!C22+'Exh D Debt Service'!C22</f>
        <v>752</v>
      </c>
      <c r="D23" s="118"/>
      <c r="E23" s="118">
        <f>+'Exh D General Fund  '!E23+'Exh D Debt Service'!E22+'Exh D Capital Projects'!E22</f>
        <v>736</v>
      </c>
      <c r="F23" s="66"/>
      <c r="G23" s="66">
        <f>+'Exh D General Fund  '!G23+'Exh D Debt Service'!G22+'Exh D Capital Projects'!G22</f>
        <v>728.19999999999993</v>
      </c>
      <c r="H23" s="66"/>
      <c r="I23" s="66">
        <f t="shared" si="0"/>
        <v>-23.8</v>
      </c>
      <c r="J23" s="164"/>
      <c r="K23" s="66">
        <f t="shared" si="1"/>
        <v>-7.8</v>
      </c>
      <c r="M23" s="1198"/>
    </row>
    <row r="24" spans="1:13">
      <c r="A24" s="838" t="s">
        <v>20</v>
      </c>
      <c r="B24" s="158" t="s">
        <v>15</v>
      </c>
      <c r="C24" s="118">
        <f>+'Exh D General Fund  '!C24+'Exh D Special Revenue'!C23+'Exh D Debt Service'!C23+'Exh D Capital Projects'!C23</f>
        <v>8624</v>
      </c>
      <c r="D24" s="118"/>
      <c r="E24" s="118">
        <f>+'Exh D General Fund  '!E24+'Exh D Special Revenue'!E23+'Exh D Debt Service'!E23+'Exh D Capital Projects'!E23</f>
        <v>8483</v>
      </c>
      <c r="F24" s="66"/>
      <c r="G24" s="66">
        <f>+'Exh D General Fund  '!G24+'Exh D Special Revenue'!G23+'Exh D Debt Service'!G23+'Exh D Capital Projects'!G23</f>
        <v>8471.0999999999985</v>
      </c>
      <c r="H24" s="66"/>
      <c r="I24" s="66">
        <f t="shared" si="0"/>
        <v>-152.9</v>
      </c>
      <c r="J24" s="165"/>
      <c r="K24" s="66">
        <f t="shared" si="1"/>
        <v>-11.9</v>
      </c>
      <c r="M24" s="1198"/>
    </row>
    <row r="25" spans="1:13" ht="15" customHeight="1">
      <c r="A25" s="838" t="s">
        <v>21</v>
      </c>
      <c r="B25" s="158" t="s">
        <v>15</v>
      </c>
      <c r="C25" s="690">
        <f>+'Exh D General Fund  '!C25+'Exh D Debt Service'!C24+'Exh D Special Revenue'!C24+'Exh D Capital Projects'!C24</f>
        <v>22427</v>
      </c>
      <c r="D25" s="118"/>
      <c r="E25" s="690">
        <f>+'Exh D General Fund  '!E25+'Exh D Special Revenue'!E24+'Exh D Debt Service'!E24+'Exh D Capital Projects'!E24</f>
        <v>20278</v>
      </c>
      <c r="F25" s="66"/>
      <c r="G25" s="277">
        <f>+'Exh D General Fund  '!G25+'Exh D Special Revenue'!G24+'Exh D Debt Service'!G24+'Exh D Capital Projects'!G24</f>
        <v>20280.399999999998</v>
      </c>
      <c r="H25" s="66"/>
      <c r="I25" s="66">
        <f t="shared" si="0"/>
        <v>-2146.6</v>
      </c>
      <c r="J25" s="165"/>
      <c r="K25" s="66">
        <f t="shared" si="1"/>
        <v>2.4</v>
      </c>
      <c r="M25" s="1198"/>
    </row>
    <row r="26" spans="1:13" ht="15.75">
      <c r="A26" s="173" t="s">
        <v>93</v>
      </c>
      <c r="B26" s="151" t="s">
        <v>15</v>
      </c>
      <c r="C26" s="1527">
        <f>ROUND(SUM(C20:C25),1)</f>
        <v>59935</v>
      </c>
      <c r="D26" s="112"/>
      <c r="E26" s="1527">
        <f>ROUND(SUM(E20:E25),1)</f>
        <v>58209</v>
      </c>
      <c r="F26" s="62"/>
      <c r="G26" s="215">
        <f>ROUND(SUM(G20:G25),1)</f>
        <v>58153.599999999999</v>
      </c>
      <c r="H26" s="62"/>
      <c r="I26" s="215">
        <f>ROUND(SUM(I20:I25),1)</f>
        <v>-1781.4</v>
      </c>
      <c r="J26" s="166"/>
      <c r="K26" s="215">
        <f>ROUND(SUM(K20:K25),1)</f>
        <v>-55.4</v>
      </c>
      <c r="M26" s="1198"/>
    </row>
    <row r="27" spans="1:13">
      <c r="A27" s="31"/>
      <c r="B27" s="158" t="s">
        <v>15</v>
      </c>
      <c r="C27" s="126"/>
      <c r="D27" s="118"/>
      <c r="E27" s="126"/>
      <c r="F27" s="66"/>
      <c r="G27" s="88"/>
      <c r="H27" s="66"/>
      <c r="I27" s="88"/>
      <c r="J27" s="59"/>
      <c r="K27" s="88"/>
      <c r="M27" s="1198"/>
    </row>
    <row r="28" spans="1:13" ht="15.75">
      <c r="A28" s="29" t="s">
        <v>23</v>
      </c>
      <c r="B28" s="158" t="s">
        <v>15</v>
      </c>
      <c r="C28" s="118"/>
      <c r="D28" s="118"/>
      <c r="E28" s="118"/>
      <c r="F28" s="66"/>
      <c r="G28" s="66"/>
      <c r="H28" s="66"/>
      <c r="I28" s="66"/>
      <c r="J28" s="165"/>
      <c r="K28" s="56"/>
      <c r="M28" s="1198"/>
    </row>
    <row r="29" spans="1:13">
      <c r="A29" s="838" t="s">
        <v>94</v>
      </c>
      <c r="B29" s="158" t="s">
        <v>15</v>
      </c>
      <c r="C29" s="690">
        <f>+'Exh D General Fund  '!C34+'Exh D Special Revenue'!C29+'Exh D Capital Projects'!C30</f>
        <v>42143</v>
      </c>
      <c r="D29" s="118"/>
      <c r="E29" s="690">
        <f>+'Exh D General Fund  '!E34+'Exh D Special Revenue'!E29+'Exh D Capital Projects'!E30</f>
        <v>41283</v>
      </c>
      <c r="F29" s="66"/>
      <c r="G29" s="277">
        <f>+'Exh D General Fund  '!G34+'Exh D Special Revenue'!G29+'Exh D Capital Projects'!G30</f>
        <v>41235.700000000004</v>
      </c>
      <c r="H29" s="66"/>
      <c r="I29" s="66">
        <f>ROUND(SUM(G29)-SUM(C29),1)</f>
        <v>-907.3</v>
      </c>
      <c r="J29" s="165"/>
      <c r="K29" s="66">
        <f>ROUND(SUM(G29)-SUM(E29),1)</f>
        <v>-47.3</v>
      </c>
      <c r="M29" s="1198"/>
    </row>
    <row r="30" spans="1:13">
      <c r="A30" s="838" t="s">
        <v>95</v>
      </c>
      <c r="B30" s="158" t="s">
        <v>15</v>
      </c>
      <c r="C30" s="119">
        <f>+'Exh D General Fund  '!C35+'Exh D Special Revenue'!C30+'Exh D Debt Service'!C29</f>
        <v>7037</v>
      </c>
      <c r="D30" s="118"/>
      <c r="E30" s="119">
        <f>+'Exh D General Fund  '!E35+'Exh D Special Revenue'!E30+'Exh D Debt Service'!E29</f>
        <v>7257</v>
      </c>
      <c r="F30" s="66"/>
      <c r="G30" s="77">
        <f>+'Exh D General Fund  '!G35+'Exh D Special Revenue'!G30+'Exh D Debt Service'!G29</f>
        <v>7261.9000000000005</v>
      </c>
      <c r="H30" s="66"/>
      <c r="I30" s="66">
        <f>ROUND(SUM(G30)-SUM(C30),1)</f>
        <v>224.9</v>
      </c>
      <c r="J30" s="165"/>
      <c r="K30" s="66">
        <f t="shared" ref="K30:K33" si="2">ROUND(SUM(G30)-SUM(E30),1)</f>
        <v>4.9000000000000004</v>
      </c>
      <c r="M30" s="1198"/>
    </row>
    <row r="31" spans="1:13">
      <c r="A31" s="838" t="s">
        <v>70</v>
      </c>
      <c r="B31" s="158" t="s">
        <v>15</v>
      </c>
      <c r="C31" s="690">
        <f>+'Exh D General Fund  '!C36+'Exh D Special Revenue'!C31</f>
        <v>4314</v>
      </c>
      <c r="D31" s="118"/>
      <c r="E31" s="690">
        <f>+'Exh D General Fund  '!E36+'Exh D Special Revenue'!E31</f>
        <v>4218</v>
      </c>
      <c r="F31" s="66"/>
      <c r="G31" s="277">
        <f>+'Exh D General Fund  '!G36+'Exh D Special Revenue'!G31</f>
        <v>4227.8</v>
      </c>
      <c r="H31" s="66"/>
      <c r="I31" s="66">
        <f>ROUND(SUM(G31)-SUM(C31),1)</f>
        <v>-86.2</v>
      </c>
      <c r="J31" s="165"/>
      <c r="K31" s="66">
        <f t="shared" si="2"/>
        <v>9.8000000000000007</v>
      </c>
      <c r="M31" s="1198"/>
    </row>
    <row r="32" spans="1:13">
      <c r="A32" s="838" t="s">
        <v>96</v>
      </c>
      <c r="B32" s="158" t="s">
        <v>15</v>
      </c>
      <c r="C32" s="119">
        <f>+'Exh D Debt Service'!C30</f>
        <v>456</v>
      </c>
      <c r="D32" s="118"/>
      <c r="E32" s="119">
        <f>+'Exh D Debt Service'!E30</f>
        <v>469</v>
      </c>
      <c r="F32" s="66"/>
      <c r="G32" s="77">
        <f>+'Exh D Debt Service'!G30</f>
        <v>468.9</v>
      </c>
      <c r="H32" s="66"/>
      <c r="I32" s="66">
        <f>ROUND(SUM(G32)-SUM(C32),1)</f>
        <v>12.9</v>
      </c>
      <c r="J32" s="165"/>
      <c r="K32" s="66">
        <f t="shared" si="2"/>
        <v>-0.1</v>
      </c>
      <c r="M32" s="1198"/>
    </row>
    <row r="33" spans="1:14" ht="15" customHeight="1">
      <c r="A33" s="838" t="s">
        <v>42</v>
      </c>
      <c r="B33" s="158" t="s">
        <v>15</v>
      </c>
      <c r="C33" s="690">
        <f>+'Exh D Special Revenue'!C32+'Exh D Capital Projects'!C31</f>
        <v>2701</v>
      </c>
      <c r="D33" s="118"/>
      <c r="E33" s="690">
        <f>+'Exh D Special Revenue'!E32+'Exh D Capital Projects'!E31</f>
        <v>2098</v>
      </c>
      <c r="F33" s="66"/>
      <c r="G33" s="277">
        <f>+'Exh D Special Revenue'!G32+'Exh D Capital Projects'!G31</f>
        <v>2099.4</v>
      </c>
      <c r="H33" s="66"/>
      <c r="I33" s="66">
        <f>ROUND(SUM(G33)-SUM(C33),1)</f>
        <v>-601.6</v>
      </c>
      <c r="J33" s="165"/>
      <c r="K33" s="66">
        <f t="shared" si="2"/>
        <v>1.4</v>
      </c>
      <c r="M33" s="1198"/>
    </row>
    <row r="34" spans="1:14" ht="15.75" customHeight="1">
      <c r="A34" s="173" t="s">
        <v>97</v>
      </c>
      <c r="B34" s="151" t="s">
        <v>15</v>
      </c>
      <c r="C34" s="1118">
        <f>ROUND(SUM(C29:C33),1)</f>
        <v>56651</v>
      </c>
      <c r="D34" s="112"/>
      <c r="E34" s="1118">
        <f>ROUND(SUM(E29:E33),1)</f>
        <v>55325</v>
      </c>
      <c r="F34" s="62"/>
      <c r="G34" s="296">
        <f>ROUND(SUM(G29:G33),1)</f>
        <v>55293.7</v>
      </c>
      <c r="H34" s="62"/>
      <c r="I34" s="296">
        <f>ROUND(SUM(I29:I33),1)</f>
        <v>-1357.3</v>
      </c>
      <c r="J34" s="166"/>
      <c r="K34" s="296">
        <f>ROUND(SUM(K29:K33),1)</f>
        <v>-31.3</v>
      </c>
      <c r="M34" s="1198"/>
    </row>
    <row r="35" spans="1:14">
      <c r="A35" s="31"/>
      <c r="B35" s="158"/>
      <c r="C35" s="118"/>
      <c r="D35" s="118"/>
      <c r="E35" s="118"/>
      <c r="F35" s="66"/>
      <c r="G35" s="66"/>
      <c r="H35" s="66"/>
      <c r="I35" s="66"/>
      <c r="J35" s="165"/>
      <c r="K35" s="56"/>
      <c r="M35" s="1198"/>
    </row>
    <row r="36" spans="1:14" ht="15.75">
      <c r="A36" s="173" t="s">
        <v>44</v>
      </c>
      <c r="B36" s="158"/>
      <c r="C36" s="118"/>
      <c r="D36" s="118"/>
      <c r="E36" s="118"/>
      <c r="F36" s="66"/>
      <c r="G36" s="66"/>
      <c r="H36" s="66"/>
      <c r="I36" s="66"/>
      <c r="J36" s="165"/>
      <c r="K36" s="56"/>
      <c r="M36" s="1198"/>
    </row>
    <row r="37" spans="1:14" ht="15.75">
      <c r="A37" s="173" t="s">
        <v>45</v>
      </c>
      <c r="B37" s="158" t="s">
        <v>15</v>
      </c>
      <c r="C37" s="113">
        <f>ROUND(SUM(+C26-C34),1)</f>
        <v>3284</v>
      </c>
      <c r="D37" s="118"/>
      <c r="E37" s="113">
        <f>ROUND(SUM(+E26-E34),1)</f>
        <v>2884</v>
      </c>
      <c r="F37" s="66"/>
      <c r="G37" s="74">
        <f>ROUND(SUM(+G26-G34),1)</f>
        <v>2859.9</v>
      </c>
      <c r="H37" s="66"/>
      <c r="I37" s="74">
        <f>ROUND(SUM(+I26-I34),1)</f>
        <v>-424.1</v>
      </c>
      <c r="J37" s="59"/>
      <c r="K37" s="847">
        <f>ROUND(SUM(+K26-K34),1)</f>
        <v>-24.1</v>
      </c>
      <c r="M37" s="1198"/>
    </row>
    <row r="38" spans="1:14">
      <c r="A38" s="31"/>
      <c r="B38" s="158"/>
      <c r="C38" s="118"/>
      <c r="D38" s="118"/>
      <c r="E38" s="118"/>
      <c r="F38" s="66"/>
      <c r="G38" s="66"/>
      <c r="H38" s="66"/>
      <c r="I38" s="66"/>
      <c r="J38" s="165"/>
      <c r="K38" s="56"/>
      <c r="M38" s="1198"/>
    </row>
    <row r="39" spans="1:14" ht="15.75">
      <c r="A39" s="173" t="s">
        <v>46</v>
      </c>
      <c r="B39" s="158"/>
      <c r="C39" s="118"/>
      <c r="D39" s="118"/>
      <c r="E39" s="118"/>
      <c r="F39" s="66"/>
      <c r="G39" s="66"/>
      <c r="H39" s="66"/>
      <c r="I39" s="66"/>
      <c r="J39" s="165"/>
      <c r="K39" s="56"/>
      <c r="M39" s="1198"/>
      <c r="N39" s="950" t="s">
        <v>15</v>
      </c>
    </row>
    <row r="40" spans="1:14">
      <c r="A40" s="838" t="s">
        <v>98</v>
      </c>
      <c r="B40" s="158" t="s">
        <v>15</v>
      </c>
      <c r="C40" s="1102">
        <f>'Exh D Captl Projects State Fed'!C25</f>
        <v>0</v>
      </c>
      <c r="D40" s="118"/>
      <c r="E40" s="1102">
        <f>'Exh D Captl Projects State Fed'!E25</f>
        <v>0</v>
      </c>
      <c r="F40" s="66"/>
      <c r="G40" s="278">
        <f>'Exh D Captl Projects State Fed'!G25</f>
        <v>0</v>
      </c>
      <c r="H40" s="66"/>
      <c r="I40" s="66">
        <f>ROUND(SUM(G40)-SUM(C40),1)</f>
        <v>0</v>
      </c>
      <c r="J40" s="171"/>
      <c r="K40" s="66">
        <f>ROUND(SUM(G40)-SUM(E40),1)</f>
        <v>0</v>
      </c>
      <c r="M40" s="1198"/>
    </row>
    <row r="41" spans="1:14">
      <c r="A41" s="838" t="s">
        <v>48</v>
      </c>
      <c r="B41" s="158" t="s">
        <v>15</v>
      </c>
      <c r="C41" s="119">
        <f>+'Exh D General Fund  '!C27+'Exh D General Fund  '!C28+'Exh D General Fund  '!C29+'Exh D General Fund  '!C30+'Exh D Special Revenue'!C25+'Exh D Debt Service'!C25+'Exh D Capital Projects'!C26</f>
        <v>17199</v>
      </c>
      <c r="D41" s="118"/>
      <c r="E41" s="119">
        <f>+'Exh D General Fund  '!E27+'Exh D General Fund  '!E28+'Exh D General Fund  '!E29+'Exh D General Fund  '!E30+'Exh D Special Revenue'!E25+'Exh D Debt Service'!E25+'Exh D Capital Projects'!E26</f>
        <v>17300</v>
      </c>
      <c r="F41" s="66"/>
      <c r="G41" s="77">
        <f>+'Exh D General Fund  '!G27+'Exh D General Fund  '!G28+'Exh D General Fund  '!G29+'Exh D General Fund  '!G30+'Exh D Special Revenue'!K25+'Exh D Debt Service'!G25+'Exh D Capital Projects'!K26</f>
        <v>16993.2</v>
      </c>
      <c r="H41" s="66"/>
      <c r="I41" s="66">
        <f>ROUND(SUM(G41)-SUM(C41),1)</f>
        <v>-205.8</v>
      </c>
      <c r="J41" s="165"/>
      <c r="K41" s="66">
        <f t="shared" ref="K41:K42" si="3">ROUND(SUM(G41)-SUM(E41),1)</f>
        <v>-306.8</v>
      </c>
      <c r="M41" s="1198"/>
    </row>
    <row r="42" spans="1:14">
      <c r="A42" s="838" t="s">
        <v>99</v>
      </c>
      <c r="B42" s="158" t="s">
        <v>15</v>
      </c>
      <c r="C42" s="2213">
        <f>-(+'Exh D General Fund  '!C38+'Exh D General Fund  '!C39+'Exh D General Fund  '!C40+'Exh D General Fund  '!C41+'Exh D General Fund  '!C42+'Exh D Special Revenue'!C33+'Exh D Debt Service'!C31+'Exh D Capital Projects'!C32)</f>
        <v>-17241</v>
      </c>
      <c r="D42" s="118"/>
      <c r="E42" s="2213">
        <f>-(+'Exh D General Fund  '!E38+'Exh D General Fund  '!E39+'Exh D General Fund  '!E40+'Exh D General Fund  '!E41+'Exh D General Fund  '!E42+'Exh D Special Revenue'!E33+'Exh D Debt Service'!E31+'Exh D Capital Projects'!E32)</f>
        <v>-17361</v>
      </c>
      <c r="F42" s="66"/>
      <c r="G42" s="282">
        <f>-(+'Exh D General Fund  '!G38+'Exh D General Fund  '!G39+'Exh D General Fund  '!G40+'Exh D General Fund  '!G41+'Exh D General Fund  '!G42+'Exh D Special Revenue'!K33+'Exh D Debt Service'!G31+'Exh D Capital Projects'!K32)</f>
        <v>-17053</v>
      </c>
      <c r="H42" s="66"/>
      <c r="I42" s="539">
        <f>-ROUND(SUM(G42)-SUM(C42),1)</f>
        <v>-188</v>
      </c>
      <c r="J42" s="59"/>
      <c r="K42" s="66">
        <f t="shared" si="3"/>
        <v>308</v>
      </c>
      <c r="M42" s="1198"/>
    </row>
    <row r="43" spans="1:14" ht="15.75">
      <c r="A43" s="173" t="s">
        <v>100</v>
      </c>
      <c r="B43" s="158" t="s">
        <v>15</v>
      </c>
      <c r="C43" s="120">
        <f>ROUND(+SUM(C40)+C41+C42,1)</f>
        <v>-42</v>
      </c>
      <c r="D43" s="118"/>
      <c r="E43" s="120">
        <f>ROUND(+SUM(E40)+E41+E42,1)</f>
        <v>-61</v>
      </c>
      <c r="F43" s="66"/>
      <c r="G43" s="284">
        <f>ROUND(+SUM(G40)+G41+G42,1)</f>
        <v>-59.8</v>
      </c>
      <c r="H43" s="66"/>
      <c r="I43" s="284">
        <f>ROUND(SUM(I40+I41-I42),1)</f>
        <v>-17.8</v>
      </c>
      <c r="J43" s="172"/>
      <c r="K43" s="1632">
        <f>ROUND(SUM(K40+K41+K42),1)</f>
        <v>1.2</v>
      </c>
      <c r="M43" s="1198"/>
    </row>
    <row r="44" spans="1:14" ht="15.75">
      <c r="A44" s="173"/>
      <c r="B44" s="158"/>
      <c r="C44" s="119"/>
      <c r="D44" s="118"/>
      <c r="E44" s="119"/>
      <c r="F44" s="66"/>
      <c r="G44" s="77"/>
      <c r="H44" s="66"/>
      <c r="I44" s="77"/>
      <c r="J44" s="160"/>
      <c r="K44" s="78"/>
      <c r="M44" s="1198"/>
    </row>
    <row r="45" spans="1:14" ht="15.75">
      <c r="A45" s="29" t="s">
        <v>101</v>
      </c>
      <c r="B45" s="158"/>
      <c r="C45" s="118"/>
      <c r="D45" s="118"/>
      <c r="E45" s="118"/>
      <c r="F45" s="66"/>
      <c r="G45" s="66"/>
      <c r="H45" s="66"/>
      <c r="I45" s="66"/>
      <c r="J45" s="165"/>
      <c r="K45" s="56"/>
      <c r="M45" s="1198"/>
    </row>
    <row r="46" spans="1:14" ht="15" customHeight="1">
      <c r="A46" s="29" t="s">
        <v>102</v>
      </c>
      <c r="B46" s="158"/>
      <c r="C46" s="118"/>
      <c r="D46" s="118"/>
      <c r="E46" s="118"/>
      <c r="F46" s="66"/>
      <c r="G46" s="66"/>
      <c r="H46" s="66"/>
      <c r="I46" s="66"/>
      <c r="J46" s="165"/>
      <c r="K46" s="56"/>
      <c r="M46" s="1198"/>
    </row>
    <row r="47" spans="1:14" ht="15.75">
      <c r="A47" s="173" t="s">
        <v>103</v>
      </c>
      <c r="B47" s="174" t="s">
        <v>15</v>
      </c>
      <c r="C47" s="115">
        <f>ROUND(SUM(C26)-SUM(C34)+C43,1)</f>
        <v>3242</v>
      </c>
      <c r="D47" s="1127"/>
      <c r="E47" s="115">
        <f>ROUND(SUM(E26)-SUM(E34)+E43,1)</f>
        <v>2823</v>
      </c>
      <c r="F47" s="84"/>
      <c r="G47" s="76">
        <f>ROUND(SUM(G26)-SUM(G34)+G43,1)</f>
        <v>2800.1</v>
      </c>
      <c r="H47" s="84"/>
      <c r="I47" s="76">
        <f>ROUND(SUM(I26)-SUM(I34)+I43,1)</f>
        <v>-441.9</v>
      </c>
      <c r="J47" s="166"/>
      <c r="K47" s="76">
        <f>ROUND(SUM(K26)-SUM(K34)+K43,1)</f>
        <v>-22.9</v>
      </c>
      <c r="M47" s="1198"/>
    </row>
    <row r="48" spans="1:14">
      <c r="A48" s="34"/>
      <c r="B48" s="176"/>
      <c r="C48" s="1855"/>
      <c r="D48" s="2214"/>
      <c r="E48" s="1855"/>
      <c r="F48" s="694"/>
      <c r="G48" s="342"/>
      <c r="H48" s="694"/>
      <c r="I48" s="342"/>
      <c r="J48" s="178"/>
      <c r="K48" s="342"/>
      <c r="M48" s="1198"/>
    </row>
    <row r="49" spans="1:13" ht="15.75">
      <c r="A49" s="173" t="s">
        <v>104</v>
      </c>
      <c r="B49" s="179" t="s">
        <v>15</v>
      </c>
      <c r="C49" s="115">
        <f>'Exh D General Fund  '!C49+'Exh D Special Revenue'!C40+'Exh D Debt Service'!C38+'Exh D Capital Projects'!C39</f>
        <v>9975</v>
      </c>
      <c r="D49" s="2214"/>
      <c r="E49" s="115">
        <f>'Exh D General Fund  '!E49+'Exh D Special Revenue'!E40+'Exh D Debt Service'!E38+'Exh D Capital Projects'!E39</f>
        <v>9975</v>
      </c>
      <c r="F49" s="694"/>
      <c r="G49" s="76">
        <f>'Exh D General Fund  '!G49+'Exh D Special Revenue'!G40+'Exh D Debt Service'!G38+'Exh D Capital Projects'!G39</f>
        <v>9975</v>
      </c>
      <c r="H49" s="694"/>
      <c r="I49" s="76">
        <f>ROUND(SUM(G49-C49),1)</f>
        <v>0</v>
      </c>
      <c r="J49" s="166"/>
      <c r="K49" s="1579">
        <v>0</v>
      </c>
      <c r="M49" s="1198"/>
    </row>
    <row r="50" spans="1:13" ht="16.5" thickBot="1">
      <c r="A50" s="1633" t="s">
        <v>1472</v>
      </c>
      <c r="B50" s="180" t="s">
        <v>15</v>
      </c>
      <c r="C50" s="1529">
        <f>ROUND(SUM(C47:C49),1)</f>
        <v>13217</v>
      </c>
      <c r="D50" s="2126"/>
      <c r="E50" s="1529">
        <f>ROUND(SUM(E47:E49),1)</f>
        <v>12798</v>
      </c>
      <c r="F50" s="181"/>
      <c r="G50" s="98">
        <f>ROUND(SUM(G47:G49),1)</f>
        <v>12775.1</v>
      </c>
      <c r="H50" s="181"/>
      <c r="I50" s="98">
        <f>ROUND(SUM(I47:I49),1)</f>
        <v>-441.9</v>
      </c>
      <c r="J50" s="182"/>
      <c r="K50" s="98">
        <f>ROUND(SUM(K47:K49),1)</f>
        <v>-22.9</v>
      </c>
      <c r="M50" s="1198"/>
    </row>
    <row r="51" spans="1:13" ht="15.75" thickTop="1">
      <c r="A51" s="34"/>
      <c r="B51" s="176"/>
      <c r="C51" s="2215"/>
      <c r="D51" s="2216"/>
      <c r="E51" s="2215"/>
      <c r="F51" s="177"/>
      <c r="G51" s="177"/>
      <c r="H51" s="177"/>
      <c r="I51" s="177"/>
      <c r="J51" s="177"/>
      <c r="K51" s="176"/>
      <c r="M51" s="1198"/>
    </row>
    <row r="52" spans="1:13">
      <c r="A52" s="955" t="s">
        <v>1430</v>
      </c>
      <c r="G52" s="1198"/>
      <c r="K52" s="1221"/>
      <c r="M52" s="1198"/>
    </row>
    <row r="53" spans="1:13">
      <c r="A53" s="955" t="s">
        <v>1496</v>
      </c>
      <c r="G53" s="1198"/>
    </row>
    <row r="54" spans="1:13">
      <c r="A54" s="184"/>
    </row>
    <row r="55" spans="1:13">
      <c r="A55" s="183"/>
      <c r="G55" s="1198"/>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88671875" style="101" customWidth="1"/>
    <col min="7" max="7" width="15.21875" style="101" customWidth="1"/>
    <col min="8" max="8" width="4" style="101" customWidth="1"/>
    <col min="9" max="9" width="15.21875" style="101" customWidth="1"/>
    <col min="10" max="10" width="2.21875" style="101" customWidth="1"/>
    <col min="11" max="11" width="15.21875" style="101" customWidth="1"/>
    <col min="12" max="16384" width="8.77734375" style="101"/>
  </cols>
  <sheetData>
    <row r="1" spans="1:11">
      <c r="A1" s="942" t="s">
        <v>980</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1"/>
    </row>
    <row r="5" spans="1:11" ht="17.25" customHeight="1">
      <c r="A5" s="3839" t="str">
        <f>'Exh D-Governmental  '!A5:E5</f>
        <v>FISCAL YEAR 2019-2020</v>
      </c>
      <c r="B5" s="3840"/>
      <c r="C5" s="3840"/>
      <c r="D5" s="3840"/>
      <c r="E5" s="3840"/>
      <c r="F5" s="143"/>
      <c r="G5" s="146"/>
      <c r="H5" s="143"/>
      <c r="I5" s="841"/>
      <c r="J5" s="143"/>
    </row>
    <row r="6" spans="1:11" ht="17.25" customHeight="1">
      <c r="A6" s="1515" t="str">
        <f>'Exh D-Governmental  '!A6</f>
        <v>FOR FOUR MONTHS ENDED JULY 31, 2019</v>
      </c>
      <c r="B6" s="147"/>
      <c r="C6" s="148"/>
      <c r="D6" s="143"/>
      <c r="E6" s="148"/>
      <c r="F6" s="143"/>
      <c r="G6" s="143"/>
      <c r="H6" s="143"/>
      <c r="I6" s="143"/>
      <c r="J6" s="143"/>
      <c r="K6" s="143"/>
    </row>
    <row r="7" spans="1:11" ht="18">
      <c r="A7" s="191" t="s">
        <v>1434</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800" t="s">
        <v>1501</v>
      </c>
      <c r="D11" s="3800"/>
      <c r="E11" s="3800"/>
      <c r="F11" s="3800"/>
      <c r="G11" s="3800"/>
      <c r="H11" s="3800"/>
      <c r="I11" s="3800"/>
      <c r="J11" s="1201"/>
      <c r="K11" s="1197"/>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886</v>
      </c>
      <c r="J13" s="153"/>
      <c r="K13" s="153" t="s">
        <v>886</v>
      </c>
    </row>
    <row r="14" spans="1:11" ht="15.75">
      <c r="A14" s="706"/>
      <c r="B14" s="151"/>
      <c r="C14" s="154" t="s">
        <v>1095</v>
      </c>
      <c r="D14" s="152"/>
      <c r="E14" s="153" t="s">
        <v>1096</v>
      </c>
      <c r="F14" s="152"/>
      <c r="G14" s="152"/>
      <c r="H14" s="152"/>
      <c r="I14" s="153" t="s">
        <v>86</v>
      </c>
      <c r="J14" s="153"/>
      <c r="K14" s="153" t="s">
        <v>86</v>
      </c>
    </row>
    <row r="15" spans="1:11" ht="15.75">
      <c r="A15" s="706"/>
      <c r="B15" s="151"/>
      <c r="C15" s="199" t="s">
        <v>1134</v>
      </c>
      <c r="D15" s="198"/>
      <c r="E15" s="199" t="s">
        <v>1134</v>
      </c>
      <c r="F15" s="152"/>
      <c r="G15" s="152"/>
      <c r="H15" s="152"/>
      <c r="I15" s="153" t="s">
        <v>1095</v>
      </c>
      <c r="J15" s="153"/>
      <c r="K15" s="153" t="s">
        <v>1096</v>
      </c>
    </row>
    <row r="16" spans="1:11" ht="15.75">
      <c r="A16" s="706"/>
      <c r="B16" s="151"/>
      <c r="C16" s="199" t="s">
        <v>1135</v>
      </c>
      <c r="D16" s="198"/>
      <c r="E16" s="199" t="s">
        <v>1497</v>
      </c>
      <c r="F16" s="152"/>
      <c r="G16" s="154" t="s">
        <v>85</v>
      </c>
      <c r="H16" s="152"/>
      <c r="I16" s="153" t="s">
        <v>87</v>
      </c>
      <c r="J16" s="153"/>
      <c r="K16" s="153" t="s">
        <v>87</v>
      </c>
    </row>
    <row r="17" spans="1:12">
      <c r="A17" s="155"/>
      <c r="B17" s="156"/>
      <c r="C17" s="1700"/>
      <c r="D17" s="148"/>
      <c r="E17" s="1700"/>
      <c r="F17" s="143"/>
      <c r="G17" s="157"/>
      <c r="H17" s="143"/>
      <c r="I17" s="157"/>
      <c r="J17" s="156"/>
      <c r="K17" s="157"/>
    </row>
    <row r="18" spans="1:12" ht="15.75">
      <c r="A18" s="29" t="s">
        <v>14</v>
      </c>
      <c r="B18" s="943"/>
      <c r="C18" s="1701"/>
      <c r="D18" s="1701"/>
      <c r="E18" s="1701"/>
      <c r="F18" s="670"/>
      <c r="G18" s="670"/>
      <c r="H18" s="670"/>
      <c r="I18" s="943"/>
      <c r="J18" s="670"/>
      <c r="K18" s="943"/>
    </row>
    <row r="19" spans="1:12" ht="15" customHeight="1">
      <c r="A19" s="838" t="s">
        <v>88</v>
      </c>
      <c r="B19" s="944" t="s">
        <v>15</v>
      </c>
      <c r="C19" s="2217"/>
      <c r="D19" s="2001"/>
      <c r="E19" s="2217"/>
      <c r="F19" s="944"/>
      <c r="G19" s="945"/>
      <c r="H19" s="944"/>
      <c r="I19" s="1220"/>
      <c r="J19" s="945"/>
      <c r="K19" s="1220"/>
    </row>
    <row r="20" spans="1:12">
      <c r="A20" s="838" t="s">
        <v>89</v>
      </c>
      <c r="B20" s="944" t="s">
        <v>15</v>
      </c>
      <c r="C20" s="913">
        <f>'Exh D General Fund  '!C20+'Exh D Special Revenue State Fed'!C20+'Exh D Debt Service'!C20</f>
        <v>19854</v>
      </c>
      <c r="D20" s="912"/>
      <c r="E20" s="913">
        <f>'Exh D General Fund  '!E20+'Exh D Special Revenue State Fed'!E20+'Exh D Debt Service'!E20</f>
        <v>20268</v>
      </c>
      <c r="F20" s="673"/>
      <c r="G20" s="671">
        <f>+'Exh A Supp'!T15</f>
        <v>20241.5</v>
      </c>
      <c r="H20" s="673"/>
      <c r="I20" s="990">
        <f t="shared" ref="I20:I25" si="0">ROUND(SUM(G20)-SUM(C20),1)</f>
        <v>387.5</v>
      </c>
      <c r="J20" s="946"/>
      <c r="K20" s="990">
        <f>ROUND(SUM(G20)-SUM(E20),1)</f>
        <v>-26.5</v>
      </c>
    </row>
    <row r="21" spans="1:12">
      <c r="A21" s="838" t="s">
        <v>90</v>
      </c>
      <c r="B21" s="943" t="s">
        <v>15</v>
      </c>
      <c r="C21" s="914">
        <f>'Exh D General Fund  '!C21+'Exh D Special Revenue State Fed'!C21+'Exh D Debt Service'!C21</f>
        <v>5738</v>
      </c>
      <c r="D21" s="914"/>
      <c r="E21" s="914">
        <f>'Exh D General Fund  '!E21+'Exh D Special Revenue State Fed'!E21+'Exh D Debt Service'!E21</f>
        <v>5709</v>
      </c>
      <c r="F21" s="656"/>
      <c r="G21" s="656">
        <f>+'Exh A Supp'!T16</f>
        <v>5705</v>
      </c>
      <c r="H21" s="656"/>
      <c r="I21" s="962">
        <f t="shared" si="0"/>
        <v>-33</v>
      </c>
      <c r="J21" s="946"/>
      <c r="K21" s="962">
        <f>ROUND(SUM(G21)-SUM(E21),1)</f>
        <v>-4</v>
      </c>
    </row>
    <row r="22" spans="1:12" ht="15" customHeight="1">
      <c r="A22" s="838" t="s">
        <v>91</v>
      </c>
      <c r="B22" s="944" t="s">
        <v>15</v>
      </c>
      <c r="C22" s="914">
        <f>'Exh D General Fund  '!C22+'Exh D Special Revenue State Fed'!C22</f>
        <v>2106</v>
      </c>
      <c r="D22" s="700"/>
      <c r="E22" s="914">
        <f>'Exh D General Fund  '!E22+'Exh D Special Revenue State Fed'!E22</f>
        <v>2290</v>
      </c>
      <c r="F22" s="695"/>
      <c r="G22" s="656">
        <f>+'Exh A Supp'!T17</f>
        <v>2288.6</v>
      </c>
      <c r="H22" s="695"/>
      <c r="I22" s="962">
        <f t="shared" si="0"/>
        <v>182.6</v>
      </c>
      <c r="J22" s="946"/>
      <c r="K22" s="962">
        <f t="shared" ref="K22:K25" si="1">ROUND(SUM(G22)-SUM(E22),1)</f>
        <v>-1.4</v>
      </c>
    </row>
    <row r="23" spans="1:12" ht="14.25" customHeight="1">
      <c r="A23" s="838" t="s">
        <v>92</v>
      </c>
      <c r="B23" s="943" t="s">
        <v>15</v>
      </c>
      <c r="C23" s="914">
        <f>'Exh D General Fund  '!C23+'Exh D Debt Service'!C22</f>
        <v>728</v>
      </c>
      <c r="D23" s="914"/>
      <c r="E23" s="914">
        <f>'Exh D General Fund  '!E23+'Exh D Debt Service'!E22</f>
        <v>712</v>
      </c>
      <c r="F23" s="656"/>
      <c r="G23" s="656">
        <f>+'Exh A Supp'!T18</f>
        <v>704.4</v>
      </c>
      <c r="H23" s="656"/>
      <c r="I23" s="962">
        <f t="shared" si="0"/>
        <v>-23.6</v>
      </c>
      <c r="J23" s="946"/>
      <c r="K23" s="962">
        <f t="shared" si="1"/>
        <v>-7.6</v>
      </c>
    </row>
    <row r="24" spans="1:12">
      <c r="A24" s="838" t="s">
        <v>20</v>
      </c>
      <c r="B24" s="943" t="s">
        <v>15</v>
      </c>
      <c r="C24" s="914">
        <f>'Exh D General Fund  '!C24+'Exh D Special Revenue State Fed'!C23+'Exh D Debt Service'!C23</f>
        <v>7601</v>
      </c>
      <c r="D24" s="914"/>
      <c r="E24" s="914">
        <f>'Exh D General Fund  '!E24+'Exh D Special Revenue State Fed'!E23+'Exh D Debt Service'!E23</f>
        <v>7505</v>
      </c>
      <c r="F24" s="656"/>
      <c r="G24" s="656">
        <f>+'Exh A Supp'!T19</f>
        <v>7483.4</v>
      </c>
      <c r="H24" s="656"/>
      <c r="I24" s="962">
        <f t="shared" si="0"/>
        <v>-117.6</v>
      </c>
      <c r="J24" s="833"/>
      <c r="K24" s="962">
        <f t="shared" si="1"/>
        <v>-21.6</v>
      </c>
    </row>
    <row r="25" spans="1:12" ht="15" customHeight="1">
      <c r="A25" s="838" t="s">
        <v>21</v>
      </c>
      <c r="B25" s="943" t="s">
        <v>15</v>
      </c>
      <c r="C25" s="701">
        <f>'Exh D General Fund  '!C25+'Exh D Special Revenue State Fed'!C24+'Exh D Debt Service'!C24</f>
        <v>0</v>
      </c>
      <c r="D25" s="914"/>
      <c r="E25" s="701">
        <f>'Exh D General Fund  '!E25+'Exh D Special Revenue State Fed'!E24+'Exh D Debt Service'!E24</f>
        <v>-1</v>
      </c>
      <c r="F25" s="656"/>
      <c r="G25" s="656">
        <f>+'Exh A Supp'!T20</f>
        <v>0.8</v>
      </c>
      <c r="H25" s="656"/>
      <c r="I25" s="962">
        <f t="shared" si="0"/>
        <v>0.8</v>
      </c>
      <c r="J25" s="833"/>
      <c r="K25" s="962">
        <f t="shared" si="1"/>
        <v>1.8</v>
      </c>
    </row>
    <row r="26" spans="1:12" ht="15.75">
      <c r="A26" s="173" t="s">
        <v>93</v>
      </c>
      <c r="B26" s="151" t="s">
        <v>15</v>
      </c>
      <c r="C26" s="1527">
        <f>ROUND(SUM(C20:C25),1)</f>
        <v>36027</v>
      </c>
      <c r="D26" s="112"/>
      <c r="E26" s="1527">
        <f>ROUND(SUM(E20:E25),1)</f>
        <v>36483</v>
      </c>
      <c r="F26" s="941"/>
      <c r="G26" s="215">
        <f>ROUND(SUM(G20:G25),1)</f>
        <v>36423.699999999997</v>
      </c>
      <c r="H26" s="941"/>
      <c r="I26" s="215">
        <f>ROUND(SUM(I20:I25),1)</f>
        <v>396.7</v>
      </c>
      <c r="J26" s="166"/>
      <c r="K26" s="215">
        <f>ROUND(SUM(K20:K25),1)</f>
        <v>-59.3</v>
      </c>
      <c r="L26" s="359"/>
    </row>
    <row r="27" spans="1:12">
      <c r="A27" s="706"/>
      <c r="B27" s="943" t="s">
        <v>15</v>
      </c>
      <c r="C27" s="1061"/>
      <c r="D27" s="914"/>
      <c r="E27" s="1061"/>
      <c r="F27" s="656"/>
      <c r="G27" s="704"/>
      <c r="H27" s="656"/>
      <c r="I27" s="704"/>
      <c r="J27" s="682"/>
      <c r="K27" s="704"/>
    </row>
    <row r="28" spans="1:12" ht="15.75">
      <c r="A28" s="29" t="s">
        <v>23</v>
      </c>
      <c r="B28" s="943" t="s">
        <v>15</v>
      </c>
      <c r="C28" s="914"/>
      <c r="D28" s="914"/>
      <c r="E28" s="914"/>
      <c r="F28" s="656"/>
      <c r="G28" s="656"/>
      <c r="H28" s="656"/>
      <c r="I28" s="962"/>
      <c r="J28" s="833"/>
      <c r="K28" s="962"/>
    </row>
    <row r="29" spans="1:12">
      <c r="A29" s="838" t="s">
        <v>94</v>
      </c>
      <c r="B29" s="943" t="s">
        <v>15</v>
      </c>
      <c r="C29" s="701">
        <f>'Exh D General Fund  '!C34+'Exh D Special Revenue State Fed'!C29</f>
        <v>22026</v>
      </c>
      <c r="D29" s="914"/>
      <c r="E29" s="701">
        <f>'Exh D General Fund  '!E34+'Exh D Special Revenue State Fed'!E29</f>
        <v>21901</v>
      </c>
      <c r="F29" s="656"/>
      <c r="G29" s="702">
        <f>+'Exh A Supp'!T35</f>
        <v>21907.200000000001</v>
      </c>
      <c r="H29" s="656"/>
      <c r="I29" s="962">
        <f>ROUND(SUM(G29)-SUM(C29),1)</f>
        <v>-118.8</v>
      </c>
      <c r="J29" s="833"/>
      <c r="K29" s="962">
        <f>ROUND(SUM(G29)-SUM(E29),1)</f>
        <v>6.2</v>
      </c>
      <c r="L29" s="359"/>
    </row>
    <row r="30" spans="1:12">
      <c r="A30" s="838" t="s">
        <v>95</v>
      </c>
      <c r="B30" s="943" t="s">
        <v>15</v>
      </c>
      <c r="C30" s="700">
        <f>'Exh D General Fund  '!C35+'Exh D Special Revenue State Fed'!C30+'Exh D Debt Service'!C29</f>
        <v>6457</v>
      </c>
      <c r="D30" s="914"/>
      <c r="E30" s="700">
        <f>'Exh D General Fund  '!E35+'Exh D Special Revenue State Fed'!E30+'Exh D Debt Service'!E29</f>
        <v>6717</v>
      </c>
      <c r="F30" s="656"/>
      <c r="G30" s="695">
        <f>+'Exh A Supp'!T37+'Exh A Supp'!T38</f>
        <v>6723</v>
      </c>
      <c r="H30" s="656"/>
      <c r="I30" s="962">
        <f>ROUND(SUM(G30)-SUM(C30),1)</f>
        <v>266</v>
      </c>
      <c r="J30" s="833"/>
      <c r="K30" s="962">
        <f t="shared" ref="K30:K33" si="2">ROUND(SUM(G30)-SUM(E30),1)</f>
        <v>6</v>
      </c>
      <c r="L30" s="359"/>
    </row>
    <row r="31" spans="1:12">
      <c r="A31" s="838" t="s">
        <v>70</v>
      </c>
      <c r="B31" s="943" t="s">
        <v>15</v>
      </c>
      <c r="C31" s="701">
        <f>'Exh D General Fund  '!C36+'Exh D Special Revenue State Fed'!C31</f>
        <v>4207</v>
      </c>
      <c r="D31" s="914"/>
      <c r="E31" s="701">
        <f>'Exh D General Fund  '!E36+'Exh D Special Revenue State Fed'!E31</f>
        <v>4105</v>
      </c>
      <c r="F31" s="656"/>
      <c r="G31" s="702">
        <f>+'Exh A Supp'!T39</f>
        <v>4112.7</v>
      </c>
      <c r="H31" s="656"/>
      <c r="I31" s="962">
        <f>ROUND(SUM(G31)-SUM(C31),1)</f>
        <v>-94.3</v>
      </c>
      <c r="J31" s="833"/>
      <c r="K31" s="962">
        <f t="shared" si="2"/>
        <v>7.7</v>
      </c>
      <c r="L31" s="359"/>
    </row>
    <row r="32" spans="1:12">
      <c r="A32" s="838" t="s">
        <v>96</v>
      </c>
      <c r="B32" s="943" t="s">
        <v>15</v>
      </c>
      <c r="C32" s="700">
        <f>'Exh D Debt Service'!C30</f>
        <v>456</v>
      </c>
      <c r="D32" s="914"/>
      <c r="E32" s="700">
        <f>'Exh D Debt Service'!E30</f>
        <v>469</v>
      </c>
      <c r="F32" s="656"/>
      <c r="G32" s="702">
        <f>+'Exh A Supp'!T41</f>
        <v>468.9</v>
      </c>
      <c r="H32" s="656"/>
      <c r="I32" s="962">
        <f>ROUND(SUM(G32)-SUM(C32),1)</f>
        <v>12.9</v>
      </c>
      <c r="J32" s="833"/>
      <c r="K32" s="962">
        <f t="shared" si="2"/>
        <v>-0.1</v>
      </c>
      <c r="L32" s="359"/>
    </row>
    <row r="33" spans="1:12">
      <c r="A33" s="838" t="s">
        <v>42</v>
      </c>
      <c r="B33" s="943"/>
      <c r="C33" s="700">
        <f>'Exh D Special Revenue State Fed'!C32</f>
        <v>0</v>
      </c>
      <c r="D33" s="914"/>
      <c r="E33" s="700">
        <f>'Exh D Special Revenue State Fed'!E32</f>
        <v>0</v>
      </c>
      <c r="F33" s="1578"/>
      <c r="G33" s="702">
        <f>'Exh D Special Revenue State Fed'!G32</f>
        <v>0.1</v>
      </c>
      <c r="H33" s="1578"/>
      <c r="I33" s="962">
        <f>ROUND(SUM(G33)-SUM(C33),1)</f>
        <v>0.1</v>
      </c>
      <c r="J33" s="833"/>
      <c r="K33" s="962">
        <f t="shared" si="2"/>
        <v>0.1</v>
      </c>
      <c r="L33" s="359"/>
    </row>
    <row r="34" spans="1:12" ht="15.75" customHeight="1">
      <c r="A34" s="173" t="s">
        <v>97</v>
      </c>
      <c r="B34" s="151" t="s">
        <v>15</v>
      </c>
      <c r="C34" s="1118">
        <f>ROUND(SUM(C29:C33),1)</f>
        <v>33146</v>
      </c>
      <c r="D34" s="112"/>
      <c r="E34" s="1118">
        <f>ROUND(SUM(E29:E33),1)</f>
        <v>33192</v>
      </c>
      <c r="F34" s="941"/>
      <c r="G34" s="296">
        <f>ROUND(SUM(G29:G33),1)</f>
        <v>33211.9</v>
      </c>
      <c r="H34" s="941"/>
      <c r="I34" s="296">
        <f>ROUND(SUM(I29:I33),1)</f>
        <v>65.900000000000006</v>
      </c>
      <c r="J34" s="166"/>
      <c r="K34" s="296">
        <f>ROUND(SUM(K29:K33),1)</f>
        <v>19.899999999999999</v>
      </c>
      <c r="L34" s="359"/>
    </row>
    <row r="35" spans="1:12">
      <c r="A35" s="706"/>
      <c r="B35" s="943"/>
      <c r="C35" s="914"/>
      <c r="D35" s="914"/>
      <c r="E35" s="914"/>
      <c r="F35" s="656"/>
      <c r="G35" s="656"/>
      <c r="H35" s="656"/>
      <c r="I35" s="962"/>
      <c r="J35" s="833"/>
      <c r="K35" s="962"/>
      <c r="L35" s="359"/>
    </row>
    <row r="36" spans="1:12" ht="15.75">
      <c r="A36" s="173" t="s">
        <v>44</v>
      </c>
      <c r="B36" s="943"/>
      <c r="C36" s="914"/>
      <c r="D36" s="914"/>
      <c r="E36" s="914"/>
      <c r="F36" s="656"/>
      <c r="G36" s="656"/>
      <c r="H36" s="656"/>
      <c r="I36" s="962"/>
      <c r="J36" s="833"/>
      <c r="K36" s="962"/>
      <c r="L36" s="359"/>
    </row>
    <row r="37" spans="1:12" ht="15.75">
      <c r="A37" s="173" t="s">
        <v>45</v>
      </c>
      <c r="B37" s="943" t="s">
        <v>15</v>
      </c>
      <c r="C37" s="1129">
        <f>ROUND(SUM(+C26-C34),1)</f>
        <v>2881</v>
      </c>
      <c r="D37" s="914"/>
      <c r="E37" s="1129">
        <f>ROUND(SUM(+E26-E34),1)</f>
        <v>3291</v>
      </c>
      <c r="F37" s="656"/>
      <c r="G37" s="847">
        <f>ROUND(SUM(+G26-G34),1)</f>
        <v>3211.8</v>
      </c>
      <c r="H37" s="656"/>
      <c r="I37" s="847">
        <f>ROUND(SUM(+I26-I34),1)</f>
        <v>330.8</v>
      </c>
      <c r="J37" s="682"/>
      <c r="K37" s="847">
        <f>ROUND(SUM(+K26-K34),1)</f>
        <v>-79.2</v>
      </c>
      <c r="L37" s="359"/>
    </row>
    <row r="38" spans="1:12">
      <c r="A38" s="706"/>
      <c r="B38" s="943"/>
      <c r="C38" s="914"/>
      <c r="D38" s="914"/>
      <c r="E38" s="914"/>
      <c r="F38" s="656"/>
      <c r="G38" s="656"/>
      <c r="H38" s="656"/>
      <c r="I38" s="962"/>
      <c r="J38" s="833"/>
      <c r="K38" s="962"/>
      <c r="L38" s="359"/>
    </row>
    <row r="39" spans="1:12" ht="15.75">
      <c r="A39" s="173" t="s">
        <v>46</v>
      </c>
      <c r="B39" s="943"/>
      <c r="C39" s="914"/>
      <c r="D39" s="914"/>
      <c r="E39" s="914"/>
      <c r="F39" s="656"/>
      <c r="G39" s="656"/>
      <c r="H39" s="656"/>
      <c r="I39" s="962"/>
      <c r="J39" s="833"/>
      <c r="K39" s="962"/>
      <c r="L39" s="359"/>
    </row>
    <row r="40" spans="1:12">
      <c r="A40" s="838" t="s">
        <v>48</v>
      </c>
      <c r="B40" s="943" t="s">
        <v>15</v>
      </c>
      <c r="C40" s="700">
        <f>'Exh D General Fund  '!C27+'Exh D General Fund  '!C28+'Exh D General Fund  '!C29+'Exh D General Fund  '!C30+'Exh D Special Revenue State Fed'!C25+'Exh D Debt Service'!C25</f>
        <v>15324</v>
      </c>
      <c r="D40" s="914"/>
      <c r="E40" s="700">
        <f>'Exh D General Fund  '!E27+'Exh D General Fund  '!E28+'Exh D General Fund  '!E29+'Exh D General Fund  '!E30+'Exh D Special Revenue State Fed'!E25+'Exh D Debt Service'!E25</f>
        <v>15483</v>
      </c>
      <c r="F40" s="656"/>
      <c r="G40" s="695">
        <f>+'Exh A Supp'!T49</f>
        <v>15442</v>
      </c>
      <c r="H40" s="1399" t="s">
        <v>1500</v>
      </c>
      <c r="I40" s="962">
        <f>ROUND(SUM(G40)-SUM(C40),1)</f>
        <v>118</v>
      </c>
      <c r="J40" s="833"/>
      <c r="K40" s="962">
        <f>ROUND(SUM(G40)-SUM(E40),1)</f>
        <v>-41</v>
      </c>
      <c r="L40" s="359"/>
    </row>
    <row r="41" spans="1:12">
      <c r="A41" s="838" t="s">
        <v>99</v>
      </c>
      <c r="B41" s="943" t="s">
        <v>15</v>
      </c>
      <c r="C41" s="1526">
        <f>-('Exh D General Fund  '!C38+'Exh D General Fund  '!C39+'Exh D General Fund  '!C40+'Exh D General Fund  '!C41+'Exh D General Fund  '!C42+'Exh D Special Revenue State Fed'!C33+'Exh D Debt Service'!C31)</f>
        <v>-16357</v>
      </c>
      <c r="D41" s="914"/>
      <c r="E41" s="1526">
        <f>-('Exh D General Fund  '!E38+'Exh D General Fund  '!E39+'Exh D General Fund  '!E40+'Exh D General Fund  '!E41+'Exh D General Fund  '!E42+'Exh D Special Revenue State Fed'!E33+'Exh D Debt Service'!E31)</f>
        <v>-16507</v>
      </c>
      <c r="F41" s="656"/>
      <c r="G41" s="695">
        <f>+'Exh A Supp'!T50</f>
        <v>-16509</v>
      </c>
      <c r="H41" s="1399" t="s">
        <v>1500</v>
      </c>
      <c r="I41" s="962">
        <f>-ROUND(SUM(G41)-SUM(C41),1)</f>
        <v>152</v>
      </c>
      <c r="J41" s="682"/>
      <c r="K41" s="962">
        <f>-ROUND(SUM(G41)-SUM(E41),1)</f>
        <v>2</v>
      </c>
      <c r="L41" s="359"/>
    </row>
    <row r="42" spans="1:12" ht="15.75">
      <c r="A42" s="173" t="s">
        <v>100</v>
      </c>
      <c r="B42" s="943" t="s">
        <v>15</v>
      </c>
      <c r="C42" s="1118">
        <f>ROUND(SUM(C40:C41),1)</f>
        <v>-1033</v>
      </c>
      <c r="D42" s="914"/>
      <c r="E42" s="1118">
        <f>ROUND(SUM(E40:E41),1)</f>
        <v>-1024</v>
      </c>
      <c r="F42" s="656"/>
      <c r="G42" s="296">
        <f>ROUND(SUM(G40:G41),1)</f>
        <v>-1067</v>
      </c>
      <c r="H42" s="656"/>
      <c r="I42" s="296">
        <f>ROUND(SUM(I40-I41),1)</f>
        <v>-34</v>
      </c>
      <c r="J42" s="949"/>
      <c r="K42" s="296">
        <f>ROUND(SUM(K40-K41),1)</f>
        <v>-43</v>
      </c>
      <c r="L42" s="359"/>
    </row>
    <row r="43" spans="1:12" ht="15.75">
      <c r="A43" s="173"/>
      <c r="B43" s="943"/>
      <c r="C43" s="700"/>
      <c r="D43" s="914"/>
      <c r="E43" s="700"/>
      <c r="F43" s="656"/>
      <c r="G43" s="695"/>
      <c r="H43" s="656"/>
      <c r="I43" s="963"/>
      <c r="J43" s="944"/>
      <c r="K43" s="963"/>
      <c r="L43" s="359"/>
    </row>
    <row r="44" spans="1:12" ht="15.75">
      <c r="A44" s="29" t="s">
        <v>101</v>
      </c>
      <c r="B44" s="943"/>
      <c r="C44" s="914"/>
      <c r="D44" s="914"/>
      <c r="E44" s="914"/>
      <c r="F44" s="656"/>
      <c r="G44" s="656"/>
      <c r="H44" s="656"/>
      <c r="I44" s="962"/>
      <c r="J44" s="833"/>
      <c r="K44" s="962"/>
      <c r="L44" s="359"/>
    </row>
    <row r="45" spans="1:12" ht="15" customHeight="1">
      <c r="A45" s="29" t="s">
        <v>102</v>
      </c>
      <c r="B45" s="943"/>
      <c r="C45" s="914"/>
      <c r="D45" s="914"/>
      <c r="E45" s="914"/>
      <c r="F45" s="656"/>
      <c r="G45" s="656"/>
      <c r="H45" s="656"/>
      <c r="I45" s="962"/>
      <c r="J45" s="833"/>
      <c r="K45" s="962"/>
      <c r="L45" s="359"/>
    </row>
    <row r="46" spans="1:12" ht="15.75">
      <c r="A46" s="173" t="s">
        <v>103</v>
      </c>
      <c r="B46" s="174" t="s">
        <v>15</v>
      </c>
      <c r="C46" s="115">
        <f>ROUND(SUM(C26)-SUM(C34)+C42,1)</f>
        <v>1848</v>
      </c>
      <c r="D46" s="1127"/>
      <c r="E46" s="115">
        <f>ROUND(SUM(E26)-SUM(E34)+E42,1)</f>
        <v>2267</v>
      </c>
      <c r="F46" s="84"/>
      <c r="G46" s="76">
        <f>ROUND(SUM(G26)-SUM(G34)+G42,1)</f>
        <v>2144.8000000000002</v>
      </c>
      <c r="H46" s="84"/>
      <c r="I46" s="76">
        <f>ROUND(SUM(I26)-SUM(I34)+I42,1)</f>
        <v>296.8</v>
      </c>
      <c r="J46" s="166"/>
      <c r="K46" s="76">
        <f>ROUND(SUM(K26)-SUM(K34)+K42,1)</f>
        <v>-122.2</v>
      </c>
      <c r="L46" s="359"/>
    </row>
    <row r="47" spans="1:12">
      <c r="A47" s="950"/>
      <c r="B47" s="635"/>
      <c r="C47" s="1528"/>
      <c r="D47" s="1712"/>
      <c r="E47" s="1528"/>
      <c r="F47" s="951"/>
      <c r="G47" s="684"/>
      <c r="H47" s="951"/>
      <c r="I47" s="684"/>
      <c r="J47" s="952"/>
      <c r="K47" s="684"/>
      <c r="L47" s="359"/>
    </row>
    <row r="48" spans="1:12" ht="15.75">
      <c r="A48" s="173" t="str">
        <f>'Exh D-Governmental  '!A49</f>
        <v>Fund Balances (Deficits) at April 1</v>
      </c>
      <c r="B48" s="953" t="s">
        <v>15</v>
      </c>
      <c r="C48" s="115">
        <f>'Exh D General Fund  '!C49+'Exh D Special Revenue State Fed'!C40+'Exh D Debt Service'!C38</f>
        <v>12362</v>
      </c>
      <c r="D48" s="1712"/>
      <c r="E48" s="115">
        <f>'Exh D General Fund  '!E49+'Exh D Special Revenue State Fed'!E40+'Exh D Debt Service'!E38</f>
        <v>12362</v>
      </c>
      <c r="F48" s="951"/>
      <c r="G48" s="76">
        <f>'Exh A Supp'!T57</f>
        <v>12361.3</v>
      </c>
      <c r="H48" s="951"/>
      <c r="I48" s="847">
        <f>ROUND(SUM(G48)-SUM(C48),1)</f>
        <v>-0.7</v>
      </c>
      <c r="J48" s="166"/>
      <c r="K48" s="1579">
        <f>ROUND(SUM(G48)-SUM(E48),1)</f>
        <v>-0.7</v>
      </c>
      <c r="L48" s="359"/>
    </row>
    <row r="49" spans="1:12" ht="16.5" thickBot="1">
      <c r="A49" s="173" t="str">
        <f>'Exh D-Governmental  '!A50</f>
        <v>Fund Balances (Deficits) at July 31, 2019</v>
      </c>
      <c r="B49" s="180" t="s">
        <v>15</v>
      </c>
      <c r="C49" s="1529">
        <f>ROUND(SUM(C46:C48),1)</f>
        <v>14210</v>
      </c>
      <c r="D49" s="2126"/>
      <c r="E49" s="1529">
        <f>ROUND(SUM(E46:E48),1)</f>
        <v>14629</v>
      </c>
      <c r="F49" s="181"/>
      <c r="G49" s="98">
        <f>ROUND(SUM(G46:G48),1)</f>
        <v>14506.1</v>
      </c>
      <c r="H49" s="994"/>
      <c r="I49" s="98">
        <f>ROUND(SUM(I46:I48),1)</f>
        <v>296.10000000000002</v>
      </c>
      <c r="J49" s="182"/>
      <c r="K49" s="98">
        <f>ROUND(SUM(K46:K48),1)</f>
        <v>-122.9</v>
      </c>
      <c r="L49" s="359"/>
    </row>
    <row r="50" spans="1:12" ht="15.75" thickTop="1">
      <c r="A50" s="950"/>
      <c r="B50" s="635"/>
      <c r="C50" s="2006"/>
      <c r="D50" s="970"/>
      <c r="E50" s="2006"/>
      <c r="F50" s="954"/>
      <c r="G50" s="954"/>
      <c r="H50" s="954"/>
      <c r="I50" s="954"/>
      <c r="J50" s="954"/>
      <c r="K50" s="954"/>
    </row>
    <row r="51" spans="1:12">
      <c r="A51" s="955" t="str">
        <f>'Exh D-Governmental  '!A52</f>
        <v>(*)    Source: 2019-20 Enacted Financial Plan dated May 13, 2019.</v>
      </c>
      <c r="G51" s="1198"/>
      <c r="I51" s="1198"/>
      <c r="K51" s="1198"/>
    </row>
    <row r="52" spans="1:12">
      <c r="A52" s="955" t="str">
        <f>'Exh D-Governmental  '!A53</f>
        <v>(**)   Source: 2019-20 First Quarter Update dated August 13, 2019.</v>
      </c>
      <c r="G52" s="1198"/>
      <c r="I52" s="1198"/>
      <c r="K52" s="1198"/>
    </row>
    <row r="53" spans="1:12">
      <c r="A53" s="625" t="s">
        <v>1499</v>
      </c>
      <c r="I53" s="1198"/>
      <c r="K53" s="1198"/>
    </row>
    <row r="54" spans="1:12">
      <c r="A54" s="625" t="s">
        <v>1217</v>
      </c>
    </row>
    <row r="55" spans="1:12">
      <c r="A55" s="1534" t="s">
        <v>1498</v>
      </c>
      <c r="G55" s="1198"/>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90" zoomScaleNormal="90" workbookViewId="0"/>
  </sheetViews>
  <sheetFormatPr defaultColWidth="8.77734375" defaultRowHeight="15"/>
  <cols>
    <col min="1" max="1" width="59" style="950" customWidth="1"/>
    <col min="2" max="2" width="2" style="635" customWidth="1"/>
    <col min="3" max="3" width="15.21875" style="432" customWidth="1"/>
    <col min="4" max="4" width="1.88671875" style="954" customWidth="1"/>
    <col min="5" max="5" width="15.21875" style="432" customWidth="1"/>
    <col min="6" max="6" width="2.88671875" style="954" customWidth="1"/>
    <col min="7" max="7" width="15.21875" style="954" customWidth="1"/>
    <col min="8" max="8" width="4.33203125" style="954" customWidth="1"/>
    <col min="9" max="9" width="15.21875" style="954" customWidth="1"/>
    <col min="10" max="10" width="2.21875" style="954" customWidth="1"/>
    <col min="11" max="11" width="12.77734375" style="635" customWidth="1"/>
    <col min="12" max="12" width="18.109375" style="432" bestFit="1" customWidth="1"/>
    <col min="13" max="13" width="2.77734375" style="954" customWidth="1"/>
    <col min="14" max="14" width="14.21875" style="954" customWidth="1"/>
    <col min="15" max="15" width="2.77734375" style="954" customWidth="1"/>
    <col min="16" max="16" width="15.77734375" style="954" bestFit="1" customWidth="1"/>
    <col min="17" max="17" width="2" style="635" customWidth="1"/>
    <col min="18" max="18" width="11.77734375" style="635" customWidth="1"/>
    <col min="19" max="19" width="11.44140625" style="635" customWidth="1"/>
    <col min="20" max="20" width="1.77734375" style="635" customWidth="1"/>
    <col min="21" max="21" width="11.77734375" style="635" customWidth="1"/>
    <col min="22" max="22" width="2.109375" style="635" customWidth="1"/>
    <col min="23" max="23" width="11.44140625" style="635" customWidth="1"/>
    <col min="24" max="24" width="0.5546875" style="635" customWidth="1"/>
    <col min="25" max="25" width="2.21875" style="635" customWidth="1"/>
    <col min="26" max="26" width="10.5546875" style="635" customWidth="1"/>
    <col min="27" max="27" width="11.109375" style="635" customWidth="1"/>
    <col min="28" max="28" width="2.21875" style="635" customWidth="1"/>
    <col min="29" max="29" width="11.109375" style="635" customWidth="1"/>
    <col min="30" max="30" width="2.109375" style="635" customWidth="1"/>
    <col min="31" max="31" width="12.44140625" style="635" customWidth="1"/>
    <col min="32" max="36" width="8.77734375" style="635"/>
    <col min="37" max="37" width="8.77734375" style="954"/>
    <col min="38" max="16384" width="8.77734375" style="950"/>
  </cols>
  <sheetData>
    <row r="1" spans="1:31">
      <c r="A1" s="956" t="s">
        <v>980</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40"/>
      <c r="K3" s="840"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1"/>
      <c r="K4" s="841"/>
      <c r="L4" s="429"/>
      <c r="M4" s="143"/>
      <c r="N4" s="143"/>
      <c r="O4" s="143"/>
      <c r="Q4" s="143"/>
      <c r="R4" s="156"/>
      <c r="S4" s="156"/>
      <c r="T4" s="156"/>
      <c r="U4" s="156"/>
      <c r="V4" s="156"/>
      <c r="W4" s="156"/>
      <c r="X4" s="156"/>
      <c r="Y4" s="156"/>
      <c r="Z4" s="156"/>
      <c r="AA4" s="156"/>
      <c r="AB4" s="156"/>
      <c r="AC4" s="156"/>
      <c r="AD4" s="156"/>
      <c r="AE4" s="156"/>
    </row>
    <row r="5" spans="1:31" ht="17.25" customHeight="1">
      <c r="A5" s="3839" t="str">
        <f>'Exh D-Governmental  '!A5:E5</f>
        <v>FISCAL YEAR 2019-2020</v>
      </c>
      <c r="B5" s="3840"/>
      <c r="C5" s="3840"/>
      <c r="D5" s="3840"/>
      <c r="E5" s="3840"/>
      <c r="F5" s="143"/>
      <c r="G5" s="833"/>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5" t="str">
        <f>'Exh D-Governmental  '!A6</f>
        <v>FOR FOUR MONTHS ENDED JULY 31, 2019</v>
      </c>
      <c r="B6" s="3841"/>
      <c r="C6" s="3842"/>
      <c r="D6" s="3843"/>
      <c r="E6" s="3842"/>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1434</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3"/>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01" t="s">
        <v>1149</v>
      </c>
      <c r="D11" s="3801"/>
      <c r="E11" s="3801"/>
      <c r="F11" s="3801"/>
      <c r="G11" s="3801"/>
      <c r="H11" s="3801"/>
      <c r="I11" s="3801"/>
      <c r="J11" s="1199"/>
      <c r="K11" s="120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886</v>
      </c>
      <c r="J13" s="201"/>
      <c r="K13" s="199" t="s">
        <v>886</v>
      </c>
      <c r="L13" s="984"/>
      <c r="M13" s="985"/>
      <c r="N13" s="985"/>
      <c r="O13" s="985"/>
      <c r="P13" s="986"/>
      <c r="Q13" s="151"/>
      <c r="R13" s="151"/>
      <c r="S13" s="151"/>
      <c r="T13" s="151"/>
      <c r="U13" s="151"/>
      <c r="V13" s="151"/>
      <c r="W13" s="200"/>
      <c r="X13" s="201"/>
      <c r="Y13" s="151"/>
      <c r="Z13" s="151"/>
      <c r="AA13" s="151"/>
      <c r="AB13" s="151"/>
      <c r="AC13" s="151"/>
      <c r="AD13" s="151"/>
      <c r="AE13" s="200"/>
    </row>
    <row r="14" spans="1:31" ht="15.75">
      <c r="A14" s="706"/>
      <c r="B14" s="202"/>
      <c r="C14" s="154" t="s">
        <v>1095</v>
      </c>
      <c r="D14" s="950"/>
      <c r="E14" s="153" t="s">
        <v>1096</v>
      </c>
      <c r="F14" s="152"/>
      <c r="G14" s="152"/>
      <c r="H14" s="152"/>
      <c r="I14" s="153" t="s">
        <v>86</v>
      </c>
      <c r="J14" s="201"/>
      <c r="K14" s="153" t="s">
        <v>86</v>
      </c>
      <c r="L14" s="987"/>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1134</v>
      </c>
      <c r="D15" s="152"/>
      <c r="E15" s="153" t="s">
        <v>1134</v>
      </c>
      <c r="F15" s="152"/>
      <c r="G15" s="152"/>
      <c r="H15" s="152"/>
      <c r="I15" s="153" t="s">
        <v>1095</v>
      </c>
      <c r="J15" s="201"/>
      <c r="K15" s="153" t="s">
        <v>1096</v>
      </c>
      <c r="L15" s="987"/>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1135</v>
      </c>
      <c r="D16" s="152"/>
      <c r="E16" s="153" t="s">
        <v>1497</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3"/>
      <c r="C18" s="670"/>
      <c r="D18" s="670"/>
      <c r="E18" s="670"/>
      <c r="F18" s="670"/>
      <c r="G18" s="670"/>
      <c r="H18" s="670"/>
      <c r="I18" s="670"/>
      <c r="J18" s="943"/>
      <c r="K18" s="943"/>
      <c r="L18" s="943"/>
      <c r="M18" s="943"/>
      <c r="N18" s="943"/>
      <c r="O18" s="943"/>
      <c r="P18" s="943"/>
      <c r="Q18" s="943"/>
      <c r="R18" s="943"/>
      <c r="S18" s="943"/>
      <c r="T18" s="943"/>
      <c r="U18" s="943"/>
      <c r="V18" s="943"/>
      <c r="W18" s="943"/>
      <c r="X18" s="943"/>
      <c r="Y18" s="943"/>
      <c r="Z18" s="943"/>
      <c r="AA18" s="943"/>
      <c r="AB18" s="943"/>
      <c r="AC18" s="943"/>
      <c r="AD18" s="943"/>
      <c r="AE18" s="943"/>
    </row>
    <row r="19" spans="1:31">
      <c r="A19" s="838" t="s">
        <v>88</v>
      </c>
      <c r="B19" s="944"/>
      <c r="C19" s="670"/>
      <c r="D19" s="944"/>
      <c r="E19" s="670"/>
      <c r="F19" s="944"/>
      <c r="G19" s="670"/>
      <c r="H19" s="944"/>
      <c r="I19" s="670"/>
      <c r="J19" s="943"/>
      <c r="K19" s="943"/>
      <c r="L19" s="943"/>
      <c r="M19" s="943"/>
      <c r="N19" s="943"/>
      <c r="O19" s="964"/>
      <c r="P19" s="943"/>
      <c r="Q19" s="943"/>
      <c r="R19" s="943"/>
      <c r="S19" s="943"/>
      <c r="T19" s="943"/>
      <c r="U19" s="943"/>
      <c r="V19" s="943"/>
      <c r="W19" s="943"/>
      <c r="X19" s="943"/>
      <c r="Y19" s="943"/>
      <c r="Z19" s="943"/>
      <c r="AA19" s="943"/>
      <c r="AB19" s="943"/>
      <c r="AC19" s="943"/>
      <c r="AD19" s="943"/>
      <c r="AE19" s="943"/>
    </row>
    <row r="20" spans="1:31">
      <c r="A20" s="838" t="s">
        <v>89</v>
      </c>
      <c r="B20" s="944" t="s">
        <v>15</v>
      </c>
      <c r="C20" s="2122">
        <v>9927</v>
      </c>
      <c r="D20" s="912"/>
      <c r="E20" s="2122">
        <v>10134</v>
      </c>
      <c r="F20" s="673"/>
      <c r="G20" s="671">
        <f>+'Exhibit F'!AC26</f>
        <v>10120.799999999999</v>
      </c>
      <c r="H20" s="673"/>
      <c r="I20" s="671">
        <f t="shared" ref="I20:I25" si="0">ROUND(SUM(G20)-SUM(C20),1)</f>
        <v>193.8</v>
      </c>
      <c r="J20" s="943"/>
      <c r="K20" s="671">
        <f>ROUND(SUM(G20)-SUM(E20),1)</f>
        <v>-13.2</v>
      </c>
      <c r="L20" s="988"/>
      <c r="M20" s="988"/>
      <c r="N20" s="989"/>
      <c r="O20" s="988"/>
      <c r="P20" s="990"/>
      <c r="Q20" s="943"/>
      <c r="R20" s="943"/>
      <c r="S20" s="943"/>
      <c r="T20" s="943"/>
      <c r="U20" s="943"/>
      <c r="V20" s="943"/>
      <c r="W20" s="943"/>
      <c r="X20" s="943"/>
      <c r="Y20" s="943"/>
      <c r="Z20" s="943"/>
      <c r="AA20" s="943"/>
      <c r="AB20" s="943"/>
      <c r="AC20" s="943"/>
      <c r="AD20" s="943"/>
      <c r="AE20" s="943"/>
    </row>
    <row r="21" spans="1:31">
      <c r="A21" s="838" t="s">
        <v>90</v>
      </c>
      <c r="B21" s="943" t="s">
        <v>15</v>
      </c>
      <c r="C21" s="1144">
        <v>2650</v>
      </c>
      <c r="D21" s="914"/>
      <c r="E21" s="1144">
        <v>2617</v>
      </c>
      <c r="F21" s="656"/>
      <c r="G21" s="914">
        <f>+'Exhibit F'!AC35</f>
        <v>2616.1999999999998</v>
      </c>
      <c r="H21" s="656"/>
      <c r="I21" s="656">
        <f t="shared" si="0"/>
        <v>-33.799999999999997</v>
      </c>
      <c r="J21" s="943"/>
      <c r="K21" s="1578">
        <f>ROUND(SUM(G21)-SUM(E21),1)</f>
        <v>-0.8</v>
      </c>
      <c r="L21" s="991"/>
      <c r="M21" s="962"/>
      <c r="N21" s="962"/>
      <c r="O21" s="962"/>
      <c r="P21" s="962"/>
      <c r="Q21" s="962"/>
      <c r="R21" s="962"/>
      <c r="S21" s="943"/>
      <c r="T21" s="943"/>
      <c r="U21" s="943"/>
      <c r="V21" s="943"/>
      <c r="W21" s="943"/>
      <c r="X21" s="943"/>
      <c r="Y21" s="943"/>
      <c r="Z21" s="943"/>
      <c r="AA21" s="943"/>
      <c r="AB21" s="943"/>
      <c r="AC21" s="943"/>
      <c r="AD21" s="943"/>
      <c r="AE21" s="943"/>
    </row>
    <row r="22" spans="1:31">
      <c r="A22" s="838" t="s">
        <v>91</v>
      </c>
      <c r="B22" s="944" t="s">
        <v>15</v>
      </c>
      <c r="C22" s="1144">
        <v>1555</v>
      </c>
      <c r="D22" s="700"/>
      <c r="E22" s="1144">
        <v>1669</v>
      </c>
      <c r="F22" s="695"/>
      <c r="G22" s="951">
        <f>+'Exhibit F'!AC42</f>
        <v>1665</v>
      </c>
      <c r="H22" s="695"/>
      <c r="I22" s="656">
        <f t="shared" si="0"/>
        <v>110</v>
      </c>
      <c r="J22" s="943"/>
      <c r="K22" s="1578">
        <f t="shared" ref="K22:K30" si="1">ROUND(SUM(G22)-SUM(E22),1)</f>
        <v>-4</v>
      </c>
      <c r="L22" s="991"/>
      <c r="M22" s="963"/>
      <c r="N22" s="962"/>
      <c r="O22" s="963"/>
      <c r="P22" s="962"/>
      <c r="Q22" s="963"/>
      <c r="R22" s="962"/>
      <c r="S22" s="943"/>
      <c r="T22" s="964"/>
      <c r="U22" s="943"/>
      <c r="V22" s="964"/>
      <c r="W22" s="943"/>
      <c r="X22" s="943"/>
      <c r="Y22" s="964"/>
      <c r="Z22" s="943"/>
      <c r="AA22" s="943"/>
      <c r="AB22" s="964"/>
      <c r="AC22" s="203"/>
      <c r="AD22" s="964"/>
      <c r="AE22" s="943"/>
    </row>
    <row r="23" spans="1:31">
      <c r="A23" s="838" t="s">
        <v>92</v>
      </c>
      <c r="B23" s="943" t="s">
        <v>15</v>
      </c>
      <c r="C23" s="1144">
        <v>369</v>
      </c>
      <c r="D23" s="914"/>
      <c r="E23" s="1144">
        <v>337</v>
      </c>
      <c r="F23" s="656"/>
      <c r="G23" s="914">
        <f>+'Exhibit F'!AC51</f>
        <v>329.7</v>
      </c>
      <c r="H23" s="656"/>
      <c r="I23" s="656">
        <f t="shared" si="0"/>
        <v>-39.299999999999997</v>
      </c>
      <c r="J23" s="943"/>
      <c r="K23" s="1578">
        <f t="shared" si="1"/>
        <v>-7.3</v>
      </c>
      <c r="L23" s="992"/>
      <c r="M23" s="962"/>
      <c r="N23" s="962"/>
      <c r="O23" s="962"/>
      <c r="P23" s="962"/>
      <c r="Q23" s="962"/>
      <c r="R23" s="962"/>
      <c r="S23" s="943"/>
      <c r="T23" s="943"/>
      <c r="U23" s="943"/>
      <c r="V23" s="943"/>
      <c r="W23" s="943"/>
      <c r="X23" s="943"/>
      <c r="Y23" s="943"/>
      <c r="Z23" s="943"/>
      <c r="AA23" s="943"/>
      <c r="AB23" s="943"/>
      <c r="AC23" s="943"/>
      <c r="AD23" s="943"/>
      <c r="AE23" s="943"/>
    </row>
    <row r="24" spans="1:31" ht="15" customHeight="1">
      <c r="A24" s="838" t="s">
        <v>20</v>
      </c>
      <c r="B24" s="943" t="s">
        <v>15</v>
      </c>
      <c r="C24" s="1144">
        <v>1244</v>
      </c>
      <c r="D24" s="2039"/>
      <c r="E24" s="1144">
        <v>1344</v>
      </c>
      <c r="F24" s="961"/>
      <c r="G24" s="703">
        <f>+'Exhibit F'!AC91</f>
        <v>1266.5</v>
      </c>
      <c r="H24" s="656"/>
      <c r="I24" s="656">
        <f t="shared" si="0"/>
        <v>22.5</v>
      </c>
      <c r="J24" s="943"/>
      <c r="K24" s="1578">
        <f t="shared" si="1"/>
        <v>-77.5</v>
      </c>
      <c r="L24" s="992"/>
      <c r="M24" s="962"/>
      <c r="N24" s="962"/>
      <c r="O24" s="962"/>
      <c r="P24" s="962"/>
      <c r="Q24" s="962"/>
      <c r="R24" s="962"/>
      <c r="S24" s="943"/>
      <c r="T24" s="943"/>
      <c r="U24" s="943"/>
      <c r="V24" s="943"/>
      <c r="W24" s="943"/>
      <c r="X24" s="943"/>
      <c r="Y24" s="943"/>
      <c r="Z24" s="943"/>
      <c r="AA24" s="943"/>
      <c r="AB24" s="943"/>
      <c r="AC24" s="943"/>
      <c r="AD24" s="943"/>
      <c r="AE24" s="943"/>
    </row>
    <row r="25" spans="1:31" ht="15" customHeight="1">
      <c r="A25" s="838" t="s">
        <v>21</v>
      </c>
      <c r="B25" s="943" t="s">
        <v>15</v>
      </c>
      <c r="C25" s="1144">
        <v>0</v>
      </c>
      <c r="D25" s="914"/>
      <c r="E25" s="1144">
        <v>0</v>
      </c>
      <c r="F25" s="656"/>
      <c r="G25" s="703">
        <f>+'Exhibit F'!AC93</f>
        <v>0</v>
      </c>
      <c r="H25" s="656"/>
      <c r="I25" s="656">
        <f t="shared" si="0"/>
        <v>0</v>
      </c>
      <c r="J25" s="943"/>
      <c r="K25" s="1578">
        <f t="shared" si="1"/>
        <v>0</v>
      </c>
      <c r="L25" s="991"/>
      <c r="M25" s="962"/>
      <c r="N25" s="962"/>
      <c r="O25" s="962"/>
      <c r="P25" s="962"/>
      <c r="Q25" s="962"/>
      <c r="R25" s="965"/>
      <c r="S25" s="966"/>
      <c r="T25" s="943"/>
      <c r="U25" s="966"/>
      <c r="V25" s="943"/>
      <c r="W25" s="966"/>
      <c r="X25" s="967"/>
      <c r="Y25" s="943"/>
      <c r="Z25" s="943"/>
      <c r="AA25" s="943"/>
      <c r="AB25" s="943"/>
      <c r="AC25" s="943"/>
      <c r="AD25" s="943"/>
      <c r="AE25" s="943"/>
    </row>
    <row r="26" spans="1:31" ht="18" customHeight="1">
      <c r="A26" s="838" t="s">
        <v>106</v>
      </c>
      <c r="B26" s="967"/>
      <c r="C26" s="672"/>
      <c r="D26" s="914"/>
      <c r="E26" s="672"/>
      <c r="F26" s="656"/>
      <c r="G26" s="2207"/>
      <c r="H26" s="656"/>
      <c r="I26" s="656"/>
      <c r="J26" s="967"/>
      <c r="K26" s="1578" t="s">
        <v>15</v>
      </c>
      <c r="L26" s="965"/>
      <c r="M26" s="962"/>
      <c r="N26" s="965"/>
      <c r="O26" s="962"/>
      <c r="P26" s="965"/>
      <c r="Q26" s="962"/>
      <c r="R26" s="965"/>
      <c r="S26" s="966"/>
      <c r="T26" s="943"/>
      <c r="U26" s="966"/>
      <c r="V26" s="943"/>
      <c r="W26" s="966"/>
      <c r="X26" s="967"/>
      <c r="Y26" s="943"/>
      <c r="Z26" s="943"/>
      <c r="AA26" s="943"/>
      <c r="AB26" s="943"/>
      <c r="AC26" s="943"/>
      <c r="AD26" s="943"/>
      <c r="AE26" s="943"/>
    </row>
    <row r="27" spans="1:31">
      <c r="A27" s="838" t="s">
        <v>1346</v>
      </c>
      <c r="B27" s="967" t="s">
        <v>15</v>
      </c>
      <c r="C27" s="1144">
        <v>9802</v>
      </c>
      <c r="D27" s="914"/>
      <c r="E27" s="1144">
        <v>10011</v>
      </c>
      <c r="F27" s="656"/>
      <c r="G27" s="914">
        <f>'Exhibit F'!AC122</f>
        <v>9997.7999999999993</v>
      </c>
      <c r="H27" s="656"/>
      <c r="I27" s="656">
        <f>ROUND(SUM(G27)-SUM(C27),1)</f>
        <v>195.8</v>
      </c>
      <c r="J27" s="967"/>
      <c r="K27" s="1578">
        <f t="shared" si="1"/>
        <v>-13.2</v>
      </c>
      <c r="L27" s="965"/>
      <c r="M27" s="962"/>
      <c r="N27" s="965"/>
      <c r="O27" s="962"/>
      <c r="P27" s="962"/>
      <c r="Q27" s="962"/>
      <c r="R27" s="965"/>
      <c r="S27" s="966"/>
      <c r="T27" s="943"/>
      <c r="U27" s="966"/>
      <c r="V27" s="943"/>
      <c r="W27" s="966"/>
      <c r="X27" s="967"/>
      <c r="Y27" s="943"/>
      <c r="Z27" s="943"/>
      <c r="AA27" s="943"/>
      <c r="AB27" s="943"/>
      <c r="AC27" s="943"/>
      <c r="AD27" s="943"/>
      <c r="AE27" s="943"/>
    </row>
    <row r="28" spans="1:31">
      <c r="A28" s="838" t="s">
        <v>1094</v>
      </c>
      <c r="B28" s="967" t="s">
        <v>15</v>
      </c>
      <c r="C28" s="1144">
        <v>2131</v>
      </c>
      <c r="D28" s="914"/>
      <c r="E28" s="1144">
        <v>2095</v>
      </c>
      <c r="F28" s="656"/>
      <c r="G28" s="1587">
        <f>'Exhibit F'!AC123</f>
        <v>2091.8000000000002</v>
      </c>
      <c r="H28" s="656"/>
      <c r="I28" s="656">
        <f>ROUND(SUM(G28)-SUM(C28),1)</f>
        <v>-39.200000000000003</v>
      </c>
      <c r="J28" s="967"/>
      <c r="K28" s="1578">
        <f t="shared" si="1"/>
        <v>-3.2</v>
      </c>
      <c r="L28" s="965"/>
      <c r="M28" s="962"/>
      <c r="N28" s="965"/>
      <c r="O28" s="962"/>
      <c r="P28" s="962"/>
      <c r="Q28" s="962"/>
      <c r="R28" s="965"/>
      <c r="S28" s="966"/>
      <c r="T28" s="943"/>
      <c r="U28" s="966"/>
      <c r="V28" s="943"/>
      <c r="W28" s="966"/>
      <c r="X28" s="967"/>
      <c r="Y28" s="943"/>
      <c r="Z28" s="943"/>
      <c r="AA28" s="943"/>
      <c r="AB28" s="943"/>
      <c r="AC28" s="943"/>
      <c r="AD28" s="943"/>
      <c r="AE28" s="943"/>
    </row>
    <row r="29" spans="1:31">
      <c r="A29" s="838" t="s">
        <v>107</v>
      </c>
      <c r="B29" s="967" t="s">
        <v>15</v>
      </c>
      <c r="C29" s="1144">
        <v>345</v>
      </c>
      <c r="D29" s="914"/>
      <c r="E29" s="1144">
        <v>355</v>
      </c>
      <c r="F29" s="656"/>
      <c r="G29" s="914">
        <f>'Exhibit F'!AC124</f>
        <v>356</v>
      </c>
      <c r="H29" s="656"/>
      <c r="I29" s="656">
        <f>ROUND(SUM(G29)-SUM(C29),1)</f>
        <v>11</v>
      </c>
      <c r="J29" s="967"/>
      <c r="K29" s="1578">
        <f t="shared" si="1"/>
        <v>1</v>
      </c>
      <c r="L29" s="965"/>
      <c r="M29" s="962"/>
      <c r="N29" s="965"/>
      <c r="O29" s="962"/>
      <c r="P29" s="962"/>
      <c r="Q29" s="962"/>
      <c r="R29" s="965"/>
      <c r="S29" s="966"/>
      <c r="T29" s="943"/>
      <c r="U29" s="966"/>
      <c r="V29" s="943"/>
      <c r="W29" s="966"/>
      <c r="X29" s="967"/>
      <c r="Y29" s="943"/>
      <c r="Z29" s="943"/>
      <c r="AA29" s="943"/>
      <c r="AB29" s="943"/>
      <c r="AC29" s="943"/>
      <c r="AD29" s="943"/>
      <c r="AE29" s="943"/>
    </row>
    <row r="30" spans="1:31">
      <c r="A30" s="838" t="s">
        <v>108</v>
      </c>
      <c r="B30" s="967" t="s">
        <v>15</v>
      </c>
      <c r="C30" s="1144">
        <v>498</v>
      </c>
      <c r="D30" s="914"/>
      <c r="E30" s="1144">
        <v>511</v>
      </c>
      <c r="F30" s="656"/>
      <c r="G30" s="1778">
        <f>'Exhibit F'!AC125</f>
        <v>526.60000000000127</v>
      </c>
      <c r="H30" s="656"/>
      <c r="I30" s="656">
        <f>ROUND(SUM(G30)-SUM(C30),1)</f>
        <v>28.6</v>
      </c>
      <c r="J30" s="967"/>
      <c r="K30" s="1578">
        <f t="shared" si="1"/>
        <v>15.6</v>
      </c>
      <c r="L30" s="993"/>
      <c r="M30" s="962"/>
      <c r="N30" s="963"/>
      <c r="O30" s="962"/>
      <c r="P30" s="962"/>
      <c r="Q30" s="962"/>
      <c r="R30" s="965"/>
      <c r="S30" s="966"/>
      <c r="T30" s="943"/>
      <c r="U30" s="966"/>
      <c r="V30" s="943"/>
      <c r="W30" s="966"/>
      <c r="X30" s="967"/>
      <c r="Y30" s="943"/>
      <c r="Z30" s="943"/>
      <c r="AA30" s="943"/>
      <c r="AB30" s="943"/>
      <c r="AC30" s="943"/>
      <c r="AD30" s="943"/>
      <c r="AE30" s="943"/>
    </row>
    <row r="31" spans="1:31" ht="18" customHeight="1">
      <c r="A31" s="173" t="s">
        <v>109</v>
      </c>
      <c r="B31" s="151" t="s">
        <v>15</v>
      </c>
      <c r="C31" s="1939">
        <f>ROUND(SUM(C20:C30),1)</f>
        <v>28521</v>
      </c>
      <c r="D31" s="112"/>
      <c r="E31" s="1939">
        <f>ROUND(SUM(E20:E30),1)</f>
        <v>29073</v>
      </c>
      <c r="F31" s="941"/>
      <c r="G31" s="215">
        <f>ROUND(SUM(G20:G30),1)</f>
        <v>28970.400000000001</v>
      </c>
      <c r="H31" s="941"/>
      <c r="I31" s="296">
        <f>ROUND(SUM(I20:I30),1)</f>
        <v>449.4</v>
      </c>
      <c r="J31" s="151"/>
      <c r="K31" s="296">
        <f>ROUND(SUM(K20:K30),1)</f>
        <v>-102.6</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3"/>
      <c r="C32" s="1940"/>
      <c r="D32" s="914"/>
      <c r="E32" s="1940"/>
      <c r="F32" s="656"/>
      <c r="G32" s="704"/>
      <c r="H32" s="656"/>
      <c r="I32" s="962"/>
      <c r="J32" s="943"/>
      <c r="K32" s="962"/>
      <c r="L32" s="962"/>
      <c r="M32" s="962"/>
      <c r="N32" s="962"/>
      <c r="O32" s="962"/>
      <c r="P32" s="962"/>
      <c r="Q32" s="962"/>
      <c r="R32" s="962"/>
      <c r="S32" s="943"/>
      <c r="T32" s="943"/>
      <c r="U32" s="943"/>
      <c r="V32" s="943"/>
      <c r="W32" s="943"/>
      <c r="X32" s="943"/>
      <c r="Y32" s="943"/>
      <c r="Z32" s="943"/>
      <c r="AA32" s="943"/>
      <c r="AB32" s="943"/>
      <c r="AC32" s="943"/>
      <c r="AD32" s="943"/>
      <c r="AE32" s="943"/>
    </row>
    <row r="33" spans="1:31" ht="15.75">
      <c r="A33" s="29" t="s">
        <v>23</v>
      </c>
      <c r="B33" s="943"/>
      <c r="C33" s="914"/>
      <c r="D33" s="914"/>
      <c r="E33" s="914"/>
      <c r="F33" s="656"/>
      <c r="G33" s="656"/>
      <c r="H33" s="656"/>
      <c r="I33" s="656"/>
      <c r="J33" s="943"/>
      <c r="K33" s="962"/>
      <c r="L33" s="962"/>
      <c r="M33" s="962"/>
      <c r="N33" s="962"/>
      <c r="O33" s="962"/>
      <c r="P33" s="962"/>
      <c r="Q33" s="962"/>
      <c r="R33" s="962"/>
      <c r="S33" s="943"/>
      <c r="T33" s="943"/>
      <c r="U33" s="943"/>
      <c r="V33" s="943"/>
      <c r="W33" s="943"/>
      <c r="X33" s="943"/>
      <c r="Y33" s="943"/>
      <c r="Z33" s="943"/>
      <c r="AA33" s="943"/>
      <c r="AB33" s="943"/>
      <c r="AC33" s="943"/>
      <c r="AD33" s="943"/>
      <c r="AE33" s="943"/>
    </row>
    <row r="34" spans="1:31">
      <c r="A34" s="838" t="s">
        <v>94</v>
      </c>
      <c r="B34" s="964" t="s">
        <v>15</v>
      </c>
      <c r="C34" s="1144">
        <v>18286</v>
      </c>
      <c r="D34" s="914"/>
      <c r="E34" s="1144">
        <v>18327</v>
      </c>
      <c r="F34" s="656"/>
      <c r="G34" s="695">
        <f>+'Exhibit F'!AC109</f>
        <v>18332.400000000001</v>
      </c>
      <c r="H34" s="656"/>
      <c r="I34" s="656">
        <f>ROUND(SUM(G34)-SUM(C34),1)</f>
        <v>46.4</v>
      </c>
      <c r="J34" s="943"/>
      <c r="K34" s="1578">
        <f>ROUND(SUM(G34)-SUM(E34),1)</f>
        <v>5.4</v>
      </c>
      <c r="L34" s="963"/>
      <c r="M34" s="962"/>
      <c r="N34" s="963"/>
      <c r="O34" s="962"/>
      <c r="P34" s="962"/>
      <c r="Q34" s="962"/>
      <c r="R34" s="965"/>
      <c r="S34" s="966"/>
      <c r="T34" s="943"/>
      <c r="U34" s="966"/>
      <c r="V34" s="943"/>
      <c r="W34" s="966"/>
      <c r="X34" s="967"/>
      <c r="Y34" s="943"/>
      <c r="Z34" s="943"/>
      <c r="AA34" s="943"/>
      <c r="AB34" s="943"/>
      <c r="AC34" s="943"/>
      <c r="AD34" s="943"/>
      <c r="AE34" s="943"/>
    </row>
    <row r="35" spans="1:31">
      <c r="A35" s="838" t="s">
        <v>95</v>
      </c>
      <c r="B35" s="964" t="s">
        <v>15</v>
      </c>
      <c r="C35" s="1144">
        <v>3792</v>
      </c>
      <c r="D35" s="914"/>
      <c r="E35" s="1144">
        <v>3961</v>
      </c>
      <c r="F35" s="656"/>
      <c r="G35" s="695">
        <f>+'Exhibit F'!AC111+'Exhibit F'!AC112</f>
        <v>3964.9</v>
      </c>
      <c r="H35" s="656"/>
      <c r="I35" s="656">
        <f>ROUND(SUM(G35)-SUM(C35),1)</f>
        <v>172.9</v>
      </c>
      <c r="J35" s="943"/>
      <c r="K35" s="1578">
        <f t="shared" ref="K35:K42" si="2">ROUND(SUM(G35)-SUM(E35),1)</f>
        <v>3.9</v>
      </c>
      <c r="L35" s="963"/>
      <c r="M35" s="962"/>
      <c r="N35" s="963"/>
      <c r="O35" s="962"/>
      <c r="P35" s="962"/>
      <c r="Q35" s="962"/>
      <c r="R35" s="963"/>
      <c r="S35" s="964"/>
      <c r="T35" s="943"/>
      <c r="U35" s="964"/>
      <c r="V35" s="943"/>
      <c r="W35" s="966"/>
      <c r="X35" s="943"/>
      <c r="Y35" s="943"/>
      <c r="Z35" s="966"/>
      <c r="AA35" s="966"/>
      <c r="AB35" s="943"/>
      <c r="AC35" s="966"/>
      <c r="AD35" s="943"/>
      <c r="AE35" s="966"/>
    </row>
    <row r="36" spans="1:31">
      <c r="A36" s="838" t="s">
        <v>70</v>
      </c>
      <c r="B36" s="964" t="s">
        <v>15</v>
      </c>
      <c r="C36" s="1144">
        <v>3908</v>
      </c>
      <c r="D36" s="914"/>
      <c r="E36" s="1144">
        <v>3827</v>
      </c>
      <c r="F36" s="656"/>
      <c r="G36" s="695">
        <f>+'Exhibit F'!AC113</f>
        <v>3827.2</v>
      </c>
      <c r="H36" s="656"/>
      <c r="I36" s="656">
        <f>ROUND(SUM(G36)-SUM(C36),1)</f>
        <v>-80.8</v>
      </c>
      <c r="J36" s="943"/>
      <c r="K36" s="1578">
        <f t="shared" si="2"/>
        <v>0.2</v>
      </c>
      <c r="L36" s="963"/>
      <c r="M36" s="962"/>
      <c r="N36" s="963"/>
      <c r="O36" s="962"/>
      <c r="P36" s="962"/>
      <c r="Q36" s="962"/>
      <c r="R36" s="965"/>
      <c r="S36" s="966"/>
      <c r="T36" s="943"/>
      <c r="U36" s="966"/>
      <c r="V36" s="943"/>
      <c r="W36" s="966"/>
      <c r="X36" s="967"/>
      <c r="Y36" s="943"/>
      <c r="Z36" s="966"/>
      <c r="AA36" s="966"/>
      <c r="AB36" s="943"/>
      <c r="AC36" s="966"/>
      <c r="AD36" s="943"/>
      <c r="AE36" s="966"/>
    </row>
    <row r="37" spans="1:31" ht="18" customHeight="1">
      <c r="A37" s="838" t="s">
        <v>110</v>
      </c>
      <c r="B37" s="967"/>
      <c r="C37" s="672"/>
      <c r="D37" s="914"/>
      <c r="E37" s="672"/>
      <c r="F37" s="656"/>
      <c r="G37" s="672"/>
      <c r="H37" s="656"/>
      <c r="I37" s="656"/>
      <c r="J37" s="967"/>
      <c r="K37" s="1578" t="s">
        <v>15</v>
      </c>
      <c r="L37" s="993"/>
      <c r="M37" s="962"/>
      <c r="N37" s="993"/>
      <c r="O37" s="962"/>
      <c r="P37" s="962"/>
      <c r="Q37" s="962"/>
      <c r="R37" s="965"/>
      <c r="S37" s="966"/>
      <c r="T37" s="943"/>
      <c r="U37" s="966"/>
      <c r="V37" s="943"/>
      <c r="W37" s="966"/>
      <c r="X37" s="967"/>
      <c r="Y37" s="943"/>
      <c r="Z37" s="943"/>
      <c r="AA37" s="943"/>
      <c r="AB37" s="943"/>
      <c r="AC37" s="943"/>
      <c r="AD37" s="943"/>
      <c r="AE37" s="943"/>
    </row>
    <row r="38" spans="1:31">
      <c r="A38" s="838" t="s">
        <v>111</v>
      </c>
      <c r="B38" s="967" t="s">
        <v>15</v>
      </c>
      <c r="C38" s="1144">
        <v>257</v>
      </c>
      <c r="D38" s="914"/>
      <c r="E38" s="1144">
        <v>255</v>
      </c>
      <c r="F38" s="656"/>
      <c r="G38" s="701">
        <f>-'Exhibit F'!AC128</f>
        <v>270.5</v>
      </c>
      <c r="H38" s="656"/>
      <c r="I38" s="656">
        <f>ROUND(SUM(G38)-SUM(C38),1)</f>
        <v>13.5</v>
      </c>
      <c r="J38" s="967"/>
      <c r="K38" s="1578">
        <f t="shared" si="2"/>
        <v>15.5</v>
      </c>
      <c r="L38" s="965"/>
      <c r="M38" s="962"/>
      <c r="N38" s="965"/>
      <c r="O38" s="962"/>
      <c r="P38" s="962"/>
      <c r="Q38" s="962"/>
      <c r="R38" s="965"/>
      <c r="S38" s="966"/>
      <c r="T38" s="943"/>
      <c r="U38" s="966"/>
      <c r="V38" s="943"/>
      <c r="W38" s="966"/>
      <c r="X38" s="967"/>
      <c r="Y38" s="943"/>
      <c r="Z38" s="943"/>
      <c r="AA38" s="943"/>
      <c r="AB38" s="943"/>
      <c r="AC38" s="943"/>
      <c r="AD38" s="943"/>
      <c r="AE38" s="943"/>
    </row>
    <row r="39" spans="1:31">
      <c r="A39" s="838" t="s">
        <v>112</v>
      </c>
      <c r="B39" s="967" t="s">
        <v>15</v>
      </c>
      <c r="C39" s="1144">
        <v>1858</v>
      </c>
      <c r="D39" s="914"/>
      <c r="E39" s="1144">
        <v>1771</v>
      </c>
      <c r="F39" s="656"/>
      <c r="G39" s="701">
        <f>-'Exhibit F'!AC126-'Exhibit F'!AC127</f>
        <v>1767.2</v>
      </c>
      <c r="H39" s="1578" t="s">
        <v>15</v>
      </c>
      <c r="I39" s="656">
        <f>ROUND(SUM(G39)-SUM(C39),1)</f>
        <v>-90.8</v>
      </c>
      <c r="J39" s="967"/>
      <c r="K39" s="1578">
        <f t="shared" si="2"/>
        <v>-3.8</v>
      </c>
      <c r="L39" s="965"/>
      <c r="M39" s="962"/>
      <c r="N39" s="965"/>
      <c r="O39" s="962"/>
      <c r="P39" s="962"/>
      <c r="Q39" s="962"/>
      <c r="R39" s="965"/>
      <c r="S39" s="966"/>
      <c r="T39" s="943"/>
      <c r="U39" s="966"/>
      <c r="V39" s="943"/>
      <c r="W39" s="966"/>
      <c r="X39" s="967"/>
      <c r="Y39" s="943"/>
      <c r="Z39" s="943"/>
      <c r="AA39" s="943"/>
      <c r="AB39" s="943"/>
      <c r="AC39" s="943"/>
      <c r="AD39" s="943"/>
      <c r="AE39" s="943"/>
    </row>
    <row r="40" spans="1:31">
      <c r="A40" s="838" t="s">
        <v>113</v>
      </c>
      <c r="B40" s="967" t="s">
        <v>15</v>
      </c>
      <c r="C40" s="1144">
        <v>0</v>
      </c>
      <c r="D40" s="914"/>
      <c r="E40" s="1144">
        <v>0</v>
      </c>
      <c r="F40" s="656"/>
      <c r="G40" s="1587">
        <v>208.1</v>
      </c>
      <c r="H40" s="1578" t="s">
        <v>865</v>
      </c>
      <c r="I40" s="656">
        <f>ROUND(SUM(G40)-SUM(C40),1)</f>
        <v>208.1</v>
      </c>
      <c r="J40" s="967"/>
      <c r="K40" s="1578">
        <f t="shared" si="2"/>
        <v>208.1</v>
      </c>
      <c r="L40" s="965"/>
      <c r="M40" s="962"/>
      <c r="N40" s="965"/>
      <c r="O40" s="962"/>
      <c r="P40" s="962"/>
      <c r="Q40" s="962"/>
      <c r="R40" s="965"/>
      <c r="S40" s="966"/>
      <c r="T40" s="943"/>
      <c r="U40" s="966"/>
      <c r="V40" s="943"/>
      <c r="W40" s="966"/>
      <c r="X40" s="967"/>
      <c r="Y40" s="943"/>
      <c r="Z40" s="943"/>
      <c r="AA40" s="943"/>
      <c r="AB40" s="943"/>
      <c r="AC40" s="943"/>
      <c r="AD40" s="943"/>
      <c r="AE40" s="943"/>
    </row>
    <row r="41" spans="1:31">
      <c r="A41" s="838" t="s">
        <v>115</v>
      </c>
      <c r="B41" s="967" t="s">
        <v>116</v>
      </c>
      <c r="C41" s="1144">
        <v>987</v>
      </c>
      <c r="D41" s="914"/>
      <c r="E41" s="1144">
        <v>945</v>
      </c>
      <c r="F41" s="656"/>
      <c r="G41" s="1587">
        <v>945.4</v>
      </c>
      <c r="H41" s="656"/>
      <c r="I41" s="656">
        <f>ROUND(SUM(G41)-SUM(C41),1)</f>
        <v>-41.6</v>
      </c>
      <c r="J41" s="967"/>
      <c r="K41" s="1578">
        <f t="shared" si="2"/>
        <v>0.4</v>
      </c>
      <c r="L41" s="965"/>
      <c r="M41" s="962"/>
      <c r="N41" s="965"/>
      <c r="O41" s="962"/>
      <c r="P41" s="962"/>
      <c r="Q41" s="962"/>
      <c r="R41" s="965"/>
      <c r="S41" s="966"/>
      <c r="T41" s="943"/>
      <c r="U41" s="966"/>
      <c r="V41" s="943"/>
      <c r="W41" s="966"/>
      <c r="X41" s="967"/>
      <c r="Y41" s="943"/>
      <c r="Z41" s="943"/>
      <c r="AA41" s="943"/>
      <c r="AB41" s="943"/>
      <c r="AC41" s="943"/>
      <c r="AD41" s="943"/>
      <c r="AE41" s="943"/>
    </row>
    <row r="42" spans="1:31">
      <c r="A42" s="838" t="s">
        <v>117</v>
      </c>
      <c r="B42" s="967" t="s">
        <v>15</v>
      </c>
      <c r="C42" s="1144">
        <v>469</v>
      </c>
      <c r="D42" s="914"/>
      <c r="E42" s="1144">
        <v>471</v>
      </c>
      <c r="F42" s="656"/>
      <c r="G42" s="701">
        <v>246.1</v>
      </c>
      <c r="H42" s="656"/>
      <c r="I42" s="656">
        <f>ROUND(SUM(G42)-SUM(C42),1)</f>
        <v>-222.9</v>
      </c>
      <c r="J42" s="967"/>
      <c r="K42" s="1578">
        <f t="shared" si="2"/>
        <v>-224.9</v>
      </c>
      <c r="L42" s="993"/>
      <c r="M42" s="962"/>
      <c r="N42" s="963"/>
      <c r="O42" s="962"/>
      <c r="P42" s="962"/>
      <c r="Q42" s="962"/>
      <c r="R42" s="965"/>
      <c r="S42" s="966"/>
      <c r="T42" s="943"/>
      <c r="U42" s="966"/>
      <c r="V42" s="943"/>
      <c r="W42" s="966"/>
      <c r="X42" s="967"/>
      <c r="Y42" s="943"/>
      <c r="Z42" s="943"/>
      <c r="AA42" s="943"/>
      <c r="AB42" s="943"/>
      <c r="AC42" s="943"/>
      <c r="AD42" s="943"/>
      <c r="AE42" s="943"/>
    </row>
    <row r="43" spans="1:31" ht="18" customHeight="1">
      <c r="A43" s="173" t="s">
        <v>118</v>
      </c>
      <c r="B43" s="151" t="s">
        <v>15</v>
      </c>
      <c r="C43" s="1939">
        <f>ROUND(SUM(C34:C42),1)</f>
        <v>29557</v>
      </c>
      <c r="D43" s="112"/>
      <c r="E43" s="1939">
        <f>ROUND(SUM(E34:E42),1)</f>
        <v>29557</v>
      </c>
      <c r="F43" s="941"/>
      <c r="G43" s="215">
        <f>ROUND(SUM(G34:G42),1)</f>
        <v>29561.8</v>
      </c>
      <c r="H43" s="941"/>
      <c r="I43" s="296">
        <f>ROUND(SUM(I34:I42),1)</f>
        <v>4.8</v>
      </c>
      <c r="J43" s="151"/>
      <c r="K43" s="296">
        <f>ROUND(SUM(K34:K42),1)</f>
        <v>4.8</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3"/>
      <c r="C44" s="1940"/>
      <c r="D44" s="914"/>
      <c r="E44" s="1940"/>
      <c r="F44" s="656"/>
      <c r="G44" s="704"/>
      <c r="H44" s="656"/>
      <c r="I44" s="962"/>
      <c r="J44" s="943"/>
      <c r="K44" s="962"/>
      <c r="L44" s="962"/>
      <c r="M44" s="962"/>
      <c r="N44" s="962"/>
      <c r="O44" s="962"/>
      <c r="P44" s="962"/>
      <c r="Q44" s="962"/>
      <c r="R44" s="962"/>
      <c r="S44" s="943"/>
      <c r="T44" s="943"/>
      <c r="U44" s="943"/>
      <c r="V44" s="943"/>
      <c r="W44" s="943"/>
      <c r="X44" s="943"/>
      <c r="Y44" s="943"/>
      <c r="Z44" s="943"/>
      <c r="AA44" s="943"/>
      <c r="AB44" s="943"/>
      <c r="AC44" s="943"/>
      <c r="AD44" s="943"/>
      <c r="AE44" s="943"/>
    </row>
    <row r="45" spans="1:31" ht="15.75">
      <c r="A45" s="29" t="s">
        <v>119</v>
      </c>
      <c r="B45" s="943"/>
      <c r="C45" s="914"/>
      <c r="D45" s="914"/>
      <c r="E45" s="914"/>
      <c r="F45" s="656"/>
      <c r="G45" s="656"/>
      <c r="H45" s="656"/>
      <c r="I45" s="656"/>
      <c r="J45" s="943"/>
      <c r="K45" s="962"/>
      <c r="L45" s="962"/>
      <c r="M45" s="962"/>
      <c r="N45" s="962"/>
      <c r="O45" s="962"/>
      <c r="P45" s="962"/>
      <c r="Q45" s="962"/>
      <c r="R45" s="962"/>
      <c r="S45" s="943"/>
      <c r="T45" s="943"/>
      <c r="U45" s="943"/>
      <c r="V45" s="943"/>
      <c r="W45" s="943"/>
      <c r="X45" s="943"/>
      <c r="Y45" s="943"/>
      <c r="Z45" s="943"/>
      <c r="AA45" s="943"/>
      <c r="AB45" s="943"/>
      <c r="AC45" s="943"/>
      <c r="AD45" s="943"/>
      <c r="AE45" s="943"/>
    </row>
    <row r="46" spans="1:31" ht="15.75">
      <c r="A46" s="29" t="s">
        <v>120</v>
      </c>
      <c r="B46" s="943"/>
      <c r="C46" s="914"/>
      <c r="D46" s="914"/>
      <c r="E46" s="914"/>
      <c r="F46" s="656"/>
      <c r="G46" s="656"/>
      <c r="H46" s="656"/>
      <c r="I46" s="656"/>
      <c r="J46" s="943"/>
      <c r="K46" s="962"/>
      <c r="L46" s="962"/>
      <c r="M46" s="962"/>
      <c r="N46" s="962"/>
      <c r="O46" s="962"/>
      <c r="P46" s="962"/>
      <c r="Q46" s="962"/>
      <c r="R46" s="962"/>
      <c r="S46" s="943"/>
      <c r="T46" s="943"/>
      <c r="U46" s="943"/>
      <c r="V46" s="943"/>
      <c r="W46" s="943"/>
      <c r="X46" s="943"/>
      <c r="Y46" s="943"/>
      <c r="Z46" s="943"/>
      <c r="AA46" s="943"/>
      <c r="AB46" s="943"/>
      <c r="AC46" s="943"/>
      <c r="AD46" s="943"/>
      <c r="AE46" s="943"/>
    </row>
    <row r="47" spans="1:31" ht="15.75">
      <c r="A47" s="173" t="s">
        <v>103</v>
      </c>
      <c r="B47" s="940" t="s">
        <v>15</v>
      </c>
      <c r="C47" s="115">
        <f>ROUND(SUM(C31)-SUM(C43),1)</f>
        <v>-1036</v>
      </c>
      <c r="D47" s="1127"/>
      <c r="E47" s="115">
        <f>ROUND(SUM(E31)-SUM(E43),1)</f>
        <v>-484</v>
      </c>
      <c r="F47" s="84"/>
      <c r="G47" s="76">
        <f>ROUND(SUM(G31)-SUM(G43),1)</f>
        <v>-591.4</v>
      </c>
      <c r="H47" s="84"/>
      <c r="I47" s="76">
        <f>ROUND(SUM(I31)-SUM(I43),1)</f>
        <v>444.6</v>
      </c>
      <c r="J47" s="151"/>
      <c r="K47" s="76">
        <f>ROUND(SUM(K31)-SUM(K43),1)</f>
        <v>-107.4</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8"/>
      <c r="D48" s="1712"/>
      <c r="E48" s="1528"/>
      <c r="F48" s="951"/>
      <c r="G48" s="684"/>
      <c r="H48" s="951"/>
      <c r="I48" s="76"/>
      <c r="J48" s="151"/>
      <c r="K48" s="76"/>
      <c r="L48" s="684"/>
      <c r="M48" s="684"/>
      <c r="N48" s="684"/>
      <c r="O48" s="684"/>
      <c r="P48" s="684"/>
      <c r="Q48" s="684"/>
      <c r="R48" s="684"/>
    </row>
    <row r="49" spans="1:18" ht="15.75">
      <c r="A49" s="997" t="str">
        <f>'Exh D-Governmental  '!A49</f>
        <v>Fund Balances (Deficits) at April 1</v>
      </c>
      <c r="B49" s="635" t="s">
        <v>15</v>
      </c>
      <c r="C49" s="115">
        <f>ROUND('Exhibit F'!D12,0)</f>
        <v>7206</v>
      </c>
      <c r="D49" s="1712"/>
      <c r="E49" s="115">
        <f>ROUND('Exhibit F'!D12,0)</f>
        <v>7206</v>
      </c>
      <c r="F49" s="951"/>
      <c r="G49" s="76">
        <f>'Exhibit F'!AC12</f>
        <v>7205.7</v>
      </c>
      <c r="H49" s="951"/>
      <c r="I49" s="81">
        <f>ROUND(SUM(G49-C49),1)</f>
        <v>-0.3</v>
      </c>
      <c r="J49" s="151"/>
      <c r="K49" s="941">
        <f t="shared" ref="K49" si="3">ROUND(SUM(G49)-SUM(E49),1)</f>
        <v>-0.3</v>
      </c>
      <c r="L49" s="76"/>
      <c r="M49" s="684"/>
      <c r="N49" s="76"/>
      <c r="O49" s="684"/>
      <c r="P49" s="81"/>
      <c r="Q49" s="684"/>
      <c r="R49" s="684"/>
    </row>
    <row r="50" spans="1:18" ht="18" customHeight="1" thickBot="1">
      <c r="A50" s="173" t="str">
        <f>'Exh D-Governmental  '!A50</f>
        <v>Fund Balances (Deficits) at July 31, 2019</v>
      </c>
      <c r="B50" s="180" t="s">
        <v>15</v>
      </c>
      <c r="C50" s="2125">
        <f>ROUND(SUM(C47:C49),1)</f>
        <v>6170</v>
      </c>
      <c r="D50" s="2126"/>
      <c r="E50" s="2125">
        <f>ROUND(SUM(E47:E49),1)</f>
        <v>6722</v>
      </c>
      <c r="F50" s="181"/>
      <c r="G50" s="98">
        <f>ROUND(SUM(G47:G49),1)</f>
        <v>6614.3</v>
      </c>
      <c r="H50" s="181"/>
      <c r="I50" s="98">
        <f>ROUND(SUM(I47:I49),1)</f>
        <v>444.3</v>
      </c>
      <c r="J50" s="151"/>
      <c r="K50" s="98">
        <f>ROUND(SUM(K47:K49),1)</f>
        <v>-107.7</v>
      </c>
      <c r="L50" s="219"/>
      <c r="M50" s="994"/>
      <c r="N50" s="219"/>
      <c r="O50" s="994"/>
      <c r="P50" s="219"/>
    </row>
    <row r="51" spans="1:18" ht="15" customHeight="1" thickTop="1">
      <c r="A51" s="155"/>
      <c r="G51" s="635"/>
      <c r="J51" s="635"/>
      <c r="L51" s="705"/>
      <c r="M51" s="995"/>
      <c r="N51" s="995"/>
      <c r="O51" s="995"/>
      <c r="P51" s="995"/>
    </row>
    <row r="52" spans="1:18">
      <c r="A52" s="955" t="str">
        <f>'Exh D-Governmental  '!A52</f>
        <v>(*)    Source: 2019-20 Enacted Financial Plan dated May 13, 2019.</v>
      </c>
      <c r="M52" s="635"/>
      <c r="N52" s="635"/>
      <c r="O52" s="635"/>
      <c r="P52" s="635"/>
    </row>
    <row r="53" spans="1:18">
      <c r="A53" s="955" t="str">
        <f>'Exh D State Operating'!A52</f>
        <v>(**)   Source: 2019-20 First Quarter Update dated August 13, 2019.</v>
      </c>
      <c r="M53" s="635"/>
      <c r="N53" s="635"/>
      <c r="O53" s="635"/>
      <c r="P53" s="635"/>
    </row>
    <row r="54" spans="1:18">
      <c r="A54" s="1542" t="s">
        <v>1504</v>
      </c>
      <c r="M54" s="635"/>
      <c r="N54" s="635"/>
      <c r="O54" s="635"/>
      <c r="P54" s="635"/>
    </row>
    <row r="55" spans="1:18">
      <c r="A55" s="1542" t="s">
        <v>1353</v>
      </c>
      <c r="M55" s="635"/>
      <c r="N55" s="635"/>
      <c r="O55" s="635"/>
      <c r="P55" s="635"/>
    </row>
    <row r="56" spans="1:18">
      <c r="A56" s="1542" t="s">
        <v>15</v>
      </c>
      <c r="M56" s="635"/>
      <c r="N56" s="635"/>
      <c r="O56" s="635"/>
      <c r="P56" s="635"/>
    </row>
    <row r="57" spans="1:18">
      <c r="A57" s="969"/>
      <c r="M57" s="635"/>
      <c r="N57" s="635"/>
      <c r="O57" s="635"/>
      <c r="P57" s="635"/>
    </row>
    <row r="58" spans="1:18">
      <c r="M58" s="635"/>
      <c r="N58" s="635"/>
      <c r="O58" s="635"/>
      <c r="P58" s="635"/>
    </row>
    <row r="59" spans="1:18">
      <c r="A59" s="3213"/>
      <c r="C59" s="2218"/>
      <c r="M59" s="635"/>
      <c r="N59" s="635"/>
      <c r="O59" s="635"/>
      <c r="P59" s="635"/>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workbookViewId="0"/>
  </sheetViews>
  <sheetFormatPr defaultColWidth="8.77734375" defaultRowHeight="15"/>
  <cols>
    <col min="1" max="1" width="50.21875" style="950" customWidth="1"/>
    <col min="2" max="2" width="3.77734375" style="635" customWidth="1"/>
    <col min="3" max="3" width="16.77734375" style="635" customWidth="1"/>
    <col min="4" max="4" width="1.5546875" style="635" customWidth="1"/>
    <col min="5" max="5" width="16.44140625" style="432" customWidth="1"/>
    <col min="6" max="6" width="3.109375" style="954" customWidth="1"/>
    <col min="7" max="7" width="14.21875" style="954" customWidth="1"/>
    <col min="8" max="8" width="2.21875" style="954" customWidth="1"/>
    <col min="9" max="9" width="14.21875" style="954" customWidth="1"/>
    <col min="10" max="10" width="1.109375" style="954" customWidth="1"/>
    <col min="11" max="11" width="14.21875" style="954" customWidth="1"/>
    <col min="12" max="12" width="1.21875" style="954" customWidth="1"/>
    <col min="13" max="13" width="16.109375" style="954" customWidth="1"/>
    <col min="14" max="14" width="1.5546875" style="635" customWidth="1"/>
    <col min="15" max="15" width="12.5546875" style="635" customWidth="1"/>
    <col min="16" max="16" width="11.44140625" style="635" customWidth="1"/>
    <col min="17" max="17" width="1.77734375" style="635" customWidth="1"/>
    <col min="18" max="18" width="11.77734375" style="635" customWidth="1"/>
    <col min="19" max="19" width="2.109375" style="635" customWidth="1"/>
    <col min="20" max="20" width="11.44140625" style="635" customWidth="1"/>
    <col min="21" max="21" width="0.5546875" style="635" customWidth="1"/>
    <col min="22" max="22" width="2.21875" style="635" customWidth="1"/>
    <col min="23" max="23" width="10.5546875" style="635" customWidth="1"/>
    <col min="24" max="24" width="11.109375" style="635" customWidth="1"/>
    <col min="25" max="25" width="2.21875" style="635" customWidth="1"/>
    <col min="26" max="26" width="11.109375" style="635" customWidth="1"/>
    <col min="27" max="27" width="2.109375" style="635" customWidth="1"/>
    <col min="28" max="28" width="12.44140625" style="635" customWidth="1"/>
    <col min="29" max="33" width="8.77734375" style="635"/>
    <col min="34" max="34" width="8.77734375" style="954"/>
    <col min="35" max="16384" width="8.77734375" style="950"/>
  </cols>
  <sheetData>
    <row r="1" spans="1:28">
      <c r="A1" s="657" t="s">
        <v>980</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40"/>
      <c r="N3" s="143"/>
      <c r="O3" s="840"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1"/>
      <c r="N4" s="143"/>
      <c r="O4" s="841"/>
      <c r="P4" s="156"/>
      <c r="Q4" s="156"/>
      <c r="R4" s="156"/>
      <c r="S4" s="156"/>
      <c r="T4" s="156"/>
      <c r="U4" s="156"/>
      <c r="V4" s="156"/>
      <c r="W4" s="156"/>
      <c r="X4" s="156"/>
      <c r="Y4" s="156"/>
      <c r="Z4" s="156"/>
      <c r="AA4" s="156"/>
      <c r="AB4" s="156"/>
    </row>
    <row r="5" spans="1:28" ht="17.25" customHeight="1">
      <c r="A5" s="3839" t="str">
        <f>'Exh D-Governmental  '!A5:E5</f>
        <v>FISCAL YEAR 2019-2020</v>
      </c>
      <c r="B5" s="3840"/>
      <c r="C5" s="3840"/>
      <c r="D5" s="3840"/>
      <c r="E5" s="3840"/>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5" t="str">
        <f>+'Exh D-Governmental  '!A6</f>
        <v>FOR FOUR MONTHS ENDED JULY 31,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1434</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200"/>
      <c r="D11" s="1200"/>
      <c r="E11" s="1222"/>
      <c r="F11" s="1202"/>
      <c r="G11" s="1456" t="s">
        <v>1150</v>
      </c>
      <c r="H11" s="1696"/>
      <c r="I11" s="1456"/>
      <c r="J11" s="1696"/>
      <c r="K11" s="1696"/>
      <c r="L11" s="1202"/>
      <c r="M11" s="1202"/>
      <c r="N11" s="1205"/>
      <c r="O11" s="1199"/>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886</v>
      </c>
      <c r="N13" s="151"/>
      <c r="O13" s="199" t="s">
        <v>886</v>
      </c>
      <c r="P13" s="194"/>
      <c r="Q13" s="194"/>
      <c r="R13" s="194"/>
      <c r="S13" s="194"/>
      <c r="T13" s="194"/>
      <c r="U13" s="194"/>
      <c r="V13" s="151"/>
      <c r="W13" s="194"/>
      <c r="X13" s="195"/>
      <c r="Y13" s="194"/>
      <c r="Z13" s="194"/>
      <c r="AA13" s="194"/>
      <c r="AB13" s="194"/>
    </row>
    <row r="14" spans="1:28" ht="15.75">
      <c r="A14" s="706"/>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6"/>
      <c r="B16" s="201"/>
      <c r="C16" s="1204" t="s">
        <v>1135</v>
      </c>
      <c r="D16" s="201"/>
      <c r="E16" s="153" t="s">
        <v>1497</v>
      </c>
      <c r="F16" s="152"/>
      <c r="G16" s="154" t="s">
        <v>85</v>
      </c>
      <c r="H16" s="154"/>
      <c r="I16" s="1698" t="s">
        <v>1277</v>
      </c>
      <c r="J16" s="154"/>
      <c r="K16" s="1698" t="s">
        <v>812</v>
      </c>
      <c r="L16" s="152"/>
      <c r="M16" s="153" t="s">
        <v>87</v>
      </c>
      <c r="N16" s="151"/>
      <c r="O16" s="120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3"/>
      <c r="C18" s="943"/>
      <c r="D18" s="943"/>
      <c r="E18" s="670"/>
      <c r="F18" s="670"/>
      <c r="G18" s="670"/>
      <c r="H18" s="670"/>
      <c r="I18" s="670"/>
      <c r="J18" s="670"/>
      <c r="K18" s="670"/>
      <c r="L18" s="670"/>
      <c r="M18" s="670"/>
      <c r="N18" s="943"/>
      <c r="O18" s="943"/>
      <c r="P18" s="943"/>
      <c r="Q18" s="943"/>
      <c r="R18" s="943"/>
      <c r="S18" s="943"/>
      <c r="T18" s="943"/>
      <c r="U18" s="943"/>
      <c r="V18" s="943"/>
      <c r="W18" s="943"/>
      <c r="X18" s="943"/>
      <c r="Y18" s="943"/>
      <c r="Z18" s="943"/>
      <c r="AA18" s="943"/>
      <c r="AB18" s="943"/>
    </row>
    <row r="19" spans="1:28">
      <c r="A19" s="838" t="s">
        <v>88</v>
      </c>
      <c r="B19" s="944"/>
      <c r="C19" s="944"/>
      <c r="D19" s="944"/>
      <c r="E19" s="670"/>
      <c r="F19" s="670"/>
      <c r="G19" s="670"/>
      <c r="H19" s="670"/>
      <c r="I19" s="670"/>
      <c r="J19" s="670"/>
      <c r="K19" s="670"/>
      <c r="L19" s="944"/>
      <c r="M19" s="670"/>
      <c r="N19" s="943"/>
      <c r="O19" s="1590"/>
      <c r="P19" s="943"/>
      <c r="Q19" s="943"/>
      <c r="R19" s="943"/>
      <c r="S19" s="943"/>
      <c r="T19" s="943"/>
      <c r="U19" s="943"/>
      <c r="V19" s="943"/>
      <c r="W19" s="943"/>
      <c r="X19" s="943"/>
      <c r="Y19" s="943"/>
      <c r="Z19" s="943"/>
      <c r="AA19" s="943"/>
      <c r="AB19" s="943"/>
    </row>
    <row r="20" spans="1:28">
      <c r="A20" s="838" t="s">
        <v>89</v>
      </c>
      <c r="B20" s="944"/>
      <c r="C20" s="1031">
        <f>'Exh D Special Revenue State Fed'!C20+'Exh D Special Revenue State Fed'!N20</f>
        <v>0</v>
      </c>
      <c r="D20" s="2001"/>
      <c r="E20" s="1031">
        <f>'Exh D Special Revenue State Fed'!E20+'Exh D Special Revenue State Fed'!P20</f>
        <v>0</v>
      </c>
      <c r="F20" s="673"/>
      <c r="G20" s="960">
        <f>+'Exh D Special Revenue State Fed'!G20</f>
        <v>0</v>
      </c>
      <c r="H20" s="960"/>
      <c r="I20" s="960">
        <v>0</v>
      </c>
      <c r="J20" s="960"/>
      <c r="K20" s="960">
        <f t="shared" ref="K20:K25" si="0">+G20+I20</f>
        <v>0</v>
      </c>
      <c r="L20" s="673"/>
      <c r="M20" s="671">
        <f>ROUND(SUM(K20)-SUM(C20),1)</f>
        <v>0</v>
      </c>
      <c r="N20" s="943"/>
      <c r="O20" s="671">
        <f t="shared" ref="O20:O25" si="1">ROUND(SUM(K20)-SUM(E20),1)</f>
        <v>0</v>
      </c>
      <c r="P20" s="943"/>
      <c r="Q20" s="943"/>
      <c r="R20" s="943"/>
      <c r="S20" s="943"/>
      <c r="T20" s="943"/>
      <c r="U20" s="943"/>
      <c r="V20" s="943"/>
      <c r="W20" s="943"/>
      <c r="X20" s="943"/>
      <c r="Y20" s="943"/>
      <c r="Z20" s="943"/>
      <c r="AA20" s="943"/>
      <c r="AB20" s="943"/>
    </row>
    <row r="21" spans="1:28">
      <c r="A21" s="838" t="s">
        <v>90</v>
      </c>
      <c r="B21" s="943"/>
      <c r="C21" s="701">
        <f>'Exh D Special Revenue State Fed'!C21+'Exh D Special Revenue State Fed'!N21</f>
        <v>644</v>
      </c>
      <c r="D21" s="2002"/>
      <c r="E21" s="701">
        <f>'Exh D Special Revenue State Fed'!E21+'Exh D Special Revenue State Fed'!P21</f>
        <v>678</v>
      </c>
      <c r="F21" s="656"/>
      <c r="G21" s="656">
        <f>+'Exh D Special Revenue State Fed'!G21</f>
        <v>677.1</v>
      </c>
      <c r="H21" s="1578"/>
      <c r="I21" s="1578">
        <v>0</v>
      </c>
      <c r="J21" s="1578"/>
      <c r="K21" s="1578">
        <f t="shared" si="0"/>
        <v>677.1</v>
      </c>
      <c r="L21" s="656"/>
      <c r="M21" s="1578">
        <f>ROUND(SUM(K21)-SUM(C21),1)</f>
        <v>33.1</v>
      </c>
      <c r="N21" s="962"/>
      <c r="O21" s="1578">
        <f t="shared" si="1"/>
        <v>-0.9</v>
      </c>
      <c r="P21" s="943"/>
      <c r="Q21" s="943"/>
      <c r="R21" s="943"/>
      <c r="S21" s="943"/>
      <c r="T21" s="943"/>
      <c r="U21" s="943"/>
      <c r="V21" s="943"/>
      <c r="W21" s="943"/>
      <c r="X21" s="943"/>
      <c r="Y21" s="943"/>
      <c r="Z21" s="943"/>
      <c r="AA21" s="943"/>
      <c r="AB21" s="943"/>
    </row>
    <row r="22" spans="1:28">
      <c r="A22" s="838" t="s">
        <v>91</v>
      </c>
      <c r="B22" s="944"/>
      <c r="C22" s="701">
        <f>'Exh D Special Revenue State Fed'!C22+'Exh D Special Revenue State Fed'!N22</f>
        <v>551</v>
      </c>
      <c r="D22" s="2001"/>
      <c r="E22" s="701">
        <f>'Exh D Special Revenue State Fed'!E22+'Exh D Special Revenue State Fed'!P22</f>
        <v>621</v>
      </c>
      <c r="F22" s="695"/>
      <c r="G22" s="656">
        <f>+'Exh D Special Revenue State Fed'!G22</f>
        <v>623.6</v>
      </c>
      <c r="H22" s="1578"/>
      <c r="I22" s="1578">
        <v>0</v>
      </c>
      <c r="J22" s="1578"/>
      <c r="K22" s="1578">
        <f t="shared" si="0"/>
        <v>623.6</v>
      </c>
      <c r="L22" s="695"/>
      <c r="M22" s="1578">
        <f t="shared" ref="M22:M25" si="2">ROUND(SUM(K22)-SUM(C22),1)</f>
        <v>72.599999999999994</v>
      </c>
      <c r="N22" s="963"/>
      <c r="O22" s="1578">
        <f t="shared" si="1"/>
        <v>2.6</v>
      </c>
      <c r="P22" s="943"/>
      <c r="Q22" s="964"/>
      <c r="R22" s="943"/>
      <c r="S22" s="964"/>
      <c r="T22" s="943"/>
      <c r="U22" s="943"/>
      <c r="V22" s="964"/>
      <c r="W22" s="943"/>
      <c r="X22" s="943"/>
      <c r="Y22" s="964"/>
      <c r="Z22" s="203"/>
      <c r="AA22" s="964"/>
      <c r="AB22" s="943"/>
    </row>
    <row r="23" spans="1:28" ht="15" customHeight="1">
      <c r="A23" s="838" t="s">
        <v>20</v>
      </c>
      <c r="B23" s="943"/>
      <c r="C23" s="701">
        <f>'Exh D Special Revenue State Fed'!C23+'Exh D Special Revenue State Fed'!N23</f>
        <v>6275</v>
      </c>
      <c r="D23" s="2002"/>
      <c r="E23" s="701">
        <f>'Exh D Special Revenue State Fed'!E23+'Exh D Special Revenue State Fed'!P23</f>
        <v>6098</v>
      </c>
      <c r="F23" s="656"/>
      <c r="G23" s="656">
        <f>+'Exh D Special Revenue State Fed'!G23+'Exh D Special Revenue State Fed'!R23</f>
        <v>6101.5999999999995</v>
      </c>
      <c r="H23" s="1578"/>
      <c r="I23" s="1578">
        <v>0</v>
      </c>
      <c r="J23" s="1578"/>
      <c r="K23" s="1578">
        <f t="shared" si="0"/>
        <v>6101.5999999999995</v>
      </c>
      <c r="L23" s="656"/>
      <c r="M23" s="1578">
        <f t="shared" si="2"/>
        <v>-173.4</v>
      </c>
      <c r="N23" s="962"/>
      <c r="O23" s="1578">
        <f t="shared" si="1"/>
        <v>3.6</v>
      </c>
      <c r="P23" s="943"/>
      <c r="Q23" s="943"/>
      <c r="R23" s="943"/>
      <c r="S23" s="943"/>
      <c r="T23" s="943"/>
      <c r="U23" s="943"/>
      <c r="V23" s="943"/>
      <c r="W23" s="943"/>
      <c r="X23" s="943"/>
      <c r="Y23" s="943"/>
      <c r="Z23" s="943"/>
      <c r="AA23" s="943"/>
      <c r="AB23" s="943"/>
    </row>
    <row r="24" spans="1:28" ht="15" customHeight="1">
      <c r="A24" s="838" t="s">
        <v>21</v>
      </c>
      <c r="B24" s="943"/>
      <c r="C24" s="701">
        <f>'Exh D Special Revenue State Fed'!C24+'Exh D Special Revenue State Fed'!N24</f>
        <v>21884</v>
      </c>
      <c r="D24" s="2002"/>
      <c r="E24" s="701">
        <f>'Exh D Special Revenue State Fed'!E24+'Exh D Special Revenue State Fed'!P24</f>
        <v>19810</v>
      </c>
      <c r="F24" s="656"/>
      <c r="G24" s="656">
        <f>+'Exh D Special Revenue State Fed'!G24+'Exh D Special Revenue State Fed'!R24</f>
        <v>19809.7</v>
      </c>
      <c r="H24" s="1578"/>
      <c r="I24" s="1578">
        <v>0</v>
      </c>
      <c r="J24" s="1578"/>
      <c r="K24" s="1578">
        <f t="shared" si="0"/>
        <v>19809.7</v>
      </c>
      <c r="L24" s="656"/>
      <c r="M24" s="1578">
        <f t="shared" si="2"/>
        <v>-2074.3000000000002</v>
      </c>
      <c r="N24" s="962"/>
      <c r="O24" s="1578">
        <f t="shared" si="1"/>
        <v>-0.3</v>
      </c>
      <c r="P24" s="966"/>
      <c r="Q24" s="943"/>
      <c r="R24" s="966"/>
      <c r="S24" s="943"/>
      <c r="T24" s="966"/>
      <c r="U24" s="967"/>
      <c r="V24" s="943"/>
      <c r="W24" s="943"/>
      <c r="X24" s="943"/>
      <c r="Y24" s="943"/>
      <c r="Z24" s="943"/>
      <c r="AA24" s="943"/>
      <c r="AB24" s="943"/>
    </row>
    <row r="25" spans="1:28">
      <c r="A25" s="838" t="s">
        <v>1502</v>
      </c>
      <c r="B25" s="966"/>
      <c r="C25" s="1777">
        <f>'Exh D Special Revenue State Fed'!C25+'Exh D Special Revenue State Fed'!N25</f>
        <v>1685</v>
      </c>
      <c r="D25" s="2003"/>
      <c r="E25" s="1777">
        <f>'Exh D Special Revenue State Fed'!E25+'Exh D Special Revenue State Fed'!P25</f>
        <v>1698</v>
      </c>
      <c r="F25" s="656"/>
      <c r="G25" s="947">
        <f>+'Exh D Special Revenue State Fed'!G25</f>
        <v>1675.5</v>
      </c>
      <c r="H25" s="963"/>
      <c r="I25" s="1526">
        <f>+'Exhibit G'!AB111</f>
        <v>-264.5</v>
      </c>
      <c r="J25" s="963"/>
      <c r="K25" s="948">
        <f t="shared" si="0"/>
        <v>1411</v>
      </c>
      <c r="L25" s="656"/>
      <c r="M25" s="1446">
        <f t="shared" si="2"/>
        <v>-274</v>
      </c>
      <c r="N25" s="962"/>
      <c r="O25" s="1446">
        <f t="shared" si="1"/>
        <v>-287</v>
      </c>
      <c r="P25" s="966"/>
      <c r="Q25" s="943"/>
      <c r="R25" s="966"/>
      <c r="S25" s="943"/>
      <c r="T25" s="966"/>
      <c r="U25" s="967"/>
      <c r="V25" s="943"/>
      <c r="W25" s="943"/>
      <c r="X25" s="943"/>
      <c r="Y25" s="943"/>
      <c r="Z25" s="943"/>
      <c r="AA25" s="943"/>
      <c r="AB25" s="943"/>
    </row>
    <row r="26" spans="1:28" ht="18" customHeight="1">
      <c r="A26" s="1143" t="s">
        <v>109</v>
      </c>
      <c r="B26" s="151"/>
      <c r="C26" s="847">
        <f>ROUND(SUM(C20:C25),1)</f>
        <v>31039</v>
      </c>
      <c r="D26" s="151"/>
      <c r="E26" s="847">
        <f>ROUND(SUM(E20:E25),1)</f>
        <v>28905</v>
      </c>
      <c r="F26" s="941"/>
      <c r="G26" s="847">
        <f>ROUND(SUM(G20:G25),1)</f>
        <v>28887.5</v>
      </c>
      <c r="H26" s="1579"/>
      <c r="I26" s="847">
        <f>ROUND(SUM(I20:I25),1)</f>
        <v>-264.5</v>
      </c>
      <c r="J26" s="1579"/>
      <c r="K26" s="847">
        <f>ROUND(SUM(K20:K25),1)</f>
        <v>28623</v>
      </c>
      <c r="L26" s="941"/>
      <c r="M26" s="847">
        <f>ROUND(SUM(M20:M25),1)</f>
        <v>-2416</v>
      </c>
      <c r="N26" s="76"/>
      <c r="O26" s="74">
        <f>ROUND(SUM(O20:O25),1)</f>
        <v>-282</v>
      </c>
      <c r="P26" s="151"/>
      <c r="Q26" s="151"/>
      <c r="R26" s="151"/>
      <c r="S26" s="151"/>
      <c r="T26" s="151"/>
      <c r="U26" s="151"/>
      <c r="V26" s="151"/>
      <c r="W26" s="151"/>
      <c r="X26" s="151"/>
      <c r="Y26" s="151"/>
      <c r="Z26" s="151"/>
      <c r="AA26" s="151"/>
      <c r="AB26" s="151"/>
    </row>
    <row r="27" spans="1:28">
      <c r="A27" s="706"/>
      <c r="B27" s="943"/>
      <c r="C27" s="962"/>
      <c r="D27" s="943"/>
      <c r="E27" s="962"/>
      <c r="F27" s="656"/>
      <c r="G27" s="704"/>
      <c r="H27" s="962"/>
      <c r="I27" s="962"/>
      <c r="J27" s="962"/>
      <c r="K27" s="962"/>
      <c r="L27" s="656"/>
      <c r="M27" s="704"/>
      <c r="N27" s="962"/>
      <c r="O27" s="704"/>
      <c r="P27" s="943"/>
      <c r="Q27" s="943"/>
      <c r="R27" s="943"/>
      <c r="S27" s="943"/>
      <c r="T27" s="943"/>
      <c r="U27" s="943"/>
      <c r="V27" s="943"/>
      <c r="W27" s="943"/>
      <c r="X27" s="943"/>
      <c r="Y27" s="943"/>
      <c r="Z27" s="943"/>
      <c r="AA27" s="943"/>
      <c r="AB27" s="943"/>
    </row>
    <row r="28" spans="1:28" ht="15.75">
      <c r="A28" s="29" t="s">
        <v>23</v>
      </c>
      <c r="B28" s="943"/>
      <c r="C28" s="962"/>
      <c r="D28" s="943"/>
      <c r="E28" s="962"/>
      <c r="F28" s="656"/>
      <c r="G28" s="656"/>
      <c r="H28" s="1578"/>
      <c r="I28" s="1578"/>
      <c r="J28" s="1578"/>
      <c r="K28" s="1578"/>
      <c r="L28" s="656"/>
      <c r="M28" s="656"/>
      <c r="N28" s="962"/>
      <c r="O28" s="1578"/>
      <c r="P28" s="943"/>
      <c r="Q28" s="943"/>
      <c r="R28" s="943"/>
      <c r="S28" s="943"/>
      <c r="T28" s="943"/>
      <c r="U28" s="943"/>
      <c r="V28" s="943"/>
      <c r="W28" s="943"/>
      <c r="X28" s="943"/>
      <c r="Y28" s="943"/>
      <c r="Z28" s="943"/>
      <c r="AA28" s="943"/>
      <c r="AB28" s="943"/>
    </row>
    <row r="29" spans="1:28">
      <c r="A29" s="838" t="s">
        <v>94</v>
      </c>
      <c r="B29" s="964"/>
      <c r="C29" s="701">
        <f>'Exh D Special Revenue State Fed'!C29+'Exh D Special Revenue State Fed'!N29</f>
        <v>22344</v>
      </c>
      <c r="D29" s="2004"/>
      <c r="E29" s="701">
        <f>'Exh D Special Revenue State Fed'!E29+'Exh D Special Revenue State Fed'!P29</f>
        <v>21407</v>
      </c>
      <c r="F29" s="656"/>
      <c r="G29" s="695">
        <f>+'Exh D Special Revenue State Fed'!G29+'Exh D Special Revenue State Fed'!R29</f>
        <v>21353.7</v>
      </c>
      <c r="H29" s="695"/>
      <c r="I29" s="695">
        <v>0</v>
      </c>
      <c r="J29" s="695"/>
      <c r="K29" s="1578">
        <f>+G29+I29</f>
        <v>21353.7</v>
      </c>
      <c r="L29" s="656"/>
      <c r="M29" s="1578">
        <f t="shared" ref="M29:M33" si="3">ROUND(SUM(K29)-SUM(C29),1)</f>
        <v>-990.3</v>
      </c>
      <c r="N29" s="962"/>
      <c r="O29" s="1578">
        <f>ROUND(SUM(K29)-SUM(E29),1)</f>
        <v>-53.3</v>
      </c>
      <c r="P29" s="966"/>
      <c r="Q29" s="943"/>
      <c r="R29" s="966"/>
      <c r="S29" s="943"/>
      <c r="T29" s="966"/>
      <c r="U29" s="967"/>
      <c r="V29" s="943"/>
      <c r="W29" s="943"/>
      <c r="X29" s="943"/>
      <c r="Y29" s="943"/>
      <c r="Z29" s="943"/>
      <c r="AA29" s="943"/>
      <c r="AB29" s="943"/>
    </row>
    <row r="30" spans="1:28">
      <c r="A30" s="838" t="s">
        <v>95</v>
      </c>
      <c r="B30" s="964"/>
      <c r="C30" s="701">
        <f>'Exh D Special Revenue State Fed'!C30+'Exh D Special Revenue State Fed'!N30</f>
        <v>3240</v>
      </c>
      <c r="D30" s="2004"/>
      <c r="E30" s="701">
        <f>'Exh D Special Revenue State Fed'!E30+'Exh D Special Revenue State Fed'!P30</f>
        <v>3282</v>
      </c>
      <c r="F30" s="656"/>
      <c r="G30" s="695">
        <f>+'Exh D Special Revenue State Fed'!G30+'Exh D Special Revenue State Fed'!R30</f>
        <v>3282.8</v>
      </c>
      <c r="H30" s="695"/>
      <c r="I30" s="695">
        <v>0</v>
      </c>
      <c r="J30" s="695"/>
      <c r="K30" s="1578">
        <f>+G30+I30</f>
        <v>3282.8</v>
      </c>
      <c r="L30" s="656"/>
      <c r="M30" s="1578">
        <f t="shared" si="3"/>
        <v>42.8</v>
      </c>
      <c r="N30" s="962"/>
      <c r="O30" s="1578">
        <f>ROUND(SUM(K30)-SUM(E30),1)</f>
        <v>0.8</v>
      </c>
      <c r="P30" s="964"/>
      <c r="Q30" s="943"/>
      <c r="R30" s="964"/>
      <c r="S30" s="943"/>
      <c r="T30" s="966"/>
      <c r="U30" s="943"/>
      <c r="V30" s="943"/>
      <c r="W30" s="966"/>
      <c r="X30" s="966"/>
      <c r="Y30" s="943"/>
      <c r="Z30" s="966"/>
      <c r="AA30" s="943"/>
      <c r="AB30" s="966"/>
    </row>
    <row r="31" spans="1:28">
      <c r="A31" s="838" t="s">
        <v>70</v>
      </c>
      <c r="B31" s="964"/>
      <c r="C31" s="701">
        <f>'Exh D Special Revenue State Fed'!C31+'Exh D Special Revenue State Fed'!N31</f>
        <v>406</v>
      </c>
      <c r="D31" s="2004"/>
      <c r="E31" s="701">
        <f>'Exh D Special Revenue State Fed'!E31+'Exh D Special Revenue State Fed'!P31</f>
        <v>391</v>
      </c>
      <c r="F31" s="656"/>
      <c r="G31" s="695">
        <f>+'Exh D Special Revenue State Fed'!G31+'Exh D Special Revenue State Fed'!R31</f>
        <v>400.6</v>
      </c>
      <c r="H31" s="695"/>
      <c r="I31" s="695">
        <v>0</v>
      </c>
      <c r="J31" s="695"/>
      <c r="K31" s="1578">
        <f>+G31+I31</f>
        <v>400.6</v>
      </c>
      <c r="L31" s="656"/>
      <c r="M31" s="1578">
        <f t="shared" si="3"/>
        <v>-5.4</v>
      </c>
      <c r="N31" s="962"/>
      <c r="O31" s="1578">
        <f>ROUND(SUM(K31)-SUM(E31),1)</f>
        <v>9.6</v>
      </c>
      <c r="P31" s="966"/>
      <c r="Q31" s="943"/>
      <c r="R31" s="966"/>
      <c r="S31" s="943"/>
      <c r="T31" s="966"/>
      <c r="U31" s="967"/>
      <c r="V31" s="943"/>
      <c r="W31" s="966"/>
      <c r="X31" s="966"/>
      <c r="Y31" s="943"/>
      <c r="Z31" s="966"/>
      <c r="AA31" s="943"/>
      <c r="AB31" s="966"/>
    </row>
    <row r="32" spans="1:28">
      <c r="A32" s="838" t="s">
        <v>42</v>
      </c>
      <c r="B32" s="964"/>
      <c r="C32" s="701">
        <f>'Exh D Special Revenue State Fed'!C32+'Exh D Special Revenue State Fed'!N32</f>
        <v>0</v>
      </c>
      <c r="D32" s="2004"/>
      <c r="E32" s="701">
        <f>'Exh D Special Revenue State Fed'!E32+'Exh D Special Revenue State Fed'!P32</f>
        <v>0</v>
      </c>
      <c r="F32" s="656"/>
      <c r="G32" s="702">
        <f>+'Exh D Special Revenue State Fed'!G32+'Exh D Special Revenue State Fed'!R32</f>
        <v>0.1</v>
      </c>
      <c r="H32" s="702"/>
      <c r="I32" s="702">
        <v>0</v>
      </c>
      <c r="J32" s="702"/>
      <c r="K32" s="1578">
        <f>+G32+I32</f>
        <v>0.1</v>
      </c>
      <c r="L32" s="656"/>
      <c r="M32" s="1578">
        <f t="shared" si="3"/>
        <v>0.1</v>
      </c>
      <c r="N32" s="962"/>
      <c r="O32" s="1578">
        <f>ROUND(SUM(K32)-SUM(E32),1)</f>
        <v>0.1</v>
      </c>
      <c r="P32" s="966"/>
      <c r="Q32" s="943"/>
      <c r="R32" s="966"/>
      <c r="S32" s="943"/>
      <c r="T32" s="966"/>
      <c r="U32" s="967"/>
      <c r="V32" s="943"/>
      <c r="W32" s="943"/>
      <c r="X32" s="943"/>
      <c r="Y32" s="943"/>
      <c r="Z32" s="943"/>
      <c r="AA32" s="943"/>
      <c r="AB32" s="943"/>
    </row>
    <row r="33" spans="1:28">
      <c r="A33" s="838" t="s">
        <v>1503</v>
      </c>
      <c r="B33" s="964"/>
      <c r="C33" s="701">
        <f>'Exh D Special Revenue State Fed'!C33+'Exh D Special Revenue State Fed'!N33</f>
        <v>829</v>
      </c>
      <c r="D33" s="2004"/>
      <c r="E33" s="701">
        <f>'Exh D Special Revenue State Fed'!E33+'Exh D Special Revenue State Fed'!P33</f>
        <v>855</v>
      </c>
      <c r="F33" s="656"/>
      <c r="G33" s="695">
        <f>+'Exh D Special Revenue State Fed'!G33+'Exh D Special Revenue State Fed'!R33</f>
        <v>812.09999999999991</v>
      </c>
      <c r="H33" s="695"/>
      <c r="I33" s="700">
        <f>-'Exhibit G'!AB112</f>
        <v>-264.5</v>
      </c>
      <c r="J33" s="695"/>
      <c r="K33" s="1578">
        <f>+G33+I33</f>
        <v>547.59999999999991</v>
      </c>
      <c r="L33" s="656"/>
      <c r="M33" s="1578">
        <f t="shared" si="3"/>
        <v>-281.39999999999998</v>
      </c>
      <c r="N33" s="962"/>
      <c r="O33" s="1578">
        <f>ROUND(SUM(K33)-SUM(E33),1)</f>
        <v>-307.39999999999998</v>
      </c>
      <c r="P33" s="966"/>
      <c r="Q33" s="943"/>
      <c r="R33" s="966"/>
      <c r="S33" s="943"/>
      <c r="T33" s="966"/>
      <c r="U33" s="967"/>
      <c r="V33" s="943"/>
      <c r="W33" s="943"/>
      <c r="X33" s="943"/>
      <c r="Y33" s="943"/>
      <c r="Z33" s="943"/>
      <c r="AA33" s="943"/>
      <c r="AB33" s="943"/>
    </row>
    <row r="34" spans="1:28" ht="18" customHeight="1">
      <c r="A34" s="1588" t="s">
        <v>118</v>
      </c>
      <c r="B34" s="151"/>
      <c r="C34" s="1937">
        <f>ROUND(SUM(C29:C33),1)</f>
        <v>26819</v>
      </c>
      <c r="D34" s="151"/>
      <c r="E34" s="1937">
        <f>ROUND(SUM(E29:E33),1)</f>
        <v>25935</v>
      </c>
      <c r="F34" s="941"/>
      <c r="G34" s="215">
        <f>ROUND(SUM(G29:G33),1)</f>
        <v>25849.3</v>
      </c>
      <c r="H34" s="1579"/>
      <c r="I34" s="1589">
        <f>ROUND(SUM(I29:I33),1)</f>
        <v>-264.5</v>
      </c>
      <c r="J34" s="1579"/>
      <c r="K34" s="1589">
        <f>ROUND(SUM(K29:K33),1)</f>
        <v>25584.799999999999</v>
      </c>
      <c r="L34" s="941"/>
      <c r="M34" s="215">
        <f>ROUND(SUM(M29:M33),1)</f>
        <v>-1234.2</v>
      </c>
      <c r="N34" s="76"/>
      <c r="O34" s="215">
        <f>ROUND(SUM(O29:O33),1)</f>
        <v>-350.2</v>
      </c>
      <c r="P34" s="151"/>
      <c r="Q34" s="151"/>
      <c r="R34" s="151"/>
      <c r="S34" s="151"/>
      <c r="T34" s="151"/>
      <c r="U34" s="151"/>
      <c r="V34" s="151"/>
      <c r="W34" s="151"/>
      <c r="X34" s="151"/>
      <c r="Y34" s="151"/>
      <c r="Z34" s="151"/>
      <c r="AA34" s="151"/>
      <c r="AB34" s="151"/>
    </row>
    <row r="35" spans="1:28">
      <c r="A35" s="706"/>
      <c r="B35" s="943"/>
      <c r="C35" s="962"/>
      <c r="D35" s="943"/>
      <c r="E35" s="962"/>
      <c r="F35" s="656"/>
      <c r="G35" s="704"/>
      <c r="H35" s="962"/>
      <c r="I35" s="962"/>
      <c r="J35" s="962"/>
      <c r="K35" s="962"/>
      <c r="L35" s="656"/>
      <c r="M35" s="704"/>
      <c r="N35" s="962"/>
      <c r="O35" s="704"/>
      <c r="P35" s="943"/>
      <c r="Q35" s="943"/>
      <c r="R35" s="943"/>
      <c r="S35" s="943"/>
      <c r="T35" s="943"/>
      <c r="U35" s="943"/>
      <c r="V35" s="943"/>
      <c r="W35" s="943"/>
      <c r="X35" s="943"/>
      <c r="Y35" s="943"/>
      <c r="Z35" s="943"/>
      <c r="AA35" s="943"/>
      <c r="AB35" s="943"/>
    </row>
    <row r="36" spans="1:28" ht="15.75">
      <c r="A36" s="29" t="s">
        <v>119</v>
      </c>
      <c r="B36" s="943"/>
      <c r="C36" s="962"/>
      <c r="D36" s="943"/>
      <c r="E36" s="962"/>
      <c r="F36" s="656"/>
      <c r="G36" s="656"/>
      <c r="H36" s="1578"/>
      <c r="I36" s="1578"/>
      <c r="J36" s="1578"/>
      <c r="K36" s="1578"/>
      <c r="L36" s="656"/>
      <c r="M36" s="656"/>
      <c r="N36" s="962"/>
      <c r="O36" s="1578"/>
      <c r="P36" s="943"/>
      <c r="Q36" s="943"/>
      <c r="R36" s="943"/>
      <c r="S36" s="943"/>
      <c r="T36" s="943"/>
      <c r="U36" s="943"/>
      <c r="V36" s="943"/>
      <c r="W36" s="943"/>
      <c r="X36" s="943"/>
      <c r="Y36" s="943"/>
      <c r="Z36" s="943"/>
      <c r="AA36" s="943"/>
      <c r="AB36" s="943"/>
    </row>
    <row r="37" spans="1:28" ht="15.75">
      <c r="A37" s="29" t="s">
        <v>120</v>
      </c>
      <c r="B37" s="943"/>
      <c r="C37" s="962"/>
      <c r="D37" s="943"/>
      <c r="E37" s="962"/>
      <c r="F37" s="656"/>
      <c r="G37" s="656"/>
      <c r="H37" s="1578"/>
      <c r="I37" s="1578"/>
      <c r="J37" s="1578"/>
      <c r="K37" s="1578"/>
      <c r="L37" s="656"/>
      <c r="M37" s="656"/>
      <c r="N37" s="962"/>
      <c r="O37" s="1578"/>
      <c r="P37" s="943"/>
      <c r="Q37" s="943"/>
      <c r="R37" s="943"/>
      <c r="S37" s="943"/>
      <c r="T37" s="943"/>
      <c r="U37" s="943"/>
      <c r="V37" s="943"/>
      <c r="W37" s="943"/>
      <c r="X37" s="943"/>
      <c r="Y37" s="943"/>
      <c r="Z37" s="943"/>
      <c r="AA37" s="943"/>
      <c r="AB37" s="943"/>
    </row>
    <row r="38" spans="1:28" ht="15.75">
      <c r="A38" s="1143" t="s">
        <v>103</v>
      </c>
      <c r="B38" s="175"/>
      <c r="C38" s="1579">
        <f>ROUND(SUM(C26)-SUM(C34),1)</f>
        <v>4220</v>
      </c>
      <c r="D38" s="175"/>
      <c r="E38" s="1579">
        <f>ROUND(SUM(E26)-SUM(E34),1)</f>
        <v>2970</v>
      </c>
      <c r="F38" s="84"/>
      <c r="G38" s="76">
        <f>ROUND(SUM(G26)-SUM(G34),1)</f>
        <v>3038.2</v>
      </c>
      <c r="H38" s="1579"/>
      <c r="I38" s="1579">
        <v>0</v>
      </c>
      <c r="J38" s="1579"/>
      <c r="K38" s="1579">
        <f>+G38+I38</f>
        <v>3038.2</v>
      </c>
      <c r="L38" s="84"/>
      <c r="M38" s="76">
        <f>ROUND(SUM(M26)-SUM(M34),1)</f>
        <v>-1181.8</v>
      </c>
      <c r="N38" s="399"/>
      <c r="O38" s="1579">
        <f>ROUND(SUM(O26)-SUM(O34),1)</f>
        <v>68.2</v>
      </c>
      <c r="P38" s="151"/>
      <c r="Q38" s="174"/>
      <c r="R38" s="151"/>
      <c r="S38" s="174"/>
      <c r="T38" s="151"/>
      <c r="U38" s="151"/>
      <c r="V38" s="174"/>
      <c r="W38" s="151"/>
      <c r="X38" s="151"/>
      <c r="Y38" s="174"/>
      <c r="Z38" s="151"/>
      <c r="AA38" s="174"/>
      <c r="AB38" s="151"/>
    </row>
    <row r="39" spans="1:28" ht="15" customHeight="1">
      <c r="C39" s="684"/>
      <c r="E39" s="684"/>
      <c r="F39" s="951"/>
      <c r="G39" s="684"/>
      <c r="H39" s="684"/>
      <c r="I39" s="684"/>
      <c r="J39" s="684"/>
      <c r="K39" s="684"/>
      <c r="L39" s="951"/>
      <c r="M39" s="684"/>
      <c r="N39" s="684"/>
      <c r="O39" s="684"/>
    </row>
    <row r="40" spans="1:28" ht="15.75">
      <c r="A40" s="1143" t="str">
        <f>+'Exh D-Governmental  '!A49</f>
        <v>Fund Balances (Deficits) at April 1</v>
      </c>
      <c r="C40" s="2005">
        <v>3842</v>
      </c>
      <c r="D40" s="2006"/>
      <c r="E40" s="2005">
        <v>3842</v>
      </c>
      <c r="F40" s="951"/>
      <c r="G40" s="1579">
        <f>'Exh D Special Revenue State Fed'!G40+'Exh D Special Revenue State Fed'!R40</f>
        <v>3842.4000000000005</v>
      </c>
      <c r="H40" s="1579"/>
      <c r="I40" s="1579">
        <v>0</v>
      </c>
      <c r="J40" s="1579"/>
      <c r="K40" s="1579">
        <f>+G40+I40</f>
        <v>3842.4000000000005</v>
      </c>
      <c r="L40" s="951"/>
      <c r="M40" s="74">
        <f t="shared" ref="M40" si="4">ROUND(SUM(K40)-SUM(C40),1)</f>
        <v>0.4</v>
      </c>
      <c r="N40" s="684"/>
      <c r="O40" s="74">
        <f>ROUND(SUM(K40)-SUM(E40),1)</f>
        <v>0.4</v>
      </c>
    </row>
    <row r="41" spans="1:28" ht="18" customHeight="1" thickBot="1">
      <c r="A41" s="1385" t="str">
        <f>+'Exh D-Governmental  '!A50</f>
        <v>Fund Balances (Deficits) at July 31, 2019</v>
      </c>
      <c r="B41" s="175"/>
      <c r="C41" s="98">
        <f>ROUND(SUM(C38:C40),1)</f>
        <v>8062</v>
      </c>
      <c r="D41" s="175"/>
      <c r="E41" s="98">
        <f>ROUND(SUM(E38:E40),1)</f>
        <v>6812</v>
      </c>
      <c r="F41" s="181"/>
      <c r="G41" s="98">
        <f>ROUND(SUM(G38:G40),1)</f>
        <v>6880.6</v>
      </c>
      <c r="H41" s="219"/>
      <c r="I41" s="98">
        <f>ROUND(SUM(I38:I40),1)</f>
        <v>0</v>
      </c>
      <c r="J41" s="219"/>
      <c r="K41" s="98">
        <f>ROUND(SUM(K38:K40),1)</f>
        <v>6880.6</v>
      </c>
      <c r="L41" s="181"/>
      <c r="M41" s="98">
        <f>ROUND(SUM(M38:M40),1)</f>
        <v>-1181.4000000000001</v>
      </c>
      <c r="O41" s="98">
        <f>ROUND(SUM(O38:O40),1)</f>
        <v>68.599999999999994</v>
      </c>
    </row>
    <row r="42" spans="1:28" ht="15" customHeight="1" thickTop="1">
      <c r="A42" s="155"/>
      <c r="E42" s="705"/>
      <c r="F42" s="968"/>
      <c r="G42" s="968"/>
      <c r="H42" s="968"/>
      <c r="I42" s="968"/>
      <c r="J42" s="968"/>
      <c r="K42" s="968"/>
      <c r="L42" s="968"/>
      <c r="M42" s="968"/>
      <c r="O42" s="1591"/>
    </row>
    <row r="43" spans="1:28">
      <c r="A43" s="955" t="str">
        <f>'Exh D-Governmental  '!A52</f>
        <v>(*)    Source: 2019-20 Enacted Financial Plan dated May 13, 2019.</v>
      </c>
    </row>
    <row r="44" spans="1:28">
      <c r="A44" s="955" t="str">
        <f>'Exh D General Fund  '!A53</f>
        <v>(**)   Source: 2019-20 First Quarter Update dated August 13, 2019.</v>
      </c>
    </row>
    <row r="45" spans="1:28">
      <c r="A45" s="1542" t="s">
        <v>1505</v>
      </c>
    </row>
    <row r="46" spans="1:28">
      <c r="A46" s="1542"/>
    </row>
    <row r="47" spans="1:28">
      <c r="A47" s="969"/>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77734375" defaultRowHeight="15"/>
  <cols>
    <col min="1" max="1" width="53.109375" style="950" customWidth="1"/>
    <col min="2" max="2" width="0.77734375" style="635" customWidth="1"/>
    <col min="3" max="3" width="15.77734375" style="432" customWidth="1"/>
    <col min="4" max="4" width="0.77734375" style="954" customWidth="1"/>
    <col min="5" max="5" width="15.77734375" style="432" customWidth="1"/>
    <col min="6" max="6" width="0.77734375" style="954" customWidth="1"/>
    <col min="7" max="7" width="15.77734375" style="954" customWidth="1"/>
    <col min="8" max="8" width="0.77734375" style="954" customWidth="1"/>
    <col min="9" max="9" width="15.77734375" style="954" customWidth="1"/>
    <col min="10" max="10" width="0.77734375" style="954" customWidth="1"/>
    <col min="11" max="11" width="15.77734375" style="954" customWidth="1"/>
    <col min="12" max="12" width="1.77734375" style="635" customWidth="1"/>
    <col min="13" max="13" width="0.77734375" style="635" customWidth="1"/>
    <col min="14" max="14" width="15.77734375" style="635" customWidth="1"/>
    <col min="15" max="15" width="1.21875" style="635" customWidth="1"/>
    <col min="16" max="16" width="15.77734375" style="635" customWidth="1"/>
    <col min="17" max="17" width="1.21875" style="635" customWidth="1"/>
    <col min="18" max="18" width="15.77734375" style="635" customWidth="1"/>
    <col min="19" max="19" width="0.5546875" style="635" customWidth="1"/>
    <col min="20" max="20" width="15.77734375" style="635" customWidth="1"/>
    <col min="21" max="21" width="1.21875" style="635" customWidth="1"/>
    <col min="22" max="22" width="15.77734375" style="432" customWidth="1"/>
    <col min="23" max="23" width="1" style="635" customWidth="1"/>
    <col min="24" max="24" width="3.77734375" style="432" customWidth="1"/>
    <col min="25" max="25" width="1" style="635" customWidth="1"/>
    <col min="26" max="26" width="15.77734375" style="635" customWidth="1"/>
    <col min="27" max="27" width="0.77734375" style="635" customWidth="1"/>
    <col min="28" max="28" width="15.77734375" style="635" customWidth="1"/>
    <col min="29" max="29" width="0.21875" style="635" customWidth="1"/>
    <col min="30" max="30" width="11.77734375" style="635" customWidth="1"/>
    <col min="31" max="31" width="11.44140625" style="635" customWidth="1"/>
    <col min="32" max="32" width="1.77734375" style="635" customWidth="1"/>
    <col min="33" max="33" width="11.77734375" style="635" customWidth="1"/>
    <col min="34" max="34" width="2.109375" style="635" customWidth="1"/>
    <col min="35" max="35" width="11.44140625" style="635" customWidth="1"/>
    <col min="36" max="36" width="0.5546875" style="635" customWidth="1"/>
    <col min="37" max="37" width="2.21875" style="635" customWidth="1"/>
    <col min="38" max="38" width="10.5546875" style="635" customWidth="1"/>
    <col min="39" max="39" width="11.109375" style="635" customWidth="1"/>
    <col min="40" max="40" width="2.21875" style="635" customWidth="1"/>
    <col min="41" max="41" width="11.109375" style="635" customWidth="1"/>
    <col min="42" max="42" width="2.109375" style="635" customWidth="1"/>
    <col min="43" max="43" width="12.44140625" style="635" customWidth="1"/>
    <col min="44" max="48" width="8.77734375" style="635"/>
    <col min="49" max="49" width="8.77734375" style="954"/>
    <col min="50" max="16384" width="8.77734375" style="950"/>
  </cols>
  <sheetData>
    <row r="1" spans="1:49">
      <c r="A1" s="956" t="s">
        <v>980</v>
      </c>
      <c r="B1" s="186"/>
      <c r="C1" s="426"/>
      <c r="D1" s="187"/>
      <c r="E1" s="426"/>
      <c r="F1" s="187"/>
      <c r="G1" s="187"/>
      <c r="H1" s="187"/>
      <c r="I1" s="187"/>
      <c r="J1" s="187"/>
      <c r="K1" s="187"/>
      <c r="L1" s="186"/>
      <c r="M1" s="186"/>
      <c r="N1" s="186"/>
      <c r="O1" s="186"/>
      <c r="P1" s="186"/>
      <c r="Q1" s="186"/>
      <c r="R1" s="186"/>
      <c r="S1" s="186"/>
      <c r="T1" s="186"/>
      <c r="U1" s="186"/>
      <c r="V1" s="1206"/>
      <c r="W1" s="186"/>
      <c r="X1" s="1206"/>
      <c r="Y1" s="186"/>
      <c r="Z1" s="186"/>
      <c r="AA1" s="186"/>
      <c r="AB1" s="186"/>
      <c r="AC1" s="187"/>
      <c r="AD1" s="186"/>
      <c r="AE1" s="186"/>
      <c r="AF1" s="186"/>
      <c r="AG1" s="186"/>
      <c r="AH1" s="186"/>
      <c r="AI1" s="186"/>
      <c r="AJ1" s="186"/>
      <c r="AK1" s="186"/>
      <c r="AL1" s="186"/>
      <c r="AM1" s="186"/>
      <c r="AN1" s="186"/>
      <c r="AO1" s="186"/>
      <c r="AP1" s="186"/>
      <c r="AQ1" s="186"/>
      <c r="AR1" s="950"/>
      <c r="AS1" s="950"/>
      <c r="AT1" s="950"/>
      <c r="AU1" s="950"/>
      <c r="AV1" s="950"/>
      <c r="AW1" s="950"/>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6"/>
      <c r="W2" s="186"/>
      <c r="X2" s="1206"/>
      <c r="Y2" s="186"/>
      <c r="Z2" s="1207"/>
      <c r="AA2" s="186"/>
      <c r="AB2" s="186"/>
      <c r="AC2" s="187"/>
      <c r="AD2" s="186"/>
      <c r="AE2" s="186"/>
      <c r="AF2" s="186"/>
      <c r="AG2" s="186"/>
      <c r="AH2" s="186"/>
      <c r="AI2" s="186"/>
      <c r="AJ2" s="186"/>
      <c r="AK2" s="186"/>
      <c r="AL2" s="186"/>
      <c r="AM2" s="186"/>
      <c r="AN2" s="186"/>
      <c r="AO2" s="186"/>
      <c r="AP2" s="186"/>
      <c r="AQ2" s="186"/>
      <c r="AR2" s="950"/>
      <c r="AS2" s="950"/>
      <c r="AT2" s="950"/>
      <c r="AU2" s="950"/>
      <c r="AV2" s="950"/>
      <c r="AW2" s="950"/>
    </row>
    <row r="3" spans="1:49" ht="17.25" customHeight="1">
      <c r="A3" s="191" t="s">
        <v>0</v>
      </c>
      <c r="B3" s="148"/>
      <c r="C3" s="428"/>
      <c r="D3" s="143"/>
      <c r="E3" s="428"/>
      <c r="F3" s="143"/>
      <c r="G3" s="143"/>
      <c r="H3" s="143"/>
      <c r="I3" s="143"/>
      <c r="J3" s="143"/>
      <c r="K3" s="143"/>
      <c r="L3" s="156"/>
      <c r="M3" s="156"/>
      <c r="N3" s="156"/>
      <c r="O3" s="156"/>
      <c r="P3" s="156"/>
      <c r="Q3" s="156"/>
      <c r="R3" s="156"/>
      <c r="S3" s="156"/>
      <c r="T3" s="840"/>
      <c r="U3" s="156"/>
      <c r="V3" s="840" t="s">
        <v>84</v>
      </c>
      <c r="W3" s="156"/>
      <c r="X3" s="1208"/>
      <c r="Y3" s="156"/>
      <c r="Z3" s="156"/>
      <c r="AA3" s="156"/>
      <c r="AB3" s="1209"/>
      <c r="AC3" s="143"/>
      <c r="AD3" s="156"/>
      <c r="AE3" s="156"/>
      <c r="AF3" s="156"/>
      <c r="AG3" s="156"/>
      <c r="AH3" s="156"/>
      <c r="AI3" s="156"/>
      <c r="AJ3" s="156"/>
      <c r="AK3" s="156"/>
      <c r="AL3" s="156"/>
      <c r="AM3" s="156"/>
      <c r="AN3" s="156"/>
      <c r="AO3" s="156"/>
      <c r="AP3" s="156"/>
      <c r="AQ3" s="192"/>
      <c r="AR3" s="950"/>
      <c r="AS3" s="950"/>
      <c r="AT3" s="950"/>
      <c r="AU3" s="950"/>
      <c r="AV3" s="950"/>
      <c r="AW3" s="950"/>
    </row>
    <row r="4" spans="1:49" ht="17.25" customHeight="1">
      <c r="A4" s="191" t="s">
        <v>83</v>
      </c>
      <c r="B4" s="148"/>
      <c r="C4" s="428"/>
      <c r="D4" s="143"/>
      <c r="E4" s="428"/>
      <c r="F4" s="143"/>
      <c r="G4" s="143"/>
      <c r="H4" s="143"/>
      <c r="I4" s="143"/>
      <c r="J4" s="143"/>
      <c r="K4" s="143"/>
      <c r="L4" s="156"/>
      <c r="M4" s="156"/>
      <c r="N4" s="156"/>
      <c r="O4" s="156"/>
      <c r="P4" s="156"/>
      <c r="Q4" s="156"/>
      <c r="R4" s="156"/>
      <c r="S4" s="156"/>
      <c r="T4" s="841"/>
      <c r="U4" s="156"/>
      <c r="V4" s="841"/>
      <c r="W4" s="156"/>
      <c r="X4" s="1208"/>
      <c r="Y4" s="156"/>
      <c r="Z4" s="156"/>
      <c r="AA4" s="156"/>
      <c r="AB4" s="1210"/>
      <c r="AC4" s="143"/>
      <c r="AD4" s="156"/>
      <c r="AE4" s="156"/>
      <c r="AF4" s="156"/>
      <c r="AG4" s="156"/>
      <c r="AH4" s="156"/>
      <c r="AI4" s="156"/>
      <c r="AJ4" s="156"/>
      <c r="AK4" s="156"/>
      <c r="AL4" s="156"/>
      <c r="AM4" s="156"/>
      <c r="AN4" s="156"/>
      <c r="AO4" s="156"/>
      <c r="AP4" s="156"/>
      <c r="AQ4" s="156"/>
      <c r="AR4" s="950"/>
      <c r="AS4" s="950"/>
      <c r="AT4" s="950"/>
      <c r="AU4" s="950"/>
      <c r="AV4" s="950"/>
      <c r="AW4" s="950"/>
    </row>
    <row r="5" spans="1:49" ht="17.25" customHeight="1">
      <c r="A5" s="3839" t="str">
        <f>'Exh D-Governmental  '!A5:E5</f>
        <v>FISCAL YEAR 2019-2020</v>
      </c>
      <c r="B5" s="3840"/>
      <c r="C5" s="3840"/>
      <c r="D5" s="3840"/>
      <c r="E5" s="3840"/>
      <c r="F5" s="143"/>
      <c r="G5" s="833"/>
      <c r="H5" s="143"/>
      <c r="I5" s="143"/>
      <c r="J5" s="143"/>
      <c r="K5" s="143"/>
      <c r="L5" s="156"/>
      <c r="M5" s="156"/>
      <c r="N5" s="2122"/>
      <c r="O5" s="156"/>
      <c r="P5" s="156"/>
      <c r="Q5" s="156"/>
      <c r="R5" s="156"/>
      <c r="S5" s="156"/>
      <c r="T5" s="156"/>
      <c r="U5" s="156"/>
      <c r="V5" s="1208"/>
      <c r="W5" s="156"/>
      <c r="X5" s="1208"/>
      <c r="Y5" s="156"/>
      <c r="Z5" s="156"/>
      <c r="AA5" s="156"/>
      <c r="AB5" s="156"/>
      <c r="AC5" s="143"/>
      <c r="AD5" s="156"/>
      <c r="AE5" s="156"/>
      <c r="AF5" s="156"/>
      <c r="AG5" s="156"/>
      <c r="AH5" s="156"/>
      <c r="AI5" s="156"/>
      <c r="AJ5" s="156"/>
      <c r="AK5" s="156"/>
      <c r="AL5" s="156"/>
      <c r="AM5" s="156"/>
      <c r="AN5" s="156"/>
      <c r="AO5" s="156"/>
      <c r="AP5" s="156"/>
      <c r="AQ5" s="156"/>
      <c r="AR5" s="950"/>
      <c r="AS5" s="950"/>
      <c r="AT5" s="950"/>
      <c r="AU5" s="950"/>
      <c r="AV5" s="950"/>
      <c r="AW5" s="950"/>
    </row>
    <row r="6" spans="1:49" ht="17.25" customHeight="1">
      <c r="A6" s="1516" t="str">
        <f>'Exh D-Governmental  '!A6</f>
        <v>FOR FOUR MONTHS ENDED JULY 31, 2019</v>
      </c>
      <c r="B6" s="3841"/>
      <c r="C6" s="3842"/>
      <c r="D6" s="3843"/>
      <c r="E6" s="3842"/>
      <c r="F6" s="143"/>
      <c r="G6" s="143"/>
      <c r="H6" s="143"/>
      <c r="I6" s="143"/>
      <c r="J6" s="143"/>
      <c r="K6" s="143"/>
      <c r="L6" s="156"/>
      <c r="M6" s="156"/>
      <c r="N6" s="156"/>
      <c r="O6" s="156"/>
      <c r="P6" s="156"/>
      <c r="Q6" s="156"/>
      <c r="R6" s="156"/>
      <c r="S6" s="156"/>
      <c r="T6" s="156"/>
      <c r="U6" s="156"/>
      <c r="V6" s="1208"/>
      <c r="W6" s="156"/>
      <c r="X6" s="1208"/>
      <c r="Y6" s="156"/>
      <c r="Z6" s="156"/>
      <c r="AA6" s="156"/>
      <c r="AB6" s="156"/>
      <c r="AC6" s="143"/>
      <c r="AD6" s="156"/>
      <c r="AE6" s="156"/>
      <c r="AF6" s="156"/>
      <c r="AG6" s="156"/>
      <c r="AH6" s="156"/>
      <c r="AI6" s="156"/>
      <c r="AJ6" s="156"/>
      <c r="AK6" s="156"/>
      <c r="AL6" s="156"/>
      <c r="AM6" s="156"/>
      <c r="AN6" s="156"/>
      <c r="AO6" s="156"/>
      <c r="AP6" s="156"/>
      <c r="AQ6" s="156"/>
      <c r="AR6" s="950"/>
      <c r="AS6" s="950"/>
      <c r="AT6" s="950"/>
      <c r="AU6" s="950"/>
      <c r="AV6" s="950"/>
      <c r="AW6" s="950"/>
    </row>
    <row r="7" spans="1:49" ht="18">
      <c r="A7" s="191" t="s">
        <v>1434</v>
      </c>
      <c r="B7" s="148"/>
      <c r="C7" s="428"/>
      <c r="D7" s="143"/>
      <c r="E7" s="428"/>
      <c r="F7" s="143"/>
      <c r="G7" s="143"/>
      <c r="H7" s="143"/>
      <c r="I7" s="143"/>
      <c r="J7" s="143"/>
      <c r="K7" s="143"/>
      <c r="L7" s="156"/>
      <c r="M7" s="156"/>
      <c r="N7" s="156"/>
      <c r="O7" s="156"/>
      <c r="P7" s="156"/>
      <c r="Q7" s="156"/>
      <c r="R7" s="156"/>
      <c r="S7" s="156"/>
      <c r="T7" s="156"/>
      <c r="U7" s="156"/>
      <c r="V7" s="1208"/>
      <c r="W7" s="156"/>
      <c r="X7" s="1208"/>
      <c r="Y7" s="156"/>
      <c r="Z7" s="156"/>
      <c r="AA7" s="156"/>
      <c r="AB7" s="156"/>
      <c r="AC7" s="143"/>
      <c r="AD7" s="156"/>
      <c r="AE7" s="156"/>
      <c r="AF7" s="156"/>
      <c r="AG7" s="156"/>
      <c r="AH7" s="156"/>
      <c r="AI7" s="156"/>
      <c r="AJ7" s="156"/>
      <c r="AK7" s="156"/>
      <c r="AL7" s="156"/>
      <c r="AM7" s="156"/>
      <c r="AN7" s="156"/>
      <c r="AO7" s="156"/>
      <c r="AP7" s="156"/>
      <c r="AQ7" s="156"/>
      <c r="AR7" s="950"/>
      <c r="AS7" s="950"/>
      <c r="AT7" s="950"/>
      <c r="AU7" s="950"/>
      <c r="AV7" s="950"/>
      <c r="AW7" s="950"/>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8"/>
      <c r="W8" s="156"/>
      <c r="X8" s="1208"/>
      <c r="Y8" s="156"/>
      <c r="Z8" s="156"/>
      <c r="AA8" s="156"/>
      <c r="AB8" s="156"/>
      <c r="AC8" s="143"/>
      <c r="AD8" s="156"/>
      <c r="AE8" s="156"/>
      <c r="AF8" s="156"/>
      <c r="AG8" s="156"/>
      <c r="AH8" s="156"/>
      <c r="AI8" s="156"/>
      <c r="AJ8" s="156"/>
      <c r="AK8" s="156"/>
      <c r="AL8" s="156"/>
      <c r="AM8" s="156"/>
      <c r="AN8" s="156"/>
      <c r="AO8" s="156"/>
      <c r="AP8" s="156"/>
      <c r="AQ8" s="156"/>
      <c r="AR8" s="950"/>
      <c r="AS8" s="950"/>
      <c r="AT8" s="950"/>
      <c r="AU8" s="950"/>
      <c r="AV8" s="950"/>
      <c r="AW8" s="950"/>
    </row>
    <row r="9" spans="1:49">
      <c r="A9" s="150"/>
      <c r="B9" s="156"/>
      <c r="C9" s="429"/>
      <c r="D9" s="143"/>
      <c r="E9" s="429"/>
      <c r="F9" s="143"/>
      <c r="G9" s="143"/>
      <c r="H9" s="143"/>
      <c r="I9" s="143"/>
      <c r="J9" s="143"/>
      <c r="K9" s="143"/>
      <c r="L9" s="156"/>
      <c r="M9" s="156"/>
      <c r="N9" s="156"/>
      <c r="O9" s="156"/>
      <c r="P9" s="156"/>
      <c r="Q9" s="156"/>
      <c r="R9" s="156"/>
      <c r="S9" s="156"/>
      <c r="T9" s="156"/>
      <c r="U9" s="156"/>
      <c r="V9" s="1208"/>
      <c r="W9" s="156"/>
      <c r="X9" s="1208"/>
      <c r="Y9" s="156"/>
      <c r="Z9" s="156"/>
      <c r="AA9" s="156"/>
      <c r="AB9" s="156"/>
      <c r="AC9" s="143"/>
      <c r="AD9" s="156"/>
      <c r="AE9" s="156"/>
      <c r="AF9" s="156"/>
      <c r="AG9" s="156"/>
      <c r="AH9" s="156"/>
      <c r="AI9" s="156"/>
      <c r="AJ9" s="156"/>
      <c r="AK9" s="156"/>
      <c r="AL9" s="156"/>
      <c r="AM9" s="156"/>
      <c r="AN9" s="156"/>
      <c r="AO9" s="156"/>
      <c r="AP9" s="156"/>
      <c r="AQ9" s="156"/>
      <c r="AR9" s="950"/>
      <c r="AS9" s="950"/>
      <c r="AT9" s="950"/>
      <c r="AU9" s="950"/>
      <c r="AV9" s="950"/>
      <c r="AW9" s="950"/>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3"/>
      <c r="W10" s="147"/>
      <c r="X10" s="983"/>
      <c r="Y10" s="147"/>
      <c r="Z10" s="147"/>
      <c r="AA10" s="147"/>
      <c r="AB10" s="147"/>
      <c r="AC10" s="143"/>
      <c r="AD10" s="156"/>
      <c r="AE10" s="156"/>
      <c r="AF10" s="156"/>
      <c r="AG10" s="156"/>
      <c r="AH10" s="156"/>
      <c r="AI10" s="156"/>
      <c r="AJ10" s="156"/>
      <c r="AK10" s="156"/>
      <c r="AL10" s="156"/>
      <c r="AM10" s="156"/>
      <c r="AN10" s="156"/>
      <c r="AO10" s="156"/>
      <c r="AP10" s="156"/>
      <c r="AQ10" s="156"/>
      <c r="AR10" s="950"/>
      <c r="AS10" s="950"/>
      <c r="AT10" s="950"/>
      <c r="AU10" s="950"/>
      <c r="AV10" s="950"/>
      <c r="AW10" s="950"/>
    </row>
    <row r="11" spans="1:49" ht="15.75">
      <c r="A11" s="706"/>
      <c r="C11" s="3801" t="s">
        <v>1146</v>
      </c>
      <c r="D11" s="3801"/>
      <c r="E11" s="3801"/>
      <c r="F11" s="3801"/>
      <c r="G11" s="3801"/>
      <c r="H11" s="3801"/>
      <c r="I11" s="3801"/>
      <c r="J11" s="1202"/>
      <c r="K11" s="1202"/>
      <c r="L11" s="196"/>
      <c r="M11" s="194"/>
      <c r="N11" s="3801" t="s">
        <v>1147</v>
      </c>
      <c r="O11" s="3801"/>
      <c r="P11" s="3801"/>
      <c r="Q11" s="3801"/>
      <c r="R11" s="3801"/>
      <c r="S11" s="3801"/>
      <c r="T11" s="3801"/>
      <c r="U11" s="1211"/>
      <c r="V11" s="1455"/>
      <c r="W11" s="1477"/>
      <c r="X11" s="1477"/>
      <c r="Y11" s="1477"/>
      <c r="Z11" s="1477"/>
      <c r="AA11" s="1477"/>
      <c r="AB11" s="1477"/>
      <c r="AC11" s="151"/>
      <c r="AD11" s="194"/>
      <c r="AE11" s="194"/>
      <c r="AF11" s="194"/>
      <c r="AG11" s="194"/>
      <c r="AH11" s="194"/>
      <c r="AI11" s="194"/>
      <c r="AJ11" s="194"/>
      <c r="AK11" s="151"/>
      <c r="AL11" s="194"/>
      <c r="AM11" s="195"/>
      <c r="AN11" s="194"/>
      <c r="AO11" s="194"/>
      <c r="AP11" s="194"/>
      <c r="AQ11" s="194"/>
      <c r="AR11" s="950"/>
      <c r="AS11" s="950"/>
      <c r="AT11" s="950"/>
      <c r="AU11" s="950"/>
      <c r="AV11" s="950"/>
      <c r="AW11" s="950"/>
    </row>
    <row r="12" spans="1:49" ht="15.75">
      <c r="A12" s="706"/>
      <c r="C12" s="430"/>
      <c r="D12" s="196"/>
      <c r="E12" s="430"/>
      <c r="F12" s="196"/>
      <c r="G12" s="197"/>
      <c r="H12" s="196"/>
      <c r="I12" s="196" t="s">
        <v>85</v>
      </c>
      <c r="J12" s="196"/>
      <c r="K12" s="196" t="s">
        <v>85</v>
      </c>
      <c r="L12" s="196"/>
      <c r="M12" s="122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0"/>
      <c r="AS12" s="950"/>
      <c r="AT12" s="950"/>
      <c r="AU12" s="950"/>
      <c r="AV12" s="950"/>
      <c r="AW12" s="950"/>
    </row>
    <row r="13" spans="1:49" ht="15.75">
      <c r="A13" s="706"/>
      <c r="B13" s="151"/>
      <c r="C13" s="431"/>
      <c r="D13" s="198"/>
      <c r="E13" s="431"/>
      <c r="F13" s="198"/>
      <c r="G13" s="198"/>
      <c r="H13" s="198"/>
      <c r="I13" s="199" t="s">
        <v>886</v>
      </c>
      <c r="J13" s="199"/>
      <c r="K13" s="199" t="s">
        <v>886</v>
      </c>
      <c r="L13" s="986"/>
      <c r="M13" s="1227"/>
      <c r="N13" s="431"/>
      <c r="O13" s="198"/>
      <c r="P13" s="431"/>
      <c r="Q13" s="198"/>
      <c r="R13" s="198"/>
      <c r="S13" s="198"/>
      <c r="T13" s="199" t="s">
        <v>886</v>
      </c>
      <c r="U13" s="201"/>
      <c r="V13" s="199" t="s">
        <v>886</v>
      </c>
      <c r="W13" s="985"/>
      <c r="X13" s="984"/>
      <c r="Y13" s="985"/>
      <c r="Z13" s="985"/>
      <c r="AA13" s="985"/>
      <c r="AB13" s="986"/>
      <c r="AC13" s="151"/>
      <c r="AD13" s="151"/>
      <c r="AE13" s="151"/>
      <c r="AF13" s="151"/>
      <c r="AG13" s="151"/>
      <c r="AH13" s="151"/>
      <c r="AI13" s="200"/>
      <c r="AJ13" s="201"/>
      <c r="AK13" s="151"/>
      <c r="AL13" s="151"/>
      <c r="AM13" s="151"/>
      <c r="AN13" s="151"/>
      <c r="AO13" s="151"/>
      <c r="AP13" s="151"/>
      <c r="AQ13" s="200"/>
      <c r="AR13" s="950"/>
      <c r="AS13" s="950"/>
      <c r="AT13" s="950"/>
      <c r="AU13" s="950"/>
      <c r="AV13" s="950"/>
      <c r="AW13" s="950"/>
    </row>
    <row r="14" spans="1:49" ht="15.75">
      <c r="A14" s="706"/>
      <c r="B14" s="202"/>
      <c r="C14" s="154" t="s">
        <v>1095</v>
      </c>
      <c r="D14" s="950"/>
      <c r="E14" s="153" t="s">
        <v>1096</v>
      </c>
      <c r="F14" s="152"/>
      <c r="G14" s="152"/>
      <c r="H14" s="152"/>
      <c r="I14" s="153" t="s">
        <v>86</v>
      </c>
      <c r="J14" s="153"/>
      <c r="K14" s="153" t="s">
        <v>86</v>
      </c>
      <c r="L14" s="201"/>
      <c r="M14" s="1227"/>
      <c r="N14" s="154" t="s">
        <v>1095</v>
      </c>
      <c r="O14" s="950"/>
      <c r="P14" s="153" t="s">
        <v>1096</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50"/>
      <c r="AS14" s="950"/>
      <c r="AT14" s="950"/>
      <c r="AU14" s="950"/>
      <c r="AV14" s="950"/>
      <c r="AW14" s="950"/>
    </row>
    <row r="15" spans="1:49" ht="15.75">
      <c r="A15" s="706"/>
      <c r="B15" s="202"/>
      <c r="C15" s="153" t="s">
        <v>1134</v>
      </c>
      <c r="D15" s="152"/>
      <c r="E15" s="153" t="s">
        <v>1134</v>
      </c>
      <c r="F15" s="152"/>
      <c r="G15" s="152"/>
      <c r="H15" s="152"/>
      <c r="I15" s="153" t="s">
        <v>1095</v>
      </c>
      <c r="J15" s="153"/>
      <c r="K15" s="153" t="s">
        <v>1096</v>
      </c>
      <c r="L15" s="201"/>
      <c r="M15" s="1227"/>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0"/>
      <c r="AS15" s="950"/>
      <c r="AT15" s="950"/>
      <c r="AU15" s="950"/>
      <c r="AV15" s="950"/>
      <c r="AW15" s="950"/>
    </row>
    <row r="16" spans="1:49" ht="15.75">
      <c r="A16" s="706"/>
      <c r="B16" s="201"/>
      <c r="C16" s="153" t="s">
        <v>1135</v>
      </c>
      <c r="D16" s="152"/>
      <c r="E16" s="153" t="s">
        <v>1497</v>
      </c>
      <c r="F16" s="152"/>
      <c r="G16" s="154" t="s">
        <v>85</v>
      </c>
      <c r="H16" s="152"/>
      <c r="I16" s="153" t="s">
        <v>87</v>
      </c>
      <c r="J16" s="201"/>
      <c r="K16" s="153" t="s">
        <v>87</v>
      </c>
      <c r="L16" s="201"/>
      <c r="M16" s="1234"/>
      <c r="N16" s="1235" t="s">
        <v>1135</v>
      </c>
      <c r="O16" s="152"/>
      <c r="P16" s="153" t="s">
        <v>1497</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0"/>
      <c r="AS16" s="950"/>
      <c r="AT16" s="950"/>
      <c r="AU16" s="950"/>
      <c r="AV16" s="950"/>
      <c r="AW16" s="950"/>
    </row>
    <row r="17" spans="1:49">
      <c r="A17" s="155"/>
      <c r="B17" s="156"/>
      <c r="C17" s="157"/>
      <c r="D17" s="143"/>
      <c r="E17" s="157"/>
      <c r="F17" s="143"/>
      <c r="G17" s="157"/>
      <c r="H17" s="143"/>
      <c r="I17" s="157"/>
      <c r="J17" s="156"/>
      <c r="K17" s="157"/>
      <c r="L17" s="156"/>
      <c r="M17" s="122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0"/>
      <c r="AS17" s="950"/>
      <c r="AT17" s="950"/>
      <c r="AU17" s="950"/>
      <c r="AV17" s="950"/>
      <c r="AW17" s="950"/>
    </row>
    <row r="18" spans="1:49" ht="15.75">
      <c r="A18" s="29" t="s">
        <v>14</v>
      </c>
      <c r="B18" s="943"/>
      <c r="C18" s="670"/>
      <c r="D18" s="670"/>
      <c r="E18" s="670"/>
      <c r="F18" s="670"/>
      <c r="G18" s="670"/>
      <c r="H18" s="670"/>
      <c r="I18" s="943"/>
      <c r="J18" s="670"/>
      <c r="K18" s="943"/>
      <c r="L18" s="943"/>
      <c r="M18" s="1229"/>
      <c r="N18" s="670"/>
      <c r="O18" s="670"/>
      <c r="P18" s="670"/>
      <c r="Q18" s="670"/>
      <c r="R18" s="670"/>
      <c r="S18" s="670"/>
      <c r="T18" s="670"/>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50"/>
      <c r="AS18" s="950"/>
      <c r="AT18" s="950"/>
      <c r="AU18" s="950"/>
      <c r="AV18" s="950"/>
      <c r="AW18" s="950"/>
    </row>
    <row r="19" spans="1:49">
      <c r="A19" s="838" t="s">
        <v>88</v>
      </c>
      <c r="B19" s="944"/>
      <c r="C19" s="670"/>
      <c r="D19" s="944"/>
      <c r="E19" s="670"/>
      <c r="F19" s="944"/>
      <c r="G19" s="670"/>
      <c r="H19" s="944"/>
      <c r="I19" s="943"/>
      <c r="J19" s="670"/>
      <c r="K19" s="943"/>
      <c r="L19" s="943"/>
      <c r="M19" s="1229"/>
      <c r="N19" s="670"/>
      <c r="O19" s="944"/>
      <c r="P19" s="670"/>
      <c r="Q19" s="944"/>
      <c r="R19" s="670"/>
      <c r="S19" s="944"/>
      <c r="T19" s="670"/>
      <c r="U19" s="943"/>
      <c r="V19" s="943"/>
      <c r="W19" s="943"/>
      <c r="X19" s="943"/>
      <c r="Y19" s="943"/>
      <c r="Z19" s="943"/>
      <c r="AA19" s="964"/>
      <c r="AB19" s="943"/>
      <c r="AC19" s="943"/>
      <c r="AD19" s="943"/>
      <c r="AE19" s="943"/>
      <c r="AF19" s="943"/>
      <c r="AG19" s="943"/>
      <c r="AH19" s="943"/>
      <c r="AI19" s="943"/>
      <c r="AJ19" s="943"/>
      <c r="AK19" s="943"/>
      <c r="AL19" s="943"/>
      <c r="AM19" s="943"/>
      <c r="AN19" s="943"/>
      <c r="AO19" s="943"/>
      <c r="AP19" s="943"/>
      <c r="AQ19" s="943"/>
      <c r="AR19" s="950"/>
      <c r="AS19" s="950"/>
      <c r="AT19" s="950"/>
      <c r="AU19" s="950"/>
      <c r="AV19" s="950"/>
      <c r="AW19" s="950"/>
    </row>
    <row r="20" spans="1:49">
      <c r="A20" s="838" t="s">
        <v>89</v>
      </c>
      <c r="B20" s="944" t="s">
        <v>15</v>
      </c>
      <c r="C20" s="2122">
        <v>0</v>
      </c>
      <c r="D20" s="673"/>
      <c r="E20" s="2122">
        <v>0</v>
      </c>
      <c r="F20" s="673"/>
      <c r="G20" s="671">
        <f>'Exhibit G State'!AD17</f>
        <v>0</v>
      </c>
      <c r="H20" s="673"/>
      <c r="I20" s="990">
        <f>ROUND(SUM(G20)-SUM(C20),1)</f>
        <v>0</v>
      </c>
      <c r="J20" s="671"/>
      <c r="K20" s="990">
        <f t="shared" ref="K20:K25" si="0">ROUND(SUM(G20)-SUM(E20),1)</f>
        <v>0</v>
      </c>
      <c r="L20" s="990"/>
      <c r="M20" s="1229"/>
      <c r="N20" s="2122">
        <v>0</v>
      </c>
      <c r="O20" s="912"/>
      <c r="P20" s="2122">
        <v>0</v>
      </c>
      <c r="Q20" s="673"/>
      <c r="R20" s="671">
        <v>0</v>
      </c>
      <c r="S20" s="673"/>
      <c r="T20" s="990">
        <f>ROUND(SUM(R20)-SUM(N20),1)</f>
        <v>0</v>
      </c>
      <c r="U20" s="943"/>
      <c r="V20" s="990">
        <f t="shared" ref="V20:V25" si="1">ROUND(SUM(R20)-SUM(P20),1)</f>
        <v>0</v>
      </c>
      <c r="W20" s="988"/>
      <c r="X20" s="991"/>
      <c r="Y20" s="988"/>
      <c r="Z20" s="989"/>
      <c r="AA20" s="988"/>
      <c r="AB20" s="990"/>
      <c r="AC20" s="943"/>
      <c r="AD20" s="943"/>
      <c r="AE20" s="943"/>
      <c r="AF20" s="943"/>
      <c r="AG20" s="943"/>
      <c r="AH20" s="943"/>
      <c r="AI20" s="943"/>
      <c r="AJ20" s="943"/>
      <c r="AK20" s="943"/>
      <c r="AL20" s="943"/>
      <c r="AM20" s="943"/>
      <c r="AN20" s="943"/>
      <c r="AO20" s="943"/>
      <c r="AP20" s="943"/>
      <c r="AQ20" s="943"/>
      <c r="AR20" s="950"/>
      <c r="AS20" s="950"/>
      <c r="AT20" s="950"/>
      <c r="AU20" s="950"/>
      <c r="AV20" s="950"/>
      <c r="AW20" s="950"/>
    </row>
    <row r="21" spans="1:49">
      <c r="A21" s="838" t="s">
        <v>90</v>
      </c>
      <c r="B21" s="943" t="s">
        <v>15</v>
      </c>
      <c r="C21" s="1144">
        <v>644</v>
      </c>
      <c r="D21" s="1578"/>
      <c r="E21" s="1144">
        <v>678</v>
      </c>
      <c r="F21" s="656"/>
      <c r="G21" s="656">
        <f>'Exhibit G State'!AD28</f>
        <v>677.1</v>
      </c>
      <c r="H21" s="656"/>
      <c r="I21" s="1578">
        <f t="shared" ref="I21:I25" si="2">ROUND(SUM(G21)-SUM(C21),1)</f>
        <v>33.1</v>
      </c>
      <c r="J21" s="656"/>
      <c r="K21" s="962">
        <f t="shared" si="0"/>
        <v>-0.9</v>
      </c>
      <c r="L21" s="962"/>
      <c r="M21" s="1229"/>
      <c r="N21" s="1144">
        <v>0</v>
      </c>
      <c r="O21" s="914"/>
      <c r="P21" s="1144">
        <v>0</v>
      </c>
      <c r="Q21" s="656"/>
      <c r="R21" s="656">
        <v>0</v>
      </c>
      <c r="S21" s="656"/>
      <c r="T21" s="1578">
        <f t="shared" ref="T21:T25" si="3">ROUND(SUM(R21)-SUM(N21),1)</f>
        <v>0</v>
      </c>
      <c r="U21" s="943"/>
      <c r="V21" s="962">
        <f t="shared" si="1"/>
        <v>0</v>
      </c>
      <c r="W21" s="962"/>
      <c r="X21" s="991"/>
      <c r="Y21" s="962"/>
      <c r="Z21" s="962"/>
      <c r="AA21" s="962"/>
      <c r="AB21" s="962"/>
      <c r="AC21" s="962"/>
      <c r="AD21" s="962"/>
      <c r="AE21" s="943"/>
      <c r="AF21" s="943"/>
      <c r="AG21" s="943"/>
      <c r="AH21" s="943"/>
      <c r="AI21" s="943"/>
      <c r="AJ21" s="943"/>
      <c r="AK21" s="943"/>
      <c r="AL21" s="943"/>
      <c r="AM21" s="943"/>
      <c r="AN21" s="943"/>
      <c r="AO21" s="943"/>
      <c r="AP21" s="943"/>
      <c r="AQ21" s="943"/>
      <c r="AR21" s="950"/>
      <c r="AS21" s="950"/>
      <c r="AT21" s="950"/>
      <c r="AU21" s="950"/>
      <c r="AV21" s="950"/>
      <c r="AW21" s="950"/>
    </row>
    <row r="22" spans="1:49">
      <c r="A22" s="838" t="s">
        <v>91</v>
      </c>
      <c r="B22" s="944" t="s">
        <v>15</v>
      </c>
      <c r="C22" s="1144">
        <v>551</v>
      </c>
      <c r="D22" s="695"/>
      <c r="E22" s="1144">
        <v>621</v>
      </c>
      <c r="F22" s="695"/>
      <c r="G22" s="656">
        <f>'Exhibit G State'!AD35</f>
        <v>623.6</v>
      </c>
      <c r="H22" s="695"/>
      <c r="I22" s="1578">
        <f t="shared" si="2"/>
        <v>72.599999999999994</v>
      </c>
      <c r="J22" s="656"/>
      <c r="K22" s="962">
        <f t="shared" si="0"/>
        <v>2.6</v>
      </c>
      <c r="L22" s="962"/>
      <c r="M22" s="1229"/>
      <c r="N22" s="1144">
        <v>0</v>
      </c>
      <c r="O22" s="700"/>
      <c r="P22" s="1144">
        <v>0</v>
      </c>
      <c r="Q22" s="695"/>
      <c r="R22" s="951">
        <v>0</v>
      </c>
      <c r="S22" s="695"/>
      <c r="T22" s="1578">
        <f t="shared" si="3"/>
        <v>0</v>
      </c>
      <c r="U22" s="943"/>
      <c r="V22" s="962">
        <f t="shared" si="1"/>
        <v>0</v>
      </c>
      <c r="W22" s="963"/>
      <c r="X22" s="991"/>
      <c r="Y22" s="963"/>
      <c r="Z22" s="962"/>
      <c r="AA22" s="963"/>
      <c r="AB22" s="962"/>
      <c r="AC22" s="963"/>
      <c r="AD22" s="962"/>
      <c r="AE22" s="943"/>
      <c r="AF22" s="964"/>
      <c r="AG22" s="943"/>
      <c r="AH22" s="964"/>
      <c r="AI22" s="943"/>
      <c r="AJ22" s="943"/>
      <c r="AK22" s="964"/>
      <c r="AL22" s="943"/>
      <c r="AM22" s="943"/>
      <c r="AN22" s="964"/>
      <c r="AO22" s="203"/>
      <c r="AP22" s="964"/>
      <c r="AQ22" s="943"/>
      <c r="AR22" s="950"/>
      <c r="AS22" s="950"/>
      <c r="AT22" s="950"/>
      <c r="AU22" s="950"/>
      <c r="AV22" s="950"/>
      <c r="AW22" s="950"/>
    </row>
    <row r="23" spans="1:49" ht="15" customHeight="1">
      <c r="A23" s="838" t="s">
        <v>20</v>
      </c>
      <c r="B23" s="943" t="s">
        <v>15</v>
      </c>
      <c r="C23" s="1144">
        <v>6242</v>
      </c>
      <c r="D23" s="961"/>
      <c r="E23" s="1144">
        <v>6016</v>
      </c>
      <c r="F23" s="961"/>
      <c r="G23" s="656">
        <f>'Exhibit G State'!AD80</f>
        <v>6009.9</v>
      </c>
      <c r="H23" s="656"/>
      <c r="I23" s="1578">
        <f t="shared" si="2"/>
        <v>-232.1</v>
      </c>
      <c r="J23" s="656"/>
      <c r="K23" s="962">
        <f t="shared" si="0"/>
        <v>-6.1</v>
      </c>
      <c r="L23" s="962"/>
      <c r="M23" s="1229"/>
      <c r="N23" s="1144">
        <v>33</v>
      </c>
      <c r="O23" s="2039"/>
      <c r="P23" s="1144">
        <v>82</v>
      </c>
      <c r="Q23" s="961"/>
      <c r="R23" s="702">
        <f>'Exhibit G Federal'!AD52</f>
        <v>91.7</v>
      </c>
      <c r="S23" s="656"/>
      <c r="T23" s="1578">
        <f t="shared" si="3"/>
        <v>58.7</v>
      </c>
      <c r="U23" s="943"/>
      <c r="V23" s="962">
        <f t="shared" si="1"/>
        <v>9.6999999999999993</v>
      </c>
      <c r="W23" s="962"/>
      <c r="X23" s="991"/>
      <c r="Y23" s="962"/>
      <c r="Z23" s="962"/>
      <c r="AA23" s="962"/>
      <c r="AB23" s="962"/>
      <c r="AC23" s="962"/>
      <c r="AD23" s="962"/>
      <c r="AE23" s="943"/>
      <c r="AF23" s="943"/>
      <c r="AG23" s="943"/>
      <c r="AH23" s="943"/>
      <c r="AI23" s="943"/>
      <c r="AJ23" s="943"/>
      <c r="AK23" s="943"/>
      <c r="AL23" s="943"/>
      <c r="AM23" s="943"/>
      <c r="AN23" s="943"/>
      <c r="AO23" s="943"/>
      <c r="AP23" s="943"/>
      <c r="AQ23" s="943"/>
      <c r="AR23" s="950"/>
      <c r="AS23" s="950"/>
      <c r="AT23" s="950"/>
      <c r="AU23" s="950"/>
      <c r="AV23" s="950"/>
      <c r="AW23" s="950"/>
    </row>
    <row r="24" spans="1:49" ht="15" customHeight="1">
      <c r="A24" s="838" t="s">
        <v>21</v>
      </c>
      <c r="B24" s="943" t="s">
        <v>15</v>
      </c>
      <c r="C24" s="1144">
        <v>0</v>
      </c>
      <c r="D24" s="1578"/>
      <c r="E24" s="1144">
        <v>-1</v>
      </c>
      <c r="F24" s="656"/>
      <c r="G24" s="702">
        <f>'Exhibit G State'!AD82</f>
        <v>-0.8</v>
      </c>
      <c r="H24" s="656"/>
      <c r="I24" s="1578">
        <f t="shared" si="2"/>
        <v>-0.8</v>
      </c>
      <c r="J24" s="656"/>
      <c r="K24" s="962">
        <f t="shared" si="0"/>
        <v>0.2</v>
      </c>
      <c r="L24" s="962"/>
      <c r="M24" s="1229"/>
      <c r="N24" s="1144">
        <v>21884</v>
      </c>
      <c r="O24" s="914"/>
      <c r="P24" s="1144">
        <v>19811</v>
      </c>
      <c r="Q24" s="656"/>
      <c r="R24" s="702">
        <f>'Exhibit G Federal'!AD54</f>
        <v>19810.5</v>
      </c>
      <c r="S24" s="656"/>
      <c r="T24" s="1578">
        <f t="shared" si="3"/>
        <v>-2073.5</v>
      </c>
      <c r="U24" s="943"/>
      <c r="V24" s="962">
        <f t="shared" si="1"/>
        <v>-0.5</v>
      </c>
      <c r="W24" s="962"/>
      <c r="X24" s="991"/>
      <c r="Y24" s="962"/>
      <c r="Z24" s="962"/>
      <c r="AA24" s="962"/>
      <c r="AB24" s="962"/>
      <c r="AC24" s="962"/>
      <c r="AD24" s="965"/>
      <c r="AE24" s="966"/>
      <c r="AF24" s="943"/>
      <c r="AG24" s="966"/>
      <c r="AH24" s="943"/>
      <c r="AI24" s="966"/>
      <c r="AJ24" s="967"/>
      <c r="AK24" s="943"/>
      <c r="AL24" s="943"/>
      <c r="AM24" s="943"/>
      <c r="AN24" s="943"/>
      <c r="AO24" s="943"/>
      <c r="AP24" s="943"/>
      <c r="AQ24" s="943"/>
      <c r="AR24" s="950"/>
      <c r="AS24" s="950"/>
      <c r="AT24" s="950"/>
      <c r="AU24" s="950"/>
      <c r="AV24" s="950"/>
      <c r="AW24" s="950"/>
    </row>
    <row r="25" spans="1:49">
      <c r="A25" s="838" t="s">
        <v>48</v>
      </c>
      <c r="B25" s="967" t="s">
        <v>15</v>
      </c>
      <c r="C25" s="1144">
        <v>1685</v>
      </c>
      <c r="D25" s="962"/>
      <c r="E25" s="1144">
        <v>1697</v>
      </c>
      <c r="F25" s="962"/>
      <c r="G25" s="1051">
        <f>'Exhibit G State'!AD111</f>
        <v>1675.5</v>
      </c>
      <c r="H25" s="656"/>
      <c r="I25" s="1578">
        <f t="shared" si="2"/>
        <v>-9.5</v>
      </c>
      <c r="J25" s="962"/>
      <c r="K25" s="962">
        <f t="shared" si="0"/>
        <v>-21.5</v>
      </c>
      <c r="L25" s="962"/>
      <c r="M25" s="1230"/>
      <c r="N25" s="1144">
        <v>0</v>
      </c>
      <c r="O25" s="914"/>
      <c r="P25" s="1144">
        <v>1</v>
      </c>
      <c r="Q25" s="962"/>
      <c r="R25" s="1051">
        <f>+'Exhibit G Federal'!AD83</f>
        <v>0</v>
      </c>
      <c r="S25" s="656"/>
      <c r="T25" s="1578">
        <f t="shared" si="3"/>
        <v>0</v>
      </c>
      <c r="U25" s="967"/>
      <c r="V25" s="962">
        <f t="shared" si="1"/>
        <v>-1</v>
      </c>
      <c r="W25" s="962"/>
      <c r="X25" s="991"/>
      <c r="Y25" s="962"/>
      <c r="Z25" s="963"/>
      <c r="AA25" s="962"/>
      <c r="AB25" s="962"/>
      <c r="AC25" s="962"/>
      <c r="AD25" s="965"/>
      <c r="AE25" s="966"/>
      <c r="AF25" s="943"/>
      <c r="AG25" s="966"/>
      <c r="AH25" s="943"/>
      <c r="AI25" s="966"/>
      <c r="AJ25" s="967"/>
      <c r="AK25" s="943"/>
      <c r="AL25" s="943"/>
      <c r="AM25" s="943"/>
      <c r="AN25" s="943"/>
      <c r="AO25" s="943"/>
      <c r="AP25" s="943"/>
      <c r="AQ25" s="943"/>
      <c r="AR25" s="950"/>
      <c r="AS25" s="950"/>
      <c r="AT25" s="950"/>
      <c r="AU25" s="950"/>
      <c r="AV25" s="950"/>
      <c r="AW25" s="950"/>
    </row>
    <row r="26" spans="1:49" ht="18" customHeight="1">
      <c r="A26" s="173" t="s">
        <v>109</v>
      </c>
      <c r="B26" s="151" t="s">
        <v>15</v>
      </c>
      <c r="C26" s="215">
        <f>ROUND(SUM(C20:C25),1)</f>
        <v>9122</v>
      </c>
      <c r="D26" s="941"/>
      <c r="E26" s="215">
        <f>ROUND(SUM(E20:E25),1)</f>
        <v>9011</v>
      </c>
      <c r="F26" s="941"/>
      <c r="G26" s="215">
        <f>ROUND(SUM(G20:G25),1)</f>
        <v>8985.2999999999993</v>
      </c>
      <c r="H26" s="941"/>
      <c r="I26" s="1589">
        <f>ROUND(SUM(I20:I25),1)</f>
        <v>-136.69999999999999</v>
      </c>
      <c r="J26" s="76"/>
      <c r="K26" s="1589">
        <f>ROUND(SUM(K20:K25),1)</f>
        <v>-25.7</v>
      </c>
      <c r="L26" s="76"/>
      <c r="M26" s="1229"/>
      <c r="N26" s="215">
        <f>ROUND(SUM(N20:N25),1)</f>
        <v>21917</v>
      </c>
      <c r="O26" s="941"/>
      <c r="P26" s="215">
        <f>ROUND(SUM(P20:P25),1)</f>
        <v>19894</v>
      </c>
      <c r="Q26" s="941"/>
      <c r="R26" s="296">
        <f>ROUND(SUM(R20:R25),1)</f>
        <v>19902.2</v>
      </c>
      <c r="S26" s="941"/>
      <c r="T26" s="296">
        <f>ROUND(SUM(T20:T25),1)</f>
        <v>-2014.8</v>
      </c>
      <c r="U26" s="151"/>
      <c r="V26" s="1589">
        <f>ROUND(SUM(V20:V25),1)</f>
        <v>8.1999999999999993</v>
      </c>
      <c r="W26" s="76"/>
      <c r="X26" s="76"/>
      <c r="Y26" s="76"/>
      <c r="Z26" s="76"/>
      <c r="AA26" s="76"/>
      <c r="AB26" s="76"/>
      <c r="AC26" s="76"/>
      <c r="AD26" s="76"/>
      <c r="AE26" s="151"/>
      <c r="AF26" s="151"/>
      <c r="AG26" s="151"/>
      <c r="AH26" s="151"/>
      <c r="AI26" s="151"/>
      <c r="AJ26" s="151"/>
      <c r="AK26" s="151"/>
      <c r="AL26" s="151"/>
      <c r="AM26" s="151"/>
      <c r="AN26" s="151"/>
      <c r="AO26" s="151"/>
      <c r="AP26" s="151"/>
      <c r="AQ26" s="151"/>
      <c r="AR26" s="950"/>
      <c r="AS26" s="950"/>
      <c r="AT26" s="950"/>
      <c r="AU26" s="950"/>
      <c r="AV26" s="950"/>
      <c r="AW26" s="950"/>
    </row>
    <row r="27" spans="1:49">
      <c r="A27" s="706"/>
      <c r="B27" s="943"/>
      <c r="C27" s="704"/>
      <c r="D27" s="656"/>
      <c r="E27" s="704"/>
      <c r="F27" s="656"/>
      <c r="G27" s="704"/>
      <c r="H27" s="656"/>
      <c r="I27" s="962"/>
      <c r="J27" s="962"/>
      <c r="K27" s="962"/>
      <c r="L27" s="962"/>
      <c r="M27" s="1229"/>
      <c r="N27" s="704"/>
      <c r="O27" s="1578"/>
      <c r="P27" s="704"/>
      <c r="Q27" s="656"/>
      <c r="R27" s="704"/>
      <c r="S27" s="656"/>
      <c r="T27" s="962"/>
      <c r="U27" s="943"/>
      <c r="V27" s="962"/>
      <c r="W27" s="962"/>
      <c r="X27" s="962"/>
      <c r="Y27" s="962"/>
      <c r="Z27" s="962"/>
      <c r="AA27" s="962"/>
      <c r="AB27" s="962"/>
      <c r="AC27" s="962"/>
      <c r="AD27" s="962"/>
      <c r="AE27" s="943"/>
      <c r="AF27" s="943"/>
      <c r="AG27" s="943"/>
      <c r="AH27" s="943"/>
      <c r="AI27" s="943"/>
      <c r="AJ27" s="943"/>
      <c r="AK27" s="943"/>
      <c r="AL27" s="943"/>
      <c r="AM27" s="943"/>
      <c r="AN27" s="943"/>
      <c r="AO27" s="943"/>
      <c r="AP27" s="943"/>
      <c r="AQ27" s="943"/>
      <c r="AR27" s="950"/>
      <c r="AS27" s="950"/>
      <c r="AT27" s="950"/>
      <c r="AU27" s="950"/>
      <c r="AV27" s="950"/>
      <c r="AW27" s="950"/>
    </row>
    <row r="28" spans="1:49" ht="15.75">
      <c r="A28" s="29" t="s">
        <v>23</v>
      </c>
      <c r="B28" s="943"/>
      <c r="C28" s="656"/>
      <c r="D28" s="656"/>
      <c r="E28" s="1578"/>
      <c r="F28" s="656"/>
      <c r="G28" s="656"/>
      <c r="H28" s="656"/>
      <c r="I28" s="962"/>
      <c r="J28" s="962"/>
      <c r="K28" s="962"/>
      <c r="L28" s="962"/>
      <c r="M28" s="1229"/>
      <c r="N28" s="1578"/>
      <c r="O28" s="1578"/>
      <c r="P28" s="1578"/>
      <c r="Q28" s="656"/>
      <c r="R28" s="656"/>
      <c r="S28" s="656"/>
      <c r="T28" s="656"/>
      <c r="U28" s="943"/>
      <c r="V28" s="962"/>
      <c r="W28" s="962"/>
      <c r="X28" s="962"/>
      <c r="Y28" s="962"/>
      <c r="Z28" s="962"/>
      <c r="AA28" s="962"/>
      <c r="AB28" s="962"/>
      <c r="AC28" s="962"/>
      <c r="AD28" s="962"/>
      <c r="AE28" s="943"/>
      <c r="AF28" s="943"/>
      <c r="AG28" s="943"/>
      <c r="AH28" s="943"/>
      <c r="AI28" s="943"/>
      <c r="AJ28" s="943"/>
      <c r="AK28" s="943"/>
      <c r="AL28" s="943"/>
      <c r="AM28" s="943"/>
      <c r="AN28" s="943"/>
      <c r="AO28" s="943"/>
      <c r="AP28" s="943"/>
      <c r="AQ28" s="943"/>
      <c r="AR28" s="950"/>
      <c r="AS28" s="950"/>
      <c r="AT28" s="950"/>
      <c r="AU28" s="950"/>
      <c r="AV28" s="950"/>
      <c r="AW28" s="950"/>
    </row>
    <row r="29" spans="1:49">
      <c r="A29" s="838" t="s">
        <v>94</v>
      </c>
      <c r="B29" s="964" t="s">
        <v>15</v>
      </c>
      <c r="C29" s="1144">
        <v>3740</v>
      </c>
      <c r="D29" s="1578"/>
      <c r="E29" s="1144">
        <v>3574</v>
      </c>
      <c r="F29" s="656"/>
      <c r="G29" s="695">
        <f>'Exhibit G State'!AD98</f>
        <v>3574.8</v>
      </c>
      <c r="H29" s="656"/>
      <c r="I29" s="1578">
        <f t="shared" ref="I29:I33" si="4">ROUND(SUM(G29)-SUM(C29),1)</f>
        <v>-165.2</v>
      </c>
      <c r="J29" s="962"/>
      <c r="K29" s="962">
        <f>ROUND(SUM(G29)-SUM(E29),1)</f>
        <v>0.8</v>
      </c>
      <c r="L29" s="962"/>
      <c r="M29" s="1229"/>
      <c r="N29" s="1144">
        <v>18604</v>
      </c>
      <c r="O29" s="1578"/>
      <c r="P29" s="1144">
        <v>17833</v>
      </c>
      <c r="Q29" s="656"/>
      <c r="R29" s="695">
        <f>'Exhibit G Federal'!AD70</f>
        <v>17778.900000000001</v>
      </c>
      <c r="S29" s="656"/>
      <c r="T29" s="1578">
        <f t="shared" ref="T29:T33" si="5">ROUND(SUM(R29)-SUM(N29),1)</f>
        <v>-825.1</v>
      </c>
      <c r="U29" s="943"/>
      <c r="V29" s="962">
        <f>ROUND(SUM(R29)-SUM(P29),1)</f>
        <v>-54.1</v>
      </c>
      <c r="W29" s="962"/>
      <c r="X29" s="991"/>
      <c r="Y29" s="962"/>
      <c r="Z29" s="962"/>
      <c r="AA29" s="962"/>
      <c r="AB29" s="962"/>
      <c r="AC29" s="962"/>
      <c r="AD29" s="965"/>
      <c r="AE29" s="966"/>
      <c r="AF29" s="943"/>
      <c r="AG29" s="966"/>
      <c r="AH29" s="943"/>
      <c r="AI29" s="966"/>
      <c r="AJ29" s="967"/>
      <c r="AK29" s="943"/>
      <c r="AL29" s="943"/>
      <c r="AM29" s="943"/>
      <c r="AN29" s="943"/>
      <c r="AO29" s="943"/>
      <c r="AP29" s="943"/>
      <c r="AQ29" s="943"/>
      <c r="AR29" s="950"/>
      <c r="AS29" s="950"/>
      <c r="AT29" s="950"/>
      <c r="AU29" s="950"/>
      <c r="AV29" s="950"/>
      <c r="AW29" s="950"/>
    </row>
    <row r="30" spans="1:49">
      <c r="A30" s="838" t="s">
        <v>95</v>
      </c>
      <c r="B30" s="964" t="s">
        <v>15</v>
      </c>
      <c r="C30" s="1144">
        <v>2660</v>
      </c>
      <c r="D30" s="1578"/>
      <c r="E30" s="1144">
        <v>2742</v>
      </c>
      <c r="F30" s="656"/>
      <c r="G30" s="695">
        <f>'Exhibit G State'!AD100+'Exhibit G State'!AD101</f>
        <v>2743.9</v>
      </c>
      <c r="H30" s="656"/>
      <c r="I30" s="1578">
        <f t="shared" si="4"/>
        <v>83.9</v>
      </c>
      <c r="J30" s="962"/>
      <c r="K30" s="962">
        <f>ROUND(SUM(G30)-SUM(E30),1)</f>
        <v>1.9</v>
      </c>
      <c r="L30" s="962"/>
      <c r="M30" s="1229"/>
      <c r="N30" s="1144">
        <v>580</v>
      </c>
      <c r="O30" s="1578"/>
      <c r="P30" s="1144">
        <v>540</v>
      </c>
      <c r="Q30" s="656"/>
      <c r="R30" s="695">
        <f>'Exhibit G Federal'!AD72+'Exhibit G Federal'!AD73</f>
        <v>538.9</v>
      </c>
      <c r="S30" s="656"/>
      <c r="T30" s="1578">
        <f t="shared" si="5"/>
        <v>-41.1</v>
      </c>
      <c r="U30" s="943"/>
      <c r="V30" s="962">
        <f>ROUND(SUM(R30)-SUM(P30),1)</f>
        <v>-1.1000000000000001</v>
      </c>
      <c r="W30" s="962"/>
      <c r="X30" s="991"/>
      <c r="Y30" s="962"/>
      <c r="Z30" s="962"/>
      <c r="AA30" s="962"/>
      <c r="AB30" s="962"/>
      <c r="AC30" s="962"/>
      <c r="AD30" s="963"/>
      <c r="AE30" s="964"/>
      <c r="AF30" s="943"/>
      <c r="AG30" s="964"/>
      <c r="AH30" s="943"/>
      <c r="AI30" s="966"/>
      <c r="AJ30" s="943"/>
      <c r="AK30" s="943"/>
      <c r="AL30" s="966"/>
      <c r="AM30" s="966"/>
      <c r="AN30" s="943"/>
      <c r="AO30" s="966"/>
      <c r="AP30" s="943"/>
      <c r="AQ30" s="966"/>
      <c r="AR30" s="950"/>
      <c r="AS30" s="950"/>
      <c r="AT30" s="950"/>
      <c r="AU30" s="950"/>
      <c r="AV30" s="950"/>
      <c r="AW30" s="950"/>
    </row>
    <row r="31" spans="1:49">
      <c r="A31" s="838" t="s">
        <v>70</v>
      </c>
      <c r="B31" s="964" t="s">
        <v>15</v>
      </c>
      <c r="C31" s="1144">
        <v>299</v>
      </c>
      <c r="D31" s="1578"/>
      <c r="E31" s="1144">
        <v>278</v>
      </c>
      <c r="F31" s="656"/>
      <c r="G31" s="695">
        <f>'Exhibit G State'!AD102</f>
        <v>285.5</v>
      </c>
      <c r="H31" s="656"/>
      <c r="I31" s="1578">
        <f t="shared" si="4"/>
        <v>-13.5</v>
      </c>
      <c r="J31" s="962"/>
      <c r="K31" s="962">
        <f>ROUND(SUM(G31)-SUM(E31),1)</f>
        <v>7.5</v>
      </c>
      <c r="L31" s="962"/>
      <c r="M31" s="1229"/>
      <c r="N31" s="1144">
        <v>107</v>
      </c>
      <c r="O31" s="1578"/>
      <c r="P31" s="1144">
        <v>113</v>
      </c>
      <c r="Q31" s="656"/>
      <c r="R31" s="695">
        <f>'Exhibit G Federal'!AD74</f>
        <v>115.1</v>
      </c>
      <c r="S31" s="656"/>
      <c r="T31" s="1578">
        <f t="shared" si="5"/>
        <v>8.1</v>
      </c>
      <c r="U31" s="943"/>
      <c r="V31" s="962">
        <f>ROUND(SUM(R31)-SUM(P31),1)</f>
        <v>2.1</v>
      </c>
      <c r="W31" s="962"/>
      <c r="X31" s="991"/>
      <c r="Y31" s="962"/>
      <c r="Z31" s="962"/>
      <c r="AA31" s="962"/>
      <c r="AB31" s="962"/>
      <c r="AC31" s="962"/>
      <c r="AD31" s="965"/>
      <c r="AE31" s="966"/>
      <c r="AF31" s="943"/>
      <c r="AG31" s="966"/>
      <c r="AH31" s="943"/>
      <c r="AI31" s="966"/>
      <c r="AJ31" s="967"/>
      <c r="AK31" s="943"/>
      <c r="AL31" s="966"/>
      <c r="AM31" s="966"/>
      <c r="AN31" s="943"/>
      <c r="AO31" s="966"/>
      <c r="AP31" s="943"/>
      <c r="AQ31" s="966"/>
      <c r="AR31" s="950"/>
      <c r="AS31" s="950"/>
      <c r="AT31" s="950"/>
      <c r="AU31" s="950"/>
      <c r="AV31" s="950"/>
      <c r="AW31" s="950"/>
    </row>
    <row r="32" spans="1:49">
      <c r="A32" s="838" t="s">
        <v>42</v>
      </c>
      <c r="B32" s="967" t="s">
        <v>15</v>
      </c>
      <c r="C32" s="1144">
        <v>0</v>
      </c>
      <c r="D32" s="1578"/>
      <c r="E32" s="1144">
        <v>0</v>
      </c>
      <c r="F32" s="656"/>
      <c r="G32" s="672">
        <f>'Exhibit G State'!AD103</f>
        <v>0.1</v>
      </c>
      <c r="H32" s="656"/>
      <c r="I32" s="1578">
        <f t="shared" si="4"/>
        <v>0.1</v>
      </c>
      <c r="J32" s="962"/>
      <c r="K32" s="962">
        <f>ROUND(SUM(G32)-SUM(E32),1)</f>
        <v>0.1</v>
      </c>
      <c r="L32" s="962"/>
      <c r="M32" s="1230"/>
      <c r="N32" s="1144">
        <v>0</v>
      </c>
      <c r="O32" s="1578"/>
      <c r="P32" s="1144">
        <v>0</v>
      </c>
      <c r="Q32" s="656"/>
      <c r="R32" s="672">
        <v>0</v>
      </c>
      <c r="S32" s="656"/>
      <c r="T32" s="1578">
        <f t="shared" si="5"/>
        <v>0</v>
      </c>
      <c r="U32" s="967"/>
      <c r="V32" s="962">
        <f>ROUND(SUM(R32)-SUM(P32),1)</f>
        <v>0</v>
      </c>
      <c r="W32" s="962"/>
      <c r="X32" s="991"/>
      <c r="Y32" s="962"/>
      <c r="Z32" s="962"/>
      <c r="AA32" s="962"/>
      <c r="AB32" s="962"/>
      <c r="AC32" s="962"/>
      <c r="AD32" s="965"/>
      <c r="AE32" s="966"/>
      <c r="AF32" s="943"/>
      <c r="AG32" s="966"/>
      <c r="AH32" s="943"/>
      <c r="AI32" s="966"/>
      <c r="AJ32" s="967"/>
      <c r="AK32" s="943"/>
      <c r="AL32" s="943"/>
      <c r="AM32" s="943"/>
      <c r="AN32" s="943"/>
      <c r="AO32" s="943"/>
      <c r="AP32" s="943"/>
      <c r="AQ32" s="943"/>
      <c r="AR32" s="950"/>
      <c r="AS32" s="950"/>
      <c r="AT32" s="950"/>
      <c r="AU32" s="950"/>
      <c r="AV32" s="950"/>
      <c r="AW32" s="950"/>
    </row>
    <row r="33" spans="1:49">
      <c r="A33" s="838" t="s">
        <v>99</v>
      </c>
      <c r="B33" s="967" t="s">
        <v>15</v>
      </c>
      <c r="C33" s="1144">
        <v>128</v>
      </c>
      <c r="D33" s="1578"/>
      <c r="E33" s="1144">
        <v>192</v>
      </c>
      <c r="F33" s="656"/>
      <c r="G33" s="702">
        <f>-'Exhibit G State'!AD112</f>
        <v>194.7</v>
      </c>
      <c r="H33" s="656"/>
      <c r="I33" s="1578">
        <f t="shared" si="4"/>
        <v>66.7</v>
      </c>
      <c r="J33" s="962"/>
      <c r="K33" s="962">
        <f>ROUND(SUM(G33)-SUM(E33),1)</f>
        <v>2.7</v>
      </c>
      <c r="L33" s="962"/>
      <c r="M33" s="1230"/>
      <c r="N33" s="1144">
        <v>701</v>
      </c>
      <c r="O33" s="1578"/>
      <c r="P33" s="1144">
        <v>663</v>
      </c>
      <c r="Q33" s="656"/>
      <c r="R33" s="702">
        <f>-'Exhibit G Federal'!AD84</f>
        <v>617.4</v>
      </c>
      <c r="S33" s="656"/>
      <c r="T33" s="1578">
        <f t="shared" si="5"/>
        <v>-83.6</v>
      </c>
      <c r="U33" s="967"/>
      <c r="V33" s="962">
        <f>ROUND(SUM(R33)-SUM(P33),1)</f>
        <v>-45.6</v>
      </c>
      <c r="W33" s="962"/>
      <c r="X33" s="991"/>
      <c r="Y33" s="962"/>
      <c r="Z33" s="963"/>
      <c r="AA33" s="962"/>
      <c r="AB33" s="962"/>
      <c r="AC33" s="962"/>
      <c r="AD33" s="965"/>
      <c r="AE33" s="966"/>
      <c r="AF33" s="943"/>
      <c r="AG33" s="966"/>
      <c r="AH33" s="943"/>
      <c r="AI33" s="966"/>
      <c r="AJ33" s="967"/>
      <c r="AK33" s="943"/>
      <c r="AL33" s="943"/>
      <c r="AM33" s="943"/>
      <c r="AN33" s="943"/>
      <c r="AO33" s="943"/>
      <c r="AP33" s="943"/>
      <c r="AQ33" s="943"/>
      <c r="AR33" s="950"/>
      <c r="AS33" s="950"/>
      <c r="AT33" s="950"/>
      <c r="AU33" s="950"/>
      <c r="AV33" s="950"/>
      <c r="AW33" s="950"/>
    </row>
    <row r="34" spans="1:49" ht="18" customHeight="1">
      <c r="A34" s="173" t="s">
        <v>118</v>
      </c>
      <c r="B34" s="151" t="s">
        <v>15</v>
      </c>
      <c r="C34" s="296">
        <f>ROUND(SUM(C29:C33),1)</f>
        <v>6827</v>
      </c>
      <c r="D34" s="941"/>
      <c r="E34" s="296">
        <f>ROUND(SUM(E29:E33),1)</f>
        <v>6786</v>
      </c>
      <c r="F34" s="941"/>
      <c r="G34" s="296">
        <f>ROUND(SUM(G29:G33),1)</f>
        <v>6799</v>
      </c>
      <c r="H34" s="941"/>
      <c r="I34" s="296">
        <f>ROUND(SUM(I29:I33),1)</f>
        <v>-28</v>
      </c>
      <c r="J34" s="76"/>
      <c r="K34" s="296">
        <f>ROUND(SUM(K29:K33),1)</f>
        <v>13</v>
      </c>
      <c r="L34" s="76"/>
      <c r="M34" s="1233"/>
      <c r="N34" s="296">
        <f>ROUND(SUM(N29:N33),1)</f>
        <v>19992</v>
      </c>
      <c r="O34" s="941"/>
      <c r="P34" s="296">
        <f>ROUND(SUM(P29:P33),1)</f>
        <v>19149</v>
      </c>
      <c r="Q34" s="941"/>
      <c r="R34" s="296">
        <f>ROUND(SUM(R29:R33),1)</f>
        <v>19050.3</v>
      </c>
      <c r="S34" s="941"/>
      <c r="T34" s="296">
        <f>ROUND(SUM(T29:T33),1)</f>
        <v>-941.7</v>
      </c>
      <c r="U34" s="151"/>
      <c r="V34" s="296">
        <f>ROUND(SUM(V29:V33),1)</f>
        <v>-98.7</v>
      </c>
      <c r="W34" s="76"/>
      <c r="X34" s="76"/>
      <c r="Y34" s="76"/>
      <c r="Z34" s="76"/>
      <c r="AA34" s="76"/>
      <c r="AB34" s="76"/>
      <c r="AC34" s="76"/>
      <c r="AD34" s="76"/>
      <c r="AE34" s="151"/>
      <c r="AF34" s="151"/>
      <c r="AG34" s="151"/>
      <c r="AH34" s="151"/>
      <c r="AI34" s="151"/>
      <c r="AJ34" s="151"/>
      <c r="AK34" s="151"/>
      <c r="AL34" s="151"/>
      <c r="AM34" s="151"/>
      <c r="AN34" s="151"/>
      <c r="AO34" s="151"/>
      <c r="AP34" s="151"/>
      <c r="AQ34" s="151"/>
      <c r="AR34" s="950"/>
      <c r="AS34" s="950"/>
      <c r="AT34" s="950"/>
      <c r="AU34" s="950"/>
      <c r="AV34" s="950"/>
      <c r="AW34" s="950"/>
    </row>
    <row r="35" spans="1:49">
      <c r="A35" s="706"/>
      <c r="B35" s="943"/>
      <c r="C35" s="704"/>
      <c r="D35" s="656"/>
      <c r="E35" s="704"/>
      <c r="F35" s="656"/>
      <c r="G35" s="704"/>
      <c r="H35" s="656"/>
      <c r="I35" s="962"/>
      <c r="J35" s="962"/>
      <c r="K35" s="962"/>
      <c r="L35" s="962"/>
      <c r="M35" s="1229"/>
      <c r="N35" s="704"/>
      <c r="O35" s="1578"/>
      <c r="P35" s="704"/>
      <c r="Q35" s="656"/>
      <c r="R35" s="704"/>
      <c r="S35" s="656"/>
      <c r="T35" s="962"/>
      <c r="U35" s="943"/>
      <c r="V35" s="962"/>
      <c r="W35" s="962"/>
      <c r="X35" s="962"/>
      <c r="Y35" s="962"/>
      <c r="Z35" s="962"/>
      <c r="AA35" s="962"/>
      <c r="AB35" s="962"/>
      <c r="AC35" s="962"/>
      <c r="AD35" s="962"/>
      <c r="AE35" s="943"/>
      <c r="AF35" s="943"/>
      <c r="AG35" s="943"/>
      <c r="AH35" s="943"/>
      <c r="AI35" s="943"/>
      <c r="AJ35" s="943"/>
      <c r="AK35" s="943"/>
      <c r="AL35" s="943"/>
      <c r="AM35" s="943"/>
      <c r="AN35" s="943"/>
      <c r="AO35" s="943"/>
      <c r="AP35" s="943"/>
      <c r="AQ35" s="943"/>
      <c r="AR35" s="950"/>
      <c r="AS35" s="950"/>
      <c r="AT35" s="950"/>
      <c r="AU35" s="950"/>
      <c r="AV35" s="950"/>
      <c r="AW35" s="950"/>
    </row>
    <row r="36" spans="1:49" ht="15.75">
      <c r="A36" s="29" t="s">
        <v>119</v>
      </c>
      <c r="B36" s="943"/>
      <c r="C36" s="656"/>
      <c r="D36" s="656"/>
      <c r="E36" s="1578"/>
      <c r="F36" s="656"/>
      <c r="G36" s="656"/>
      <c r="H36" s="656"/>
      <c r="I36" s="962"/>
      <c r="J36" s="962"/>
      <c r="K36" s="962"/>
      <c r="L36" s="962"/>
      <c r="M36" s="1229"/>
      <c r="N36" s="1578"/>
      <c r="O36" s="1578"/>
      <c r="P36" s="1578"/>
      <c r="Q36" s="656"/>
      <c r="R36" s="656"/>
      <c r="S36" s="656"/>
      <c r="T36" s="656"/>
      <c r="U36" s="943"/>
      <c r="V36" s="962"/>
      <c r="W36" s="962"/>
      <c r="X36" s="962"/>
      <c r="Y36" s="962"/>
      <c r="Z36" s="962"/>
      <c r="AA36" s="962"/>
      <c r="AB36" s="962"/>
      <c r="AC36" s="962"/>
      <c r="AD36" s="962"/>
      <c r="AE36" s="943"/>
      <c r="AF36" s="943"/>
      <c r="AG36" s="943"/>
      <c r="AH36" s="943"/>
      <c r="AI36" s="943"/>
      <c r="AJ36" s="943"/>
      <c r="AK36" s="943"/>
      <c r="AL36" s="943"/>
      <c r="AM36" s="943"/>
      <c r="AN36" s="943"/>
      <c r="AO36" s="943"/>
      <c r="AP36" s="943"/>
      <c r="AQ36" s="943"/>
      <c r="AR36" s="950"/>
      <c r="AS36" s="950"/>
      <c r="AT36" s="950"/>
      <c r="AU36" s="950"/>
      <c r="AV36" s="950"/>
      <c r="AW36" s="950"/>
    </row>
    <row r="37" spans="1:49" ht="15.75">
      <c r="A37" s="29" t="s">
        <v>120</v>
      </c>
      <c r="B37" s="943"/>
      <c r="C37" s="656"/>
      <c r="D37" s="656"/>
      <c r="E37" s="1578"/>
      <c r="F37" s="656"/>
      <c r="G37" s="656"/>
      <c r="H37" s="656"/>
      <c r="I37" s="962"/>
      <c r="J37" s="962"/>
      <c r="K37" s="962"/>
      <c r="L37" s="962"/>
      <c r="M37" s="1229"/>
      <c r="N37" s="1578"/>
      <c r="O37" s="1578"/>
      <c r="P37" s="1578"/>
      <c r="Q37" s="656"/>
      <c r="R37" s="656"/>
      <c r="S37" s="656"/>
      <c r="T37" s="656"/>
      <c r="U37" s="943"/>
      <c r="V37" s="962"/>
      <c r="W37" s="962"/>
      <c r="X37" s="962"/>
      <c r="Y37" s="962"/>
      <c r="Z37" s="962"/>
      <c r="AA37" s="962"/>
      <c r="AB37" s="962"/>
      <c r="AC37" s="962"/>
      <c r="AD37" s="962"/>
      <c r="AE37" s="943"/>
      <c r="AF37" s="943"/>
      <c r="AG37" s="943"/>
      <c r="AH37" s="943"/>
      <c r="AI37" s="943"/>
      <c r="AJ37" s="943"/>
      <c r="AK37" s="943"/>
      <c r="AL37" s="943"/>
      <c r="AM37" s="943"/>
      <c r="AN37" s="943"/>
      <c r="AO37" s="943"/>
      <c r="AP37" s="943"/>
      <c r="AQ37" s="943"/>
      <c r="AR37" s="950"/>
      <c r="AS37" s="950"/>
      <c r="AT37" s="950"/>
      <c r="AU37" s="950"/>
      <c r="AV37" s="950"/>
      <c r="AW37" s="950"/>
    </row>
    <row r="38" spans="1:49" ht="15.75">
      <c r="A38" s="173" t="s">
        <v>103</v>
      </c>
      <c r="B38" s="940" t="s">
        <v>15</v>
      </c>
      <c r="C38" s="76">
        <f>ROUND(SUM(C26)-SUM(C34),1)</f>
        <v>2295</v>
      </c>
      <c r="D38" s="84"/>
      <c r="E38" s="1579">
        <f>ROUND(SUM(E26)-SUM(E34),1)</f>
        <v>2225</v>
      </c>
      <c r="F38" s="84"/>
      <c r="G38" s="76">
        <f>ROUND(SUM(G26)-SUM(G34),1)</f>
        <v>2186.3000000000002</v>
      </c>
      <c r="H38" s="84"/>
      <c r="I38" s="76">
        <f>ROUND(SUM(I26)-SUM(I34),1)</f>
        <v>-108.7</v>
      </c>
      <c r="J38" s="76"/>
      <c r="K38" s="1579">
        <f>ROUND(SUM(K26)-SUM(K34),1)</f>
        <v>-38.700000000000003</v>
      </c>
      <c r="L38" s="76"/>
      <c r="M38" s="1231"/>
      <c r="N38" s="1579">
        <f>ROUND(SUM(N26)-SUM(N34),1)</f>
        <v>1925</v>
      </c>
      <c r="O38" s="84"/>
      <c r="P38" s="1579">
        <f>ROUND(SUM(P26)-SUM(P34),1)</f>
        <v>745</v>
      </c>
      <c r="Q38" s="84"/>
      <c r="R38" s="76">
        <f>ROUND(SUM(R26)-SUM(R34),1)</f>
        <v>851.9</v>
      </c>
      <c r="S38" s="84"/>
      <c r="T38" s="76">
        <f>ROUND(SUM(T26)-SUM(T34),1)</f>
        <v>-1073.0999999999999</v>
      </c>
      <c r="U38" s="151"/>
      <c r="V38" s="1579">
        <f>ROUND(SUM(V26)-SUM(V34),1)</f>
        <v>106.9</v>
      </c>
      <c r="W38" s="399"/>
      <c r="X38" s="76"/>
      <c r="Y38" s="399"/>
      <c r="Z38" s="76"/>
      <c r="AA38" s="399"/>
      <c r="AB38" s="76"/>
      <c r="AC38" s="399"/>
      <c r="AD38" s="76"/>
      <c r="AE38" s="151"/>
      <c r="AF38" s="174"/>
      <c r="AG38" s="151"/>
      <c r="AH38" s="174"/>
      <c r="AI38" s="151"/>
      <c r="AJ38" s="151"/>
      <c r="AK38" s="174"/>
      <c r="AL38" s="151"/>
      <c r="AM38" s="151"/>
      <c r="AN38" s="174"/>
      <c r="AO38" s="151"/>
      <c r="AP38" s="174"/>
      <c r="AQ38" s="151"/>
      <c r="AR38" s="950"/>
      <c r="AS38" s="950"/>
      <c r="AT38" s="950"/>
      <c r="AU38" s="950"/>
      <c r="AV38" s="950"/>
      <c r="AW38" s="950"/>
    </row>
    <row r="39" spans="1:49" ht="15" customHeight="1">
      <c r="C39" s="684"/>
      <c r="D39" s="951"/>
      <c r="E39" s="684"/>
      <c r="F39" s="951"/>
      <c r="G39" s="684"/>
      <c r="H39" s="951"/>
      <c r="I39" s="76"/>
      <c r="J39" s="76"/>
      <c r="K39" s="1579"/>
      <c r="L39" s="76"/>
      <c r="M39" s="1231"/>
      <c r="N39" s="684"/>
      <c r="O39" s="951"/>
      <c r="P39" s="684"/>
      <c r="Q39" s="951"/>
      <c r="R39" s="684"/>
      <c r="S39" s="951"/>
      <c r="T39" s="76"/>
      <c r="U39" s="151"/>
      <c r="V39" s="1579"/>
      <c r="W39" s="684"/>
      <c r="X39" s="684"/>
      <c r="Y39" s="684"/>
      <c r="Z39" s="684"/>
      <c r="AA39" s="684"/>
      <c r="AB39" s="684"/>
      <c r="AC39" s="684"/>
      <c r="AD39" s="684"/>
      <c r="AR39" s="950"/>
      <c r="AS39" s="950"/>
      <c r="AT39" s="950"/>
      <c r="AU39" s="950"/>
      <c r="AV39" s="950"/>
      <c r="AW39" s="950"/>
    </row>
    <row r="40" spans="1:49" ht="15.75">
      <c r="A40" s="173" t="str">
        <f>+'Exh D-Governmental  '!A49</f>
        <v>Fund Balances (Deficits) at April 1</v>
      </c>
      <c r="B40" s="635" t="s">
        <v>15</v>
      </c>
      <c r="C40" s="115">
        <v>5091</v>
      </c>
      <c r="D40" s="1712"/>
      <c r="E40" s="115">
        <v>5091</v>
      </c>
      <c r="F40" s="951"/>
      <c r="G40" s="115">
        <f>'Exhibit G State'!D13</f>
        <v>5090.8</v>
      </c>
      <c r="H40" s="1712"/>
      <c r="I40" s="941">
        <f>ROUND(SUM(G40)-SUM(C40),1)</f>
        <v>-0.2</v>
      </c>
      <c r="J40" s="81"/>
      <c r="K40" s="3780">
        <f>ROUND(SUM(G40)-SUM(E40),1)</f>
        <v>-0.2</v>
      </c>
      <c r="L40" s="81"/>
      <c r="M40" s="1231"/>
      <c r="N40" s="115">
        <v>-1249</v>
      </c>
      <c r="O40" s="1712"/>
      <c r="P40" s="115">
        <v>-1249</v>
      </c>
      <c r="Q40" s="951"/>
      <c r="R40" s="115">
        <f>'Exhibit G Federal'!D13</f>
        <v>-1248.3999999999999</v>
      </c>
      <c r="S40" s="1712"/>
      <c r="T40" s="941">
        <f>ROUND(SUM(R40)-SUM(N40),1)</f>
        <v>0.6</v>
      </c>
      <c r="U40" s="151"/>
      <c r="V40" s="3780">
        <f>ROUND(SUM(R40)-SUM(P40),1)</f>
        <v>0.6</v>
      </c>
      <c r="W40" s="684"/>
      <c r="X40" s="76"/>
      <c r="Y40" s="684"/>
      <c r="Z40" s="76"/>
      <c r="AA40" s="684"/>
      <c r="AB40" s="81"/>
      <c r="AC40" s="684"/>
      <c r="AD40" s="684"/>
      <c r="AR40" s="950"/>
      <c r="AS40" s="950"/>
      <c r="AT40" s="950"/>
      <c r="AU40" s="950"/>
      <c r="AV40" s="950"/>
      <c r="AW40" s="950"/>
    </row>
    <row r="41" spans="1:49" ht="18" customHeight="1" thickBot="1">
      <c r="A41" s="1385" t="str">
        <f>+'Exh D-Governmental  '!A50</f>
        <v>Fund Balances (Deficits) at July 31, 2019</v>
      </c>
      <c r="B41" s="180" t="s">
        <v>15</v>
      </c>
      <c r="C41" s="98">
        <f>ROUND(SUM(C38:C40),1)</f>
        <v>7386</v>
      </c>
      <c r="D41" s="181"/>
      <c r="E41" s="98">
        <f>ROUND(SUM(E38:E40),1)</f>
        <v>7316</v>
      </c>
      <c r="F41" s="181"/>
      <c r="G41" s="98">
        <f>ROUND(SUM(G38:G40),1)</f>
        <v>7277.1</v>
      </c>
      <c r="H41" s="181"/>
      <c r="I41" s="98">
        <f>ROUND(SUM(I38:I40),1)</f>
        <v>-108.9</v>
      </c>
      <c r="J41" s="219"/>
      <c r="K41" s="98">
        <f>ROUND(SUM(K38:K40),1)</f>
        <v>-38.9</v>
      </c>
      <c r="L41" s="219"/>
      <c r="M41" s="1232"/>
      <c r="N41" s="98">
        <f>ROUND(SUM(N38:N40),1)</f>
        <v>676</v>
      </c>
      <c r="O41" s="181"/>
      <c r="P41" s="98">
        <f>ROUND(SUM(P38:P40),1)</f>
        <v>-504</v>
      </c>
      <c r="Q41" s="181"/>
      <c r="R41" s="98">
        <f>ROUND(SUM(R38:R40),1)</f>
        <v>-396.5</v>
      </c>
      <c r="S41" s="181"/>
      <c r="T41" s="98">
        <f>ROUND(SUM(T38:T40),1)</f>
        <v>-1072.5</v>
      </c>
      <c r="U41" s="151"/>
      <c r="V41" s="98">
        <f>ROUND(SUM(V38:V40),1)</f>
        <v>107.5</v>
      </c>
      <c r="W41" s="994"/>
      <c r="X41" s="219"/>
      <c r="Y41" s="994"/>
      <c r="Z41" s="219"/>
      <c r="AA41" s="994"/>
      <c r="AB41" s="219"/>
      <c r="AR41" s="950"/>
      <c r="AS41" s="950"/>
      <c r="AT41" s="950"/>
      <c r="AU41" s="950"/>
      <c r="AV41" s="950"/>
      <c r="AW41" s="950"/>
    </row>
    <row r="42" spans="1:49" ht="15" customHeight="1" thickTop="1">
      <c r="A42" s="155"/>
      <c r="G42" s="635"/>
      <c r="J42" s="635"/>
      <c r="V42" s="635"/>
      <c r="W42" s="995"/>
      <c r="X42" s="705"/>
      <c r="Y42" s="995"/>
      <c r="Z42" s="995"/>
      <c r="AA42" s="995"/>
      <c r="AB42" s="995"/>
      <c r="AR42" s="950"/>
      <c r="AS42" s="950"/>
      <c r="AT42" s="950"/>
      <c r="AU42" s="950"/>
      <c r="AV42" s="950"/>
      <c r="AW42" s="950"/>
    </row>
    <row r="43" spans="1:49">
      <c r="A43" s="955" t="str">
        <f>'Exh D-Governmental  '!A52</f>
        <v>(*)    Source: 2019-20 Enacted Financial Plan dated May 13, 2019.</v>
      </c>
      <c r="AR43" s="950"/>
      <c r="AS43" s="950"/>
      <c r="AT43" s="950"/>
      <c r="AU43" s="950"/>
      <c r="AV43" s="950"/>
      <c r="AW43" s="950"/>
    </row>
    <row r="44" spans="1:49">
      <c r="A44" s="658" t="str">
        <f>'Exh D Special Revenue'!A44</f>
        <v>(**)   Source: 2019-20 First Quarter Update dated August 13, 2019.</v>
      </c>
      <c r="B44" s="950"/>
      <c r="C44" s="950"/>
      <c r="D44" s="950"/>
      <c r="E44" s="950"/>
      <c r="F44" s="950"/>
      <c r="G44" s="950"/>
      <c r="H44" s="950"/>
      <c r="I44" s="950"/>
      <c r="J44" s="950"/>
      <c r="K44" s="950"/>
      <c r="L44" s="707"/>
      <c r="M44" s="707"/>
      <c r="N44" s="950"/>
      <c r="O44" s="950"/>
      <c r="P44" s="950"/>
      <c r="Q44" s="950"/>
      <c r="R44" s="950"/>
      <c r="S44" s="950"/>
      <c r="T44" s="950"/>
      <c r="U44" s="950"/>
      <c r="V44" s="707"/>
      <c r="W44" s="707"/>
      <c r="X44" s="707"/>
      <c r="Y44" s="707"/>
      <c r="Z44" s="707"/>
      <c r="AA44" s="707"/>
      <c r="AB44" s="707"/>
      <c r="AC44" s="950"/>
      <c r="AD44" s="950"/>
      <c r="AE44" s="950"/>
      <c r="AF44" s="950"/>
      <c r="AG44" s="950"/>
      <c r="AH44" s="950"/>
      <c r="AI44" s="950"/>
      <c r="AJ44" s="950"/>
      <c r="AK44" s="950"/>
      <c r="AL44" s="950"/>
      <c r="AM44" s="950"/>
      <c r="AN44" s="950"/>
      <c r="AO44" s="950"/>
      <c r="AP44" s="950"/>
      <c r="AQ44" s="950"/>
      <c r="AR44" s="950"/>
      <c r="AS44" s="950"/>
      <c r="AT44" s="950"/>
      <c r="AU44" s="950"/>
      <c r="AV44" s="950"/>
      <c r="AW44" s="950"/>
    </row>
    <row r="45" spans="1:49">
      <c r="A45" s="1542"/>
      <c r="B45" s="950"/>
      <c r="C45" s="968"/>
      <c r="D45" s="950"/>
      <c r="E45" s="950"/>
      <c r="F45" s="950"/>
      <c r="G45" s="950"/>
      <c r="H45" s="950"/>
      <c r="I45" s="950"/>
      <c r="J45" s="950"/>
      <c r="K45" s="950"/>
      <c r="L45" s="707"/>
      <c r="M45" s="707"/>
      <c r="N45" s="950"/>
      <c r="O45" s="950"/>
      <c r="P45" s="950"/>
      <c r="Q45" s="950"/>
      <c r="R45" s="950"/>
      <c r="S45" s="950"/>
      <c r="T45" s="950"/>
      <c r="U45" s="950"/>
      <c r="V45" s="707"/>
      <c r="W45" s="707"/>
      <c r="X45" s="707"/>
      <c r="Y45" s="707"/>
      <c r="Z45" s="707"/>
      <c r="AA45" s="707"/>
      <c r="AB45" s="707"/>
      <c r="AC45" s="950"/>
      <c r="AD45" s="950"/>
      <c r="AE45" s="950"/>
      <c r="AF45" s="950"/>
      <c r="AG45" s="950"/>
      <c r="AH45" s="950"/>
      <c r="AI45" s="950"/>
      <c r="AJ45" s="950"/>
      <c r="AK45" s="950"/>
      <c r="AL45" s="950"/>
      <c r="AM45" s="950"/>
      <c r="AN45" s="950"/>
      <c r="AO45" s="950"/>
      <c r="AP45" s="950"/>
      <c r="AQ45" s="950"/>
      <c r="AR45" s="950"/>
      <c r="AS45" s="950"/>
      <c r="AT45" s="950"/>
      <c r="AU45" s="950"/>
      <c r="AV45" s="950"/>
      <c r="AW45" s="950"/>
    </row>
    <row r="46" spans="1:49">
      <c r="A46" s="926"/>
    </row>
    <row r="47" spans="1:49">
      <c r="A47" s="204"/>
      <c r="B47" s="950"/>
      <c r="C47" s="950"/>
      <c r="D47" s="950"/>
      <c r="E47" s="950"/>
      <c r="F47" s="950"/>
      <c r="G47" s="950"/>
      <c r="H47" s="950"/>
      <c r="I47" s="950"/>
      <c r="J47" s="950"/>
      <c r="K47" s="950"/>
      <c r="L47" s="707"/>
      <c r="M47" s="707"/>
      <c r="N47" s="950"/>
      <c r="O47" s="950"/>
      <c r="P47" s="950"/>
      <c r="Q47" s="950"/>
      <c r="R47" s="950"/>
      <c r="S47" s="950"/>
      <c r="T47" s="950"/>
      <c r="U47" s="950"/>
      <c r="V47" s="707"/>
      <c r="W47" s="707"/>
      <c r="X47" s="707"/>
      <c r="Y47" s="707"/>
      <c r="Z47" s="707"/>
      <c r="AA47" s="707"/>
      <c r="AB47" s="707"/>
      <c r="AC47" s="950"/>
      <c r="AD47" s="950"/>
      <c r="AE47" s="950"/>
      <c r="AF47" s="950"/>
      <c r="AG47" s="950"/>
      <c r="AH47" s="950"/>
      <c r="AI47" s="950"/>
      <c r="AJ47" s="950"/>
      <c r="AK47" s="950"/>
      <c r="AL47" s="950"/>
      <c r="AM47" s="950"/>
      <c r="AN47" s="950"/>
      <c r="AO47" s="950"/>
      <c r="AP47" s="950"/>
      <c r="AQ47" s="950"/>
      <c r="AR47" s="950"/>
      <c r="AS47" s="950"/>
      <c r="AT47" s="950"/>
      <c r="AU47" s="950"/>
      <c r="AV47" s="950"/>
      <c r="AW47" s="950"/>
    </row>
    <row r="48" spans="1:49">
      <c r="A48" s="204"/>
      <c r="B48" s="950"/>
      <c r="C48" s="968"/>
      <c r="D48" s="950"/>
      <c r="E48" s="968"/>
      <c r="F48" s="950"/>
      <c r="G48" s="950"/>
      <c r="H48" s="950"/>
      <c r="I48" s="950"/>
      <c r="J48" s="950"/>
      <c r="K48" s="950"/>
      <c r="L48" s="707"/>
      <c r="M48" s="707"/>
      <c r="N48" s="950"/>
      <c r="O48" s="950"/>
      <c r="P48" s="950"/>
      <c r="Q48" s="950"/>
      <c r="R48" s="950"/>
      <c r="S48" s="950"/>
      <c r="T48" s="950"/>
      <c r="U48" s="950"/>
      <c r="V48" s="707"/>
      <c r="W48" s="707"/>
      <c r="X48" s="707"/>
      <c r="Y48" s="707"/>
      <c r="Z48" s="707"/>
      <c r="AA48" s="707"/>
      <c r="AB48" s="707"/>
      <c r="AC48" s="950"/>
      <c r="AD48" s="950"/>
      <c r="AE48" s="950"/>
      <c r="AF48" s="950"/>
      <c r="AG48" s="950"/>
      <c r="AH48" s="950"/>
      <c r="AI48" s="950"/>
      <c r="AJ48" s="950"/>
      <c r="AK48" s="950"/>
      <c r="AL48" s="950"/>
      <c r="AM48" s="950"/>
      <c r="AN48" s="950"/>
      <c r="AO48" s="950"/>
      <c r="AP48" s="950"/>
      <c r="AQ48" s="950"/>
      <c r="AR48" s="950"/>
      <c r="AS48" s="950"/>
      <c r="AT48" s="950"/>
      <c r="AU48" s="950"/>
      <c r="AV48" s="950"/>
      <c r="AW48" s="950"/>
    </row>
    <row r="49" spans="3:5">
      <c r="C49" s="995"/>
      <c r="E49" s="995"/>
    </row>
    <row r="50" spans="3:5">
      <c r="C50" s="995"/>
      <c r="E50" s="995"/>
    </row>
    <row r="51" spans="3:5">
      <c r="C51" s="995"/>
      <c r="E51" s="995"/>
    </row>
    <row r="52" spans="3:5">
      <c r="C52" s="995"/>
      <c r="E52" s="995"/>
    </row>
    <row r="53" spans="3:5">
      <c r="C53" s="995"/>
      <c r="E53" s="995"/>
    </row>
    <row r="54" spans="3:5">
      <c r="C54" s="995"/>
      <c r="E54" s="995"/>
    </row>
    <row r="55" spans="3:5">
      <c r="C55" s="995"/>
      <c r="E55" s="995"/>
    </row>
    <row r="56" spans="3:5">
      <c r="C56" s="995"/>
      <c r="E56" s="995"/>
    </row>
    <row r="57" spans="3:5">
      <c r="C57" s="995"/>
      <c r="E57" s="995"/>
    </row>
    <row r="58" spans="3:5">
      <c r="C58" s="995"/>
      <c r="E58" s="995"/>
    </row>
    <row r="59" spans="3:5">
      <c r="C59" s="995"/>
      <c r="E59" s="995"/>
    </row>
    <row r="60" spans="3:5">
      <c r="C60" s="995"/>
      <c r="E60" s="995"/>
    </row>
    <row r="61" spans="3:5">
      <c r="C61" s="995"/>
      <c r="E61" s="995"/>
    </row>
    <row r="62" spans="3:5">
      <c r="C62" s="995"/>
      <c r="E62" s="995"/>
    </row>
    <row r="63" spans="3:5">
      <c r="C63" s="995"/>
      <c r="E63" s="995"/>
    </row>
    <row r="64" spans="3:5">
      <c r="C64" s="995"/>
      <c r="E64" s="995"/>
    </row>
    <row r="65" spans="3:5">
      <c r="C65" s="995"/>
      <c r="E65" s="995"/>
    </row>
    <row r="66" spans="3:5">
      <c r="C66" s="995"/>
      <c r="E66" s="995"/>
    </row>
    <row r="67" spans="3:5">
      <c r="C67" s="995"/>
      <c r="E67" s="995"/>
    </row>
    <row r="68" spans="3:5">
      <c r="C68" s="995"/>
      <c r="E68" s="995"/>
    </row>
    <row r="69" spans="3:5">
      <c r="C69" s="995"/>
      <c r="E69" s="995"/>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90" zoomScaleNormal="90" workbookViewId="0"/>
  </sheetViews>
  <sheetFormatPr defaultColWidth="8.77734375" defaultRowHeight="15"/>
  <cols>
    <col min="1" max="1" width="47.21875" style="950" customWidth="1"/>
    <col min="2" max="2" width="2" style="635" customWidth="1"/>
    <col min="3" max="3" width="15.21875" style="432" customWidth="1"/>
    <col min="4" max="4" width="1.77734375" style="954" customWidth="1"/>
    <col min="5" max="5" width="15.21875" style="432" customWidth="1"/>
    <col min="6" max="6" width="2.88671875" style="954" customWidth="1"/>
    <col min="7" max="7" width="15.21875" style="954" customWidth="1"/>
    <col min="8" max="8" width="2" style="954" customWidth="1"/>
    <col min="9" max="9" width="15.21875" style="954" customWidth="1"/>
    <col min="10" max="10" width="2.21875" style="635" customWidth="1"/>
    <col min="11" max="11" width="15.21875" style="635" customWidth="1"/>
    <col min="12" max="12" width="11.44140625" style="635" customWidth="1"/>
    <col min="13" max="13" width="1.77734375" style="635" customWidth="1"/>
    <col min="14" max="14" width="11.77734375" style="635" customWidth="1"/>
    <col min="15" max="15" width="2.109375" style="635" customWidth="1"/>
    <col min="16" max="16" width="11.44140625" style="635" customWidth="1"/>
    <col min="17" max="17" width="0.5546875" style="635" customWidth="1"/>
    <col min="18" max="18" width="2.21875" style="635" customWidth="1"/>
    <col min="19" max="19" width="10.5546875" style="635" customWidth="1"/>
    <col min="20" max="20" width="11.109375" style="635" customWidth="1"/>
    <col min="21" max="21" width="2.21875" style="635" customWidth="1"/>
    <col min="22" max="22" width="11.109375" style="635" customWidth="1"/>
    <col min="23" max="23" width="2.109375" style="635" customWidth="1"/>
    <col min="24" max="24" width="12.44140625" style="635" customWidth="1"/>
    <col min="25" max="29" width="8.77734375" style="635"/>
    <col min="30" max="30" width="8.77734375" style="954"/>
    <col min="31" max="16384" width="8.77734375" style="950"/>
  </cols>
  <sheetData>
    <row r="1" spans="1:24">
      <c r="A1" s="956" t="s">
        <v>980</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40"/>
      <c r="J3" s="143"/>
      <c r="K3" s="840"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1"/>
      <c r="J4" s="143"/>
      <c r="K4" s="841"/>
      <c r="L4" s="156"/>
      <c r="M4" s="156"/>
      <c r="N4" s="156"/>
      <c r="O4" s="156"/>
      <c r="P4" s="156"/>
      <c r="Q4" s="156"/>
      <c r="R4" s="156"/>
      <c r="S4" s="156"/>
      <c r="T4" s="156"/>
      <c r="U4" s="156"/>
      <c r="V4" s="156"/>
      <c r="W4" s="156"/>
      <c r="X4" s="156"/>
    </row>
    <row r="5" spans="1:24" ht="17.25" customHeight="1">
      <c r="A5" s="3839" t="str">
        <f>'Exh D-Governmental  '!A5:E5</f>
        <v>FISCAL YEAR 2019-2020</v>
      </c>
      <c r="B5" s="3840"/>
      <c r="C5" s="3840"/>
      <c r="D5" s="3840"/>
      <c r="E5" s="3840"/>
      <c r="F5" s="143"/>
      <c r="G5" s="143"/>
      <c r="H5" s="143"/>
      <c r="I5" s="143"/>
      <c r="J5" s="143"/>
      <c r="K5" s="156"/>
      <c r="L5" s="156"/>
      <c r="M5" s="156"/>
      <c r="N5" s="156"/>
      <c r="O5" s="156"/>
      <c r="P5" s="156"/>
      <c r="Q5" s="156"/>
      <c r="R5" s="156"/>
      <c r="S5" s="156"/>
      <c r="T5" s="156"/>
      <c r="U5" s="156"/>
      <c r="V5" s="156"/>
      <c r="W5" s="156"/>
      <c r="X5" s="156"/>
    </row>
    <row r="6" spans="1:24" ht="17.25" customHeight="1">
      <c r="A6" s="1515" t="str">
        <f>'Exh D-Governmental  '!A6</f>
        <v>FOR FOUR MONTHS ENDED JULY 31,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1434</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01" t="s">
        <v>1151</v>
      </c>
      <c r="D11" s="3801"/>
      <c r="E11" s="3801"/>
      <c r="F11" s="3801"/>
      <c r="G11" s="3801"/>
      <c r="H11" s="3801"/>
      <c r="I11" s="3801"/>
      <c r="J11" s="1218"/>
      <c r="K11" s="1219"/>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886</v>
      </c>
      <c r="J13" s="151"/>
      <c r="K13" s="199" t="s">
        <v>886</v>
      </c>
      <c r="L13" s="151"/>
      <c r="M13" s="151"/>
      <c r="N13" s="151"/>
      <c r="O13" s="151"/>
      <c r="P13" s="200"/>
      <c r="Q13" s="201"/>
      <c r="R13" s="151"/>
      <c r="S13" s="151"/>
      <c r="T13" s="151"/>
      <c r="U13" s="151"/>
      <c r="V13" s="151"/>
      <c r="W13" s="151"/>
      <c r="X13" s="200"/>
    </row>
    <row r="14" spans="1:24" ht="15.75">
      <c r="A14" s="706"/>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6"/>
      <c r="B16" s="201"/>
      <c r="C16" s="153" t="s">
        <v>1135</v>
      </c>
      <c r="D16" s="152"/>
      <c r="E16" s="153" t="s">
        <v>1497</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3"/>
      <c r="C18" s="670"/>
      <c r="D18" s="670"/>
      <c r="E18" s="670"/>
      <c r="F18" s="670"/>
      <c r="G18" s="670"/>
      <c r="H18" s="670"/>
      <c r="I18" s="670"/>
      <c r="J18" s="943"/>
      <c r="K18" s="670"/>
      <c r="L18" s="943"/>
      <c r="M18" s="943"/>
      <c r="N18" s="943"/>
      <c r="O18" s="943"/>
      <c r="P18" s="943"/>
      <c r="Q18" s="943"/>
      <c r="R18" s="943"/>
      <c r="S18" s="943"/>
      <c r="T18" s="943"/>
      <c r="U18" s="943"/>
      <c r="V18" s="943"/>
      <c r="W18" s="943"/>
      <c r="X18" s="943"/>
    </row>
    <row r="19" spans="1:24">
      <c r="A19" s="838" t="s">
        <v>88</v>
      </c>
      <c r="B19" s="944"/>
      <c r="C19" s="670"/>
      <c r="D19" s="670"/>
      <c r="E19" s="670"/>
      <c r="F19" s="670"/>
      <c r="G19" s="670"/>
      <c r="H19" s="944"/>
      <c r="I19" s="670"/>
      <c r="J19" s="943"/>
      <c r="K19" s="670"/>
      <c r="L19" s="943"/>
      <c r="M19" s="943"/>
      <c r="N19" s="943"/>
      <c r="O19" s="943"/>
      <c r="P19" s="943"/>
      <c r="Q19" s="943"/>
      <c r="R19" s="943"/>
      <c r="S19" s="943"/>
      <c r="T19" s="943"/>
      <c r="U19" s="943"/>
      <c r="V19" s="943"/>
      <c r="W19" s="943"/>
      <c r="X19" s="943"/>
    </row>
    <row r="20" spans="1:24">
      <c r="A20" s="838" t="s">
        <v>89</v>
      </c>
      <c r="B20" s="944" t="s">
        <v>15</v>
      </c>
      <c r="C20" s="2122">
        <v>9927</v>
      </c>
      <c r="D20" s="673"/>
      <c r="E20" s="2122">
        <v>10134</v>
      </c>
      <c r="F20" s="673"/>
      <c r="G20" s="1031">
        <f>+'Exhibit H'!AA16</f>
        <v>10120.699999999999</v>
      </c>
      <c r="H20" s="673"/>
      <c r="I20" s="671">
        <f>G20-C20</f>
        <v>193.69999999999891</v>
      </c>
      <c r="J20" s="943"/>
      <c r="K20" s="671">
        <f>G20-E20</f>
        <v>-13.300000000001091</v>
      </c>
      <c r="L20" s="990"/>
      <c r="M20" s="943"/>
      <c r="N20" s="943"/>
      <c r="O20" s="943"/>
      <c r="P20" s="943"/>
      <c r="Q20" s="943"/>
      <c r="R20" s="943"/>
      <c r="S20" s="943"/>
      <c r="T20" s="943"/>
      <c r="U20" s="943"/>
      <c r="V20" s="943"/>
      <c r="W20" s="943"/>
      <c r="X20" s="943"/>
    </row>
    <row r="21" spans="1:24">
      <c r="A21" s="838" t="s">
        <v>90</v>
      </c>
      <c r="B21" s="943" t="s">
        <v>15</v>
      </c>
      <c r="C21" s="1144">
        <v>2444</v>
      </c>
      <c r="D21" s="1578"/>
      <c r="E21" s="1144">
        <v>2414</v>
      </c>
      <c r="F21" s="656"/>
      <c r="G21" s="914">
        <f>+'Exhibit H'!AA20</f>
        <v>2411.6999999999998</v>
      </c>
      <c r="H21" s="656"/>
      <c r="I21" s="656">
        <f>G21-C21</f>
        <v>-32.300000000000182</v>
      </c>
      <c r="J21" s="962"/>
      <c r="K21" s="1578">
        <f>G21-E21</f>
        <v>-2.3000000000001819</v>
      </c>
      <c r="L21" s="990"/>
      <c r="M21" s="943"/>
      <c r="N21" s="943"/>
      <c r="O21" s="943"/>
      <c r="P21" s="943"/>
      <c r="Q21" s="943"/>
      <c r="R21" s="943"/>
      <c r="S21" s="943"/>
      <c r="T21" s="943"/>
      <c r="U21" s="943"/>
      <c r="V21" s="943"/>
      <c r="W21" s="943"/>
      <c r="X21" s="943"/>
    </row>
    <row r="22" spans="1:24">
      <c r="A22" s="838" t="s">
        <v>92</v>
      </c>
      <c r="B22" s="943" t="s">
        <v>15</v>
      </c>
      <c r="C22" s="1144">
        <v>359</v>
      </c>
      <c r="D22" s="1578"/>
      <c r="E22" s="1144">
        <v>375</v>
      </c>
      <c r="F22" s="656"/>
      <c r="G22" s="914">
        <f>+'Exhibit H'!AA24</f>
        <v>374.7</v>
      </c>
      <c r="H22" s="656"/>
      <c r="I22" s="656">
        <f t="shared" ref="I22:I25" si="0">G22-C22</f>
        <v>15.699999999999989</v>
      </c>
      <c r="J22" s="962"/>
      <c r="K22" s="1578">
        <f>G22-E22</f>
        <v>-0.30000000000001137</v>
      </c>
      <c r="L22" s="990"/>
      <c r="M22" s="943"/>
      <c r="N22" s="943"/>
      <c r="O22" s="943"/>
      <c r="P22" s="943"/>
      <c r="Q22" s="943"/>
      <c r="R22" s="943"/>
      <c r="S22" s="943"/>
      <c r="T22" s="943"/>
      <c r="U22" s="943"/>
      <c r="V22" s="943"/>
      <c r="W22" s="943"/>
      <c r="X22" s="943"/>
    </row>
    <row r="23" spans="1:24" ht="15" customHeight="1">
      <c r="A23" s="838" t="s">
        <v>20</v>
      </c>
      <c r="B23" s="943" t="s">
        <v>15</v>
      </c>
      <c r="C23" s="1144">
        <v>115</v>
      </c>
      <c r="D23" s="1578"/>
      <c r="E23" s="1144">
        <v>145</v>
      </c>
      <c r="F23" s="656"/>
      <c r="G23" s="914">
        <f>+'Exhibit H'!AA45</f>
        <v>207</v>
      </c>
      <c r="H23" s="656"/>
      <c r="I23" s="656">
        <f t="shared" si="0"/>
        <v>92</v>
      </c>
      <c r="J23" s="962"/>
      <c r="K23" s="1578">
        <f>G23-E23</f>
        <v>62</v>
      </c>
      <c r="L23" s="990"/>
      <c r="M23" s="943"/>
      <c r="N23" s="943"/>
      <c r="O23" s="943"/>
      <c r="P23" s="943"/>
      <c r="Q23" s="943"/>
      <c r="R23" s="943"/>
      <c r="S23" s="943"/>
      <c r="T23" s="943"/>
      <c r="U23" s="943"/>
      <c r="V23" s="943"/>
      <c r="W23" s="943"/>
      <c r="X23" s="943"/>
    </row>
    <row r="24" spans="1:24" ht="15" customHeight="1">
      <c r="A24" s="838" t="s">
        <v>21</v>
      </c>
      <c r="B24" s="943" t="s">
        <v>15</v>
      </c>
      <c r="C24" s="1144">
        <v>0</v>
      </c>
      <c r="D24" s="1578"/>
      <c r="E24" s="1144">
        <v>0</v>
      </c>
      <c r="F24" s="656"/>
      <c r="G24" s="914">
        <f>+'Exhibit H'!AA47</f>
        <v>1.6</v>
      </c>
      <c r="H24" s="656"/>
      <c r="I24" s="656">
        <f t="shared" si="0"/>
        <v>1.6</v>
      </c>
      <c r="J24" s="962"/>
      <c r="K24" s="1578">
        <f>G24-E24</f>
        <v>1.6</v>
      </c>
      <c r="L24" s="990"/>
      <c r="M24" s="943"/>
      <c r="N24" s="966"/>
      <c r="O24" s="943"/>
      <c r="P24" s="966"/>
      <c r="Q24" s="967"/>
      <c r="R24" s="943"/>
      <c r="S24" s="943"/>
      <c r="T24" s="943"/>
      <c r="U24" s="943"/>
      <c r="V24" s="943"/>
      <c r="W24" s="943"/>
      <c r="X24" s="943"/>
    </row>
    <row r="25" spans="1:24">
      <c r="A25" s="838" t="s">
        <v>48</v>
      </c>
      <c r="B25" s="967" t="s">
        <v>15</v>
      </c>
      <c r="C25" s="1144">
        <v>863</v>
      </c>
      <c r="D25" s="1578"/>
      <c r="E25" s="1144">
        <v>814</v>
      </c>
      <c r="F25" s="656"/>
      <c r="G25" s="1526">
        <f>+'Exhibit H'!AA64</f>
        <v>794.3</v>
      </c>
      <c r="H25" s="656"/>
      <c r="I25" s="656">
        <f t="shared" si="0"/>
        <v>-68.700000000000045</v>
      </c>
      <c r="J25" s="962"/>
      <c r="K25" s="1578">
        <f t="shared" ref="K25" si="1">G25-E25</f>
        <v>-19.700000000000045</v>
      </c>
      <c r="L25" s="990"/>
      <c r="M25" s="943"/>
      <c r="N25" s="966"/>
      <c r="O25" s="943"/>
      <c r="P25" s="966"/>
      <c r="Q25" s="967"/>
      <c r="R25" s="943"/>
      <c r="S25" s="943"/>
      <c r="T25" s="943"/>
      <c r="U25" s="943"/>
      <c r="V25" s="943"/>
      <c r="W25" s="943"/>
      <c r="X25" s="943"/>
    </row>
    <row r="26" spans="1:24" ht="18" customHeight="1">
      <c r="A26" s="982" t="s">
        <v>109</v>
      </c>
      <c r="B26" s="151" t="s">
        <v>15</v>
      </c>
      <c r="C26" s="215">
        <f>ROUND(SUM(C20:C25),1)</f>
        <v>13708</v>
      </c>
      <c r="D26" s="112"/>
      <c r="E26" s="215">
        <f>ROUND(SUM(E20:E25),1)</f>
        <v>13882</v>
      </c>
      <c r="F26" s="941"/>
      <c r="G26" s="1527">
        <f>ROUND(SUM(G20:G25),1)</f>
        <v>13910</v>
      </c>
      <c r="H26" s="941"/>
      <c r="I26" s="215">
        <f>ROUND(SUM(I20:I25),1)</f>
        <v>202</v>
      </c>
      <c r="J26" s="76"/>
      <c r="K26" s="215">
        <f>ROUND(SUM(K20:K25),1)</f>
        <v>28</v>
      </c>
      <c r="L26" s="990"/>
      <c r="M26" s="151"/>
      <c r="N26" s="151"/>
      <c r="O26" s="151"/>
      <c r="P26" s="151"/>
      <c r="Q26" s="151"/>
      <c r="R26" s="151"/>
      <c r="S26" s="151"/>
      <c r="T26" s="151"/>
      <c r="U26" s="151"/>
      <c r="V26" s="151"/>
      <c r="W26" s="151"/>
      <c r="X26" s="151"/>
    </row>
    <row r="27" spans="1:24">
      <c r="A27" s="706"/>
      <c r="B27" s="943"/>
      <c r="C27" s="704"/>
      <c r="D27" s="914"/>
      <c r="E27" s="704"/>
      <c r="F27" s="656"/>
      <c r="G27" s="1061"/>
      <c r="H27" s="656"/>
      <c r="I27" s="704"/>
      <c r="J27" s="962"/>
      <c r="K27" s="704"/>
      <c r="L27" s="990"/>
      <c r="M27" s="943"/>
      <c r="N27" s="943"/>
      <c r="O27" s="943"/>
      <c r="P27" s="943"/>
      <c r="Q27" s="943"/>
      <c r="R27" s="943"/>
      <c r="S27" s="943"/>
      <c r="T27" s="943"/>
      <c r="U27" s="943"/>
      <c r="V27" s="943"/>
      <c r="W27" s="943"/>
      <c r="X27" s="943"/>
    </row>
    <row r="28" spans="1:24" ht="15.75">
      <c r="A28" s="29" t="s">
        <v>23</v>
      </c>
      <c r="B28" s="943"/>
      <c r="C28" s="656"/>
      <c r="D28" s="914"/>
      <c r="E28" s="1578"/>
      <c r="F28" s="656"/>
      <c r="G28" s="914"/>
      <c r="H28" s="656"/>
      <c r="I28" s="656"/>
      <c r="J28" s="962"/>
      <c r="K28" s="656"/>
      <c r="L28" s="990"/>
      <c r="M28" s="943"/>
      <c r="N28" s="943"/>
      <c r="O28" s="943"/>
      <c r="P28" s="943"/>
      <c r="Q28" s="943"/>
      <c r="R28" s="943"/>
      <c r="S28" s="943"/>
      <c r="T28" s="943"/>
      <c r="U28" s="943"/>
      <c r="V28" s="943"/>
      <c r="W28" s="943"/>
      <c r="X28" s="943"/>
    </row>
    <row r="29" spans="1:24">
      <c r="A29" s="838" t="s">
        <v>95</v>
      </c>
      <c r="B29" s="964" t="s">
        <v>15</v>
      </c>
      <c r="C29" s="1144">
        <v>5</v>
      </c>
      <c r="D29" s="1578"/>
      <c r="E29" s="1144">
        <v>14</v>
      </c>
      <c r="F29" s="656"/>
      <c r="G29" s="700">
        <f>+'Exhibit H'!AA53</f>
        <v>14.2</v>
      </c>
      <c r="H29" s="656"/>
      <c r="I29" s="1578">
        <f t="shared" ref="I29:I31" si="2">G29-C29</f>
        <v>9.1999999999999993</v>
      </c>
      <c r="J29" s="962"/>
      <c r="K29" s="1578">
        <f>G29-E29</f>
        <v>0.19999999999999929</v>
      </c>
      <c r="L29" s="990"/>
      <c r="M29" s="943"/>
      <c r="N29" s="964"/>
      <c r="O29" s="943"/>
      <c r="P29" s="966"/>
      <c r="Q29" s="943"/>
      <c r="R29" s="943"/>
      <c r="S29" s="966"/>
      <c r="T29" s="966"/>
      <c r="U29" s="943"/>
      <c r="V29" s="966"/>
      <c r="W29" s="943"/>
      <c r="X29" s="966"/>
    </row>
    <row r="30" spans="1:24" ht="14.25" customHeight="1">
      <c r="A30" s="838" t="s">
        <v>96</v>
      </c>
      <c r="B30" s="967" t="s">
        <v>15</v>
      </c>
      <c r="C30" s="1144">
        <v>456</v>
      </c>
      <c r="D30" s="1578"/>
      <c r="E30" s="1144">
        <v>469</v>
      </c>
      <c r="F30" s="656"/>
      <c r="G30" s="1144">
        <f>+'Exhibit H'!AA55</f>
        <v>468.9</v>
      </c>
      <c r="H30" s="656"/>
      <c r="I30" s="1578">
        <f t="shared" si="2"/>
        <v>12.899999999999977</v>
      </c>
      <c r="J30" s="962"/>
      <c r="K30" s="1578">
        <f t="shared" ref="K30:K31" si="3">G30-E30</f>
        <v>-0.10000000000002274</v>
      </c>
      <c r="L30" s="990"/>
      <c r="M30" s="943"/>
      <c r="N30" s="964"/>
      <c r="O30" s="943"/>
      <c r="P30" s="943"/>
      <c r="Q30" s="943"/>
      <c r="R30" s="943"/>
      <c r="S30" s="966"/>
      <c r="T30" s="966"/>
      <c r="U30" s="943"/>
      <c r="V30" s="966"/>
      <c r="W30" s="943"/>
      <c r="X30" s="966"/>
    </row>
    <row r="31" spans="1:24">
      <c r="A31" s="838" t="s">
        <v>99</v>
      </c>
      <c r="B31" s="967" t="s">
        <v>15</v>
      </c>
      <c r="C31" s="1144">
        <v>12658</v>
      </c>
      <c r="D31" s="1578"/>
      <c r="E31" s="1144">
        <v>12873</v>
      </c>
      <c r="F31" s="656"/>
      <c r="G31" s="700">
        <f>-'Exhibit H'!AA65</f>
        <v>12877</v>
      </c>
      <c r="H31" s="656"/>
      <c r="I31" s="1578">
        <f t="shared" si="2"/>
        <v>219</v>
      </c>
      <c r="J31" s="962"/>
      <c r="K31" s="1578">
        <f t="shared" si="3"/>
        <v>4</v>
      </c>
      <c r="L31" s="990"/>
      <c r="M31" s="943"/>
      <c r="N31" s="966"/>
      <c r="O31" s="943"/>
      <c r="P31" s="966"/>
      <c r="Q31" s="967"/>
      <c r="R31" s="943"/>
      <c r="S31" s="943"/>
      <c r="T31" s="943"/>
      <c r="U31" s="943"/>
      <c r="V31" s="943"/>
      <c r="W31" s="943"/>
      <c r="X31" s="943"/>
    </row>
    <row r="32" spans="1:24" ht="18" customHeight="1">
      <c r="A32" s="982" t="s">
        <v>118</v>
      </c>
      <c r="B32" s="151" t="s">
        <v>15</v>
      </c>
      <c r="C32" s="215">
        <f>ROUND(SUM(C29:C31),1)</f>
        <v>13119</v>
      </c>
      <c r="D32" s="112"/>
      <c r="E32" s="215">
        <f>ROUND(SUM(E29:E31),1)</f>
        <v>13356</v>
      </c>
      <c r="F32" s="941"/>
      <c r="G32" s="1527">
        <f>ROUND(SUM(G29:G31),1)</f>
        <v>13360.1</v>
      </c>
      <c r="H32" s="941"/>
      <c r="I32" s="215">
        <f>ROUND(SUM(I29:I31),1)</f>
        <v>241.1</v>
      </c>
      <c r="J32" s="76"/>
      <c r="K32" s="215">
        <f>ROUND(SUM(K29:K31),1)</f>
        <v>4.0999999999999996</v>
      </c>
      <c r="L32" s="990"/>
      <c r="M32" s="151"/>
      <c r="N32" s="151"/>
      <c r="O32" s="151"/>
      <c r="P32" s="151"/>
      <c r="Q32" s="151"/>
      <c r="R32" s="151"/>
      <c r="S32" s="151"/>
      <c r="T32" s="151"/>
      <c r="U32" s="151"/>
      <c r="V32" s="151"/>
      <c r="W32" s="151"/>
      <c r="X32" s="151"/>
    </row>
    <row r="33" spans="1:24">
      <c r="A33" s="706"/>
      <c r="B33" s="943"/>
      <c r="C33" s="704"/>
      <c r="D33" s="914"/>
      <c r="E33" s="704"/>
      <c r="F33" s="656"/>
      <c r="G33" s="1061"/>
      <c r="H33" s="656"/>
      <c r="I33" s="704"/>
      <c r="J33" s="962"/>
      <c r="K33" s="704"/>
      <c r="L33" s="990"/>
      <c r="M33" s="943"/>
      <c r="N33" s="943"/>
      <c r="O33" s="943"/>
      <c r="P33" s="943"/>
      <c r="Q33" s="943"/>
      <c r="R33" s="943"/>
      <c r="S33" s="943"/>
      <c r="T33" s="943"/>
      <c r="U33" s="943"/>
      <c r="V33" s="943"/>
      <c r="W33" s="943"/>
      <c r="X33" s="943"/>
    </row>
    <row r="34" spans="1:24" ht="15.75">
      <c r="A34" s="29" t="s">
        <v>119</v>
      </c>
      <c r="B34" s="943"/>
      <c r="C34" s="656"/>
      <c r="D34" s="914"/>
      <c r="E34" s="1578"/>
      <c r="F34" s="656"/>
      <c r="G34" s="914"/>
      <c r="H34" s="656"/>
      <c r="I34" s="656"/>
      <c r="J34" s="962"/>
      <c r="K34" s="656"/>
      <c r="L34" s="990"/>
      <c r="M34" s="943"/>
      <c r="N34" s="943"/>
      <c r="O34" s="943"/>
      <c r="P34" s="943"/>
      <c r="Q34" s="943"/>
      <c r="R34" s="943"/>
      <c r="S34" s="943"/>
      <c r="T34" s="943"/>
      <c r="U34" s="943"/>
      <c r="V34" s="943"/>
      <c r="W34" s="943"/>
      <c r="X34" s="943"/>
    </row>
    <row r="35" spans="1:24" ht="15.75">
      <c r="A35" s="29" t="s">
        <v>120</v>
      </c>
      <c r="B35" s="943"/>
      <c r="C35" s="656"/>
      <c r="D35" s="914"/>
      <c r="E35" s="1578"/>
      <c r="F35" s="656"/>
      <c r="G35" s="914"/>
      <c r="H35" s="656"/>
      <c r="I35" s="656"/>
      <c r="J35" s="962"/>
      <c r="K35" s="656"/>
      <c r="L35" s="990"/>
      <c r="M35" s="943"/>
      <c r="N35" s="943"/>
      <c r="O35" s="943"/>
      <c r="P35" s="943"/>
      <c r="Q35" s="943"/>
      <c r="R35" s="943"/>
      <c r="S35" s="943"/>
      <c r="T35" s="943"/>
      <c r="U35" s="943"/>
      <c r="V35" s="943"/>
      <c r="W35" s="943"/>
      <c r="X35" s="943"/>
    </row>
    <row r="36" spans="1:24" ht="15.75">
      <c r="A36" s="982" t="s">
        <v>103</v>
      </c>
      <c r="B36" s="981" t="s">
        <v>15</v>
      </c>
      <c r="C36" s="76">
        <f>C26-C32</f>
        <v>589</v>
      </c>
      <c r="D36" s="1127"/>
      <c r="E36" s="1579">
        <f>E26-E32</f>
        <v>526</v>
      </c>
      <c r="F36" s="84"/>
      <c r="G36" s="115">
        <f>ROUND(SUM(G26)-SUM(G32),1)</f>
        <v>549.9</v>
      </c>
      <c r="H36" s="84"/>
      <c r="I36" s="76">
        <f>ROUND(SUM(I26)-SUM(I32),1)</f>
        <v>-39.1</v>
      </c>
      <c r="J36" s="399"/>
      <c r="K36" s="76">
        <f>ROUND(SUM(K26)-SUM(K32),1)</f>
        <v>23.9</v>
      </c>
      <c r="L36" s="990"/>
      <c r="M36" s="174"/>
      <c r="N36" s="151"/>
      <c r="O36" s="174"/>
      <c r="P36" s="151"/>
      <c r="Q36" s="151"/>
      <c r="R36" s="174"/>
      <c r="S36" s="151"/>
      <c r="T36" s="151"/>
      <c r="U36" s="174"/>
      <c r="V36" s="151"/>
      <c r="W36" s="174"/>
      <c r="X36" s="151"/>
    </row>
    <row r="37" spans="1:24" ht="15" customHeight="1">
      <c r="C37" s="684"/>
      <c r="D37" s="1712"/>
      <c r="E37" s="684"/>
      <c r="F37" s="951"/>
      <c r="G37" s="1528"/>
      <c r="H37" s="951"/>
      <c r="I37" s="684"/>
      <c r="J37" s="684"/>
      <c r="K37" s="684"/>
      <c r="L37" s="990"/>
    </row>
    <row r="38" spans="1:24" ht="15.75">
      <c r="A38" s="997" t="str">
        <f>'Exh D-Governmental  '!A49</f>
        <v>Fund Balances (Deficits) at April 1</v>
      </c>
      <c r="B38" s="635" t="s">
        <v>15</v>
      </c>
      <c r="C38" s="115">
        <v>65</v>
      </c>
      <c r="D38" s="1712"/>
      <c r="E38" s="115">
        <v>65</v>
      </c>
      <c r="F38" s="951"/>
      <c r="G38" s="115">
        <f>'Exhibit H'!AA12</f>
        <v>64.8</v>
      </c>
      <c r="H38" s="951"/>
      <c r="I38" s="81">
        <f>G38-C38</f>
        <v>-0.20000000000000284</v>
      </c>
      <c r="J38" s="684"/>
      <c r="K38" s="941">
        <f>G38-E38</f>
        <v>-0.20000000000000284</v>
      </c>
      <c r="L38" s="990"/>
    </row>
    <row r="39" spans="1:24" ht="18" customHeight="1" thickBot="1">
      <c r="A39" s="1418" t="str">
        <f>+'Exh D-Governmental  '!A50</f>
        <v>Fund Balances (Deficits) at July 31, 2019</v>
      </c>
      <c r="B39" s="180" t="s">
        <v>15</v>
      </c>
      <c r="C39" s="98">
        <f>ROUND(SUM(C36:C38),1)</f>
        <v>654</v>
      </c>
      <c r="D39" s="181"/>
      <c r="E39" s="98">
        <f>ROUND(SUM(E36:E38),1)</f>
        <v>591</v>
      </c>
      <c r="F39" s="181"/>
      <c r="G39" s="1529">
        <f>ROUND(SUM(G36:G38),1)</f>
        <v>614.70000000000005</v>
      </c>
      <c r="H39" s="181"/>
      <c r="I39" s="98">
        <f>ROUND(SUM(I36:I38),1)</f>
        <v>-39.299999999999997</v>
      </c>
      <c r="K39" s="98">
        <f>ROUND(SUM(K36:K38),1)</f>
        <v>23.7</v>
      </c>
      <c r="L39" s="990"/>
    </row>
    <row r="40" spans="1:24" ht="15" customHeight="1" thickTop="1">
      <c r="A40" s="155"/>
      <c r="C40" s="705"/>
      <c r="D40" s="968"/>
      <c r="E40" s="705"/>
      <c r="F40" s="968"/>
      <c r="G40" s="968"/>
      <c r="H40" s="968"/>
      <c r="I40" s="968"/>
      <c r="K40" s="968"/>
    </row>
    <row r="41" spans="1:24">
      <c r="A41" s="955" t="str">
        <f>'Exh D-Governmental  '!A52</f>
        <v>(*)    Source: 2019-20 Enacted Financial Plan dated May 13, 2019.</v>
      </c>
    </row>
    <row r="42" spans="1:24">
      <c r="A42" s="658" t="str">
        <f>'Exh D Special Revenue State Fed'!A44</f>
        <v>(**)   Source: 2019-20 First Quarter Update dated August 13, 2019.</v>
      </c>
    </row>
    <row r="43" spans="1:24">
      <c r="A43" s="969"/>
    </row>
    <row r="44" spans="1:24">
      <c r="A44" s="969"/>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77734375" defaultRowHeight="15"/>
  <cols>
    <col min="1" max="1" width="54" style="950" customWidth="1"/>
    <col min="2" max="2" width="2.109375" style="954" customWidth="1"/>
    <col min="3" max="3" width="18.109375" style="432" bestFit="1" customWidth="1"/>
    <col min="4" max="4" width="0.77734375" style="954" customWidth="1"/>
    <col min="5" max="5" width="15.44140625" style="432" customWidth="1"/>
    <col min="6" max="6" width="0.77734375" style="954" customWidth="1"/>
    <col min="7" max="7" width="14" style="954" customWidth="1"/>
    <col min="8" max="8" width="1.44140625" style="954" customWidth="1"/>
    <col min="9" max="9" width="15" style="954" customWidth="1"/>
    <col min="10" max="10" width="1.5546875" style="954" customWidth="1"/>
    <col min="11" max="11" width="15" style="954" customWidth="1"/>
    <col min="12" max="12" width="1" style="954" customWidth="1"/>
    <col min="13" max="13" width="15.21875" style="970" customWidth="1"/>
    <col min="14" max="14" width="1" style="954" customWidth="1"/>
    <col min="15" max="15" width="14" style="954" customWidth="1"/>
    <col min="16" max="19" width="8.77734375" style="954"/>
    <col min="20" max="16384" width="8.77734375" style="950"/>
  </cols>
  <sheetData>
    <row r="1" spans="1:34">
      <c r="A1" s="657" t="s">
        <v>980</v>
      </c>
    </row>
    <row r="2" spans="1:34" ht="16.5">
      <c r="A2" s="185"/>
      <c r="B2" s="187"/>
      <c r="C2" s="426"/>
      <c r="D2" s="187"/>
      <c r="E2" s="426"/>
      <c r="F2" s="187"/>
      <c r="G2" s="187"/>
      <c r="H2" s="187"/>
      <c r="I2" s="187"/>
      <c r="J2" s="187"/>
      <c r="K2" s="187"/>
      <c r="L2" s="187"/>
      <c r="M2" s="1699"/>
    </row>
    <row r="3" spans="1:34" ht="17.25" customHeight="1">
      <c r="A3" s="191" t="s">
        <v>0</v>
      </c>
      <c r="B3" s="148"/>
      <c r="C3" s="428"/>
      <c r="D3" s="143"/>
      <c r="E3" s="429"/>
      <c r="F3" s="143"/>
      <c r="G3" s="143"/>
      <c r="H3" s="143"/>
      <c r="I3" s="143"/>
      <c r="J3" s="143"/>
      <c r="K3" s="143"/>
      <c r="L3" s="143"/>
      <c r="M3" s="840"/>
      <c r="O3" s="840" t="s">
        <v>84</v>
      </c>
    </row>
    <row r="4" spans="1:34" ht="17.25" customHeight="1">
      <c r="A4" s="191" t="s">
        <v>83</v>
      </c>
      <c r="B4" s="148"/>
      <c r="C4" s="428"/>
      <c r="D4" s="143"/>
      <c r="E4" s="429"/>
      <c r="F4" s="143"/>
      <c r="G4" s="143"/>
      <c r="H4" s="143"/>
      <c r="I4" s="143"/>
      <c r="J4" s="143"/>
      <c r="K4" s="143"/>
      <c r="L4" s="143"/>
      <c r="M4" s="841"/>
      <c r="O4" s="841"/>
    </row>
    <row r="5" spans="1:34" ht="17.25" customHeight="1">
      <c r="A5" s="3839" t="str">
        <f>'Exh D-Governmental  '!A5:E5</f>
        <v>FISCAL YEAR 2019-2020</v>
      </c>
      <c r="B5" s="3840"/>
      <c r="C5" s="3840"/>
      <c r="D5" s="3840"/>
      <c r="E5" s="3840"/>
      <c r="F5" s="143"/>
      <c r="G5" s="143"/>
      <c r="H5" s="143"/>
      <c r="I5" s="143"/>
      <c r="J5" s="143"/>
      <c r="K5" s="143"/>
      <c r="L5" s="143"/>
      <c r="M5" s="148"/>
    </row>
    <row r="6" spans="1:34" ht="17.25" customHeight="1">
      <c r="A6" s="1516" t="str">
        <f>+'Exh D-Governmental  '!A6</f>
        <v>FOR FOUR MONTHS ENDED JULY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4"/>
    </row>
    <row r="7" spans="1:34" ht="18">
      <c r="A7" s="191" t="s">
        <v>1434</v>
      </c>
      <c r="B7" s="148"/>
      <c r="C7" s="428"/>
      <c r="D7" s="143"/>
      <c r="E7" s="429"/>
      <c r="F7" s="143"/>
      <c r="G7" s="143"/>
      <c r="H7" s="143"/>
      <c r="I7" s="143"/>
      <c r="J7" s="143"/>
      <c r="K7" s="143"/>
      <c r="L7" s="143"/>
      <c r="M7" s="148"/>
    </row>
    <row r="8" spans="1:34" ht="18">
      <c r="A8" s="193"/>
      <c r="B8" s="148"/>
      <c r="C8" s="983"/>
      <c r="D8" s="156"/>
      <c r="E8" s="429"/>
      <c r="F8" s="143"/>
      <c r="G8" s="143"/>
      <c r="H8" s="143"/>
      <c r="I8" s="143"/>
      <c r="J8" s="143"/>
      <c r="K8" s="143"/>
      <c r="L8" s="143"/>
      <c r="M8" s="148"/>
    </row>
    <row r="9" spans="1:34">
      <c r="A9" s="150"/>
      <c r="B9" s="143"/>
      <c r="C9" s="1208"/>
      <c r="D9" s="156"/>
      <c r="E9" s="429"/>
      <c r="F9" s="143"/>
      <c r="G9" s="143"/>
      <c r="H9" s="143"/>
      <c r="I9" s="143"/>
      <c r="J9" s="143"/>
      <c r="K9" s="143"/>
      <c r="L9" s="143"/>
      <c r="M9" s="148"/>
    </row>
    <row r="10" spans="1:34">
      <c r="A10" s="150"/>
      <c r="B10" s="143"/>
      <c r="C10" s="983"/>
      <c r="D10" s="147"/>
      <c r="E10" s="428"/>
      <c r="F10" s="148"/>
      <c r="G10" s="148"/>
      <c r="H10" s="148"/>
      <c r="I10" s="148"/>
      <c r="J10" s="148"/>
      <c r="K10" s="148"/>
      <c r="L10" s="148"/>
      <c r="M10" s="148"/>
      <c r="N10" s="970"/>
    </row>
    <row r="11" spans="1:34" ht="15.75">
      <c r="A11" s="706"/>
      <c r="B11" s="151"/>
      <c r="C11" s="1203"/>
      <c r="D11" s="1214"/>
      <c r="E11" s="1203"/>
      <c r="F11" s="1212"/>
      <c r="G11" s="1222"/>
      <c r="H11" s="1212"/>
      <c r="I11" s="1456" t="s">
        <v>1152</v>
      </c>
      <c r="J11" s="1697"/>
      <c r="K11" s="1697"/>
      <c r="L11" s="1697"/>
      <c r="M11" s="1212"/>
      <c r="N11" s="1215"/>
      <c r="O11" s="1200"/>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886</v>
      </c>
      <c r="N13" s="153"/>
      <c r="O13" s="153" t="s">
        <v>886</v>
      </c>
    </row>
    <row r="14" spans="1:34" ht="15.75">
      <c r="A14" s="706"/>
      <c r="B14" s="151"/>
      <c r="C14" s="154" t="s">
        <v>1095</v>
      </c>
      <c r="D14" s="152"/>
      <c r="E14" s="153" t="s">
        <v>1096</v>
      </c>
      <c r="F14" s="152"/>
      <c r="G14" s="152"/>
      <c r="H14" s="152"/>
      <c r="I14" s="152"/>
      <c r="J14" s="152"/>
      <c r="K14" s="152"/>
      <c r="L14" s="152"/>
      <c r="M14" s="199" t="s">
        <v>86</v>
      </c>
      <c r="N14" s="153"/>
      <c r="O14" s="153" t="s">
        <v>86</v>
      </c>
    </row>
    <row r="15" spans="1:34" ht="15.75" customHeight="1">
      <c r="A15" s="706"/>
      <c r="B15" s="151"/>
      <c r="C15" s="153" t="s">
        <v>1134</v>
      </c>
      <c r="D15" s="152"/>
      <c r="E15" s="153" t="s">
        <v>1134</v>
      </c>
      <c r="F15" s="152"/>
      <c r="G15" s="152"/>
      <c r="H15" s="152"/>
      <c r="I15" s="152"/>
      <c r="J15" s="152"/>
      <c r="K15" s="152"/>
      <c r="L15" s="152"/>
      <c r="M15" s="199" t="s">
        <v>1095</v>
      </c>
      <c r="N15" s="153"/>
      <c r="O15" s="153" t="s">
        <v>1096</v>
      </c>
    </row>
    <row r="16" spans="1:34" ht="15.75">
      <c r="A16" s="706"/>
      <c r="B16" s="151"/>
      <c r="C16" s="153" t="s">
        <v>1135</v>
      </c>
      <c r="D16" s="152"/>
      <c r="E16" s="153" t="s">
        <v>1497</v>
      </c>
      <c r="F16" s="152"/>
      <c r="G16" s="154" t="s">
        <v>85</v>
      </c>
      <c r="H16" s="152"/>
      <c r="I16" s="1235" t="s">
        <v>1277</v>
      </c>
      <c r="J16" s="152"/>
      <c r="K16" s="1235" t="s">
        <v>812</v>
      </c>
      <c r="L16" s="152"/>
      <c r="M16" s="199" t="s">
        <v>87</v>
      </c>
      <c r="N16" s="153"/>
      <c r="O16" s="153" t="s">
        <v>87</v>
      </c>
    </row>
    <row r="17" spans="1:34">
      <c r="A17" s="155"/>
      <c r="B17" s="156"/>
      <c r="C17" s="157"/>
      <c r="D17" s="156"/>
      <c r="E17" s="157"/>
      <c r="F17" s="143"/>
      <c r="G17" s="157"/>
      <c r="H17" s="143"/>
      <c r="I17" s="143"/>
      <c r="J17" s="143"/>
      <c r="K17" s="143"/>
      <c r="L17" s="143"/>
      <c r="M17" s="1700"/>
      <c r="O17" s="157"/>
    </row>
    <row r="18" spans="1:34" ht="15.75">
      <c r="A18" s="29" t="s">
        <v>14</v>
      </c>
      <c r="B18" s="943"/>
      <c r="C18" s="670"/>
      <c r="D18" s="943"/>
      <c r="E18" s="670"/>
      <c r="F18" s="670"/>
      <c r="G18" s="670" t="s">
        <v>15</v>
      </c>
      <c r="H18" s="670"/>
      <c r="I18" s="670"/>
      <c r="J18" s="670"/>
      <c r="K18" s="670"/>
      <c r="L18" s="670"/>
      <c r="M18" s="1701"/>
      <c r="O18" s="670"/>
    </row>
    <row r="19" spans="1:34">
      <c r="A19" s="838" t="s">
        <v>88</v>
      </c>
      <c r="B19" s="944" t="s">
        <v>15</v>
      </c>
      <c r="C19" s="671"/>
      <c r="D19" s="990"/>
      <c r="E19" s="671"/>
      <c r="F19" s="671"/>
      <c r="G19" s="972"/>
      <c r="H19" s="673"/>
      <c r="I19" s="673"/>
      <c r="J19" s="673"/>
      <c r="K19" s="673"/>
      <c r="L19" s="673"/>
      <c r="M19" s="913"/>
      <c r="N19" s="943"/>
      <c r="O19" s="671"/>
      <c r="P19" s="943"/>
      <c r="Q19" s="943"/>
      <c r="R19" s="943"/>
      <c r="S19" s="943"/>
      <c r="T19" s="943"/>
      <c r="U19" s="943"/>
      <c r="V19" s="943"/>
      <c r="W19" s="943"/>
      <c r="X19" s="943"/>
      <c r="Y19" s="943"/>
      <c r="Z19" s="943"/>
      <c r="AA19" s="943"/>
      <c r="AB19" s="943"/>
      <c r="AC19" s="635"/>
      <c r="AD19" s="635"/>
      <c r="AE19" s="635"/>
      <c r="AF19" s="635"/>
      <c r="AG19" s="635"/>
      <c r="AH19" s="954"/>
    </row>
    <row r="20" spans="1:34">
      <c r="A20" s="838" t="s">
        <v>90</v>
      </c>
      <c r="B20" s="943" t="s">
        <v>15</v>
      </c>
      <c r="C20" s="960">
        <f>'Exh D Captl Projects State Fed'!C20+'Exh D Captl Projects State Fed'!M20</f>
        <v>210</v>
      </c>
      <c r="D20" s="962"/>
      <c r="E20" s="960">
        <f>'Exh D Captl Projects State Fed'!E20+'Exh D Captl Projects State Fed'!O20</f>
        <v>216</v>
      </c>
      <c r="F20" s="672"/>
      <c r="G20" s="960">
        <f>+'Exh D Captl Projects State Fed'!G20</f>
        <v>210.7</v>
      </c>
      <c r="H20" s="672"/>
      <c r="I20" s="960">
        <v>0</v>
      </c>
      <c r="J20" s="672"/>
      <c r="K20" s="1706">
        <f>+G20+I20</f>
        <v>210.7</v>
      </c>
      <c r="L20" s="672"/>
      <c r="M20" s="913">
        <f t="shared" ref="M20:M26" si="0">ROUND(SUM(K20)-SUM(C20),1)</f>
        <v>0.7</v>
      </c>
      <c r="N20" s="943"/>
      <c r="O20" s="913">
        <f t="shared" ref="O20:O24" si="1">ROUND(SUM(K20)-SUM(E20),1)</f>
        <v>-5.3</v>
      </c>
      <c r="P20" s="943"/>
      <c r="Q20" s="943"/>
      <c r="R20" s="943"/>
      <c r="S20" s="943"/>
      <c r="T20" s="943"/>
      <c r="U20" s="943"/>
      <c r="V20" s="943"/>
      <c r="W20" s="943"/>
      <c r="X20" s="943"/>
      <c r="Y20" s="943"/>
      <c r="Z20" s="943"/>
      <c r="AA20" s="943"/>
      <c r="AB20" s="943"/>
      <c r="AC20" s="635"/>
      <c r="AD20" s="635"/>
      <c r="AE20" s="635"/>
      <c r="AF20" s="635"/>
      <c r="AG20" s="635"/>
      <c r="AH20" s="954"/>
    </row>
    <row r="21" spans="1:34">
      <c r="A21" s="838" t="s">
        <v>91</v>
      </c>
      <c r="B21" s="944" t="s">
        <v>15</v>
      </c>
      <c r="C21" s="702">
        <f>'Exh D Captl Projects State Fed'!C21+'Exh D Captl Projects State Fed'!M21</f>
        <v>224</v>
      </c>
      <c r="D21" s="962"/>
      <c r="E21" s="702">
        <f>'Exh D Captl Projects State Fed'!E21+'Exh D Captl Projects State Fed'!O21</f>
        <v>229</v>
      </c>
      <c r="F21" s="672"/>
      <c r="G21" s="702">
        <f>+'Exh D Captl Projects State Fed'!G21</f>
        <v>228.1</v>
      </c>
      <c r="H21" s="672"/>
      <c r="I21" s="672">
        <v>0</v>
      </c>
      <c r="J21" s="672"/>
      <c r="K21" s="3257">
        <f t="shared" ref="K21:K26" si="2">+G21+I21</f>
        <v>228.1</v>
      </c>
      <c r="L21" s="672"/>
      <c r="M21" s="914">
        <f t="shared" si="0"/>
        <v>4.0999999999999996</v>
      </c>
      <c r="N21" s="964"/>
      <c r="O21" s="914">
        <f t="shared" si="1"/>
        <v>-0.9</v>
      </c>
      <c r="P21" s="943"/>
      <c r="Q21" s="964"/>
      <c r="R21" s="943"/>
      <c r="S21" s="964"/>
      <c r="T21" s="943"/>
      <c r="U21" s="943"/>
      <c r="V21" s="964"/>
      <c r="W21" s="943"/>
      <c r="X21" s="943"/>
      <c r="Y21" s="964"/>
      <c r="Z21" s="203"/>
      <c r="AA21" s="964"/>
      <c r="AB21" s="943"/>
      <c r="AC21" s="635"/>
      <c r="AD21" s="635"/>
      <c r="AE21" s="635"/>
      <c r="AF21" s="635"/>
      <c r="AG21" s="635"/>
      <c r="AH21" s="954"/>
    </row>
    <row r="22" spans="1:34">
      <c r="A22" s="838" t="s">
        <v>92</v>
      </c>
      <c r="B22" s="943" t="s">
        <v>15</v>
      </c>
      <c r="C22" s="702">
        <f>'Exh D Captl Projects State Fed'!C22+'Exh D Captl Projects State Fed'!M22</f>
        <v>24</v>
      </c>
      <c r="D22" s="962"/>
      <c r="E22" s="702">
        <f>'Exh D Captl Projects State Fed'!E22+'Exh D Captl Projects State Fed'!O22</f>
        <v>24</v>
      </c>
      <c r="F22" s="672"/>
      <c r="G22" s="702">
        <f>+'Exh D Captl Projects State Fed'!G22</f>
        <v>23.8</v>
      </c>
      <c r="H22" s="672"/>
      <c r="I22" s="672">
        <v>0</v>
      </c>
      <c r="J22" s="672"/>
      <c r="K22" s="1707">
        <f>+G22+I22</f>
        <v>23.8</v>
      </c>
      <c r="L22" s="672"/>
      <c r="M22" s="914">
        <f t="shared" si="0"/>
        <v>-0.2</v>
      </c>
      <c r="N22" s="943"/>
      <c r="O22" s="914">
        <f t="shared" si="1"/>
        <v>-0.2</v>
      </c>
      <c r="P22" s="943"/>
      <c r="Q22" s="943"/>
      <c r="R22" s="943"/>
      <c r="S22" s="943"/>
      <c r="T22" s="943"/>
      <c r="U22" s="943"/>
      <c r="V22" s="943"/>
      <c r="W22" s="943"/>
      <c r="X22" s="943"/>
      <c r="Y22" s="943"/>
      <c r="Z22" s="943"/>
      <c r="AA22" s="943"/>
      <c r="AB22" s="943"/>
      <c r="AC22" s="635"/>
      <c r="AD22" s="635"/>
      <c r="AE22" s="635"/>
      <c r="AF22" s="635"/>
      <c r="AG22" s="635"/>
      <c r="AH22" s="954"/>
    </row>
    <row r="23" spans="1:34">
      <c r="A23" s="838" t="s">
        <v>20</v>
      </c>
      <c r="B23" s="943" t="s">
        <v>15</v>
      </c>
      <c r="C23" s="702">
        <f>'Exh D Captl Projects State Fed'!C23+'Exh D Captl Projects State Fed'!M23</f>
        <v>990</v>
      </c>
      <c r="D23" s="962"/>
      <c r="E23" s="702">
        <f>'Exh D Captl Projects State Fed'!E23+'Exh D Captl Projects State Fed'!O23</f>
        <v>896</v>
      </c>
      <c r="F23" s="656"/>
      <c r="G23" s="656">
        <f>+'Exh D Captl Projects State Fed'!G23+'Exh D Captl Projects State Fed'!Q23</f>
        <v>896</v>
      </c>
      <c r="H23" s="656"/>
      <c r="I23" s="1578">
        <v>0</v>
      </c>
      <c r="J23" s="1578"/>
      <c r="K23" s="1707">
        <f t="shared" si="2"/>
        <v>896</v>
      </c>
      <c r="L23" s="1578"/>
      <c r="M23" s="914">
        <f t="shared" si="0"/>
        <v>-94</v>
      </c>
      <c r="O23" s="914">
        <f t="shared" si="1"/>
        <v>0</v>
      </c>
    </row>
    <row r="24" spans="1:34">
      <c r="A24" s="838" t="s">
        <v>21</v>
      </c>
      <c r="B24" s="943" t="s">
        <v>15</v>
      </c>
      <c r="C24" s="702">
        <f>'Exh D Captl Projects State Fed'!C24+'Exh D Captl Projects State Fed'!M24</f>
        <v>543</v>
      </c>
      <c r="D24" s="962"/>
      <c r="E24" s="702">
        <f>'Exh D Captl Projects State Fed'!E24+'Exh D Captl Projects State Fed'!O24</f>
        <v>468</v>
      </c>
      <c r="F24" s="656"/>
      <c r="G24" s="656">
        <f>+'Exh D Captl Projects State Fed'!G24+'Exh D Captl Projects State Fed'!Q24</f>
        <v>469.1</v>
      </c>
      <c r="H24" s="656"/>
      <c r="I24" s="1578">
        <v>0</v>
      </c>
      <c r="J24" s="1578"/>
      <c r="K24" s="1707">
        <f t="shared" si="2"/>
        <v>469.1</v>
      </c>
      <c r="L24" s="1578"/>
      <c r="M24" s="914">
        <f t="shared" si="0"/>
        <v>-73.900000000000006</v>
      </c>
      <c r="O24" s="914">
        <f t="shared" si="1"/>
        <v>1.1000000000000001</v>
      </c>
    </row>
    <row r="25" spans="1:34">
      <c r="A25" s="838" t="s">
        <v>98</v>
      </c>
      <c r="B25" s="943" t="s">
        <v>15</v>
      </c>
      <c r="C25" s="702">
        <f>'Exh D Captl Projects State Fed'!C25+'Exh D Captl Projects State Fed'!M25</f>
        <v>0</v>
      </c>
      <c r="D25" s="1213"/>
      <c r="E25" s="702">
        <f>'Exh D Captl Projects State Fed'!E25+'Exh D Captl Projects State Fed'!O25</f>
        <v>0</v>
      </c>
      <c r="F25" s="656"/>
      <c r="G25" s="672">
        <f>+'Exh D Captl Projects State Fed'!G25+'Exh D Captl Projects State Fed'!Q25</f>
        <v>0</v>
      </c>
      <c r="H25" s="656"/>
      <c r="I25" s="1578">
        <v>0</v>
      </c>
      <c r="J25" s="1578"/>
      <c r="K25" s="672">
        <f t="shared" si="2"/>
        <v>0</v>
      </c>
      <c r="L25" s="1578"/>
      <c r="M25" s="914">
        <f t="shared" si="0"/>
        <v>0</v>
      </c>
      <c r="O25" s="914">
        <f t="shared" ref="O25:O26" si="3">ROUND(SUM(K25)-SUM(E25),1)</f>
        <v>0</v>
      </c>
    </row>
    <row r="26" spans="1:34">
      <c r="A26" s="838" t="s">
        <v>48</v>
      </c>
      <c r="B26" s="943" t="s">
        <v>15</v>
      </c>
      <c r="C26" s="702">
        <f>'Exh D Captl Projects State Fed'!C26+'Exh D Captl Projects State Fed'!M26</f>
        <v>1875</v>
      </c>
      <c r="D26" s="962"/>
      <c r="E26" s="702">
        <f>'Exh D Captl Projects State Fed'!E26+'Exh D Captl Projects State Fed'!O26</f>
        <v>1816</v>
      </c>
      <c r="F26" s="656"/>
      <c r="G26" s="695">
        <f>+'Exh D Captl Projects State Fed'!G26+'Exh D Captl Projects State Fed'!Q26</f>
        <v>1815.7</v>
      </c>
      <c r="H26" s="656"/>
      <c r="I26" s="914">
        <f>'Exhibit I'!AC93</f>
        <v>0</v>
      </c>
      <c r="J26" s="1578"/>
      <c r="K26" s="1707">
        <f t="shared" si="2"/>
        <v>1815.7</v>
      </c>
      <c r="L26" s="1578"/>
      <c r="M26" s="914">
        <f t="shared" si="0"/>
        <v>-59.3</v>
      </c>
      <c r="O26" s="914">
        <f t="shared" si="3"/>
        <v>-0.3</v>
      </c>
    </row>
    <row r="27" spans="1:34" ht="18" customHeight="1">
      <c r="A27" s="1143" t="s">
        <v>109</v>
      </c>
      <c r="B27" s="151" t="s">
        <v>15</v>
      </c>
      <c r="C27" s="1938">
        <f>ROUND(SUM(C20:C26),1)</f>
        <v>3866</v>
      </c>
      <c r="D27" s="1579"/>
      <c r="E27" s="1938">
        <f>ROUND(SUM(E20:E26),1)</f>
        <v>3649</v>
      </c>
      <c r="F27" s="941"/>
      <c r="G27" s="215">
        <f>ROUND(SUM(G20:G26),1)</f>
        <v>3643.4</v>
      </c>
      <c r="H27" s="941"/>
      <c r="I27" s="1589">
        <f>ROUND(SUM(I20:I26),1)</f>
        <v>0</v>
      </c>
      <c r="J27" s="941"/>
      <c r="K27" s="1589">
        <f>ROUND(SUM(K20:K26),1)</f>
        <v>3643.4</v>
      </c>
      <c r="L27" s="941"/>
      <c r="M27" s="1527">
        <f>ROUND(SUM(M20:M26),1)</f>
        <v>-222.6</v>
      </c>
      <c r="O27" s="215">
        <f>ROUND(SUM(O20:O26),1)</f>
        <v>-5.6</v>
      </c>
    </row>
    <row r="28" spans="1:34">
      <c r="A28" s="706"/>
      <c r="B28" s="943" t="s">
        <v>15</v>
      </c>
      <c r="C28" s="1936"/>
      <c r="D28" s="962"/>
      <c r="E28" s="1936"/>
      <c r="F28" s="656"/>
      <c r="G28" s="704"/>
      <c r="H28" s="656"/>
      <c r="I28" s="1578"/>
      <c r="J28" s="1578"/>
      <c r="K28" s="1578"/>
      <c r="L28" s="1578"/>
      <c r="M28" s="1061" t="s">
        <v>15</v>
      </c>
      <c r="O28" s="704" t="s">
        <v>15</v>
      </c>
    </row>
    <row r="29" spans="1:34" ht="15.75">
      <c r="A29" s="29" t="s">
        <v>23</v>
      </c>
      <c r="B29" s="943" t="s">
        <v>15</v>
      </c>
      <c r="C29" s="1578"/>
      <c r="D29" s="962"/>
      <c r="E29" s="1578"/>
      <c r="F29" s="656"/>
      <c r="G29" s="656"/>
      <c r="H29" s="656"/>
      <c r="I29" s="1578"/>
      <c r="J29" s="1578"/>
      <c r="K29" s="1578"/>
      <c r="L29" s="1578"/>
      <c r="M29" s="914"/>
      <c r="O29" s="656"/>
    </row>
    <row r="30" spans="1:34">
      <c r="A30" s="838" t="s">
        <v>94</v>
      </c>
      <c r="B30" s="943" t="s">
        <v>15</v>
      </c>
      <c r="C30" s="702">
        <f>'Exh D Captl Projects State Fed'!C30+'Exh D Captl Projects State Fed'!M30</f>
        <v>1513</v>
      </c>
      <c r="D30" s="962"/>
      <c r="E30" s="702">
        <f>'Exh D Captl Projects State Fed'!E30+'Exh D Captl Projects State Fed'!O30</f>
        <v>1549</v>
      </c>
      <c r="F30" s="656"/>
      <c r="G30" s="656">
        <f>+'Exh D Captl Projects State Fed'!G30+'Exh D Captl Projects State Fed'!Q30</f>
        <v>1549.6</v>
      </c>
      <c r="H30" s="656"/>
      <c r="I30" s="1578">
        <v>0</v>
      </c>
      <c r="J30" s="1578"/>
      <c r="K30" s="1707">
        <f>+G30+I30</f>
        <v>1549.6</v>
      </c>
      <c r="L30" s="1578"/>
      <c r="M30" s="914">
        <f>ROUND(SUM(K30)-SUM(C30),1)</f>
        <v>36.6</v>
      </c>
      <c r="O30" s="914">
        <f t="shared" ref="O30:O32" si="4">ROUND(SUM(K30)-SUM(E30),1)</f>
        <v>0.6</v>
      </c>
    </row>
    <row r="31" spans="1:34">
      <c r="A31" s="838" t="s">
        <v>42</v>
      </c>
      <c r="B31" s="943" t="s">
        <v>15</v>
      </c>
      <c r="C31" s="702">
        <f>'Exh D Captl Projects State Fed'!C31+'Exh D Captl Projects State Fed'!M31</f>
        <v>2701</v>
      </c>
      <c r="D31" s="1213"/>
      <c r="E31" s="702">
        <f>'Exh D Captl Projects State Fed'!E31+'Exh D Captl Projects State Fed'!O31</f>
        <v>2098</v>
      </c>
      <c r="F31" s="656"/>
      <c r="G31" s="656">
        <f>+'Exh D Captl Projects State Fed'!G31+'Exh D Captl Projects State Fed'!Q31</f>
        <v>2099.3000000000002</v>
      </c>
      <c r="H31" s="656"/>
      <c r="I31" s="1578">
        <v>0</v>
      </c>
      <c r="J31" s="1578"/>
      <c r="K31" s="1707">
        <f>+G31+I31</f>
        <v>2099.3000000000002</v>
      </c>
      <c r="L31" s="1578"/>
      <c r="M31" s="914">
        <f>ROUND(SUM(K31)-SUM(C31),1)</f>
        <v>-601.70000000000005</v>
      </c>
      <c r="O31" s="914">
        <f t="shared" si="4"/>
        <v>1.3</v>
      </c>
    </row>
    <row r="32" spans="1:34">
      <c r="A32" s="838" t="s">
        <v>99</v>
      </c>
      <c r="B32" s="943" t="s">
        <v>15</v>
      </c>
      <c r="C32" s="702">
        <f>'Exh D Captl Projects State Fed'!C32+'Exh D Captl Projects State Fed'!M32</f>
        <v>183</v>
      </c>
      <c r="D32" s="962"/>
      <c r="E32" s="702">
        <f>'Exh D Captl Projects State Fed'!E32+'Exh D Captl Projects State Fed'!O32</f>
        <v>191</v>
      </c>
      <c r="F32" s="656"/>
      <c r="G32" s="656">
        <f>+'Exh D Captl Projects State Fed'!G32+'Exh D Captl Projects State Fed'!Q32</f>
        <v>191.1</v>
      </c>
      <c r="H32" s="656"/>
      <c r="I32" s="914">
        <f>-'Exhibit I'!AC94</f>
        <v>0</v>
      </c>
      <c r="J32" s="1578"/>
      <c r="K32" s="1707">
        <f>+G32+I32</f>
        <v>191.1</v>
      </c>
      <c r="L32" s="1578"/>
      <c r="M32" s="914">
        <f>ROUND(SUM(K32)-SUM(C32),1)</f>
        <v>8.1</v>
      </c>
      <c r="O32" s="914">
        <f t="shared" si="4"/>
        <v>0.1</v>
      </c>
    </row>
    <row r="33" spans="1:34" ht="18" customHeight="1">
      <c r="A33" s="1143" t="s">
        <v>118</v>
      </c>
      <c r="B33" s="151" t="s">
        <v>15</v>
      </c>
      <c r="C33" s="1938">
        <f>ROUND(SUM(C30:C32),1)</f>
        <v>4397</v>
      </c>
      <c r="D33" s="1579"/>
      <c r="E33" s="1938">
        <f>ROUND(SUM(E30:E32),1)</f>
        <v>3838</v>
      </c>
      <c r="F33" s="941"/>
      <c r="G33" s="215">
        <f>ROUND(SUM(G30:G32),1)</f>
        <v>3840</v>
      </c>
      <c r="H33" s="941"/>
      <c r="I33" s="1589">
        <f>ROUND(SUM(I30:I32),1)</f>
        <v>0</v>
      </c>
      <c r="J33" s="941"/>
      <c r="K33" s="1589">
        <f>ROUND(SUM(K30:K32),1)</f>
        <v>3840</v>
      </c>
      <c r="L33" s="941"/>
      <c r="M33" s="1527">
        <f>ROUND(SUM(M30:M32),1)</f>
        <v>-557</v>
      </c>
      <c r="O33" s="215">
        <f>ROUND(SUM(O30:O32),1)</f>
        <v>2</v>
      </c>
    </row>
    <row r="34" spans="1:34">
      <c r="A34" s="706"/>
      <c r="B34" s="943" t="s">
        <v>15</v>
      </c>
      <c r="C34" s="1936"/>
      <c r="D34" s="962"/>
      <c r="E34" s="1936"/>
      <c r="F34" s="656"/>
      <c r="G34" s="704"/>
      <c r="H34" s="656"/>
      <c r="I34" s="1578"/>
      <c r="J34" s="1578"/>
      <c r="K34" s="1578"/>
      <c r="L34" s="1578"/>
      <c r="M34" s="1061"/>
      <c r="O34" s="704"/>
    </row>
    <row r="35" spans="1:34" ht="15.75">
      <c r="A35" s="29" t="s">
        <v>101</v>
      </c>
      <c r="B35" s="943"/>
      <c r="C35" s="1578"/>
      <c r="D35" s="962"/>
      <c r="E35" s="1578"/>
      <c r="F35" s="656"/>
      <c r="G35" s="656"/>
      <c r="H35" s="656"/>
      <c r="I35" s="1578"/>
      <c r="J35" s="1578"/>
      <c r="K35" s="1578"/>
      <c r="L35" s="1578"/>
      <c r="M35" s="914"/>
      <c r="O35" s="656"/>
    </row>
    <row r="36" spans="1:34" ht="15.75">
      <c r="A36" s="29" t="s">
        <v>102</v>
      </c>
      <c r="B36" s="943"/>
      <c r="C36" s="1578"/>
      <c r="D36" s="962"/>
      <c r="E36" s="1578"/>
      <c r="F36" s="656"/>
      <c r="G36" s="656"/>
      <c r="H36" s="656"/>
      <c r="I36" s="1578"/>
      <c r="J36" s="1578"/>
      <c r="K36" s="1578"/>
      <c r="L36" s="1578"/>
      <c r="M36" s="914"/>
      <c r="O36" s="656"/>
    </row>
    <row r="37" spans="1:34" ht="15.75">
      <c r="A37" s="1143" t="s">
        <v>103</v>
      </c>
      <c r="B37" s="174" t="s">
        <v>15</v>
      </c>
      <c r="C37" s="1579">
        <f>ROUND(SUM(C27)-SUM(C33),1)</f>
        <v>-531</v>
      </c>
      <c r="D37" s="1579"/>
      <c r="E37" s="1579">
        <f>ROUND(SUM(E27)-SUM(E33),1)</f>
        <v>-189</v>
      </c>
      <c r="F37" s="84"/>
      <c r="G37" s="76">
        <f>ROUND(SUM(G27)-SUM(G33),1)</f>
        <v>-196.6</v>
      </c>
      <c r="H37" s="84"/>
      <c r="I37" s="84">
        <v>0</v>
      </c>
      <c r="J37" s="84"/>
      <c r="K37" s="1579">
        <f>ROUND(SUM(K27)-SUM(K33),1)</f>
        <v>-196.6</v>
      </c>
      <c r="L37" s="84"/>
      <c r="M37" s="115">
        <f>ROUND(SUM(M27)-SUM(M33),1)</f>
        <v>334.4</v>
      </c>
      <c r="N37" s="635"/>
      <c r="O37" s="76">
        <f>ROUND(SUM(O27)-SUM(O33),1)</f>
        <v>-7.6</v>
      </c>
    </row>
    <row r="38" spans="1:34" ht="15.75">
      <c r="B38" s="635"/>
      <c r="C38" s="684"/>
      <c r="D38" s="1579"/>
      <c r="E38" s="684"/>
      <c r="F38" s="951"/>
      <c r="G38" s="684"/>
      <c r="H38" s="951"/>
      <c r="I38" s="951"/>
      <c r="J38" s="951"/>
      <c r="K38" s="684"/>
      <c r="L38" s="951"/>
      <c r="M38" s="1528"/>
      <c r="O38" s="684"/>
    </row>
    <row r="39" spans="1:34" ht="15.75">
      <c r="A39" s="1143" t="str">
        <f>+'Exh D-Governmental  '!A49</f>
        <v>Fund Balances (Deficits) at April 1</v>
      </c>
      <c r="B39" s="953" t="s">
        <v>15</v>
      </c>
      <c r="C39" s="1942">
        <f>'Exh D Captl Projects State Fed'!C39+'Exh D Captl Projects State Fed'!M39</f>
        <v>-1138</v>
      </c>
      <c r="D39" s="1579"/>
      <c r="E39" s="1942">
        <v>-1138</v>
      </c>
      <c r="F39" s="951"/>
      <c r="G39" s="76">
        <f>'Exhibit I'!E15</f>
        <v>-1137.9000000000001</v>
      </c>
      <c r="H39" s="951"/>
      <c r="I39" s="3222">
        <v>0</v>
      </c>
      <c r="J39" s="951"/>
      <c r="K39" s="1944">
        <f>+G39+I39</f>
        <v>-1137.9000000000001</v>
      </c>
      <c r="L39" s="951"/>
      <c r="M39" s="1702">
        <f>ROUND(SUM(K39-C39),1)</f>
        <v>0.1</v>
      </c>
      <c r="N39" s="635"/>
      <c r="O39" s="1702">
        <f>ROUND(SUM(K39-E39),1)</f>
        <v>0.1</v>
      </c>
      <c r="P39" s="635"/>
      <c r="Q39" s="635"/>
      <c r="R39" s="635"/>
      <c r="S39" s="635"/>
      <c r="T39" s="635"/>
      <c r="U39" s="635"/>
      <c r="V39" s="635"/>
      <c r="W39" s="635"/>
      <c r="X39" s="635"/>
      <c r="Y39" s="635"/>
      <c r="Z39" s="635"/>
      <c r="AA39" s="635"/>
      <c r="AB39" s="635"/>
      <c r="AC39" s="635"/>
      <c r="AD39" s="635"/>
      <c r="AE39" s="635"/>
      <c r="AF39" s="635"/>
      <c r="AG39" s="635"/>
      <c r="AH39" s="954"/>
    </row>
    <row r="40" spans="1:34" ht="16.5" thickBot="1">
      <c r="A40" s="1417" t="str">
        <f>+'Exh D-Governmental  '!A50</f>
        <v>Fund Balances (Deficits) at July 31, 2019</v>
      </c>
      <c r="B40" s="180" t="s">
        <v>15</v>
      </c>
      <c r="C40" s="98">
        <f>ROUND(SUM(C37:C39),1)</f>
        <v>-1669</v>
      </c>
      <c r="D40" s="219"/>
      <c r="E40" s="98">
        <f>ROUND(SUM(E37:E39),1)</f>
        <v>-1327</v>
      </c>
      <c r="F40" s="181"/>
      <c r="G40" s="98">
        <f>ROUND(SUM(G37:G39),1)</f>
        <v>-1334.5</v>
      </c>
      <c r="H40" s="181"/>
      <c r="I40" s="98">
        <f>ROUND(SUM(I37:I39),1)</f>
        <v>0</v>
      </c>
      <c r="J40" s="181"/>
      <c r="K40" s="98">
        <f>ROUND(SUM(K37:K39),1)</f>
        <v>-1334.5</v>
      </c>
      <c r="L40" s="181"/>
      <c r="M40" s="1529">
        <f>ROUND(SUM(M37:M39),1)</f>
        <v>334.5</v>
      </c>
      <c r="N40" s="635"/>
      <c r="O40" s="98">
        <f>ROUND(SUM(O37:O39),1)</f>
        <v>-7.5</v>
      </c>
      <c r="P40" s="635"/>
      <c r="Q40" s="635"/>
      <c r="R40" s="635"/>
      <c r="S40" s="635"/>
      <c r="T40" s="635"/>
      <c r="U40" s="635"/>
      <c r="V40" s="635"/>
      <c r="W40" s="635"/>
      <c r="X40" s="635"/>
      <c r="Y40" s="635"/>
      <c r="Z40" s="635"/>
      <c r="AA40" s="635"/>
      <c r="AB40" s="635"/>
      <c r="AC40" s="635"/>
      <c r="AD40" s="635"/>
      <c r="AE40" s="635"/>
      <c r="AF40" s="635"/>
      <c r="AG40" s="635"/>
      <c r="AH40" s="954"/>
    </row>
    <row r="41" spans="1:34" ht="15.75" thickTop="1">
      <c r="B41" s="635"/>
      <c r="C41" s="635"/>
      <c r="D41" s="635"/>
      <c r="E41" s="635"/>
      <c r="G41" s="977"/>
    </row>
    <row r="42" spans="1:34">
      <c r="A42" s="2206" t="str">
        <f>'Exh D-Governmental  '!A52</f>
        <v>(*)    Source: 2019-20 Enacted Financial Plan dated May 13, 2019.</v>
      </c>
      <c r="B42" s="635"/>
      <c r="D42" s="635"/>
    </row>
    <row r="43" spans="1:34">
      <c r="A43" s="1542" t="str">
        <f>'Exh D Debt Service'!A42</f>
        <v>(**)   Source: 2019-20 First Quarter Update dated August 13, 2019.</v>
      </c>
      <c r="B43" s="635"/>
      <c r="D43" s="635"/>
      <c r="G43" s="946"/>
      <c r="H43" s="670"/>
      <c r="I43" s="670"/>
      <c r="J43" s="670"/>
      <c r="K43" s="670"/>
      <c r="L43" s="670"/>
      <c r="M43" s="1703"/>
      <c r="N43" s="670"/>
      <c r="O43" s="978"/>
    </row>
    <row r="44" spans="1:34">
      <c r="A44" s="1542"/>
      <c r="B44" s="635"/>
      <c r="D44" s="635"/>
    </row>
    <row r="45" spans="1:34">
      <c r="A45" s="1542"/>
      <c r="B45" s="635"/>
      <c r="D45" s="635"/>
    </row>
    <row r="46" spans="1:34">
      <c r="A46" s="1070"/>
      <c r="B46" s="635"/>
      <c r="D46" s="635"/>
    </row>
    <row r="47" spans="1:34">
      <c r="A47" s="183"/>
      <c r="B47" s="635"/>
      <c r="D47" s="635"/>
    </row>
    <row r="48" spans="1:34">
      <c r="B48" s="635"/>
      <c r="D48" s="635"/>
    </row>
    <row r="49" spans="2:2">
      <c r="B49" s="635"/>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77734375" defaultRowHeight="15"/>
  <cols>
    <col min="1" max="1" width="51.77734375" style="950" customWidth="1"/>
    <col min="2" max="2" width="2.109375" style="954" customWidth="1"/>
    <col min="3" max="3" width="15.77734375" style="432" customWidth="1"/>
    <col min="4" max="4" width="1.109375" style="954" customWidth="1"/>
    <col min="5" max="5" width="15.77734375" style="432" customWidth="1"/>
    <col min="6" max="6" width="1.109375" style="954" customWidth="1"/>
    <col min="7" max="7" width="15.77734375" style="954" customWidth="1"/>
    <col min="8" max="8" width="0.77734375" style="954" customWidth="1"/>
    <col min="9" max="9" width="19.44140625" style="954" customWidth="1"/>
    <col min="10" max="10" width="1.109375" style="635" customWidth="1"/>
    <col min="11" max="11" width="19.44140625" style="954" customWidth="1"/>
    <col min="12" max="12" width="1.21875" style="954" customWidth="1"/>
    <col min="13" max="13" width="15.77734375" style="635" customWidth="1"/>
    <col min="14" max="14" width="1.21875" style="635" customWidth="1"/>
    <col min="15" max="15" width="15.77734375" style="635" customWidth="1"/>
    <col min="16" max="16" width="1.21875" style="635" customWidth="1"/>
    <col min="17" max="17" width="15.77734375" style="635" customWidth="1"/>
    <col min="18" max="18" width="1.21875" style="635" customWidth="1"/>
    <col min="19" max="19" width="15.77734375" style="635" customWidth="1"/>
    <col min="20" max="20" width="1.77734375" style="635" customWidth="1"/>
    <col min="21" max="21" width="15.77734375" style="432" customWidth="1"/>
    <col min="22" max="22" width="0.77734375" style="635" customWidth="1"/>
    <col min="23" max="23" width="15.77734375" style="432" customWidth="1"/>
    <col min="24" max="24" width="1.21875" style="635" customWidth="1"/>
    <col min="25" max="25" width="15.77734375" style="635" customWidth="1"/>
    <col min="26" max="26" width="1" style="635" customWidth="1"/>
    <col min="27" max="27" width="15.77734375" style="635" customWidth="1"/>
    <col min="28" max="28" width="3.77734375" style="954" bestFit="1" customWidth="1"/>
    <col min="29" max="33" width="8.77734375" style="954"/>
    <col min="34" max="16384" width="8.77734375" style="950"/>
  </cols>
  <sheetData>
    <row r="1" spans="1:48">
      <c r="A1" s="956" t="s">
        <v>980</v>
      </c>
    </row>
    <row r="2" spans="1:48" ht="16.5">
      <c r="A2" s="185"/>
      <c r="B2" s="187"/>
      <c r="C2" s="426"/>
      <c r="D2" s="187"/>
      <c r="E2" s="426"/>
      <c r="F2" s="187"/>
      <c r="G2" s="187"/>
      <c r="H2" s="187"/>
      <c r="I2" s="187"/>
      <c r="J2" s="186"/>
      <c r="K2" s="187"/>
      <c r="L2" s="187"/>
      <c r="M2" s="186"/>
      <c r="N2" s="186"/>
      <c r="O2" s="186"/>
      <c r="P2" s="186"/>
      <c r="Q2" s="186"/>
      <c r="R2" s="186"/>
      <c r="S2" s="186"/>
      <c r="T2" s="186"/>
      <c r="U2" s="1206"/>
      <c r="V2" s="186"/>
      <c r="W2" s="1206"/>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40"/>
      <c r="T3" s="156"/>
      <c r="U3" s="840" t="s">
        <v>84</v>
      </c>
      <c r="V3" s="156"/>
      <c r="W3" s="1208"/>
      <c r="X3" s="156"/>
      <c r="Y3" s="156"/>
      <c r="Z3" s="156"/>
      <c r="AA3" s="1209"/>
    </row>
    <row r="4" spans="1:48" ht="17.25" customHeight="1">
      <c r="A4" s="191" t="s">
        <v>1214</v>
      </c>
      <c r="B4" s="148"/>
      <c r="C4" s="428"/>
      <c r="D4" s="143"/>
      <c r="E4" s="428"/>
      <c r="F4" s="143"/>
      <c r="G4" s="143"/>
      <c r="H4" s="143"/>
      <c r="I4" s="143"/>
      <c r="J4" s="156"/>
      <c r="K4" s="143"/>
      <c r="L4" s="143"/>
      <c r="M4" s="156"/>
      <c r="N4" s="156"/>
      <c r="O4" s="156"/>
      <c r="P4" s="156"/>
      <c r="Q4" s="156"/>
      <c r="R4" s="156"/>
      <c r="S4" s="841"/>
      <c r="T4" s="156"/>
      <c r="U4" s="841"/>
      <c r="V4" s="156"/>
      <c r="W4" s="1208"/>
      <c r="X4" s="156"/>
      <c r="Y4" s="156"/>
      <c r="Z4" s="156"/>
      <c r="AA4" s="1210"/>
    </row>
    <row r="5" spans="1:48" ht="17.25" customHeight="1">
      <c r="A5" s="3839" t="str">
        <f>'Exh D-Governmental  '!A5:E5</f>
        <v>FISCAL YEAR 2019-2020</v>
      </c>
      <c r="B5" s="3840"/>
      <c r="C5" s="3840"/>
      <c r="D5" s="3840"/>
      <c r="E5" s="3840"/>
      <c r="F5" s="143"/>
      <c r="G5" s="143"/>
      <c r="H5" s="143"/>
      <c r="I5" s="143"/>
      <c r="J5" s="156"/>
      <c r="K5" s="143"/>
      <c r="L5" s="143"/>
      <c r="M5" s="156"/>
      <c r="N5" s="156"/>
      <c r="O5" s="156"/>
      <c r="P5" s="156"/>
      <c r="Q5" s="156"/>
      <c r="R5" s="156"/>
      <c r="S5" s="156"/>
      <c r="T5" s="156"/>
      <c r="U5" s="1208"/>
      <c r="V5" s="156"/>
      <c r="W5" s="1208"/>
      <c r="X5" s="156"/>
      <c r="Y5" s="156"/>
      <c r="Z5" s="156"/>
      <c r="AA5" s="156"/>
    </row>
    <row r="6" spans="1:48" ht="17.25" customHeight="1">
      <c r="A6" s="1516" t="str">
        <f>'Exh D-Governmental  '!A6</f>
        <v>FOR FOUR MONTHS ENDED JULY 31, 2019</v>
      </c>
      <c r="B6" s="147"/>
      <c r="C6" s="428"/>
      <c r="D6" s="143"/>
      <c r="E6" s="428"/>
      <c r="F6" s="143"/>
      <c r="G6" s="143"/>
      <c r="H6" s="143"/>
      <c r="I6" s="143"/>
      <c r="J6" s="156"/>
      <c r="K6" s="143"/>
      <c r="L6" s="143"/>
      <c r="M6" s="156"/>
      <c r="N6" s="156"/>
      <c r="O6" s="156"/>
      <c r="P6" s="156"/>
      <c r="Q6" s="156"/>
      <c r="R6" s="156"/>
      <c r="S6" s="156"/>
      <c r="T6" s="156"/>
      <c r="U6" s="1208"/>
      <c r="V6" s="156"/>
      <c r="W6" s="1208"/>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4"/>
    </row>
    <row r="7" spans="1:48" ht="18">
      <c r="A7" s="191" t="s">
        <v>1434</v>
      </c>
      <c r="B7" s="148"/>
      <c r="C7" s="428"/>
      <c r="D7" s="143"/>
      <c r="E7" s="428"/>
      <c r="F7" s="143"/>
      <c r="G7" s="143"/>
      <c r="H7" s="143"/>
      <c r="I7" s="143"/>
      <c r="J7" s="156"/>
      <c r="K7" s="143"/>
      <c r="L7" s="143"/>
      <c r="M7" s="156"/>
      <c r="N7" s="156"/>
      <c r="O7" s="156"/>
      <c r="P7" s="156"/>
      <c r="Q7" s="156"/>
      <c r="R7" s="156"/>
      <c r="S7" s="156"/>
      <c r="T7" s="156"/>
      <c r="U7" s="1208"/>
      <c r="V7" s="156"/>
      <c r="W7" s="120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8"/>
      <c r="V8" s="156"/>
      <c r="W8" s="120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8"/>
      <c r="V9" s="156"/>
      <c r="W9" s="120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3"/>
      <c r="V10" s="147"/>
      <c r="W10" s="983"/>
      <c r="X10" s="147"/>
      <c r="Y10" s="147"/>
      <c r="Z10" s="147"/>
      <c r="AA10" s="147"/>
      <c r="AB10" s="970"/>
    </row>
    <row r="11" spans="1:48" ht="15.75">
      <c r="A11" s="706"/>
      <c r="B11" s="151"/>
      <c r="C11" s="3801" t="s">
        <v>1153</v>
      </c>
      <c r="D11" s="3801"/>
      <c r="E11" s="3801"/>
      <c r="F11" s="3801"/>
      <c r="G11" s="3801"/>
      <c r="H11" s="3801"/>
      <c r="I11" s="3801"/>
      <c r="J11" s="1202"/>
      <c r="K11" s="1202"/>
      <c r="L11" s="205"/>
      <c r="M11" s="3801" t="s">
        <v>1154</v>
      </c>
      <c r="N11" s="3801"/>
      <c r="O11" s="3801"/>
      <c r="P11" s="3801"/>
      <c r="Q11" s="3801"/>
      <c r="R11" s="3801"/>
      <c r="S11" s="3801"/>
      <c r="T11" s="1215"/>
      <c r="U11" s="1456"/>
      <c r="V11" s="1456"/>
      <c r="W11" s="196"/>
      <c r="X11" s="196"/>
      <c r="Y11" s="196"/>
      <c r="Z11" s="196"/>
      <c r="AA11" s="196"/>
      <c r="AB11" s="970"/>
    </row>
    <row r="12" spans="1:48" ht="15.75">
      <c r="A12" s="706"/>
      <c r="B12" s="151"/>
      <c r="C12" s="434"/>
      <c r="D12" s="152"/>
      <c r="E12" s="434"/>
      <c r="F12" s="152"/>
      <c r="G12" s="152"/>
      <c r="H12" s="152"/>
      <c r="I12" s="206" t="s">
        <v>85</v>
      </c>
      <c r="J12" s="206"/>
      <c r="K12" s="206" t="s">
        <v>85</v>
      </c>
      <c r="L12" s="957"/>
      <c r="M12" s="434"/>
      <c r="N12" s="152"/>
      <c r="O12" s="434"/>
      <c r="P12" s="152"/>
      <c r="Q12" s="152"/>
      <c r="R12" s="152"/>
      <c r="S12" s="206" t="s">
        <v>85</v>
      </c>
      <c r="T12" s="151"/>
      <c r="U12" s="206" t="s">
        <v>85</v>
      </c>
      <c r="V12" s="151"/>
      <c r="W12" s="999"/>
      <c r="X12" s="151"/>
      <c r="Y12" s="151"/>
      <c r="Z12" s="151"/>
      <c r="AA12" s="206"/>
    </row>
    <row r="13" spans="1:48" ht="15.75">
      <c r="A13" s="706"/>
      <c r="B13" s="151"/>
      <c r="C13" s="434"/>
      <c r="D13" s="152"/>
      <c r="E13" s="434"/>
      <c r="F13" s="152"/>
      <c r="G13" s="152"/>
      <c r="H13" s="152"/>
      <c r="I13" s="153" t="s">
        <v>886</v>
      </c>
      <c r="J13" s="201"/>
      <c r="K13" s="153" t="s">
        <v>886</v>
      </c>
      <c r="L13" s="957"/>
      <c r="M13" s="434"/>
      <c r="N13" s="152"/>
      <c r="O13" s="434"/>
      <c r="P13" s="152"/>
      <c r="Q13" s="152"/>
      <c r="R13" s="152"/>
      <c r="S13" s="153" t="s">
        <v>886</v>
      </c>
      <c r="T13" s="151"/>
      <c r="U13" s="153" t="s">
        <v>886</v>
      </c>
      <c r="V13" s="151"/>
      <c r="W13" s="999"/>
      <c r="X13" s="151"/>
      <c r="Y13" s="151"/>
      <c r="Z13" s="151"/>
      <c r="AA13" s="201"/>
    </row>
    <row r="14" spans="1:48" ht="15.75" customHeight="1">
      <c r="A14" s="706"/>
      <c r="B14" s="151"/>
      <c r="C14" s="154" t="s">
        <v>1095</v>
      </c>
      <c r="D14" s="950"/>
      <c r="E14" s="154" t="s">
        <v>1096</v>
      </c>
      <c r="F14" s="152"/>
      <c r="G14" s="152"/>
      <c r="H14" s="152"/>
      <c r="I14" s="153" t="s">
        <v>86</v>
      </c>
      <c r="J14" s="201"/>
      <c r="K14" s="153" t="s">
        <v>86</v>
      </c>
      <c r="L14" s="957"/>
      <c r="M14" s="154" t="s">
        <v>1095</v>
      </c>
      <c r="N14" s="950"/>
      <c r="O14" s="154" t="s">
        <v>1096</v>
      </c>
      <c r="P14" s="152"/>
      <c r="Q14" s="152"/>
      <c r="R14" s="152"/>
      <c r="S14" s="153" t="s">
        <v>86</v>
      </c>
      <c r="T14" s="202"/>
      <c r="U14" s="153" t="s">
        <v>86</v>
      </c>
      <c r="V14" s="707"/>
      <c r="W14" s="200"/>
      <c r="X14" s="151"/>
      <c r="Y14" s="151"/>
      <c r="Z14" s="151"/>
      <c r="AA14" s="201"/>
    </row>
    <row r="15" spans="1:48" ht="15.75" customHeight="1">
      <c r="A15" s="706"/>
      <c r="B15" s="151"/>
      <c r="C15" s="153" t="s">
        <v>1134</v>
      </c>
      <c r="D15" s="152"/>
      <c r="E15" s="153" t="s">
        <v>1134</v>
      </c>
      <c r="F15" s="152"/>
      <c r="G15" s="152"/>
      <c r="H15" s="152"/>
      <c r="I15" s="153" t="s">
        <v>1095</v>
      </c>
      <c r="J15" s="200"/>
      <c r="K15" s="154" t="s">
        <v>1096</v>
      </c>
      <c r="L15" s="1000"/>
      <c r="M15" s="153" t="s">
        <v>1134</v>
      </c>
      <c r="N15" s="152"/>
      <c r="O15" s="153" t="s">
        <v>1134</v>
      </c>
      <c r="P15" s="152"/>
      <c r="Q15" s="152"/>
      <c r="R15" s="152"/>
      <c r="S15" s="153" t="s">
        <v>1095</v>
      </c>
      <c r="T15" s="202"/>
      <c r="U15" s="154" t="s">
        <v>1096</v>
      </c>
      <c r="V15" s="151"/>
      <c r="W15" s="201"/>
      <c r="X15" s="151"/>
      <c r="Y15" s="151"/>
      <c r="Z15" s="151"/>
      <c r="AA15" s="200"/>
    </row>
    <row r="16" spans="1:48" ht="15.75">
      <c r="A16" s="706"/>
      <c r="B16" s="151"/>
      <c r="C16" s="153" t="s">
        <v>1135</v>
      </c>
      <c r="D16" s="152"/>
      <c r="E16" s="153" t="s">
        <v>1497</v>
      </c>
      <c r="F16" s="152"/>
      <c r="G16" s="154" t="s">
        <v>85</v>
      </c>
      <c r="H16" s="152"/>
      <c r="I16" s="153" t="s">
        <v>87</v>
      </c>
      <c r="J16" s="201"/>
      <c r="K16" s="153" t="s">
        <v>87</v>
      </c>
      <c r="L16" s="957"/>
      <c r="M16" s="153" t="s">
        <v>1135</v>
      </c>
      <c r="N16" s="152"/>
      <c r="O16" s="153" t="s">
        <v>1497</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8"/>
      <c r="M17" s="157"/>
      <c r="N17" s="143"/>
      <c r="O17" s="157"/>
      <c r="P17" s="143"/>
      <c r="Q17" s="157"/>
      <c r="R17" s="143"/>
      <c r="S17" s="157"/>
      <c r="T17" s="156"/>
      <c r="U17" s="157"/>
      <c r="V17" s="156"/>
      <c r="W17" s="156"/>
      <c r="X17" s="156"/>
      <c r="Y17" s="156"/>
      <c r="Z17" s="156"/>
      <c r="AA17" s="156"/>
    </row>
    <row r="18" spans="1:48" ht="15.75">
      <c r="A18" s="29" t="s">
        <v>14</v>
      </c>
      <c r="B18" s="943"/>
      <c r="C18" s="670"/>
      <c r="D18" s="670"/>
      <c r="E18" s="670"/>
      <c r="F18" s="670"/>
      <c r="G18" s="833" t="s">
        <v>15</v>
      </c>
      <c r="H18" s="670"/>
      <c r="I18" s="670"/>
      <c r="J18" s="943"/>
      <c r="K18" s="670"/>
      <c r="L18" s="959"/>
      <c r="M18" s="670"/>
      <c r="N18" s="670"/>
      <c r="O18" s="670"/>
      <c r="P18" s="670"/>
      <c r="Q18" s="670" t="s">
        <v>15</v>
      </c>
      <c r="R18" s="670"/>
      <c r="S18" s="670"/>
      <c r="T18" s="943"/>
      <c r="U18" s="670"/>
      <c r="V18" s="943"/>
      <c r="W18" s="943"/>
      <c r="X18" s="943"/>
      <c r="Y18" s="943"/>
      <c r="Z18" s="943"/>
      <c r="AA18" s="943"/>
    </row>
    <row r="19" spans="1:48">
      <c r="A19" s="838" t="s">
        <v>88</v>
      </c>
      <c r="B19" s="944" t="s">
        <v>15</v>
      </c>
      <c r="C19" s="671"/>
      <c r="D19" s="673"/>
      <c r="E19" s="671"/>
      <c r="F19" s="673"/>
      <c r="G19" s="671"/>
      <c r="H19" s="673"/>
      <c r="I19" s="671"/>
      <c r="J19" s="990"/>
      <c r="K19" s="671"/>
      <c r="L19" s="971"/>
      <c r="M19" s="671"/>
      <c r="N19" s="671"/>
      <c r="O19" s="671"/>
      <c r="P19" s="671"/>
      <c r="Q19" s="972"/>
      <c r="R19" s="673"/>
      <c r="S19" s="671"/>
      <c r="T19" s="673"/>
      <c r="U19" s="671"/>
      <c r="V19" s="990"/>
      <c r="W19" s="990"/>
      <c r="X19" s="990"/>
      <c r="Y19" s="1216"/>
      <c r="Z19" s="988"/>
      <c r="AA19" s="990"/>
      <c r="AB19" s="943"/>
      <c r="AC19" s="943"/>
      <c r="AD19" s="943"/>
      <c r="AE19" s="943"/>
      <c r="AF19" s="943"/>
      <c r="AG19" s="943"/>
      <c r="AH19" s="943"/>
      <c r="AI19" s="943"/>
      <c r="AJ19" s="943"/>
      <c r="AK19" s="943"/>
      <c r="AL19" s="943"/>
      <c r="AM19" s="943"/>
      <c r="AN19" s="943"/>
      <c r="AO19" s="943"/>
      <c r="AP19" s="943"/>
      <c r="AQ19" s="635"/>
      <c r="AR19" s="635"/>
      <c r="AS19" s="635"/>
      <c r="AT19" s="635"/>
      <c r="AU19" s="635"/>
      <c r="AV19" s="954"/>
    </row>
    <row r="20" spans="1:48">
      <c r="A20" s="838" t="s">
        <v>90</v>
      </c>
      <c r="B20" s="943" t="s">
        <v>15</v>
      </c>
      <c r="C20" s="2122">
        <v>210</v>
      </c>
      <c r="D20" s="671"/>
      <c r="E20" s="2122">
        <v>216</v>
      </c>
      <c r="F20" s="671"/>
      <c r="G20" s="960">
        <f>+'Exhibit I State'!AD22</f>
        <v>210.7</v>
      </c>
      <c r="H20" s="671"/>
      <c r="I20" s="671">
        <f t="shared" ref="I20:I26" si="0">ROUND(SUM(G20)-SUM(C20),1)</f>
        <v>0.7</v>
      </c>
      <c r="J20" s="990"/>
      <c r="K20" s="671">
        <f t="shared" ref="K20:K26" si="1">ROUND(SUM(G20)-SUM(E20),1)</f>
        <v>-5.3</v>
      </c>
      <c r="L20" s="971"/>
      <c r="M20" s="2122">
        <v>0</v>
      </c>
      <c r="N20" s="2122"/>
      <c r="O20" s="2122">
        <v>0</v>
      </c>
      <c r="P20" s="674"/>
      <c r="Q20" s="960">
        <v>0</v>
      </c>
      <c r="R20" s="674"/>
      <c r="S20" s="671">
        <f t="shared" ref="S20:S26" si="2">ROUND(SUM(Q20)-SUM(M20),1)</f>
        <v>0</v>
      </c>
      <c r="T20" s="990"/>
      <c r="U20" s="671">
        <f t="shared" ref="U20:U26" si="3">ROUND(SUM(Q20)-SUM(O20),1)</f>
        <v>0</v>
      </c>
      <c r="V20" s="1217"/>
      <c r="W20" s="989"/>
      <c r="X20" s="1217"/>
      <c r="Y20" s="989"/>
      <c r="Z20" s="1217"/>
      <c r="AA20" s="990"/>
      <c r="AB20" s="943"/>
      <c r="AC20" s="943"/>
      <c r="AD20" s="943"/>
      <c r="AE20" s="943"/>
      <c r="AF20" s="943"/>
      <c r="AG20" s="943"/>
      <c r="AH20" s="943"/>
      <c r="AI20" s="943"/>
      <c r="AJ20" s="943"/>
      <c r="AK20" s="943"/>
      <c r="AL20" s="943"/>
      <c r="AM20" s="943"/>
      <c r="AN20" s="943"/>
      <c r="AO20" s="943"/>
      <c r="AP20" s="943"/>
      <c r="AQ20" s="635"/>
      <c r="AR20" s="635"/>
      <c r="AS20" s="635"/>
      <c r="AT20" s="635"/>
      <c r="AU20" s="635"/>
      <c r="AV20" s="954"/>
    </row>
    <row r="21" spans="1:48">
      <c r="A21" s="838" t="s">
        <v>91</v>
      </c>
      <c r="B21" s="944" t="s">
        <v>15</v>
      </c>
      <c r="C21" s="1144">
        <v>224</v>
      </c>
      <c r="D21" s="695"/>
      <c r="E21" s="1144">
        <v>229</v>
      </c>
      <c r="F21" s="695"/>
      <c r="G21" s="702">
        <f>+'Exhibit I State'!AD27</f>
        <v>228.1</v>
      </c>
      <c r="H21" s="695"/>
      <c r="I21" s="656">
        <f t="shared" si="0"/>
        <v>4.0999999999999996</v>
      </c>
      <c r="J21" s="962"/>
      <c r="K21" s="1578">
        <f t="shared" si="1"/>
        <v>-0.9</v>
      </c>
      <c r="L21" s="973"/>
      <c r="M21" s="1144">
        <v>0</v>
      </c>
      <c r="N21" s="1144"/>
      <c r="O21" s="1144">
        <v>0</v>
      </c>
      <c r="P21" s="672"/>
      <c r="Q21" s="702">
        <v>0</v>
      </c>
      <c r="R21" s="672"/>
      <c r="S21" s="656">
        <f t="shared" si="2"/>
        <v>0</v>
      </c>
      <c r="T21" s="695"/>
      <c r="U21" s="1578">
        <f t="shared" si="3"/>
        <v>0</v>
      </c>
      <c r="V21" s="965"/>
      <c r="W21" s="993"/>
      <c r="X21" s="965"/>
      <c r="Y21" s="993"/>
      <c r="Z21" s="965"/>
      <c r="AA21" s="962"/>
      <c r="AB21" s="964"/>
      <c r="AC21" s="943"/>
      <c r="AD21" s="943"/>
      <c r="AE21" s="964"/>
      <c r="AF21" s="943"/>
      <c r="AG21" s="964"/>
      <c r="AH21" s="943"/>
      <c r="AI21" s="943"/>
      <c r="AJ21" s="964"/>
      <c r="AK21" s="943"/>
      <c r="AL21" s="943"/>
      <c r="AM21" s="964"/>
      <c r="AN21" s="203"/>
      <c r="AO21" s="964"/>
      <c r="AP21" s="943"/>
      <c r="AQ21" s="635"/>
      <c r="AR21" s="635"/>
      <c r="AS21" s="635"/>
      <c r="AT21" s="635"/>
      <c r="AU21" s="635"/>
      <c r="AV21" s="954"/>
    </row>
    <row r="22" spans="1:48">
      <c r="A22" s="838" t="s">
        <v>92</v>
      </c>
      <c r="B22" s="943" t="s">
        <v>15</v>
      </c>
      <c r="C22" s="1144">
        <v>24</v>
      </c>
      <c r="D22" s="1578"/>
      <c r="E22" s="1144">
        <v>24</v>
      </c>
      <c r="F22" s="656"/>
      <c r="G22" s="702">
        <f>+'Exhibit I State'!AD30</f>
        <v>23.8</v>
      </c>
      <c r="H22" s="656"/>
      <c r="I22" s="656">
        <f t="shared" si="0"/>
        <v>-0.2</v>
      </c>
      <c r="J22" s="962"/>
      <c r="K22" s="1578">
        <f t="shared" si="1"/>
        <v>-0.2</v>
      </c>
      <c r="L22" s="973"/>
      <c r="M22" s="1144">
        <v>0</v>
      </c>
      <c r="N22" s="1144"/>
      <c r="O22" s="1144">
        <v>0</v>
      </c>
      <c r="P22" s="672"/>
      <c r="Q22" s="702">
        <v>0</v>
      </c>
      <c r="R22" s="672"/>
      <c r="S22" s="656">
        <f t="shared" si="2"/>
        <v>0</v>
      </c>
      <c r="T22" s="962"/>
      <c r="U22" s="1578">
        <f t="shared" si="3"/>
        <v>0</v>
      </c>
      <c r="V22" s="965"/>
      <c r="W22" s="993"/>
      <c r="X22" s="965"/>
      <c r="Y22" s="993"/>
      <c r="Z22" s="965"/>
      <c r="AA22" s="962"/>
      <c r="AB22" s="943"/>
      <c r="AC22" s="943"/>
      <c r="AD22" s="943"/>
      <c r="AE22" s="943"/>
      <c r="AF22" s="943"/>
      <c r="AG22" s="943"/>
      <c r="AH22" s="943"/>
      <c r="AI22" s="943"/>
      <c r="AJ22" s="943"/>
      <c r="AK22" s="943"/>
      <c r="AL22" s="943"/>
      <c r="AM22" s="943"/>
      <c r="AN22" s="943"/>
      <c r="AO22" s="943"/>
      <c r="AP22" s="943"/>
      <c r="AQ22" s="635"/>
      <c r="AR22" s="635"/>
      <c r="AS22" s="635"/>
      <c r="AT22" s="635"/>
      <c r="AU22" s="635"/>
      <c r="AV22" s="954"/>
    </row>
    <row r="23" spans="1:48">
      <c r="A23" s="838" t="s">
        <v>20</v>
      </c>
      <c r="B23" s="943" t="s">
        <v>15</v>
      </c>
      <c r="C23" s="1144">
        <v>990</v>
      </c>
      <c r="D23" s="1578"/>
      <c r="E23" s="1144">
        <v>896</v>
      </c>
      <c r="F23" s="656"/>
      <c r="G23" s="702">
        <f>+'Exhibit I State'!AD60</f>
        <v>895.7</v>
      </c>
      <c r="H23" s="656"/>
      <c r="I23" s="656">
        <f t="shared" si="0"/>
        <v>-94.3</v>
      </c>
      <c r="J23" s="962"/>
      <c r="K23" s="1578">
        <f t="shared" si="1"/>
        <v>-0.3</v>
      </c>
      <c r="L23" s="973"/>
      <c r="M23" s="1144">
        <v>0</v>
      </c>
      <c r="N23" s="1578"/>
      <c r="O23" s="1144">
        <v>0</v>
      </c>
      <c r="P23" s="656"/>
      <c r="Q23" s="656">
        <f>+'Exhibit I Federal'!AD42</f>
        <v>0.3</v>
      </c>
      <c r="R23" s="656"/>
      <c r="S23" s="656">
        <f t="shared" si="2"/>
        <v>0.3</v>
      </c>
      <c r="T23" s="962"/>
      <c r="U23" s="1578">
        <f>ROUND(SUM(Q23)-SUM(O23),1)</f>
        <v>0.3</v>
      </c>
      <c r="V23" s="962"/>
      <c r="W23" s="993"/>
      <c r="X23" s="962"/>
      <c r="Y23" s="993"/>
      <c r="Z23" s="962"/>
      <c r="AA23" s="962"/>
    </row>
    <row r="24" spans="1:48">
      <c r="A24" s="838" t="s">
        <v>21</v>
      </c>
      <c r="B24" s="943" t="s">
        <v>15</v>
      </c>
      <c r="C24" s="1144">
        <v>0</v>
      </c>
      <c r="D24" s="1578"/>
      <c r="E24" s="1144">
        <v>0</v>
      </c>
      <c r="F24" s="656"/>
      <c r="G24" s="702">
        <f>+'Exhibit I State'!AD62</f>
        <v>0</v>
      </c>
      <c r="H24" s="656"/>
      <c r="I24" s="656">
        <f t="shared" si="0"/>
        <v>0</v>
      </c>
      <c r="J24" s="962"/>
      <c r="K24" s="1578">
        <f t="shared" si="1"/>
        <v>0</v>
      </c>
      <c r="L24" s="973"/>
      <c r="M24" s="1144">
        <v>543</v>
      </c>
      <c r="N24" s="1578"/>
      <c r="O24" s="1144">
        <v>468</v>
      </c>
      <c r="P24" s="656"/>
      <c r="Q24" s="656">
        <f>+'Exhibit I Federal'!AD44</f>
        <v>469.1</v>
      </c>
      <c r="R24" s="656"/>
      <c r="S24" s="656">
        <f t="shared" si="2"/>
        <v>-73.900000000000006</v>
      </c>
      <c r="T24" s="962"/>
      <c r="U24" s="1578">
        <f t="shared" si="3"/>
        <v>1.1000000000000001</v>
      </c>
      <c r="V24" s="962"/>
      <c r="W24" s="993"/>
      <c r="X24" s="962"/>
      <c r="Y24" s="993"/>
      <c r="Z24" s="962"/>
      <c r="AA24" s="962"/>
    </row>
    <row r="25" spans="1:48">
      <c r="A25" s="838" t="s">
        <v>98</v>
      </c>
      <c r="B25" s="943" t="s">
        <v>15</v>
      </c>
      <c r="C25" s="1144">
        <v>0</v>
      </c>
      <c r="D25" s="1578"/>
      <c r="E25" s="1144">
        <v>0</v>
      </c>
      <c r="F25" s="656"/>
      <c r="G25" s="702">
        <f>+'Exhibit I State'!AA91</f>
        <v>0</v>
      </c>
      <c r="H25" s="656"/>
      <c r="I25" s="656">
        <f t="shared" si="0"/>
        <v>0</v>
      </c>
      <c r="J25" s="962"/>
      <c r="K25" s="1578">
        <f t="shared" si="1"/>
        <v>0</v>
      </c>
      <c r="L25" s="974"/>
      <c r="M25" s="1144">
        <v>0</v>
      </c>
      <c r="N25" s="914"/>
      <c r="O25" s="1144">
        <v>0</v>
      </c>
      <c r="P25" s="656"/>
      <c r="Q25" s="672">
        <v>0</v>
      </c>
      <c r="R25" s="656"/>
      <c r="S25" s="656">
        <f t="shared" si="2"/>
        <v>0</v>
      </c>
      <c r="T25" s="963"/>
      <c r="U25" s="1578">
        <f t="shared" si="3"/>
        <v>0</v>
      </c>
      <c r="V25" s="962"/>
      <c r="W25" s="993"/>
      <c r="X25" s="962"/>
      <c r="Y25" s="993"/>
      <c r="Z25" s="962"/>
      <c r="AA25" s="962"/>
    </row>
    <row r="26" spans="1:48">
      <c r="A26" s="838" t="s">
        <v>48</v>
      </c>
      <c r="B26" s="943" t="s">
        <v>15</v>
      </c>
      <c r="C26" s="1144">
        <v>1935</v>
      </c>
      <c r="D26" s="1578"/>
      <c r="E26" s="1144">
        <v>1816</v>
      </c>
      <c r="F26" s="656"/>
      <c r="G26" s="700">
        <f>+'Exhibit I State'!AD92</f>
        <v>1815.7</v>
      </c>
      <c r="H26" s="656"/>
      <c r="I26" s="656">
        <f t="shared" si="0"/>
        <v>-119.3</v>
      </c>
      <c r="J26" s="962"/>
      <c r="K26" s="1578">
        <f t="shared" si="1"/>
        <v>-0.3</v>
      </c>
      <c r="L26" s="973"/>
      <c r="M26" s="1144">
        <v>-60</v>
      </c>
      <c r="N26" s="914"/>
      <c r="O26" s="1144">
        <v>0</v>
      </c>
      <c r="P26" s="656"/>
      <c r="Q26" s="695">
        <f>+'Exhibit I Federal'!I73</f>
        <v>0</v>
      </c>
      <c r="R26" s="656"/>
      <c r="S26" s="656">
        <f t="shared" si="2"/>
        <v>60</v>
      </c>
      <c r="T26" s="963"/>
      <c r="U26" s="1578">
        <f t="shared" si="3"/>
        <v>0</v>
      </c>
      <c r="V26" s="962"/>
      <c r="W26" s="993"/>
      <c r="X26" s="962"/>
      <c r="Y26" s="993"/>
      <c r="Z26" s="962"/>
      <c r="AA26" s="962"/>
    </row>
    <row r="27" spans="1:48" ht="18" customHeight="1">
      <c r="A27" s="173" t="s">
        <v>109</v>
      </c>
      <c r="B27" s="151" t="s">
        <v>15</v>
      </c>
      <c r="C27" s="1939">
        <f>ROUND(SUM(C20:C26),1)</f>
        <v>3383</v>
      </c>
      <c r="D27" s="941"/>
      <c r="E27" s="1939">
        <f>ROUND(SUM(E20:E26),1)</f>
        <v>3181</v>
      </c>
      <c r="F27" s="941"/>
      <c r="G27" s="215">
        <f>ROUND(SUM(G20:G26),1)</f>
        <v>3174</v>
      </c>
      <c r="H27" s="941"/>
      <c r="I27" s="215">
        <f>ROUND(SUM(I20:I26),1)</f>
        <v>-209</v>
      </c>
      <c r="J27" s="76"/>
      <c r="K27" s="215">
        <f>ROUND(SUM(K20:K26),1)</f>
        <v>-7</v>
      </c>
      <c r="L27" s="975"/>
      <c r="M27" s="1939">
        <f>ROUND(SUM(M20:M26),1)</f>
        <v>483</v>
      </c>
      <c r="N27" s="941"/>
      <c r="O27" s="1939">
        <f>ROUND(SUM(O20:O26),1)</f>
        <v>468</v>
      </c>
      <c r="P27" s="941"/>
      <c r="Q27" s="215">
        <f>ROUND(SUM(Q20:Q26),1)</f>
        <v>469.4</v>
      </c>
      <c r="R27" s="941"/>
      <c r="S27" s="215">
        <f>ROUND(SUM(S20:S26),1)</f>
        <v>-13.6</v>
      </c>
      <c r="T27" s="76"/>
      <c r="U27" s="215">
        <f>ROUND(SUM(U20:U26),1)</f>
        <v>1.4</v>
      </c>
      <c r="V27" s="76"/>
      <c r="W27" s="76"/>
      <c r="X27" s="76"/>
      <c r="Y27" s="76"/>
      <c r="Z27" s="76"/>
      <c r="AA27" s="76"/>
    </row>
    <row r="28" spans="1:48">
      <c r="A28" s="706"/>
      <c r="B28" s="943" t="s">
        <v>15</v>
      </c>
      <c r="C28" s="1940"/>
      <c r="D28" s="1578"/>
      <c r="E28" s="1940"/>
      <c r="F28" s="656"/>
      <c r="G28" s="704"/>
      <c r="H28" s="656"/>
      <c r="I28" s="704"/>
      <c r="J28" s="962"/>
      <c r="K28" s="704"/>
      <c r="L28" s="973"/>
      <c r="M28" s="1940"/>
      <c r="N28" s="1578"/>
      <c r="O28" s="1940"/>
      <c r="P28" s="656"/>
      <c r="Q28" s="704"/>
      <c r="R28" s="656"/>
      <c r="S28" s="704" t="s">
        <v>15</v>
      </c>
      <c r="T28" s="962"/>
      <c r="U28" s="704"/>
      <c r="V28" s="962"/>
      <c r="W28" s="962"/>
      <c r="X28" s="962"/>
      <c r="Y28" s="962"/>
      <c r="Z28" s="962"/>
      <c r="AA28" s="962"/>
    </row>
    <row r="29" spans="1:48" ht="15.75">
      <c r="A29" s="29" t="s">
        <v>23</v>
      </c>
      <c r="B29" s="943" t="s">
        <v>15</v>
      </c>
      <c r="C29" s="914"/>
      <c r="D29" s="1578"/>
      <c r="E29" s="914"/>
      <c r="F29" s="656"/>
      <c r="G29" s="656" t="s">
        <v>15</v>
      </c>
      <c r="H29" s="656"/>
      <c r="I29" s="656"/>
      <c r="J29" s="962"/>
      <c r="K29" s="1578"/>
      <c r="L29" s="973"/>
      <c r="M29" s="914"/>
      <c r="N29" s="1578"/>
      <c r="O29" s="914"/>
      <c r="P29" s="656"/>
      <c r="Q29" s="656"/>
      <c r="R29" s="656"/>
      <c r="S29" s="656"/>
      <c r="T29" s="962"/>
      <c r="U29" s="1578"/>
      <c r="V29" s="962"/>
      <c r="W29" s="962"/>
      <c r="X29" s="962"/>
      <c r="Y29" s="962"/>
      <c r="Z29" s="962"/>
      <c r="AA29" s="962"/>
    </row>
    <row r="30" spans="1:48">
      <c r="A30" s="838" t="s">
        <v>94</v>
      </c>
      <c r="B30" s="943" t="s">
        <v>15</v>
      </c>
      <c r="C30" s="1144">
        <v>1352</v>
      </c>
      <c r="D30" s="1578"/>
      <c r="E30" s="1144">
        <v>1373</v>
      </c>
      <c r="F30" s="656"/>
      <c r="G30" s="672">
        <f>+'Exhibit I State'!AD78</f>
        <v>1376</v>
      </c>
      <c r="H30" s="656"/>
      <c r="I30" s="656">
        <f>ROUND(SUM(G30)-SUM(C30),1)</f>
        <v>24</v>
      </c>
      <c r="J30" s="962"/>
      <c r="K30" s="1578">
        <f t="shared" ref="K30:K32" si="4">ROUND(SUM(G30)-SUM(E30),1)</f>
        <v>3</v>
      </c>
      <c r="L30" s="973"/>
      <c r="M30" s="1144">
        <v>161</v>
      </c>
      <c r="N30" s="1578"/>
      <c r="O30" s="1144">
        <v>176</v>
      </c>
      <c r="P30" s="656"/>
      <c r="Q30" s="656">
        <f>+'Exhibit I Federal'!AD60</f>
        <v>173.6</v>
      </c>
      <c r="R30" s="656"/>
      <c r="S30" s="656">
        <f>ROUND(SUM(Q30)-SUM(M30),1)</f>
        <v>12.6</v>
      </c>
      <c r="T30" s="962"/>
      <c r="U30" s="1578">
        <f t="shared" ref="U30:U32" si="5">ROUND(SUM(Q30)-SUM(O30),1)</f>
        <v>-2.4</v>
      </c>
      <c r="V30" s="962"/>
      <c r="W30" s="993"/>
      <c r="X30" s="962"/>
      <c r="Y30" s="993"/>
      <c r="Z30" s="962"/>
      <c r="AA30" s="962"/>
    </row>
    <row r="31" spans="1:48">
      <c r="A31" s="838" t="s">
        <v>42</v>
      </c>
      <c r="B31" s="943" t="s">
        <v>15</v>
      </c>
      <c r="C31" s="1144">
        <v>2391</v>
      </c>
      <c r="D31" s="1578"/>
      <c r="E31" s="1144">
        <v>1744</v>
      </c>
      <c r="F31" s="656"/>
      <c r="G31" s="672">
        <f>+'Exhibit I State'!AD83</f>
        <v>1745.5</v>
      </c>
      <c r="H31" s="656"/>
      <c r="I31" s="656">
        <f>ROUND(SUM(G31)-SUM(C31),1)</f>
        <v>-645.5</v>
      </c>
      <c r="J31" s="962"/>
      <c r="K31" s="1578">
        <f t="shared" si="4"/>
        <v>1.5</v>
      </c>
      <c r="L31" s="974"/>
      <c r="M31" s="1144">
        <v>310</v>
      </c>
      <c r="N31" s="1578"/>
      <c r="O31" s="1144">
        <v>354</v>
      </c>
      <c r="P31" s="656"/>
      <c r="Q31" s="656">
        <f>+'Exhibit I Federal'!AD65</f>
        <v>353.8</v>
      </c>
      <c r="R31" s="656"/>
      <c r="S31" s="656">
        <f>ROUND(SUM(Q31)-SUM(M31),1)</f>
        <v>43.8</v>
      </c>
      <c r="T31" s="962"/>
      <c r="U31" s="1578">
        <f t="shared" si="5"/>
        <v>-0.2</v>
      </c>
      <c r="V31" s="962"/>
      <c r="W31" s="993"/>
      <c r="X31" s="962"/>
      <c r="Y31" s="993"/>
      <c r="Z31" s="962"/>
      <c r="AA31" s="962"/>
    </row>
    <row r="32" spans="1:48">
      <c r="A32" s="838" t="s">
        <v>99</v>
      </c>
      <c r="B32" s="943" t="s">
        <v>15</v>
      </c>
      <c r="C32" s="1144">
        <v>183</v>
      </c>
      <c r="D32" s="1578"/>
      <c r="E32" s="1144">
        <v>191</v>
      </c>
      <c r="F32" s="656"/>
      <c r="G32" s="695">
        <f>-'Exhibit I State'!AD93</f>
        <v>191.1</v>
      </c>
      <c r="H32" s="656"/>
      <c r="I32" s="656">
        <f>ROUND(SUM(G32)-SUM(C32),1)</f>
        <v>8.1</v>
      </c>
      <c r="J32" s="962"/>
      <c r="K32" s="1578">
        <f t="shared" si="4"/>
        <v>0.1</v>
      </c>
      <c r="L32" s="973"/>
      <c r="M32" s="1144">
        <v>0</v>
      </c>
      <c r="N32" s="1578"/>
      <c r="O32" s="1144">
        <v>0</v>
      </c>
      <c r="P32" s="656"/>
      <c r="Q32" s="695">
        <f>-'Exhibit I Federal'!AD74</f>
        <v>0</v>
      </c>
      <c r="R32" s="656"/>
      <c r="S32" s="656">
        <f>ROUND(SUM(Q32)-SUM(M32),1)</f>
        <v>0</v>
      </c>
      <c r="T32" s="963"/>
      <c r="U32" s="1578">
        <f t="shared" si="5"/>
        <v>0</v>
      </c>
      <c r="V32" s="962"/>
      <c r="W32" s="993"/>
      <c r="X32" s="962"/>
      <c r="Y32" s="993"/>
      <c r="Z32" s="962"/>
      <c r="AA32" s="962"/>
    </row>
    <row r="33" spans="1:48" ht="18" customHeight="1">
      <c r="A33" s="173" t="s">
        <v>118</v>
      </c>
      <c r="B33" s="151" t="s">
        <v>15</v>
      </c>
      <c r="C33" s="1939">
        <f>ROUND(SUM(C30:C32),1)</f>
        <v>3926</v>
      </c>
      <c r="D33" s="941"/>
      <c r="E33" s="1939">
        <f>ROUND(SUM(E30:E32),1)</f>
        <v>3308</v>
      </c>
      <c r="F33" s="941"/>
      <c r="G33" s="215">
        <f>ROUND(SUM(G30:G32),1)</f>
        <v>3312.6</v>
      </c>
      <c r="H33" s="941"/>
      <c r="I33" s="215">
        <f>ROUND(SUM(I30:I32),1)</f>
        <v>-613.4</v>
      </c>
      <c r="J33" s="76"/>
      <c r="K33" s="215">
        <f>ROUND(SUM(K30:K32),1)</f>
        <v>4.5999999999999996</v>
      </c>
      <c r="L33" s="975"/>
      <c r="M33" s="1938">
        <f>ROUND(SUM(M30:M32),1)</f>
        <v>471</v>
      </c>
      <c r="N33" s="941"/>
      <c r="O33" s="1938">
        <f>ROUND(SUM(O30:O32),1)</f>
        <v>530</v>
      </c>
      <c r="P33" s="941"/>
      <c r="Q33" s="215">
        <f>ROUND(SUM(Q30:Q32),1)</f>
        <v>527.4</v>
      </c>
      <c r="R33" s="941"/>
      <c r="S33" s="215">
        <f>ROUND(SUM(S30:S32),1)</f>
        <v>56.4</v>
      </c>
      <c r="T33" s="76"/>
      <c r="U33" s="215">
        <f>ROUND(SUM(U30:U32),1)</f>
        <v>-2.6</v>
      </c>
      <c r="V33" s="76"/>
      <c r="W33" s="76"/>
      <c r="X33" s="76"/>
      <c r="Y33" s="76"/>
      <c r="Z33" s="76"/>
      <c r="AA33" s="76"/>
    </row>
    <row r="34" spans="1:48">
      <c r="A34" s="706"/>
      <c r="B34" s="943" t="s">
        <v>15</v>
      </c>
      <c r="C34" s="1940"/>
      <c r="D34" s="1578"/>
      <c r="E34" s="1940"/>
      <c r="F34" s="656"/>
      <c r="G34" s="704"/>
      <c r="H34" s="656"/>
      <c r="I34" s="704"/>
      <c r="J34" s="962"/>
      <c r="K34" s="704"/>
      <c r="L34" s="973"/>
      <c r="M34" s="1936"/>
      <c r="N34" s="1578"/>
      <c r="O34" s="1936"/>
      <c r="P34" s="656"/>
      <c r="Q34" s="704"/>
      <c r="R34" s="656"/>
      <c r="S34" s="704"/>
      <c r="T34" s="962"/>
      <c r="U34" s="704"/>
      <c r="V34" s="962"/>
      <c r="W34" s="962"/>
      <c r="X34" s="962"/>
      <c r="Y34" s="962"/>
      <c r="Z34" s="962"/>
      <c r="AA34" s="962"/>
    </row>
    <row r="35" spans="1:48" ht="15.75">
      <c r="A35" s="29" t="s">
        <v>101</v>
      </c>
      <c r="B35" s="943"/>
      <c r="C35" s="914"/>
      <c r="D35" s="1578"/>
      <c r="E35" s="914"/>
      <c r="F35" s="656"/>
      <c r="G35" s="656"/>
      <c r="H35" s="656"/>
      <c r="I35" s="656"/>
      <c r="J35" s="962"/>
      <c r="K35" s="1578"/>
      <c r="L35" s="973"/>
      <c r="M35" s="1578"/>
      <c r="N35" s="1578"/>
      <c r="O35" s="1578"/>
      <c r="P35" s="656"/>
      <c r="Q35" s="656"/>
      <c r="R35" s="656"/>
      <c r="S35" s="656"/>
      <c r="T35" s="962"/>
      <c r="U35" s="1578"/>
      <c r="V35" s="962"/>
      <c r="W35" s="962"/>
      <c r="X35" s="962"/>
      <c r="Y35" s="962"/>
      <c r="Z35" s="962"/>
      <c r="AA35" s="962"/>
    </row>
    <row r="36" spans="1:48" ht="15.75">
      <c r="A36" s="29" t="s">
        <v>102</v>
      </c>
      <c r="B36" s="943"/>
      <c r="C36" s="914"/>
      <c r="D36" s="1578"/>
      <c r="E36" s="914"/>
      <c r="F36" s="656"/>
      <c r="G36" s="656"/>
      <c r="H36" s="656"/>
      <c r="I36" s="656"/>
      <c r="J36" s="962"/>
      <c r="K36" s="1578"/>
      <c r="L36" s="973"/>
      <c r="M36" s="1578"/>
      <c r="N36" s="1578"/>
      <c r="O36" s="1578"/>
      <c r="P36" s="656"/>
      <c r="Q36" s="656"/>
      <c r="R36" s="656"/>
      <c r="S36" s="656"/>
      <c r="T36" s="962"/>
      <c r="U36" s="1578"/>
      <c r="V36" s="962"/>
      <c r="W36" s="962"/>
      <c r="X36" s="962"/>
      <c r="Y36" s="962"/>
      <c r="Z36" s="962"/>
      <c r="AA36" s="962"/>
    </row>
    <row r="37" spans="1:48" ht="15.75">
      <c r="A37" s="173" t="s">
        <v>103</v>
      </c>
      <c r="B37" s="174" t="s">
        <v>15</v>
      </c>
      <c r="C37" s="115">
        <f>ROUND(SUM(C27)-SUM(C33),1)</f>
        <v>-543</v>
      </c>
      <c r="D37" s="84"/>
      <c r="E37" s="115">
        <f>ROUND(SUM(E27)-SUM(E33),1)</f>
        <v>-127</v>
      </c>
      <c r="F37" s="84"/>
      <c r="G37" s="76">
        <f>ROUND(SUM(G27)-SUM(G33),1)</f>
        <v>-138.6</v>
      </c>
      <c r="H37" s="84"/>
      <c r="I37" s="76">
        <f>ROUND(SUM(I27)-SUM(I33),1)</f>
        <v>404.4</v>
      </c>
      <c r="J37" s="76"/>
      <c r="K37" s="1579">
        <f>ROUND(SUM(K27)-SUM(K33),1)</f>
        <v>-11.6</v>
      </c>
      <c r="L37" s="975"/>
      <c r="M37" s="1579">
        <f>ROUND(SUM(M27)-SUM(M33),1)</f>
        <v>12</v>
      </c>
      <c r="N37" s="84"/>
      <c r="O37" s="1579">
        <f>ROUND(SUM(O27)-SUM(O33),1)</f>
        <v>-62</v>
      </c>
      <c r="P37" s="84"/>
      <c r="Q37" s="76">
        <f>ROUND(SUM(Q27)-SUM(Q33),1)</f>
        <v>-58</v>
      </c>
      <c r="R37" s="84"/>
      <c r="S37" s="76">
        <f>ROUND(SUM(S27)-SUM(S33),1)</f>
        <v>-70</v>
      </c>
      <c r="T37" s="1579"/>
      <c r="U37" s="1579">
        <f t="shared" ref="U37" si="6">ROUND(SUM(U27)-SUM(U33),1)</f>
        <v>4</v>
      </c>
      <c r="V37" s="399"/>
      <c r="W37" s="76"/>
      <c r="X37" s="399"/>
      <c r="Y37" s="76"/>
      <c r="Z37" s="399"/>
      <c r="AA37" s="76"/>
      <c r="AB37" s="635"/>
    </row>
    <row r="38" spans="1:48" ht="15.75">
      <c r="B38" s="635"/>
      <c r="C38" s="1528"/>
      <c r="D38" s="951"/>
      <c r="E38" s="1528"/>
      <c r="F38" s="951"/>
      <c r="G38" s="684"/>
      <c r="H38" s="951"/>
      <c r="I38" s="684"/>
      <c r="J38" s="684"/>
      <c r="K38" s="684"/>
      <c r="L38" s="975"/>
      <c r="M38" s="684"/>
      <c r="N38" s="951"/>
      <c r="O38" s="684"/>
      <c r="P38" s="951"/>
      <c r="Q38" s="684"/>
      <c r="R38" s="951"/>
      <c r="S38" s="684"/>
      <c r="T38" s="684"/>
      <c r="U38" s="941"/>
      <c r="V38" s="684"/>
      <c r="W38" s="684"/>
      <c r="X38" s="684"/>
      <c r="Y38" s="684"/>
      <c r="Z38" s="684"/>
      <c r="AA38" s="684"/>
    </row>
    <row r="39" spans="1:48" ht="15.75">
      <c r="A39" s="173" t="s">
        <v>104</v>
      </c>
      <c r="B39" s="953" t="s">
        <v>15</v>
      </c>
      <c r="C39" s="115">
        <v>-633</v>
      </c>
      <c r="D39" s="1712"/>
      <c r="E39" s="115">
        <v>-633</v>
      </c>
      <c r="F39" s="951"/>
      <c r="G39" s="115">
        <f>'Exhibit I State'!E14</f>
        <v>-633.20000000000005</v>
      </c>
      <c r="H39" s="951"/>
      <c r="I39" s="81">
        <f>ROUND(SUM(G39-C39),1)</f>
        <v>-0.2</v>
      </c>
      <c r="J39" s="81"/>
      <c r="K39" s="81">
        <f>ROUND(SUM(G39-E39),1)</f>
        <v>-0.2</v>
      </c>
      <c r="L39" s="975"/>
      <c r="M39" s="115">
        <v>-505</v>
      </c>
      <c r="N39" s="1712"/>
      <c r="O39" s="115">
        <v>-505</v>
      </c>
      <c r="P39" s="951"/>
      <c r="Q39" s="115">
        <f>'Exhibit I Federal'!E14</f>
        <v>-504.7</v>
      </c>
      <c r="R39" s="951"/>
      <c r="S39" s="81">
        <f>ROUND(SUM(Q39-M39),1)</f>
        <v>0.3</v>
      </c>
      <c r="T39" s="684"/>
      <c r="U39" s="81">
        <f>ROUND(SUM(Q39-O39),1)</f>
        <v>0.3</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4"/>
    </row>
    <row r="40" spans="1:48" ht="16.5" thickBot="1">
      <c r="A40" s="1418" t="str">
        <f>+'Exh D-Governmental  '!A50</f>
        <v>Fund Balances (Deficits) at July 31, 2019</v>
      </c>
      <c r="B40" s="180" t="s">
        <v>15</v>
      </c>
      <c r="C40" s="98">
        <f>ROUND(SUM(C37:C39),1)</f>
        <v>-1176</v>
      </c>
      <c r="D40" s="181"/>
      <c r="E40" s="98">
        <f>ROUND(SUM(E37:E39),1)</f>
        <v>-760</v>
      </c>
      <c r="F40" s="181"/>
      <c r="G40" s="98">
        <f>ROUND(SUM(G37:G39),1)</f>
        <v>-771.8</v>
      </c>
      <c r="H40" s="181"/>
      <c r="I40" s="98">
        <f>ROUND(SUM(I37:I39),1)</f>
        <v>404.2</v>
      </c>
      <c r="J40" s="219"/>
      <c r="K40" s="98">
        <f>ROUND(SUM(K37:K39),1)</f>
        <v>-11.8</v>
      </c>
      <c r="L40" s="976"/>
      <c r="M40" s="98">
        <f>ROUND(SUM(M37:M39),1)</f>
        <v>-493</v>
      </c>
      <c r="N40" s="181"/>
      <c r="O40" s="98">
        <f>ROUND(SUM(O37:O39),1)</f>
        <v>-567</v>
      </c>
      <c r="P40" s="181"/>
      <c r="Q40" s="98">
        <f>ROUND(SUM(Q37:Q39),1)</f>
        <v>-562.70000000000005</v>
      </c>
      <c r="R40" s="181"/>
      <c r="S40" s="98">
        <f>ROUND(SUM(S37:S39),1)</f>
        <v>-69.7</v>
      </c>
      <c r="T40" s="181"/>
      <c r="U40" s="98">
        <f>ROUND(SUM(U37:U39),1)</f>
        <v>4.3</v>
      </c>
      <c r="V40" s="994"/>
      <c r="W40" s="219"/>
      <c r="X40" s="994"/>
      <c r="Y40" s="219"/>
      <c r="Z40" s="994"/>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4"/>
    </row>
    <row r="41" spans="1:48" ht="15.75" thickTop="1">
      <c r="B41" s="635"/>
      <c r="L41" s="635"/>
      <c r="N41" s="954"/>
      <c r="P41" s="954"/>
      <c r="Q41" s="977"/>
      <c r="R41" s="954"/>
      <c r="S41" s="954"/>
      <c r="U41" s="954"/>
      <c r="W41" s="635"/>
      <c r="Y41" s="952"/>
    </row>
    <row r="42" spans="1:48">
      <c r="A42" s="955" t="str">
        <f>'Exh D-Governmental  '!A52</f>
        <v>(*)    Source: 2019-20 Enacted Financial Plan dated May 13, 2019.</v>
      </c>
      <c r="B42" s="635"/>
      <c r="S42" s="1452"/>
    </row>
    <row r="43" spans="1:48">
      <c r="A43" s="1542" t="str">
        <f>'Exh D Capital Projects'!A43</f>
        <v>(**)   Source: 2019-20 First Quarter Update dated August 13, 2019.</v>
      </c>
      <c r="B43" s="635"/>
      <c r="J43" s="954"/>
      <c r="K43" s="635"/>
      <c r="L43" s="432"/>
      <c r="U43" s="635"/>
      <c r="W43" s="635"/>
      <c r="AB43" s="635"/>
      <c r="AC43" s="635"/>
      <c r="AD43" s="635"/>
      <c r="AE43" s="635"/>
      <c r="AF43" s="635"/>
      <c r="AG43" s="635"/>
      <c r="AH43" s="635"/>
      <c r="AI43" s="635"/>
      <c r="AJ43" s="635"/>
      <c r="AK43" s="954"/>
    </row>
    <row r="44" spans="1:48">
      <c r="A44" s="1542"/>
      <c r="B44" s="635"/>
      <c r="Y44" s="966"/>
      <c r="Z44" s="943"/>
      <c r="AA44" s="966"/>
      <c r="AB44" s="670"/>
      <c r="AC44" s="978"/>
    </row>
    <row r="45" spans="1:48">
      <c r="A45" s="1542"/>
      <c r="B45" s="635"/>
    </row>
    <row r="46" spans="1:48">
      <c r="A46" s="1070"/>
      <c r="B46" s="635"/>
    </row>
    <row r="47" spans="1:48">
      <c r="A47" s="183"/>
      <c r="B47" s="635"/>
    </row>
    <row r="48" spans="1:48">
      <c r="B48" s="635"/>
    </row>
    <row r="49" spans="2:7">
      <c r="B49" s="635"/>
    </row>
    <row r="52" spans="2:7">
      <c r="G52" s="977"/>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77734375" defaultRowHeight="12.75"/>
  <cols>
    <col min="1" max="1" width="32.21875" style="2930" customWidth="1"/>
    <col min="2" max="2" width="10.77734375" style="2930" customWidth="1"/>
    <col min="3" max="3" width="3.44140625" style="2930" customWidth="1"/>
    <col min="4" max="4" width="12.109375" style="2930" customWidth="1"/>
    <col min="5" max="5" width="1.77734375" style="2930" customWidth="1"/>
    <col min="6" max="6" width="17" style="2930" bestFit="1" customWidth="1"/>
    <col min="7" max="7" width="1.77734375" style="2930" customWidth="1"/>
    <col min="8" max="8" width="12.109375" style="2930" customWidth="1"/>
    <col min="9" max="9" width="1.77734375" style="2930" customWidth="1"/>
    <col min="10" max="10" width="12.109375" style="2930" customWidth="1"/>
    <col min="11" max="11" width="1.77734375" style="2930" customWidth="1"/>
    <col min="12" max="12" width="12.109375" style="2930" customWidth="1"/>
    <col min="13" max="13" width="1.77734375" style="2930" customWidth="1"/>
    <col min="14" max="14" width="13" style="2930" customWidth="1"/>
    <col min="15" max="15" width="1.77734375" style="2930" customWidth="1"/>
    <col min="16" max="16" width="12.109375" style="2930" customWidth="1"/>
    <col min="17" max="17" width="1.77734375" style="2930" customWidth="1"/>
    <col min="18" max="18" width="12.109375" style="2930" customWidth="1"/>
    <col min="19" max="19" width="1.77734375" style="2930" customWidth="1"/>
    <col min="20" max="20" width="1" style="2930" customWidth="1"/>
    <col min="21" max="21" width="1.77734375" style="2930" customWidth="1"/>
    <col min="22" max="22" width="12.109375" style="2930" customWidth="1"/>
    <col min="23" max="23" width="1.77734375" style="2930" customWidth="1"/>
    <col min="24" max="24" width="17" style="2930" bestFit="1" customWidth="1"/>
    <col min="25" max="25" width="1.77734375" style="2930" customWidth="1"/>
    <col min="26" max="26" width="1" style="2930" customWidth="1"/>
    <col min="27" max="27" width="1.77734375" style="2930" customWidth="1"/>
    <col min="28" max="28" width="12.109375" style="2956" customWidth="1"/>
    <col min="29" max="29" width="1.77734375" style="2956" customWidth="1"/>
    <col min="30" max="30" width="16.21875" style="2956" customWidth="1"/>
    <col min="31" max="31" width="1.5546875" style="2956" customWidth="1"/>
    <col min="32" max="32" width="0.44140625" style="2956" customWidth="1"/>
    <col min="33" max="33" width="1.5546875" style="2956" customWidth="1"/>
    <col min="34" max="34" width="14.5546875" style="2956" bestFit="1" customWidth="1"/>
    <col min="35" max="35" width="1.77734375" style="2930" customWidth="1"/>
    <col min="36" max="36" width="13.21875" style="2930" customWidth="1"/>
    <col min="37" max="37" width="2.21875" style="2930" customWidth="1"/>
    <col min="38" max="38" width="1.77734375" style="2930" customWidth="1"/>
    <col min="39" max="16384" width="9.77734375" style="2930"/>
  </cols>
  <sheetData>
    <row r="1" spans="1:38" s="2922" customFormat="1" ht="15">
      <c r="A1" s="2310" t="s">
        <v>980</v>
      </c>
      <c r="AB1" s="3269"/>
      <c r="AC1" s="3269"/>
      <c r="AD1" s="3269"/>
      <c r="AE1" s="3269"/>
      <c r="AF1" s="3269"/>
      <c r="AG1" s="3269"/>
      <c r="AH1" s="3269"/>
    </row>
    <row r="2" spans="1:38" s="2925" customFormat="1">
      <c r="A2" s="2923"/>
      <c r="B2" s="2924"/>
      <c r="C2" s="2924"/>
      <c r="D2" s="2922"/>
      <c r="E2" s="2924"/>
      <c r="F2" s="2924"/>
      <c r="G2" s="2924"/>
      <c r="H2" s="2924"/>
      <c r="I2" s="2924"/>
      <c r="J2" s="2924"/>
      <c r="K2" s="2924"/>
      <c r="L2" s="2924"/>
      <c r="M2" s="2924"/>
      <c r="N2" s="2924"/>
      <c r="O2" s="2924"/>
      <c r="P2" s="2924"/>
      <c r="Q2" s="2924"/>
      <c r="R2" s="2924"/>
      <c r="S2" s="2924"/>
      <c r="T2" s="2924"/>
      <c r="U2" s="2924"/>
      <c r="V2" s="2924"/>
      <c r="W2" s="2924"/>
      <c r="X2" s="2924"/>
      <c r="Y2" s="2924"/>
      <c r="Z2" s="2924"/>
      <c r="AA2" s="2924"/>
      <c r="AB2" s="3270"/>
      <c r="AC2" s="3270"/>
      <c r="AD2" s="3270"/>
      <c r="AE2" s="3270"/>
      <c r="AF2" s="3270"/>
      <c r="AG2" s="3270"/>
      <c r="AH2" s="3270"/>
    </row>
    <row r="3" spans="1:38" ht="18">
      <c r="A3" s="2926" t="s">
        <v>0</v>
      </c>
      <c r="B3" s="2927"/>
      <c r="C3" s="2927"/>
      <c r="D3" s="2922"/>
      <c r="E3" s="2927"/>
      <c r="F3" s="2927"/>
      <c r="G3" s="2927"/>
      <c r="H3" s="2927"/>
      <c r="I3" s="2927"/>
      <c r="J3" s="2927"/>
      <c r="K3" s="2927"/>
      <c r="L3" s="2928"/>
      <c r="M3" s="2928"/>
      <c r="N3" s="2928"/>
      <c r="O3" s="2928"/>
      <c r="P3" s="2927"/>
      <c r="Q3" s="2927"/>
      <c r="R3" s="2927"/>
      <c r="S3" s="2928"/>
      <c r="T3" s="2927"/>
      <c r="U3" s="2928"/>
      <c r="V3" s="2928"/>
      <c r="W3" s="2928"/>
      <c r="X3" s="2928"/>
      <c r="Y3" s="2928"/>
      <c r="Z3" s="2928"/>
      <c r="AA3" s="2928"/>
      <c r="AB3" s="3271"/>
      <c r="AC3" s="3271"/>
      <c r="AD3" s="3271"/>
      <c r="AE3" s="3271"/>
      <c r="AF3" s="3551"/>
      <c r="AG3" s="3551"/>
      <c r="AH3" s="2955"/>
      <c r="AI3" s="2929"/>
    </row>
    <row r="4" spans="1:38" ht="18">
      <c r="A4" s="2931" t="s">
        <v>1</v>
      </c>
      <c r="B4" s="2927"/>
      <c r="C4" s="2927"/>
      <c r="D4" s="2922"/>
      <c r="E4" s="2927"/>
      <c r="F4" s="2927"/>
      <c r="G4" s="2927"/>
      <c r="H4" s="2927"/>
      <c r="I4" s="2927"/>
      <c r="J4" s="2927"/>
      <c r="K4" s="2927"/>
      <c r="L4" s="2928"/>
      <c r="M4" s="2928"/>
      <c r="N4" s="2928"/>
      <c r="O4" s="2928"/>
      <c r="P4" s="2927"/>
      <c r="Q4" s="2927"/>
      <c r="R4" s="2927"/>
      <c r="S4" s="2928"/>
      <c r="T4" s="2927"/>
      <c r="U4" s="2928"/>
      <c r="V4" s="2928"/>
      <c r="W4" s="2928"/>
      <c r="X4" s="2928"/>
      <c r="Y4" s="2928"/>
      <c r="Z4" s="2928"/>
      <c r="AA4" s="2928"/>
      <c r="AB4" s="3271"/>
      <c r="AC4" s="3271"/>
      <c r="AD4" s="3271"/>
      <c r="AE4" s="3271"/>
      <c r="AF4" s="3551"/>
      <c r="AG4" s="3551"/>
      <c r="AH4" s="2955"/>
      <c r="AI4" s="2929"/>
    </row>
    <row r="5" spans="1:38" ht="18">
      <c r="A5" s="2926" t="s">
        <v>1352</v>
      </c>
      <c r="B5" s="2927"/>
      <c r="C5" s="2927"/>
      <c r="D5" s="2922"/>
      <c r="E5" s="2927"/>
      <c r="F5" s="2927"/>
      <c r="G5" s="2927"/>
      <c r="H5" s="2928"/>
      <c r="I5" s="2928"/>
      <c r="J5" s="2928"/>
      <c r="K5" s="2927"/>
      <c r="L5" s="2928"/>
      <c r="M5" s="2928"/>
      <c r="N5" s="2928"/>
      <c r="O5" s="2928"/>
      <c r="P5" s="2927"/>
      <c r="Q5" s="2927"/>
      <c r="R5" s="2927"/>
      <c r="S5" s="2928"/>
      <c r="T5" s="2927"/>
      <c r="U5" s="2928"/>
      <c r="V5" s="2928"/>
      <c r="W5" s="2928"/>
      <c r="X5" s="2928"/>
      <c r="Y5" s="2928"/>
      <c r="Z5" s="2928"/>
      <c r="AA5" s="2928"/>
      <c r="AB5" s="3271"/>
      <c r="AC5" s="3271"/>
      <c r="AD5" s="3271"/>
      <c r="AE5" s="3271"/>
      <c r="AF5" s="3551"/>
      <c r="AG5" s="3551"/>
      <c r="AH5" s="2955"/>
      <c r="AI5" s="2929"/>
    </row>
    <row r="6" spans="1:38" ht="18">
      <c r="A6" s="2926" t="s">
        <v>1433</v>
      </c>
      <c r="B6" s="2927"/>
      <c r="C6" s="2927"/>
      <c r="D6" s="2922"/>
      <c r="E6" s="2927"/>
      <c r="F6" s="2927"/>
      <c r="G6" s="2927"/>
      <c r="H6" s="2927"/>
      <c r="I6" s="2927"/>
      <c r="J6" s="2927"/>
      <c r="K6" s="2927"/>
      <c r="L6" s="2928"/>
      <c r="M6" s="2928"/>
      <c r="N6" s="2928"/>
      <c r="O6" s="2928"/>
      <c r="P6" s="2927"/>
      <c r="Q6" s="2927"/>
      <c r="R6" s="2927"/>
      <c r="S6" s="2928"/>
      <c r="T6" s="2927"/>
      <c r="U6" s="2928"/>
      <c r="V6" s="2928"/>
      <c r="W6" s="2928"/>
      <c r="X6" s="2928"/>
      <c r="Y6" s="2928"/>
      <c r="Z6" s="2928"/>
      <c r="AA6" s="2928"/>
      <c r="AB6" s="3271"/>
      <c r="AC6" s="3271"/>
      <c r="AD6" s="3271"/>
      <c r="AE6" s="3271"/>
      <c r="AF6" s="3551"/>
      <c r="AG6" s="3551"/>
      <c r="AH6" s="2955"/>
      <c r="AI6" s="2929"/>
    </row>
    <row r="7" spans="1:38" ht="18">
      <c r="A7" s="2927"/>
      <c r="B7" s="2927"/>
      <c r="C7" s="2927"/>
      <c r="D7" s="2922"/>
      <c r="E7" s="2927"/>
      <c r="F7" s="2927"/>
      <c r="G7" s="2927"/>
      <c r="H7" s="2927"/>
      <c r="I7" s="2927"/>
      <c r="J7" s="2927"/>
      <c r="K7" s="2927"/>
      <c r="L7" s="2928"/>
      <c r="M7" s="2928"/>
      <c r="N7" s="2928"/>
      <c r="O7" s="2928"/>
      <c r="P7" s="2928"/>
      <c r="Q7" s="2928"/>
      <c r="R7" s="2928"/>
      <c r="S7" s="2928"/>
      <c r="T7" s="2928"/>
      <c r="U7" s="2928"/>
      <c r="V7" s="2928"/>
      <c r="W7" s="2928"/>
      <c r="X7" s="2928"/>
      <c r="Y7" s="2928"/>
      <c r="Z7" s="2928"/>
      <c r="AA7" s="2928"/>
      <c r="AB7" s="3272"/>
      <c r="AC7" s="3272"/>
      <c r="AD7" s="3272"/>
      <c r="AE7" s="3272"/>
      <c r="AF7" s="3551"/>
      <c r="AG7" s="3551"/>
      <c r="AH7" s="2955"/>
      <c r="AI7" s="2929"/>
      <c r="AJ7" s="2932" t="s">
        <v>903</v>
      </c>
    </row>
    <row r="8" spans="1:38" ht="15.75">
      <c r="A8" s="2310"/>
      <c r="B8" s="2310"/>
      <c r="C8" s="2310"/>
      <c r="D8" s="2922"/>
      <c r="E8" s="2310"/>
      <c r="F8" s="2310"/>
      <c r="G8" s="2310"/>
      <c r="H8" s="2310"/>
      <c r="I8" s="2310"/>
      <c r="J8" s="2310"/>
      <c r="K8" s="2310"/>
      <c r="L8" s="2392"/>
      <c r="M8" s="2392"/>
      <c r="N8" s="2392"/>
      <c r="O8" s="2392"/>
      <c r="P8" s="2392"/>
      <c r="Q8" s="2392"/>
      <c r="R8" s="2392"/>
      <c r="S8" s="2392"/>
      <c r="T8" s="2392"/>
      <c r="U8" s="2392"/>
      <c r="V8" s="2392"/>
      <c r="W8" s="2392"/>
      <c r="X8" s="2392"/>
      <c r="Y8" s="2392"/>
      <c r="Z8" s="2392"/>
      <c r="AA8" s="2392"/>
      <c r="AB8" s="3227"/>
      <c r="AC8" s="3227"/>
      <c r="AD8" s="3227"/>
      <c r="AE8" s="3227"/>
      <c r="AF8" s="2411"/>
      <c r="AG8" s="2411"/>
      <c r="AH8" s="2955"/>
      <c r="AI8" s="2929"/>
    </row>
    <row r="9" spans="1:38" ht="15.75">
      <c r="A9" s="2310"/>
      <c r="B9" s="2310"/>
      <c r="C9" s="2310"/>
      <c r="D9" s="2922"/>
      <c r="E9" s="2392"/>
      <c r="F9" s="2392"/>
      <c r="G9" s="2392"/>
      <c r="H9" s="2392"/>
      <c r="I9" s="2392"/>
      <c r="J9" s="2392"/>
      <c r="K9" s="2392"/>
      <c r="L9" s="2392"/>
      <c r="M9" s="2392"/>
      <c r="N9" s="2392"/>
      <c r="O9" s="2392"/>
      <c r="P9" s="2392"/>
      <c r="Q9" s="2392"/>
      <c r="R9" s="2392"/>
      <c r="S9" s="2392"/>
      <c r="T9" s="2392"/>
      <c r="U9" s="2392"/>
      <c r="V9" s="2933"/>
      <c r="W9" s="2933"/>
      <c r="X9" s="2933"/>
      <c r="Y9" s="2933"/>
      <c r="Z9" s="2933"/>
      <c r="AA9" s="2933"/>
      <c r="AB9" s="3273"/>
      <c r="AC9" s="3273"/>
      <c r="AD9" s="3273"/>
      <c r="AE9" s="3273"/>
      <c r="AF9" s="3227"/>
      <c r="AG9" s="3227"/>
      <c r="AH9" s="3552"/>
      <c r="AI9" s="2934"/>
    </row>
    <row r="10" spans="1:38" ht="4.1500000000000004" customHeight="1">
      <c r="A10" s="2310"/>
      <c r="B10" s="2310"/>
      <c r="C10" s="2310"/>
      <c r="D10" s="2310"/>
      <c r="E10" s="2310"/>
      <c r="F10" s="2310"/>
      <c r="G10" s="2310"/>
      <c r="H10" s="2310"/>
      <c r="I10" s="2310"/>
      <c r="J10" s="2310"/>
      <c r="K10" s="2310"/>
      <c r="L10" s="2310"/>
      <c r="M10" s="2310"/>
      <c r="N10" s="2310"/>
      <c r="O10" s="2310"/>
      <c r="P10" s="2310"/>
      <c r="Q10" s="2310"/>
      <c r="R10" s="2310"/>
      <c r="S10" s="2310"/>
      <c r="T10" s="2333"/>
      <c r="U10" s="2333"/>
      <c r="V10" s="2310"/>
      <c r="W10" s="2310"/>
      <c r="X10" s="2310"/>
      <c r="Y10" s="2310"/>
      <c r="Z10" s="2310"/>
      <c r="AA10" s="2310"/>
      <c r="AB10" s="2411"/>
      <c r="AC10" s="2411"/>
      <c r="AD10" s="2411"/>
      <c r="AE10" s="2411"/>
      <c r="AF10" s="2411"/>
      <c r="AG10" s="2411"/>
      <c r="AH10" s="2955"/>
      <c r="AI10" s="2929"/>
    </row>
    <row r="11" spans="1:38" ht="15" customHeight="1">
      <c r="A11" s="2310"/>
      <c r="B11" s="2310"/>
      <c r="C11" s="2310"/>
      <c r="D11" s="2935" t="s">
        <v>3</v>
      </c>
      <c r="E11" s="2935"/>
      <c r="F11" s="2935"/>
      <c r="G11" s="2333"/>
      <c r="H11" s="2935" t="s">
        <v>57</v>
      </c>
      <c r="I11" s="2935"/>
      <c r="J11" s="2935"/>
      <c r="K11" s="2333"/>
      <c r="L11" s="2935" t="s">
        <v>5</v>
      </c>
      <c r="M11" s="2935"/>
      <c r="N11" s="2935"/>
      <c r="O11" s="2333"/>
      <c r="P11" s="2935" t="s">
        <v>121</v>
      </c>
      <c r="Q11" s="2935"/>
      <c r="R11" s="2935"/>
      <c r="S11" s="2310"/>
      <c r="T11" s="2333"/>
      <c r="U11" s="2333"/>
      <c r="V11" s="2936" t="s">
        <v>904</v>
      </c>
      <c r="W11" s="2935"/>
      <c r="X11" s="2935"/>
      <c r="Y11" s="2935"/>
      <c r="Z11" s="2937"/>
      <c r="AA11" s="2937"/>
      <c r="AB11" s="3686"/>
      <c r="AC11" s="3686"/>
      <c r="AD11" s="3686"/>
      <c r="AE11" s="3553"/>
      <c r="AF11" s="3554"/>
      <c r="AG11" s="3555"/>
      <c r="AH11" s="3556" t="s">
        <v>905</v>
      </c>
      <c r="AI11" s="2935"/>
      <c r="AJ11" s="2935"/>
    </row>
    <row r="12" spans="1:38" ht="15.75">
      <c r="A12" s="2310"/>
      <c r="B12" s="2310"/>
      <c r="C12" s="2310"/>
      <c r="D12" s="1547" t="s">
        <v>7</v>
      </c>
      <c r="E12" s="1547"/>
      <c r="F12" s="2938" t="str">
        <f>'Exhibit A'!F11</f>
        <v>4 MOS. ENDED</v>
      </c>
      <c r="G12" s="2408"/>
      <c r="H12" s="1547" t="s">
        <v>7</v>
      </c>
      <c r="I12" s="1548"/>
      <c r="J12" s="1547" t="str">
        <f>F12</f>
        <v>4 MOS. ENDED</v>
      </c>
      <c r="K12" s="2408"/>
      <c r="L12" s="1547" t="s">
        <v>7</v>
      </c>
      <c r="M12" s="1548"/>
      <c r="N12" s="1547" t="str">
        <f>F12</f>
        <v>4 MOS. ENDED</v>
      </c>
      <c r="O12" s="2408"/>
      <c r="P12" s="1547" t="s">
        <v>7</v>
      </c>
      <c r="Q12" s="1548"/>
      <c r="R12" s="1547" t="str">
        <f>F12</f>
        <v>4 MOS. ENDED</v>
      </c>
      <c r="S12" s="2392"/>
      <c r="T12" s="2408"/>
      <c r="U12" s="2408"/>
      <c r="V12" s="1547" t="s">
        <v>7</v>
      </c>
      <c r="W12" s="1547"/>
      <c r="X12" s="1547" t="str">
        <f>F12</f>
        <v>4 MOS. ENDED</v>
      </c>
      <c r="Y12" s="1547"/>
      <c r="Z12" s="1549"/>
      <c r="AA12" s="1549"/>
      <c r="AB12" s="3687" t="s">
        <v>7</v>
      </c>
      <c r="AC12" s="3687"/>
      <c r="AD12" s="3687" t="str">
        <f>F12</f>
        <v>4 MOS. ENDED</v>
      </c>
      <c r="AE12" s="3557"/>
      <c r="AF12" s="3557"/>
      <c r="AG12" s="3558"/>
      <c r="AH12" s="3559" t="s">
        <v>8</v>
      </c>
      <c r="AI12" s="1548"/>
      <c r="AJ12" s="2938" t="s">
        <v>9</v>
      </c>
      <c r="AK12" s="2939"/>
      <c r="AL12" s="2929"/>
    </row>
    <row r="13" spans="1:38" ht="15.75">
      <c r="A13" s="2310"/>
      <c r="B13" s="2310"/>
      <c r="C13" s="2310"/>
      <c r="D13" s="1550" t="str">
        <f>'Exhibit A'!D12</f>
        <v>JULY 2019</v>
      </c>
      <c r="E13" s="1553"/>
      <c r="F13" s="1550" t="str">
        <f>'Exhibit A'!F12</f>
        <v>JULY 31, 2019</v>
      </c>
      <c r="G13" s="2392"/>
      <c r="H13" s="1550" t="str">
        <f>D13</f>
        <v>JULY 2019</v>
      </c>
      <c r="I13" s="1553"/>
      <c r="J13" s="1550" t="str">
        <f>F13</f>
        <v>JULY 31, 2019</v>
      </c>
      <c r="K13" s="2392"/>
      <c r="L13" s="1550" t="str">
        <f>D13</f>
        <v>JULY 2019</v>
      </c>
      <c r="M13" s="1553"/>
      <c r="N13" s="1550" t="str">
        <f>F13</f>
        <v>JULY 31, 2019</v>
      </c>
      <c r="O13" s="2392"/>
      <c r="P13" s="1550" t="str">
        <f>D13</f>
        <v>JULY 2019</v>
      </c>
      <c r="Q13" s="1553"/>
      <c r="R13" s="1550" t="str">
        <f>F13</f>
        <v>JULY 31, 2019</v>
      </c>
      <c r="S13" s="2392"/>
      <c r="T13" s="2408"/>
      <c r="U13" s="2408"/>
      <c r="V13" s="1551" t="str">
        <f>D13</f>
        <v>JULY 2019</v>
      </c>
      <c r="W13" s="1552"/>
      <c r="X13" s="1551" t="str">
        <f>F13</f>
        <v>JULY 31, 2019</v>
      </c>
      <c r="Y13" s="1552"/>
      <c r="Z13" s="2940"/>
      <c r="AA13" s="2940"/>
      <c r="AB13" s="3688" t="str">
        <f>'Exhibit A'!AB12</f>
        <v>JULY 2018</v>
      </c>
      <c r="AC13" s="3274"/>
      <c r="AD13" s="3688" t="str">
        <f>'Exhibit A'!AD12</f>
        <v>JULY 31, 2018</v>
      </c>
      <c r="AE13" s="3274"/>
      <c r="AF13" s="3560"/>
      <c r="AG13" s="3561"/>
      <c r="AH13" s="3562" t="s">
        <v>12</v>
      </c>
      <c r="AI13" s="1553"/>
      <c r="AJ13" s="1550" t="s">
        <v>13</v>
      </c>
      <c r="AK13" s="2939"/>
      <c r="AL13" s="2941"/>
    </row>
    <row r="14" spans="1:38" ht="15">
      <c r="A14" s="2310"/>
      <c r="B14" s="2310"/>
      <c r="C14" s="2310"/>
      <c r="D14" s="2333"/>
      <c r="E14" s="2333"/>
      <c r="F14" s="2333"/>
      <c r="G14" s="2310"/>
      <c r="H14" s="2333"/>
      <c r="I14" s="2333"/>
      <c r="J14" s="2333"/>
      <c r="K14" s="2310"/>
      <c r="L14" s="2333"/>
      <c r="M14" s="2333"/>
      <c r="N14" s="2333"/>
      <c r="O14" s="2310"/>
      <c r="P14" s="2333"/>
      <c r="Q14" s="2333"/>
      <c r="R14" s="2333"/>
      <c r="S14" s="2310"/>
      <c r="T14" s="2942"/>
      <c r="U14" s="2942"/>
      <c r="V14" s="2943"/>
      <c r="W14" s="2333"/>
      <c r="X14" s="2943"/>
      <c r="Y14" s="2333"/>
      <c r="Z14" s="2944"/>
      <c r="AA14" s="2333"/>
      <c r="AB14" s="3689"/>
      <c r="AC14" s="3275"/>
      <c r="AD14" s="3689"/>
      <c r="AE14" s="3275"/>
      <c r="AF14" s="3742"/>
      <c r="AG14" s="3275"/>
      <c r="AH14" s="3275"/>
      <c r="AI14" s="2333"/>
      <c r="AJ14" s="2945"/>
      <c r="AK14" s="2929"/>
      <c r="AL14" s="2929"/>
    </row>
    <row r="15" spans="1:38" ht="18" customHeight="1">
      <c r="A15" s="2946" t="s">
        <v>1193</v>
      </c>
      <c r="B15" s="2947"/>
      <c r="C15" s="2947"/>
      <c r="D15" s="2310"/>
      <c r="E15" s="2310"/>
      <c r="F15" s="2310"/>
      <c r="G15" s="2310"/>
      <c r="H15" s="2310"/>
      <c r="I15" s="2310"/>
      <c r="J15" s="2310"/>
      <c r="K15" s="2310"/>
      <c r="L15" s="2310"/>
      <c r="M15" s="2310"/>
      <c r="N15" s="2310"/>
      <c r="O15" s="2310"/>
      <c r="P15" s="2310"/>
      <c r="Q15" s="2310"/>
      <c r="R15" s="2310"/>
      <c r="S15" s="2310"/>
      <c r="T15" s="2942"/>
      <c r="U15" s="2942"/>
      <c r="V15" s="2310"/>
      <c r="W15" s="2310"/>
      <c r="X15" s="2310"/>
      <c r="Y15" s="2310"/>
      <c r="Z15" s="2944"/>
      <c r="AA15" s="2333"/>
      <c r="AB15" s="2411"/>
      <c r="AC15" s="2411"/>
      <c r="AD15" s="2411"/>
      <c r="AE15" s="2411"/>
      <c r="AF15" s="3742"/>
      <c r="AG15" s="2411"/>
      <c r="AH15" s="2411"/>
      <c r="AI15" s="2310"/>
      <c r="AJ15" s="2945"/>
      <c r="AK15" s="2929"/>
      <c r="AL15" s="2929"/>
    </row>
    <row r="16" spans="1:38" s="2956" customFormat="1" ht="18" customHeight="1">
      <c r="A16" s="2948" t="s">
        <v>906</v>
      </c>
      <c r="B16" s="2948"/>
      <c r="C16" s="2949"/>
      <c r="D16" s="1850">
        <f>'Exhibit F'!J17</f>
        <v>3365.7999999999988</v>
      </c>
      <c r="E16" s="2950"/>
      <c r="F16" s="1850">
        <f>'Exhibit F'!AC17</f>
        <v>12745.3</v>
      </c>
      <c r="G16" s="2950"/>
      <c r="H16" s="1861">
        <v>0</v>
      </c>
      <c r="I16" s="2950"/>
      <c r="J16" s="1861">
        <v>0</v>
      </c>
      <c r="K16" s="2950"/>
      <c r="L16" s="1861">
        <v>0</v>
      </c>
      <c r="M16" s="2950"/>
      <c r="N16" s="1861">
        <v>0</v>
      </c>
      <c r="O16" s="2950"/>
      <c r="P16" s="1861">
        <v>0</v>
      </c>
      <c r="Q16" s="2950"/>
      <c r="R16" s="1861">
        <v>0</v>
      </c>
      <c r="S16" s="1850"/>
      <c r="T16" s="2951"/>
      <c r="U16" s="2952"/>
      <c r="V16" s="1892">
        <f t="shared" ref="V16:V20" si="0">SUM(D16)+SUM(H16)+SUM(L16)+SUM(P16)</f>
        <v>3365.7999999999988</v>
      </c>
      <c r="W16" s="2950"/>
      <c r="X16" s="1892">
        <f>SUM(F16)+SUM(J16)+SUM(N16)+SUM(R16)</f>
        <v>12745.3</v>
      </c>
      <c r="Y16" s="2953"/>
      <c r="Z16" s="2954"/>
      <c r="AA16" s="2950"/>
      <c r="AB16" s="3690">
        <v>2920.2</v>
      </c>
      <c r="AC16" s="2950"/>
      <c r="AD16" s="1892">
        <f>'Cashflow Governmental'!AE21</f>
        <v>11807.3</v>
      </c>
      <c r="AE16" s="1892"/>
      <c r="AF16" s="3742"/>
      <c r="AG16" s="2953"/>
      <c r="AH16" s="1892">
        <f>ROUND(SUM(X16)-SUM(AD16),1)</f>
        <v>938</v>
      </c>
      <c r="AI16" s="2483"/>
      <c r="AJ16" s="1893">
        <f>ROUND(AH16/AD16,3)</f>
        <v>7.9000000000000001E-2</v>
      </c>
      <c r="AK16" s="1894"/>
      <c r="AL16" s="2955"/>
    </row>
    <row r="17" spans="1:38" s="2956" customFormat="1" ht="18" customHeight="1">
      <c r="A17" s="2957" t="s">
        <v>977</v>
      </c>
      <c r="B17" s="2948"/>
      <c r="C17" s="2958"/>
      <c r="D17" s="634">
        <f>'Exhibit F'!J18</f>
        <v>118.69999999999891</v>
      </c>
      <c r="E17" s="634"/>
      <c r="F17" s="634">
        <f>'Exhibit F'!AC18</f>
        <v>9470.9</v>
      </c>
      <c r="G17" s="634"/>
      <c r="H17" s="1852">
        <v>0</v>
      </c>
      <c r="I17" s="1854"/>
      <c r="J17" s="1853">
        <v>0</v>
      </c>
      <c r="K17" s="634"/>
      <c r="L17" s="1852">
        <v>0</v>
      </c>
      <c r="M17" s="1854"/>
      <c r="N17" s="1853">
        <v>0</v>
      </c>
      <c r="O17" s="634"/>
      <c r="P17" s="1852">
        <v>0</v>
      </c>
      <c r="Q17" s="1854"/>
      <c r="R17" s="1853">
        <v>0</v>
      </c>
      <c r="S17" s="634"/>
      <c r="T17" s="2959"/>
      <c r="U17" s="2959"/>
      <c r="V17" s="1854">
        <f t="shared" si="0"/>
        <v>118.69999999999891</v>
      </c>
      <c r="W17" s="1459"/>
      <c r="X17" s="1854">
        <f t="shared" ref="X17:X24" si="1">SUM(F17)+SUM(J17)+SUM(N17)+SUM(R17)</f>
        <v>9470.9</v>
      </c>
      <c r="Y17" s="2960"/>
      <c r="Z17" s="2961"/>
      <c r="AA17" s="1459"/>
      <c r="AB17" s="1851">
        <v>109.1</v>
      </c>
      <c r="AC17" s="634"/>
      <c r="AD17" s="1854">
        <f>'Cashflow Governmental'!AE22</f>
        <v>6793.8</v>
      </c>
      <c r="AE17" s="1854"/>
      <c r="AF17" s="3742"/>
      <c r="AG17" s="2960"/>
      <c r="AH17" s="1854">
        <f>ROUND(SUM(X17)-SUM(AD17),1)</f>
        <v>2677.1</v>
      </c>
      <c r="AI17" s="2962"/>
      <c r="AJ17" s="1894">
        <f>ROUND(AH17/AD17,3)</f>
        <v>0.39400000000000002</v>
      </c>
      <c r="AK17" s="1894"/>
      <c r="AL17" s="2955"/>
    </row>
    <row r="18" spans="1:38" s="2956" customFormat="1" ht="18" customHeight="1">
      <c r="A18" s="2948" t="s">
        <v>907</v>
      </c>
      <c r="B18" s="2948" t="s">
        <v>15</v>
      </c>
      <c r="C18" s="2948"/>
      <c r="D18" s="634">
        <f>'Exhibit F'!J19</f>
        <v>40.800000000000004</v>
      </c>
      <c r="E18" s="634"/>
      <c r="F18" s="634">
        <f>'Exhibit F'!AC19</f>
        <v>2456.9</v>
      </c>
      <c r="G18" s="634"/>
      <c r="H18" s="1852">
        <v>0</v>
      </c>
      <c r="I18" s="1854"/>
      <c r="J18" s="1853">
        <v>0</v>
      </c>
      <c r="K18" s="634"/>
      <c r="L18" s="1852">
        <v>0</v>
      </c>
      <c r="M18" s="1854"/>
      <c r="N18" s="1853">
        <v>0</v>
      </c>
      <c r="O18" s="634"/>
      <c r="P18" s="1852">
        <v>0</v>
      </c>
      <c r="Q18" s="1854"/>
      <c r="R18" s="1853">
        <v>0</v>
      </c>
      <c r="S18" s="634"/>
      <c r="T18" s="2959"/>
      <c r="U18" s="2959"/>
      <c r="V18" s="1854">
        <f t="shared" si="0"/>
        <v>40.800000000000004</v>
      </c>
      <c r="W18" s="1459"/>
      <c r="X18" s="1854">
        <f t="shared" si="1"/>
        <v>2456.9</v>
      </c>
      <c r="Y18" s="2960"/>
      <c r="Z18" s="2961"/>
      <c r="AA18" s="1459"/>
      <c r="AB18" s="1851">
        <v>38.200000000000003</v>
      </c>
      <c r="AC18" s="634"/>
      <c r="AD18" s="1854">
        <f>'Cashflow Governmental'!AE23</f>
        <v>1786.6</v>
      </c>
      <c r="AE18" s="1854"/>
      <c r="AF18" s="3742"/>
      <c r="AG18" s="2960"/>
      <c r="AH18" s="1854">
        <f>ROUND(SUM(X18)-SUM(AD18),1)</f>
        <v>670.3</v>
      </c>
      <c r="AI18" s="2962"/>
      <c r="AJ18" s="1894">
        <f>ROUND(AH18/AD18,3)</f>
        <v>0.375</v>
      </c>
      <c r="AK18" s="1894"/>
      <c r="AL18" s="2955"/>
    </row>
    <row r="19" spans="1:38" s="2956" customFormat="1" ht="18" customHeight="1">
      <c r="A19" s="2957" t="s">
        <v>908</v>
      </c>
      <c r="B19" s="2948"/>
      <c r="C19" s="2948"/>
      <c r="D19" s="634">
        <f>'Exhibit F'!J20</f>
        <v>-21</v>
      </c>
      <c r="E19" s="634"/>
      <c r="F19" s="634">
        <f>'Exhibit F'!AC20</f>
        <v>-374.9</v>
      </c>
      <c r="G19" s="634"/>
      <c r="H19" s="1852">
        <v>0</v>
      </c>
      <c r="I19" s="1854"/>
      <c r="J19" s="1853">
        <v>0</v>
      </c>
      <c r="K19" s="634"/>
      <c r="L19" s="1852">
        <v>0</v>
      </c>
      <c r="M19" s="1854"/>
      <c r="N19" s="1853">
        <v>0</v>
      </c>
      <c r="O19" s="634"/>
      <c r="P19" s="1852">
        <v>0</v>
      </c>
      <c r="Q19" s="1854"/>
      <c r="R19" s="1853">
        <v>0</v>
      </c>
      <c r="S19" s="634"/>
      <c r="T19" s="2959"/>
      <c r="U19" s="2959"/>
      <c r="V19" s="1854">
        <f t="shared" si="0"/>
        <v>-21</v>
      </c>
      <c r="W19" s="1459"/>
      <c r="X19" s="1854">
        <f t="shared" si="1"/>
        <v>-374.9</v>
      </c>
      <c r="Y19" s="2960"/>
      <c r="Z19" s="2961"/>
      <c r="AA19" s="1459"/>
      <c r="AB19" s="1851">
        <v>-10.8</v>
      </c>
      <c r="AC19" s="634"/>
      <c r="AD19" s="1854">
        <f>'Cashflow Governmental'!AE24</f>
        <v>-354.7</v>
      </c>
      <c r="AE19" s="1854"/>
      <c r="AF19" s="3742"/>
      <c r="AG19" s="2960"/>
      <c r="AH19" s="1854">
        <f>-ROUND(SUM(X19)-SUM(AD19),1)</f>
        <v>20.2</v>
      </c>
      <c r="AI19" s="2962"/>
      <c r="AJ19" s="1894">
        <f>-ROUND(AH19/AD19,3)</f>
        <v>5.7000000000000002E-2</v>
      </c>
      <c r="AK19" s="1894"/>
      <c r="AL19" s="2955"/>
    </row>
    <row r="20" spans="1:38" s="2956" customFormat="1" ht="18" customHeight="1">
      <c r="A20" s="2957" t="s">
        <v>909</v>
      </c>
      <c r="B20" s="2948" t="s">
        <v>15</v>
      </c>
      <c r="C20" s="2948"/>
      <c r="D20" s="634">
        <f>'Exhibit F'!J21</f>
        <v>89.300000000000011</v>
      </c>
      <c r="E20" s="634"/>
      <c r="F20" s="634">
        <f>'Exhibit F'!AC21</f>
        <v>461</v>
      </c>
      <c r="G20" s="634"/>
      <c r="H20" s="1852">
        <v>0</v>
      </c>
      <c r="I20" s="1854"/>
      <c r="J20" s="1853">
        <v>0</v>
      </c>
      <c r="K20" s="634"/>
      <c r="L20" s="1852">
        <v>0</v>
      </c>
      <c r="M20" s="1854"/>
      <c r="N20" s="1853">
        <v>0</v>
      </c>
      <c r="O20" s="634"/>
      <c r="P20" s="1852">
        <v>0</v>
      </c>
      <c r="Q20" s="1854"/>
      <c r="R20" s="1853">
        <v>0</v>
      </c>
      <c r="S20" s="634"/>
      <c r="T20" s="2959"/>
      <c r="U20" s="2959"/>
      <c r="V20" s="1854">
        <f t="shared" si="0"/>
        <v>89.300000000000011</v>
      </c>
      <c r="W20" s="1459"/>
      <c r="X20" s="1854">
        <f t="shared" si="1"/>
        <v>461</v>
      </c>
      <c r="Y20" s="2960"/>
      <c r="Z20" s="2961"/>
      <c r="AA20" s="1459"/>
      <c r="AB20" s="1851">
        <v>106.1</v>
      </c>
      <c r="AC20" s="634"/>
      <c r="AD20" s="1854">
        <f>'Cashflow Governmental'!AE25</f>
        <v>439.6</v>
      </c>
      <c r="AE20" s="1854"/>
      <c r="AF20" s="3742"/>
      <c r="AG20" s="2960"/>
      <c r="AH20" s="1854">
        <f>ROUND(SUM(X20)-SUM(AD20),1)</f>
        <v>21.4</v>
      </c>
      <c r="AI20" s="2962"/>
      <c r="AJ20" s="3715">
        <f>ROUND(AH20/AD20,3)</f>
        <v>4.9000000000000002E-2</v>
      </c>
      <c r="AK20" s="1894"/>
      <c r="AL20" s="2955"/>
    </row>
    <row r="21" spans="1:38" s="2971" customFormat="1" ht="18" customHeight="1">
      <c r="A21" s="2963" t="s">
        <v>910</v>
      </c>
      <c r="B21" s="2963"/>
      <c r="C21" s="2963"/>
      <c r="D21" s="1862">
        <f>ROUND(SUM(D16:D20),1)</f>
        <v>3593.6</v>
      </c>
      <c r="E21" s="1520"/>
      <c r="F21" s="1862">
        <f>ROUND(SUM(F16:F20),1)</f>
        <v>24759.200000000001</v>
      </c>
      <c r="G21" s="23"/>
      <c r="H21" s="1862">
        <f>ROUND(SUM(H16:H20),1)</f>
        <v>0</v>
      </c>
      <c r="I21" s="2964"/>
      <c r="J21" s="1862">
        <f>ROUND(SUM(J16:J20),1)</f>
        <v>0</v>
      </c>
      <c r="K21" s="23"/>
      <c r="L21" s="1862">
        <f>ROUND(SUM(L16:L20),1)</f>
        <v>0</v>
      </c>
      <c r="M21" s="2964"/>
      <c r="N21" s="1862">
        <f>ROUND(SUM(N16:N20),1)</f>
        <v>0</v>
      </c>
      <c r="O21" s="23"/>
      <c r="P21" s="1862">
        <f>ROUND(SUM(P16:P20),1)</f>
        <v>0</v>
      </c>
      <c r="Q21" s="2964"/>
      <c r="R21" s="1862">
        <f>ROUND(SUM(R16:R20),1)</f>
        <v>0</v>
      </c>
      <c r="S21" s="23"/>
      <c r="T21" s="2965"/>
      <c r="U21" s="2965"/>
      <c r="V21" s="2966">
        <f>ROUND(SUM(V16:V20),1)</f>
        <v>3593.6</v>
      </c>
      <c r="W21" s="1520"/>
      <c r="X21" s="2966">
        <f>ROUND(SUM(X16:X20),1)</f>
        <v>24759.200000000001</v>
      </c>
      <c r="Y21" s="2967"/>
      <c r="Z21" s="2390"/>
      <c r="AA21" s="1520"/>
      <c r="AB21" s="1500">
        <f>ROUND(SUM(AB16:AB20),1)</f>
        <v>3162.8</v>
      </c>
      <c r="AC21" s="23"/>
      <c r="AD21" s="3695">
        <f>ROUND(SUM(AD16:AD20),1)</f>
        <v>20472.599999999999</v>
      </c>
      <c r="AE21" s="2964"/>
      <c r="AF21" s="3742"/>
      <c r="AG21" s="2967"/>
      <c r="AH21" s="3768">
        <f>ROUND(SUM(X21)-SUM(AD21),1)</f>
        <v>4286.6000000000004</v>
      </c>
      <c r="AI21" s="2968"/>
      <c r="AJ21" s="3717">
        <f>ROUND(AH21/AD21,3)</f>
        <v>0.20899999999999999</v>
      </c>
      <c r="AK21" s="2969"/>
      <c r="AL21" s="2970"/>
    </row>
    <row r="22" spans="1:38" s="2956" customFormat="1" ht="18" customHeight="1">
      <c r="A22" s="2957" t="s">
        <v>911</v>
      </c>
      <c r="B22" s="2948"/>
      <c r="C22" s="2948"/>
      <c r="D22" s="1851">
        <f>'Exhibit F'!J23</f>
        <v>0</v>
      </c>
      <c r="E22" s="1854"/>
      <c r="F22" s="1851">
        <f>'Exhibit F'!AC23</f>
        <v>0</v>
      </c>
      <c r="G22" s="634"/>
      <c r="H22" s="634">
        <f>'Exhibit G'!J17</f>
        <v>0</v>
      </c>
      <c r="I22" s="1854"/>
      <c r="J22" s="1867">
        <f>'Exhibit G'!AD17</f>
        <v>0</v>
      </c>
      <c r="K22" s="634"/>
      <c r="L22" s="1863">
        <v>0</v>
      </c>
      <c r="M22" s="1854"/>
      <c r="N22" s="1863">
        <v>0</v>
      </c>
      <c r="O22" s="634"/>
      <c r="P22" s="1863">
        <v>0</v>
      </c>
      <c r="Q22" s="1854"/>
      <c r="R22" s="1863">
        <v>0</v>
      </c>
      <c r="S22" s="634"/>
      <c r="T22" s="2959"/>
      <c r="U22" s="2959"/>
      <c r="V22" s="2972">
        <f>SUM(D22)+SUM(H22)+SUM(L22)+SUM(P22)</f>
        <v>0</v>
      </c>
      <c r="W22" s="1459"/>
      <c r="X22" s="2972">
        <f t="shared" si="1"/>
        <v>0</v>
      </c>
      <c r="Y22" s="2960"/>
      <c r="Z22" s="2961"/>
      <c r="AA22" s="1459"/>
      <c r="AB22" s="1851">
        <v>0</v>
      </c>
      <c r="AC22" s="1459"/>
      <c r="AD22" s="1854">
        <f>'Cashflow Governmental'!AE27</f>
        <v>0</v>
      </c>
      <c r="AE22" s="1852"/>
      <c r="AF22" s="3742"/>
      <c r="AG22" s="2960"/>
      <c r="AH22" s="1853">
        <f>ROUND(SUM(X22)-SUM(AD22),1)</f>
        <v>0</v>
      </c>
      <c r="AI22" s="2962"/>
      <c r="AJ22" s="1786">
        <f>ROUND(IF(AD22=0,0,AH22/(AD22)),3)</f>
        <v>0</v>
      </c>
      <c r="AK22" s="2973"/>
      <c r="AL22" s="2955"/>
    </row>
    <row r="23" spans="1:38" s="2956" customFormat="1" ht="18" customHeight="1">
      <c r="A23" s="2957" t="s">
        <v>912</v>
      </c>
      <c r="B23" s="2948"/>
      <c r="C23" s="2948"/>
      <c r="D23" s="1851">
        <f>'Exhibit F'!J24</f>
        <v>-1665.7999999999993</v>
      </c>
      <c r="E23" s="634"/>
      <c r="F23" s="1851">
        <f>'Exhibit F'!AC24</f>
        <v>-10120.699999999999</v>
      </c>
      <c r="G23" s="634"/>
      <c r="H23" s="1852">
        <v>0</v>
      </c>
      <c r="I23" s="1854"/>
      <c r="J23" s="1853">
        <v>0</v>
      </c>
      <c r="K23" s="634"/>
      <c r="L23" s="1854">
        <f>'Exhibit H'!H16</f>
        <v>1665.7999999999993</v>
      </c>
      <c r="M23" s="1854"/>
      <c r="N23" s="1854">
        <f>'Exhibit H'!AA16</f>
        <v>10120.699999999999</v>
      </c>
      <c r="O23" s="634"/>
      <c r="P23" s="1852">
        <v>0</v>
      </c>
      <c r="Q23" s="1854"/>
      <c r="R23" s="1853">
        <v>0</v>
      </c>
      <c r="S23" s="634"/>
      <c r="T23" s="2959"/>
      <c r="U23" s="2959"/>
      <c r="V23" s="1854">
        <f>ROUND(SUM(D23)+SUM(H23)+SUM(L23)+SUM(P23),1)</f>
        <v>0</v>
      </c>
      <c r="W23" s="1459"/>
      <c r="X23" s="1854">
        <f t="shared" si="1"/>
        <v>0</v>
      </c>
      <c r="Y23" s="2960"/>
      <c r="Z23" s="2961"/>
      <c r="AA23" s="1459"/>
      <c r="AB23" s="1851">
        <v>0</v>
      </c>
      <c r="AC23" s="1459"/>
      <c r="AD23" s="1854">
        <f>'Cashflow Governmental'!AE28</f>
        <v>0</v>
      </c>
      <c r="AE23" s="1852"/>
      <c r="AF23" s="3742"/>
      <c r="AG23" s="2960"/>
      <c r="AH23" s="1853">
        <f>ROUND(SUM(X23)-SUM(AD23),1)</f>
        <v>0</v>
      </c>
      <c r="AI23" s="2962"/>
      <c r="AJ23" s="1786">
        <f>ROUND(IF(AD23=0,0,AH23/(AD23)),3)</f>
        <v>0</v>
      </c>
      <c r="AK23" s="2973"/>
      <c r="AL23" s="2955"/>
    </row>
    <row r="24" spans="1:38" s="2956" customFormat="1" ht="18" customHeight="1">
      <c r="A24" s="2948" t="s">
        <v>913</v>
      </c>
      <c r="B24" s="2948"/>
      <c r="C24" s="2948"/>
      <c r="D24" s="1851">
        <f>'Exhibit F'!J25</f>
        <v>-262</v>
      </c>
      <c r="E24" s="1459"/>
      <c r="F24" s="1851">
        <f>'Exhibit F'!AC25</f>
        <v>-4517.7</v>
      </c>
      <c r="G24" s="634"/>
      <c r="H24" s="1852">
        <v>0</v>
      </c>
      <c r="I24" s="1854"/>
      <c r="J24" s="1853">
        <v>0</v>
      </c>
      <c r="K24" s="634"/>
      <c r="L24" s="1852">
        <v>0</v>
      </c>
      <c r="M24" s="1854"/>
      <c r="N24" s="1853">
        <v>0</v>
      </c>
      <c r="O24" s="634"/>
      <c r="P24" s="1852">
        <v>0</v>
      </c>
      <c r="Q24" s="1854"/>
      <c r="R24" s="1853">
        <v>0</v>
      </c>
      <c r="S24" s="634"/>
      <c r="T24" s="2959"/>
      <c r="U24" s="2959"/>
      <c r="V24" s="1854">
        <f>SUM(D24)+SUM(H24)+SUM(L24)+SUM(P24)</f>
        <v>-262</v>
      </c>
      <c r="W24" s="1459"/>
      <c r="X24" s="1854">
        <f t="shared" si="1"/>
        <v>-4517.7</v>
      </c>
      <c r="Y24" s="2960"/>
      <c r="Z24" s="2961"/>
      <c r="AA24" s="1459"/>
      <c r="AB24" s="1851">
        <v>-263.10000000000002</v>
      </c>
      <c r="AC24" s="634"/>
      <c r="AD24" s="1854">
        <f>'Cashflow Governmental'!AE29</f>
        <v>-4581.8999999999996</v>
      </c>
      <c r="AE24" s="1854"/>
      <c r="AF24" s="3742"/>
      <c r="AG24" s="2960"/>
      <c r="AH24" s="1854">
        <f>-ROUND(SUM(X24)-SUM(AD24),1)</f>
        <v>-64.2</v>
      </c>
      <c r="AI24" s="2962"/>
      <c r="AJ24" s="1896">
        <f>-ROUND(AH24/AD24,3)</f>
        <v>-1.4E-2</v>
      </c>
      <c r="AK24" s="1894"/>
      <c r="AL24" s="2955"/>
    </row>
    <row r="25" spans="1:38" s="2956" customFormat="1" ht="18" customHeight="1">
      <c r="A25" s="2974" t="s">
        <v>914</v>
      </c>
      <c r="B25" s="2948"/>
      <c r="C25" s="2948"/>
      <c r="D25" s="1864">
        <f>ROUND(SUM(D21:D24),1)</f>
        <v>1665.8</v>
      </c>
      <c r="E25" s="1520"/>
      <c r="F25" s="1864">
        <f>ROUND(SUM(F21:F24),1)</f>
        <v>10120.799999999999</v>
      </c>
      <c r="G25" s="23"/>
      <c r="H25" s="1864">
        <f>ROUND(SUM(H21:H24),1)</f>
        <v>0</v>
      </c>
      <c r="I25" s="2964"/>
      <c r="J25" s="1864">
        <f>ROUND(SUM(J21:J24),1)</f>
        <v>0</v>
      </c>
      <c r="K25" s="23"/>
      <c r="L25" s="1864">
        <f>ROUND(SUM(L21:L24),1)</f>
        <v>1665.8</v>
      </c>
      <c r="M25" s="2964"/>
      <c r="N25" s="1864">
        <f>ROUND(SUM(N21:N24),1)</f>
        <v>10120.700000000001</v>
      </c>
      <c r="O25" s="23"/>
      <c r="P25" s="1864">
        <f>ROUND(SUM(P21:P24),1)</f>
        <v>0</v>
      </c>
      <c r="Q25" s="2964"/>
      <c r="R25" s="1864">
        <f>ROUND(SUM(R21:R24),1)</f>
        <v>0</v>
      </c>
      <c r="S25" s="23"/>
      <c r="T25" s="2965"/>
      <c r="U25" s="2965"/>
      <c r="V25" s="2966">
        <f>ROUND(SUM(V21:V24),1)</f>
        <v>3331.6</v>
      </c>
      <c r="W25" s="1520"/>
      <c r="X25" s="2966">
        <f>ROUND(SUM(X21:X24),1)</f>
        <v>20241.5</v>
      </c>
      <c r="Y25" s="2975"/>
      <c r="Z25" s="2390"/>
      <c r="AA25" s="1520"/>
      <c r="AB25" s="3691">
        <f>ROUND(SUM(AB21:AB24),1)</f>
        <v>2899.7</v>
      </c>
      <c r="AC25" s="23"/>
      <c r="AD25" s="2966">
        <f>ROUND(SUM(AD21:AD24),1)</f>
        <v>15890.7</v>
      </c>
      <c r="AE25" s="1520" t="s">
        <v>15</v>
      </c>
      <c r="AF25" s="3742"/>
      <c r="AG25" s="2967"/>
      <c r="AH25" s="1897">
        <f>ROUND(SUM(X25)-SUM(AD25),1)</f>
        <v>4350.8</v>
      </c>
      <c r="AI25" s="2968"/>
      <c r="AJ25" s="1898">
        <f>ROUND(AH25/AD25,3)</f>
        <v>0.27400000000000002</v>
      </c>
      <c r="AK25" s="2969"/>
      <c r="AL25" s="2970"/>
    </row>
    <row r="26" spans="1:38" ht="18" customHeight="1">
      <c r="A26" s="2947"/>
      <c r="B26" s="2947"/>
      <c r="C26" s="2947"/>
      <c r="D26" s="1559"/>
      <c r="E26" s="630"/>
      <c r="F26" s="1559"/>
      <c r="G26" s="629"/>
      <c r="H26" s="1559"/>
      <c r="I26" s="630"/>
      <c r="J26" s="1559"/>
      <c r="K26" s="629"/>
      <c r="L26" s="1559"/>
      <c r="M26" s="630"/>
      <c r="N26" s="1559"/>
      <c r="O26" s="629"/>
      <c r="P26" s="1559"/>
      <c r="Q26" s="630"/>
      <c r="R26" s="1559"/>
      <c r="S26" s="629"/>
      <c r="T26" s="2976"/>
      <c r="U26" s="2976"/>
      <c r="V26" s="1559"/>
      <c r="W26" s="630"/>
      <c r="X26" s="1559"/>
      <c r="Y26" s="630"/>
      <c r="Z26" s="2977"/>
      <c r="AA26" s="630"/>
      <c r="AB26" s="1865"/>
      <c r="AC26" s="634"/>
      <c r="AD26" s="1865"/>
      <c r="AE26" s="1459"/>
      <c r="AF26" s="3742"/>
      <c r="AG26" s="1459"/>
      <c r="AH26" s="1459"/>
      <c r="AI26" s="627"/>
      <c r="AJ26" s="2978"/>
      <c r="AK26" s="2979"/>
      <c r="AL26" s="2929"/>
    </row>
    <row r="27" spans="1:38" ht="18" customHeight="1">
      <c r="A27" s="2980" t="s">
        <v>1194</v>
      </c>
      <c r="B27" s="2947"/>
      <c r="C27" s="2981"/>
      <c r="D27" s="629"/>
      <c r="E27" s="629"/>
      <c r="F27" s="629"/>
      <c r="G27" s="629"/>
      <c r="H27" s="629"/>
      <c r="I27" s="629"/>
      <c r="J27" s="629"/>
      <c r="K27" s="629"/>
      <c r="L27" s="629"/>
      <c r="M27" s="629"/>
      <c r="N27" s="629"/>
      <c r="O27" s="629"/>
      <c r="P27" s="629"/>
      <c r="Q27" s="629"/>
      <c r="R27" s="629"/>
      <c r="S27" s="629"/>
      <c r="T27" s="2976"/>
      <c r="U27" s="2976"/>
      <c r="V27" s="630"/>
      <c r="W27" s="630"/>
      <c r="X27" s="629"/>
      <c r="Y27" s="629"/>
      <c r="Z27" s="2977"/>
      <c r="AA27" s="630"/>
      <c r="AB27" s="634"/>
      <c r="AC27" s="634"/>
      <c r="AD27" s="634"/>
      <c r="AE27" s="634"/>
      <c r="AF27" s="3742"/>
      <c r="AG27" s="634"/>
      <c r="AH27" s="634"/>
      <c r="AI27" s="2336"/>
      <c r="AJ27" s="2978"/>
      <c r="AK27" s="2979"/>
      <c r="AL27" s="2929"/>
    </row>
    <row r="28" spans="1:38" s="2956" customFormat="1" ht="18" customHeight="1">
      <c r="A28" s="2948" t="s">
        <v>915</v>
      </c>
      <c r="B28" s="2948"/>
      <c r="C28" s="2948"/>
      <c r="D28" s="634">
        <f>'Exhibit F'!J28</f>
        <v>579.79999999999995</v>
      </c>
      <c r="E28" s="634"/>
      <c r="F28" s="634">
        <f>'Exhibit F'!AC28</f>
        <v>2414</v>
      </c>
      <c r="G28" s="634"/>
      <c r="H28" s="634">
        <f>'Exhibit G'!J20</f>
        <v>79.099999999999937</v>
      </c>
      <c r="I28" s="634"/>
      <c r="J28" s="634">
        <f>'Exhibit G'!AD20</f>
        <v>382.4</v>
      </c>
      <c r="K28" s="634"/>
      <c r="L28" s="1854">
        <f>'Exhibit H'!H19</f>
        <v>579.29999999999995</v>
      </c>
      <c r="M28" s="1854"/>
      <c r="N28" s="1854">
        <f>'Exhibit H'!AA19</f>
        <v>2411.6999999999998</v>
      </c>
      <c r="O28" s="634"/>
      <c r="P28" s="1852">
        <v>0</v>
      </c>
      <c r="Q28" s="1854"/>
      <c r="R28" s="1853">
        <v>0</v>
      </c>
      <c r="S28" s="634"/>
      <c r="T28" s="2959"/>
      <c r="U28" s="2959"/>
      <c r="V28" s="1854">
        <f t="shared" ref="V28:V35" si="2">SUM(D28)+SUM(H28)+SUM(L28)+SUM(P28)</f>
        <v>1238.1999999999998</v>
      </c>
      <c r="W28" s="1459"/>
      <c r="X28" s="1854">
        <f t="shared" ref="X28:X35" si="3">SUM(F28)+SUM(J28)+SUM(N28)+SUM(R28)</f>
        <v>5208.1000000000004</v>
      </c>
      <c r="Y28" s="634"/>
      <c r="Z28" s="2961"/>
      <c r="AA28" s="1459"/>
      <c r="AB28" s="1851">
        <v>1161</v>
      </c>
      <c r="AC28" s="634"/>
      <c r="AD28" s="1854">
        <f>'Cashflow Governmental'!AE32</f>
        <v>4963.1000000000004</v>
      </c>
      <c r="AE28" s="1854"/>
      <c r="AF28" s="3742"/>
      <c r="AG28" s="634"/>
      <c r="AH28" s="634">
        <f t="shared" ref="AH28:AH36" si="4">ROUND(SUM(X28)-SUM(AD28),1)</f>
        <v>245</v>
      </c>
      <c r="AI28" s="2962"/>
      <c r="AJ28" s="1894">
        <f t="shared" ref="AJ28:AJ36" si="5">ROUND(AH28/AD28,3)</f>
        <v>4.9000000000000002E-2</v>
      </c>
      <c r="AK28" s="1894"/>
      <c r="AL28" s="2955"/>
    </row>
    <row r="29" spans="1:38" s="2956" customFormat="1" ht="18" customHeight="1">
      <c r="A29" s="2957" t="s">
        <v>916</v>
      </c>
      <c r="B29" s="2948"/>
      <c r="C29" s="2982"/>
      <c r="D29" s="634">
        <f>'Exhibit F'!J29</f>
        <v>0</v>
      </c>
      <c r="E29" s="1854"/>
      <c r="F29" s="634">
        <f>'Exhibit F'!AC29</f>
        <v>0</v>
      </c>
      <c r="G29" s="634"/>
      <c r="H29" s="634">
        <f>'Exhibit G'!J21</f>
        <v>0</v>
      </c>
      <c r="I29" s="1854"/>
      <c r="J29" s="634">
        <f>'Exhibit G'!AD21</f>
        <v>0</v>
      </c>
      <c r="K29" s="634"/>
      <c r="L29" s="1852">
        <v>0</v>
      </c>
      <c r="M29" s="1854"/>
      <c r="N29" s="1853">
        <v>0</v>
      </c>
      <c r="O29" s="634"/>
      <c r="P29" s="1851">
        <f>'Exhibit I'!K20</f>
        <v>9.9999999999997868E-2</v>
      </c>
      <c r="Q29" s="634"/>
      <c r="R29" s="1851">
        <f>'Exhibit I'!AF20</f>
        <v>23.4</v>
      </c>
      <c r="S29" s="634"/>
      <c r="T29" s="2959"/>
      <c r="U29" s="2959"/>
      <c r="V29" s="1854">
        <f t="shared" si="2"/>
        <v>9.9999999999997868E-2</v>
      </c>
      <c r="W29" s="1459"/>
      <c r="X29" s="1854">
        <f t="shared" si="3"/>
        <v>23.4</v>
      </c>
      <c r="Y29" s="2960"/>
      <c r="Z29" s="2961"/>
      <c r="AA29" s="1459"/>
      <c r="AB29" s="1851">
        <v>0.1</v>
      </c>
      <c r="AC29" s="634"/>
      <c r="AD29" s="1854">
        <f>'Cashflow Governmental'!AE33</f>
        <v>31.4</v>
      </c>
      <c r="AE29" s="1854"/>
      <c r="AF29" s="3742"/>
      <c r="AG29" s="2960"/>
      <c r="AH29" s="1854">
        <f t="shared" si="4"/>
        <v>-8</v>
      </c>
      <c r="AI29" s="2983"/>
      <c r="AJ29" s="1894">
        <f t="shared" si="5"/>
        <v>-0.255</v>
      </c>
      <c r="AK29" s="1894"/>
      <c r="AL29" s="2955"/>
    </row>
    <row r="30" spans="1:38" ht="18" customHeight="1">
      <c r="A30" s="2947" t="s">
        <v>917</v>
      </c>
      <c r="B30" s="2947"/>
      <c r="C30" s="2947"/>
      <c r="D30" s="634">
        <f>'Exhibit F'!J30</f>
        <v>31.400000000000006</v>
      </c>
      <c r="E30" s="634"/>
      <c r="F30" s="634">
        <f>'Exhibit F'!AC30</f>
        <v>109.7</v>
      </c>
      <c r="G30" s="634"/>
      <c r="H30" s="634">
        <f>'Exhibit G'!J22</f>
        <v>75.400000000000034</v>
      </c>
      <c r="I30" s="1854"/>
      <c r="J30" s="634">
        <f>'Exhibit G'!AD22</f>
        <v>255.3</v>
      </c>
      <c r="K30" s="634"/>
      <c r="L30" s="1852">
        <v>0</v>
      </c>
      <c r="M30" s="1854"/>
      <c r="N30" s="1853">
        <v>0</v>
      </c>
      <c r="O30" s="634"/>
      <c r="P30" s="1852">
        <v>0</v>
      </c>
      <c r="Q30" s="1854"/>
      <c r="R30" s="1853">
        <v>0</v>
      </c>
      <c r="S30" s="629"/>
      <c r="T30" s="2976"/>
      <c r="U30" s="2976"/>
      <c r="V30" s="1554">
        <f t="shared" si="2"/>
        <v>106.80000000000004</v>
      </c>
      <c r="W30" s="630"/>
      <c r="X30" s="1554">
        <f t="shared" si="3"/>
        <v>365</v>
      </c>
      <c r="Y30" s="2984"/>
      <c r="Z30" s="2977"/>
      <c r="AA30" s="630"/>
      <c r="AB30" s="1851">
        <v>109.1</v>
      </c>
      <c r="AC30" s="634"/>
      <c r="AD30" s="1854">
        <f>'Cashflow Governmental'!AE34</f>
        <v>398.3</v>
      </c>
      <c r="AE30" s="1867"/>
      <c r="AF30" s="3743"/>
      <c r="AG30" s="2960"/>
      <c r="AH30" s="1854">
        <f t="shared" si="4"/>
        <v>-33.299999999999997</v>
      </c>
      <c r="AI30" s="2985"/>
      <c r="AJ30" s="1555">
        <f t="shared" si="5"/>
        <v>-8.4000000000000005E-2</v>
      </c>
      <c r="AK30" s="1555"/>
      <c r="AL30" s="2929"/>
    </row>
    <row r="31" spans="1:38" ht="18" customHeight="1">
      <c r="A31" s="2947" t="s">
        <v>1280</v>
      </c>
      <c r="B31" s="2947"/>
      <c r="C31" s="2947"/>
      <c r="D31" s="634">
        <v>0</v>
      </c>
      <c r="E31" s="634"/>
      <c r="F31" s="634">
        <v>0</v>
      </c>
      <c r="G31" s="634"/>
      <c r="H31" s="634">
        <f>'Exhibit G'!J23</f>
        <v>0.5</v>
      </c>
      <c r="I31" s="1854"/>
      <c r="J31" s="634">
        <f>'Exhibit G'!AD23</f>
        <v>1.9</v>
      </c>
      <c r="K31" s="634"/>
      <c r="L31" s="1852">
        <v>0</v>
      </c>
      <c r="M31" s="1854"/>
      <c r="N31" s="1853">
        <v>0</v>
      </c>
      <c r="O31" s="634"/>
      <c r="P31" s="1852">
        <v>0</v>
      </c>
      <c r="Q31" s="1854"/>
      <c r="R31" s="1853">
        <v>0</v>
      </c>
      <c r="S31" s="629"/>
      <c r="T31" s="2976"/>
      <c r="U31" s="2976"/>
      <c r="V31" s="1554">
        <f>SUM(D31)+SUM(H31)+SUM(L31)+SUM(P31)</f>
        <v>0.5</v>
      </c>
      <c r="W31" s="630"/>
      <c r="X31" s="1554">
        <f>SUM(F31)+SUM(J31)+SUM(N31)+SUM(R31)</f>
        <v>1.9</v>
      </c>
      <c r="Y31" s="2984"/>
      <c r="Z31" s="2977"/>
      <c r="AA31" s="630"/>
      <c r="AB31" s="1851">
        <v>0.19999999999999998</v>
      </c>
      <c r="AC31" s="634"/>
      <c r="AD31" s="1854">
        <f>'Cashflow Governmental'!AE35</f>
        <v>1</v>
      </c>
      <c r="AE31" s="1867"/>
      <c r="AF31" s="3743"/>
      <c r="AG31" s="2960"/>
      <c r="AH31" s="1854">
        <f>ROUND(SUM(X31)-SUM(AD31),1)</f>
        <v>0.9</v>
      </c>
      <c r="AI31" s="2985"/>
      <c r="AJ31" s="1478">
        <f>ROUND(IF(AD31=0,0,AH31/(AD31)),3)</f>
        <v>0.9</v>
      </c>
      <c r="AK31" s="1555"/>
      <c r="AL31" s="2929"/>
    </row>
    <row r="32" spans="1:38" ht="18" customHeight="1">
      <c r="A32" s="2947" t="s">
        <v>918</v>
      </c>
      <c r="B32" s="2947"/>
      <c r="C32" s="2947"/>
      <c r="D32" s="634">
        <f>'Exhibit F'!J31</f>
        <v>0</v>
      </c>
      <c r="E32" s="1854"/>
      <c r="F32" s="634">
        <f>'Exhibit F'!AC31</f>
        <v>0</v>
      </c>
      <c r="G32" s="634"/>
      <c r="H32" s="634">
        <f>'Exhibit G'!J24</f>
        <v>8.7999999999999989</v>
      </c>
      <c r="I32" s="1854"/>
      <c r="J32" s="634">
        <f>'Exhibit G'!AD24</f>
        <v>37.299999999999997</v>
      </c>
      <c r="K32" s="634"/>
      <c r="L32" s="1852">
        <v>0</v>
      </c>
      <c r="M32" s="1854"/>
      <c r="N32" s="1853">
        <v>0</v>
      </c>
      <c r="O32" s="634"/>
      <c r="P32" s="634">
        <f>'Exhibit I'!K21</f>
        <v>30.39999999999997</v>
      </c>
      <c r="Q32" s="1854"/>
      <c r="R32" s="634">
        <f>'Exhibit I'!AF21</f>
        <v>138.19999999999999</v>
      </c>
      <c r="S32" s="629"/>
      <c r="T32" s="2976"/>
      <c r="U32" s="2976"/>
      <c r="V32" s="1554">
        <f t="shared" si="2"/>
        <v>39.199999999999967</v>
      </c>
      <c r="W32" s="630"/>
      <c r="X32" s="1554">
        <f t="shared" si="3"/>
        <v>175.5</v>
      </c>
      <c r="Y32" s="629"/>
      <c r="Z32" s="2977"/>
      <c r="AA32" s="630"/>
      <c r="AB32" s="1851">
        <v>46.7</v>
      </c>
      <c r="AC32" s="634"/>
      <c r="AD32" s="1854">
        <f>'Cashflow Governmental'!AE36</f>
        <v>176</v>
      </c>
      <c r="AE32" s="1854"/>
      <c r="AF32" s="3743"/>
      <c r="AG32" s="634"/>
      <c r="AH32" s="1854">
        <f t="shared" si="4"/>
        <v>-0.5</v>
      </c>
      <c r="AI32" s="2336"/>
      <c r="AJ32" s="1555">
        <f t="shared" si="5"/>
        <v>-3.0000000000000001E-3</v>
      </c>
      <c r="AK32" s="1555"/>
      <c r="AL32" s="2929"/>
    </row>
    <row r="33" spans="1:38" ht="18" customHeight="1">
      <c r="A33" s="2947" t="s">
        <v>919</v>
      </c>
      <c r="B33" s="2947"/>
      <c r="C33" s="2947"/>
      <c r="D33" s="634">
        <f>'Exhibit F'!J32</f>
        <v>25.599999999999994</v>
      </c>
      <c r="E33" s="634"/>
      <c r="F33" s="634">
        <f>'Exhibit F'!AC32</f>
        <v>92.5</v>
      </c>
      <c r="G33" s="634"/>
      <c r="H33" s="634">
        <f>'Exhibit G'!J25</f>
        <v>0</v>
      </c>
      <c r="I33" s="1854"/>
      <c r="J33" s="634">
        <f>'Exhibit G'!AD25</f>
        <v>0</v>
      </c>
      <c r="K33" s="634"/>
      <c r="L33" s="1852">
        <v>0</v>
      </c>
      <c r="M33" s="1854"/>
      <c r="N33" s="1853">
        <v>0</v>
      </c>
      <c r="O33" s="634"/>
      <c r="P33" s="1852">
        <v>0</v>
      </c>
      <c r="Q33" s="1854"/>
      <c r="R33" s="1853">
        <v>0</v>
      </c>
      <c r="S33" s="629"/>
      <c r="T33" s="2976"/>
      <c r="U33" s="2976"/>
      <c r="V33" s="1554">
        <f t="shared" si="2"/>
        <v>25.599999999999994</v>
      </c>
      <c r="W33" s="630"/>
      <c r="X33" s="1554">
        <f t="shared" si="3"/>
        <v>92.5</v>
      </c>
      <c r="Y33" s="2984"/>
      <c r="Z33" s="2977"/>
      <c r="AA33" s="630"/>
      <c r="AB33" s="1851">
        <v>30.1</v>
      </c>
      <c r="AC33" s="634"/>
      <c r="AD33" s="1854">
        <f>'Cashflow Governmental'!AE37</f>
        <v>92.2</v>
      </c>
      <c r="AE33" s="1854"/>
      <c r="AF33" s="3743"/>
      <c r="AG33" s="2960"/>
      <c r="AH33" s="1854">
        <f t="shared" si="4"/>
        <v>0.3</v>
      </c>
      <c r="AI33" s="2985"/>
      <c r="AJ33" s="1555">
        <f t="shared" si="5"/>
        <v>3.0000000000000001E-3</v>
      </c>
      <c r="AK33" s="1555"/>
      <c r="AL33" s="2929"/>
    </row>
    <row r="34" spans="1:38" ht="18" customHeight="1">
      <c r="A34" s="2947" t="s">
        <v>920</v>
      </c>
      <c r="B34" s="2947"/>
      <c r="C34" s="2947"/>
      <c r="D34" s="634">
        <f>'Exhibit F'!J33</f>
        <v>0</v>
      </c>
      <c r="E34" s="1854"/>
      <c r="F34" s="634">
        <f>'Exhibit F'!AC33</f>
        <v>0</v>
      </c>
      <c r="G34" s="634"/>
      <c r="H34" s="634">
        <f>'Exhibit G'!J26</f>
        <v>0</v>
      </c>
      <c r="I34" s="1854"/>
      <c r="J34" s="634">
        <f>'Exhibit G'!AD26</f>
        <v>0.2</v>
      </c>
      <c r="K34" s="634"/>
      <c r="L34" s="1852">
        <v>0</v>
      </c>
      <c r="M34" s="1854"/>
      <c r="N34" s="1853">
        <v>0</v>
      </c>
      <c r="O34" s="634"/>
      <c r="P34" s="634">
        <f>'Exhibit I'!K22</f>
        <v>14.500000000000004</v>
      </c>
      <c r="Q34" s="1854"/>
      <c r="R34" s="634">
        <f>'Exhibit I'!AF22</f>
        <v>49.1</v>
      </c>
      <c r="S34" s="629"/>
      <c r="T34" s="2976"/>
      <c r="U34" s="2976"/>
      <c r="V34" s="1554">
        <f>SUM(D34)+SUM(H34)+SUM(L34)+SUM(P34)</f>
        <v>14.500000000000004</v>
      </c>
      <c r="W34" s="630"/>
      <c r="X34" s="1554">
        <f t="shared" si="3"/>
        <v>49.300000000000004</v>
      </c>
      <c r="Y34" s="2984"/>
      <c r="Z34" s="2977"/>
      <c r="AA34" s="630"/>
      <c r="AB34" s="1851">
        <v>15</v>
      </c>
      <c r="AC34" s="634"/>
      <c r="AD34" s="1854">
        <f>'Cashflow Governmental'!AE38</f>
        <v>54.2</v>
      </c>
      <c r="AE34" s="1867"/>
      <c r="AF34" s="3743"/>
      <c r="AG34" s="2960"/>
      <c r="AH34" s="1853">
        <f t="shared" si="4"/>
        <v>-4.9000000000000004</v>
      </c>
      <c r="AI34" s="2986"/>
      <c r="AJ34" s="1555">
        <f>ROUND(AH34/AD34,3)</f>
        <v>-0.09</v>
      </c>
      <c r="AK34" s="1555"/>
      <c r="AL34" s="2929"/>
    </row>
    <row r="35" spans="1:38" ht="18" customHeight="1">
      <c r="A35" s="2987" t="s">
        <v>921</v>
      </c>
      <c r="B35" s="2947"/>
      <c r="C35" s="2947"/>
      <c r="D35" s="634">
        <f>'Exhibit F'!J34</f>
        <v>0</v>
      </c>
      <c r="E35" s="1459"/>
      <c r="F35" s="634">
        <f>'Exhibit F'!AC34</f>
        <v>0</v>
      </c>
      <c r="G35" s="634"/>
      <c r="H35" s="634">
        <f>'Exhibit G'!J27</f>
        <v>0</v>
      </c>
      <c r="I35" s="1854"/>
      <c r="J35" s="634">
        <f>'Exhibit G'!AD27</f>
        <v>0</v>
      </c>
      <c r="K35" s="634"/>
      <c r="L35" s="1852">
        <v>0</v>
      </c>
      <c r="M35" s="1854"/>
      <c r="N35" s="1853">
        <v>0</v>
      </c>
      <c r="O35" s="634"/>
      <c r="P35" s="1852">
        <v>0</v>
      </c>
      <c r="Q35" s="1459"/>
      <c r="R35" s="1853">
        <v>0</v>
      </c>
      <c r="S35" s="629"/>
      <c r="T35" s="2976"/>
      <c r="U35" s="2976"/>
      <c r="V35" s="1554">
        <f t="shared" si="2"/>
        <v>0</v>
      </c>
      <c r="W35" s="630"/>
      <c r="X35" s="1554">
        <f t="shared" si="3"/>
        <v>0</v>
      </c>
      <c r="Y35" s="2988"/>
      <c r="Z35" s="2977"/>
      <c r="AA35" s="630"/>
      <c r="AB35" s="1851">
        <v>12.4</v>
      </c>
      <c r="AC35" s="634"/>
      <c r="AD35" s="1854">
        <f>'Cashflow Governmental'!AE39</f>
        <v>26.3</v>
      </c>
      <c r="AE35" s="1867"/>
      <c r="AF35" s="3743"/>
      <c r="AG35" s="2960"/>
      <c r="AH35" s="1895">
        <f t="shared" si="4"/>
        <v>-26.3</v>
      </c>
      <c r="AI35" s="2985"/>
      <c r="AJ35" s="1556">
        <f t="shared" si="5"/>
        <v>-1</v>
      </c>
      <c r="AK35" s="1555"/>
      <c r="AL35" s="2929"/>
    </row>
    <row r="36" spans="1:38" ht="18" customHeight="1">
      <c r="A36" s="2946" t="s">
        <v>922</v>
      </c>
      <c r="B36" s="2947"/>
      <c r="C36" s="2947"/>
      <c r="D36" s="1557">
        <f>ROUND(SUM(D28:D35),1)</f>
        <v>636.79999999999995</v>
      </c>
      <c r="E36" s="2360"/>
      <c r="F36" s="1557">
        <f>ROUND(SUM(F28:F35),1)</f>
        <v>2616.1999999999998</v>
      </c>
      <c r="G36" s="23"/>
      <c r="H36" s="1557">
        <f>ROUND(SUM(H28:H35),1)</f>
        <v>163.80000000000001</v>
      </c>
      <c r="I36" s="2360"/>
      <c r="J36" s="1557">
        <f>ROUND(SUM(J28:J35),1)</f>
        <v>677.1</v>
      </c>
      <c r="K36" s="1402"/>
      <c r="L36" s="1864">
        <f>ROUND(SUM(L28:L35),1)</f>
        <v>579.29999999999995</v>
      </c>
      <c r="M36" s="1520"/>
      <c r="N36" s="1864">
        <f>ROUND(SUM(N28:N35),1)</f>
        <v>2411.6999999999998</v>
      </c>
      <c r="O36" s="1402"/>
      <c r="P36" s="1557">
        <f>ROUND(SUM(P28:P35),1)</f>
        <v>45</v>
      </c>
      <c r="Q36" s="2360"/>
      <c r="R36" s="1557">
        <f>ROUND(SUM(R28:R35),1)</f>
        <v>210.7</v>
      </c>
      <c r="S36" s="1402"/>
      <c r="T36" s="2989"/>
      <c r="U36" s="2989"/>
      <c r="V36" s="1557">
        <f>ROUND(SUM(V28:V35),1)</f>
        <v>1424.9</v>
      </c>
      <c r="W36" s="2360"/>
      <c r="X36" s="1557">
        <f>ROUND(SUM(X28:X35),1)</f>
        <v>5915.7</v>
      </c>
      <c r="Y36" s="2990"/>
      <c r="Z36" s="2361"/>
      <c r="AA36" s="2360"/>
      <c r="AB36" s="1864">
        <f>ROUND(SUM(AB28:AB35),1)</f>
        <v>1374.6</v>
      </c>
      <c r="AC36" s="23"/>
      <c r="AD36" s="1864">
        <f>ROUND(SUM(AD28:AD35),1)</f>
        <v>5742.5</v>
      </c>
      <c r="AE36" s="1520"/>
      <c r="AF36" s="3744"/>
      <c r="AG36" s="1520"/>
      <c r="AH36" s="1897">
        <f t="shared" si="4"/>
        <v>173.2</v>
      </c>
      <c r="AI36" s="2330"/>
      <c r="AJ36" s="1558">
        <f t="shared" si="5"/>
        <v>0.03</v>
      </c>
      <c r="AK36" s="2991"/>
      <c r="AL36" s="2992"/>
    </row>
    <row r="37" spans="1:38" ht="18" customHeight="1">
      <c r="A37" s="2947"/>
      <c r="B37" s="2947"/>
      <c r="C37" s="2947"/>
      <c r="D37" s="1559"/>
      <c r="E37" s="630"/>
      <c r="F37" s="1559"/>
      <c r="G37" s="634"/>
      <c r="H37" s="1559"/>
      <c r="I37" s="630"/>
      <c r="J37" s="1559"/>
      <c r="K37" s="629"/>
      <c r="L37" s="1865"/>
      <c r="M37" s="1459"/>
      <c r="N37" s="1865"/>
      <c r="O37" s="629"/>
      <c r="P37" s="1559"/>
      <c r="Q37" s="630"/>
      <c r="R37" s="1559"/>
      <c r="S37" s="629"/>
      <c r="T37" s="2976"/>
      <c r="U37" s="2976"/>
      <c r="V37" s="1559"/>
      <c r="W37" s="630"/>
      <c r="X37" s="1559"/>
      <c r="Y37" s="630"/>
      <c r="Z37" s="2977"/>
      <c r="AA37" s="630"/>
      <c r="AB37" s="1865"/>
      <c r="AC37" s="634"/>
      <c r="AD37" s="1865"/>
      <c r="AE37" s="1459"/>
      <c r="AF37" s="3743"/>
      <c r="AG37" s="1459"/>
      <c r="AH37" s="1459"/>
      <c r="AI37" s="627"/>
      <c r="AJ37" s="2978"/>
      <c r="AK37" s="2979"/>
      <c r="AL37" s="2929"/>
    </row>
    <row r="38" spans="1:38" ht="18" customHeight="1">
      <c r="A38" s="2946" t="s">
        <v>1195</v>
      </c>
      <c r="B38" s="2947"/>
      <c r="C38" s="2947"/>
      <c r="D38" s="629"/>
      <c r="E38" s="629"/>
      <c r="F38" s="629"/>
      <c r="G38" s="634"/>
      <c r="H38" s="629"/>
      <c r="I38" s="629"/>
      <c r="J38" s="629"/>
      <c r="K38" s="629"/>
      <c r="L38" s="634"/>
      <c r="M38" s="634"/>
      <c r="N38" s="634"/>
      <c r="O38" s="629"/>
      <c r="P38" s="629"/>
      <c r="Q38" s="629"/>
      <c r="R38" s="629"/>
      <c r="S38" s="629"/>
      <c r="T38" s="2976"/>
      <c r="U38" s="2976"/>
      <c r="V38" s="630"/>
      <c r="W38" s="630"/>
      <c r="X38" s="629"/>
      <c r="Y38" s="629"/>
      <c r="Z38" s="2977"/>
      <c r="AA38" s="630"/>
      <c r="AB38" s="3692"/>
      <c r="AC38" s="634"/>
      <c r="AD38" s="3692"/>
      <c r="AE38" s="634"/>
      <c r="AF38" s="3743"/>
      <c r="AG38" s="634"/>
      <c r="AH38" s="634"/>
      <c r="AI38" s="2336"/>
      <c r="AJ38" s="1555"/>
      <c r="AK38" s="2979"/>
      <c r="AL38" s="2929"/>
    </row>
    <row r="39" spans="1:38" ht="18" customHeight="1">
      <c r="A39" s="2947" t="s">
        <v>923</v>
      </c>
      <c r="B39" s="2947"/>
      <c r="C39" s="2947"/>
      <c r="D39" s="634">
        <f>'Exhibit F'!J37</f>
        <v>109.39999999999998</v>
      </c>
      <c r="E39" s="634"/>
      <c r="F39" s="634">
        <f>'Exhibit F'!AC37</f>
        <v>1034.3</v>
      </c>
      <c r="G39" s="634"/>
      <c r="H39" s="634">
        <f>'Exhibit G'!J30</f>
        <v>36.899999999999977</v>
      </c>
      <c r="I39" s="634"/>
      <c r="J39" s="634">
        <f>'Exhibit G'!AD30</f>
        <v>320.89999999999998</v>
      </c>
      <c r="K39" s="634"/>
      <c r="L39" s="1852">
        <v>0</v>
      </c>
      <c r="M39" s="1854"/>
      <c r="N39" s="1853">
        <v>0</v>
      </c>
      <c r="O39" s="634"/>
      <c r="P39" s="1852">
        <f>'Exhibit I'!K25</f>
        <v>0</v>
      </c>
      <c r="Q39" s="1854"/>
      <c r="R39" s="1852">
        <f>'Exhibit I'!AF25</f>
        <v>0</v>
      </c>
      <c r="S39" s="629"/>
      <c r="T39" s="2976"/>
      <c r="U39" s="2976"/>
      <c r="V39" s="1554">
        <f>SUM(D39)+SUM(H39)+SUM(L39)+SUM(P39)</f>
        <v>146.29999999999995</v>
      </c>
      <c r="W39" s="630"/>
      <c r="X39" s="1554">
        <f>SUM(F39)+SUM(J39)+SUM(N39)+SUM(R39)</f>
        <v>1355.1999999999998</v>
      </c>
      <c r="Y39" s="629"/>
      <c r="Z39" s="2977"/>
      <c r="AA39" s="630"/>
      <c r="AB39" s="1851">
        <v>157.30000000000001</v>
      </c>
      <c r="AC39" s="634"/>
      <c r="AD39" s="1867">
        <f>'Cashflow Governmental'!AE42</f>
        <v>1260.8</v>
      </c>
      <c r="AE39" s="1854"/>
      <c r="AF39" s="3743"/>
      <c r="AG39" s="634"/>
      <c r="AH39" s="1854">
        <f t="shared" ref="AH39:AH44" si="6">ROUND(SUM(X39)-SUM(AD39),1)</f>
        <v>94.4</v>
      </c>
      <c r="AI39" s="2985"/>
      <c r="AJ39" s="1555">
        <f t="shared" ref="AJ39:AJ44" si="7">ROUND(AH39/AD39,3)</f>
        <v>7.4999999999999997E-2</v>
      </c>
      <c r="AK39" s="1555"/>
      <c r="AL39" s="2929"/>
    </row>
    <row r="40" spans="1:38" ht="18" customHeight="1">
      <c r="A40" s="2947" t="s">
        <v>924</v>
      </c>
      <c r="B40" s="2947"/>
      <c r="C40" s="2947"/>
      <c r="D40" s="634">
        <f>'Exhibit F'!J38</f>
        <v>0.20000000000000284</v>
      </c>
      <c r="E40" s="634"/>
      <c r="F40" s="634">
        <f>'Exhibit F'!AC38</f>
        <v>102.4</v>
      </c>
      <c r="G40" s="634"/>
      <c r="H40" s="1868">
        <f>'Exhibit G'!J31</f>
        <v>0.20000000000000284</v>
      </c>
      <c r="I40" s="634"/>
      <c r="J40" s="1868">
        <f>'Exhibit G'!AD31</f>
        <v>46.6</v>
      </c>
      <c r="K40" s="634"/>
      <c r="L40" s="1852">
        <v>0</v>
      </c>
      <c r="M40" s="1854"/>
      <c r="N40" s="1853">
        <v>0</v>
      </c>
      <c r="O40" s="634"/>
      <c r="P40" s="634">
        <f>'Exhibit I'!K26</f>
        <v>0</v>
      </c>
      <c r="Q40" s="1854"/>
      <c r="R40" s="634">
        <f>'Exhibit I'!AF26</f>
        <v>5.0999999999999996</v>
      </c>
      <c r="S40" s="629"/>
      <c r="T40" s="2976"/>
      <c r="U40" s="2976"/>
      <c r="V40" s="1554">
        <f>SUM(D40)+SUM(H40)+SUM(L40)+SUM(P40)</f>
        <v>0.40000000000000568</v>
      </c>
      <c r="W40" s="630"/>
      <c r="X40" s="1554">
        <f>SUM(F40)+SUM(J40)+SUM(N40)+SUM(R40)</f>
        <v>154.1</v>
      </c>
      <c r="Y40" s="629"/>
      <c r="Z40" s="2977"/>
      <c r="AA40" s="630"/>
      <c r="AB40" s="1851">
        <v>6.6999999999999993</v>
      </c>
      <c r="AC40" s="634"/>
      <c r="AD40" s="1867">
        <f>'Cashflow Governmental'!AE43</f>
        <v>152.80000000000001</v>
      </c>
      <c r="AE40" s="1854"/>
      <c r="AF40" s="3743"/>
      <c r="AG40" s="634"/>
      <c r="AH40" s="1854">
        <f t="shared" si="6"/>
        <v>1.3</v>
      </c>
      <c r="AI40" s="2985"/>
      <c r="AJ40" s="1555">
        <f t="shared" si="7"/>
        <v>8.9999999999999993E-3</v>
      </c>
      <c r="AK40" s="1555"/>
      <c r="AL40" s="2929"/>
    </row>
    <row r="41" spans="1:38" ht="18" customHeight="1">
      <c r="A41" s="2947" t="s">
        <v>925</v>
      </c>
      <c r="B41" s="2947"/>
      <c r="C41" s="2947"/>
      <c r="D41" s="634">
        <f>'Exhibit F'!J39</f>
        <v>50.899999999999977</v>
      </c>
      <c r="E41" s="634"/>
      <c r="F41" s="634">
        <f>'Exhibit F'!AC39</f>
        <v>529.4</v>
      </c>
      <c r="G41" s="634"/>
      <c r="H41" s="634">
        <f>'Exhibit G'!J32</f>
        <v>5.9000000000000057</v>
      </c>
      <c r="I41" s="634"/>
      <c r="J41" s="634">
        <f>'Exhibit G'!AD32</f>
        <v>77.400000000000006</v>
      </c>
      <c r="K41" s="634"/>
      <c r="L41" s="1852">
        <v>0</v>
      </c>
      <c r="M41" s="1854"/>
      <c r="N41" s="1853">
        <v>0</v>
      </c>
      <c r="O41" s="634"/>
      <c r="P41" s="1852">
        <v>0</v>
      </c>
      <c r="Q41" s="1854"/>
      <c r="R41" s="1852">
        <v>0</v>
      </c>
      <c r="S41" s="629"/>
      <c r="T41" s="2976"/>
      <c r="U41" s="2976"/>
      <c r="V41" s="1554">
        <f>SUM(D41)+SUM(H41)+SUM(L41)+SUM(P41)</f>
        <v>56.799999999999983</v>
      </c>
      <c r="W41" s="630"/>
      <c r="X41" s="1554">
        <f>SUM(F41)+SUM(J41)+SUM(N41)+SUM(R41)</f>
        <v>606.79999999999995</v>
      </c>
      <c r="Y41" s="629"/>
      <c r="Z41" s="2977"/>
      <c r="AA41" s="630"/>
      <c r="AB41" s="1851">
        <v>7.8000000000000007</v>
      </c>
      <c r="AC41" s="634"/>
      <c r="AD41" s="1867">
        <f>'Cashflow Governmental'!AE44</f>
        <v>374.29999999999995</v>
      </c>
      <c r="AE41" s="1854"/>
      <c r="AF41" s="3743"/>
      <c r="AG41" s="634"/>
      <c r="AH41" s="1854">
        <f t="shared" si="6"/>
        <v>232.5</v>
      </c>
      <c r="AI41" s="2985"/>
      <c r="AJ41" s="1555">
        <f t="shared" si="7"/>
        <v>0.621</v>
      </c>
      <c r="AK41" s="1555"/>
      <c r="AL41" s="2929"/>
    </row>
    <row r="42" spans="1:38" ht="18" customHeight="1">
      <c r="A42" s="2947" t="s">
        <v>926</v>
      </c>
      <c r="B42" s="2947"/>
      <c r="C42" s="2947"/>
      <c r="D42" s="634">
        <f>'Exhibit F'!J40</f>
        <v>-0.29999999999999716</v>
      </c>
      <c r="E42" s="634"/>
      <c r="F42" s="634">
        <f>'Exhibit F'!AC40</f>
        <v>-1.1000000000000001</v>
      </c>
      <c r="G42" s="634"/>
      <c r="H42" s="634">
        <f>'Exhibit G'!J33</f>
        <v>9.9999999999999645E-2</v>
      </c>
      <c r="I42" s="634"/>
      <c r="J42" s="634">
        <f>'Exhibit G'!AD33</f>
        <v>4</v>
      </c>
      <c r="K42" s="634"/>
      <c r="L42" s="1852">
        <v>0</v>
      </c>
      <c r="M42" s="1854"/>
      <c r="N42" s="1853">
        <v>0</v>
      </c>
      <c r="O42" s="634"/>
      <c r="P42" s="1852">
        <v>0</v>
      </c>
      <c r="Q42" s="1854"/>
      <c r="R42" s="1852">
        <v>0</v>
      </c>
      <c r="S42" s="629"/>
      <c r="T42" s="2976"/>
      <c r="U42" s="2976"/>
      <c r="V42" s="1554">
        <f>SUM(D42)+SUM(H42)+SUM(L42)+SUM(P42)</f>
        <v>-0.19999999999999751</v>
      </c>
      <c r="W42" s="630"/>
      <c r="X42" s="1554">
        <f>SUM(F42)+SUM(J42)+SUM(N42)+SUM(R42)</f>
        <v>2.9</v>
      </c>
      <c r="Y42" s="629"/>
      <c r="Z42" s="2977"/>
      <c r="AA42" s="630"/>
      <c r="AB42" s="1851">
        <v>28.2</v>
      </c>
      <c r="AC42" s="634"/>
      <c r="AD42" s="1867">
        <f>'Cashflow Governmental'!AE45</f>
        <v>35.1</v>
      </c>
      <c r="AE42" s="1854"/>
      <c r="AF42" s="3743"/>
      <c r="AG42" s="634"/>
      <c r="AH42" s="1854">
        <f t="shared" si="6"/>
        <v>-32.200000000000003</v>
      </c>
      <c r="AI42" s="2985"/>
      <c r="AJ42" s="2309">
        <f>ROUND(AH42/AD42,3)</f>
        <v>-0.91700000000000004</v>
      </c>
      <c r="AK42" s="1555"/>
      <c r="AL42" s="2929"/>
    </row>
    <row r="43" spans="1:38" ht="18" customHeight="1">
      <c r="A43" s="2947" t="s">
        <v>927</v>
      </c>
      <c r="B43" s="2947"/>
      <c r="C43" s="2947"/>
      <c r="D43" s="634">
        <f>'Exhibit F'!J41</f>
        <v>0</v>
      </c>
      <c r="E43" s="1854"/>
      <c r="F43" s="634">
        <f>'Exhibit F'!AC41</f>
        <v>0</v>
      </c>
      <c r="G43" s="634"/>
      <c r="H43" s="634">
        <f>'Exhibit G'!J34</f>
        <v>41.299999999999976</v>
      </c>
      <c r="I43" s="1854"/>
      <c r="J43" s="634">
        <f>'Exhibit G'!AD34</f>
        <v>174.7</v>
      </c>
      <c r="K43" s="634"/>
      <c r="L43" s="1852">
        <v>0</v>
      </c>
      <c r="M43" s="1854"/>
      <c r="N43" s="1853">
        <v>0</v>
      </c>
      <c r="O43" s="634"/>
      <c r="P43" s="634">
        <f>'Exhibit I'!K27</f>
        <v>52.499999999999986</v>
      </c>
      <c r="Q43" s="1854"/>
      <c r="R43" s="634">
        <f>'Exhibit I'!AF27</f>
        <v>223</v>
      </c>
      <c r="S43" s="629"/>
      <c r="T43" s="2976"/>
      <c r="U43" s="2976"/>
      <c r="V43" s="1554">
        <f>SUM(D43)+SUM(H43)+SUM(L43)+SUM(P43)</f>
        <v>93.799999999999955</v>
      </c>
      <c r="W43" s="630"/>
      <c r="X43" s="1554">
        <f>SUM(F43)+SUM(J43)+SUM(N43)+SUM(R43)</f>
        <v>397.7</v>
      </c>
      <c r="Y43" s="629"/>
      <c r="Z43" s="2977"/>
      <c r="AA43" s="630"/>
      <c r="AB43" s="1851">
        <v>99.9</v>
      </c>
      <c r="AC43" s="634"/>
      <c r="AD43" s="1867">
        <f>'Cashflow Governmental'!AE46</f>
        <v>385.5</v>
      </c>
      <c r="AE43" s="1854"/>
      <c r="AF43" s="3743"/>
      <c r="AG43" s="634"/>
      <c r="AH43" s="1854">
        <f t="shared" si="6"/>
        <v>12.2</v>
      </c>
      <c r="AI43" s="2986"/>
      <c r="AJ43" s="1555">
        <f t="shared" si="7"/>
        <v>3.2000000000000001E-2</v>
      </c>
      <c r="AK43" s="1555"/>
      <c r="AL43" s="2929"/>
    </row>
    <row r="44" spans="1:38" ht="18" customHeight="1">
      <c r="A44" s="2946" t="s">
        <v>922</v>
      </c>
      <c r="B44" s="2947"/>
      <c r="C44" s="2947"/>
      <c r="D44" s="1557">
        <f>ROUND(SUM(D39:D43),1)</f>
        <v>160.19999999999999</v>
      </c>
      <c r="E44" s="2360"/>
      <c r="F44" s="1557">
        <f>ROUND(SUM(F39:F43),1)</f>
        <v>1665</v>
      </c>
      <c r="G44" s="1402"/>
      <c r="H44" s="1557">
        <f>ROUND(SUM(H39:H43),1)</f>
        <v>84.4</v>
      </c>
      <c r="I44" s="2360"/>
      <c r="J44" s="1557">
        <f>ROUND(SUM(J39:J43),1)</f>
        <v>623.6</v>
      </c>
      <c r="K44" s="1402"/>
      <c r="L44" s="1866">
        <f>ROUND(SUM(L39:L43),1)</f>
        <v>0</v>
      </c>
      <c r="M44" s="2964"/>
      <c r="N44" s="1866">
        <f>ROUND(SUM(N39:N43),1)</f>
        <v>0</v>
      </c>
      <c r="O44" s="1402"/>
      <c r="P44" s="1557">
        <f>ROUND(SUM(P39:P43),1)</f>
        <v>52.5</v>
      </c>
      <c r="Q44" s="2360"/>
      <c r="R44" s="1557">
        <f>ROUND(SUM(R39:R43),1)</f>
        <v>228.1</v>
      </c>
      <c r="S44" s="1402"/>
      <c r="T44" s="2989"/>
      <c r="U44" s="2989"/>
      <c r="V44" s="1557">
        <f>ROUND(SUM(V39:V43),1)</f>
        <v>297.10000000000002</v>
      </c>
      <c r="W44" s="2360"/>
      <c r="X44" s="1557">
        <f>ROUND(SUM(X39:X43),1)</f>
        <v>2516.6999999999998</v>
      </c>
      <c r="Y44" s="2990"/>
      <c r="Z44" s="2361"/>
      <c r="AA44" s="2360"/>
      <c r="AB44" s="1864">
        <f>ROUND(SUM(AB39:AB43),1)</f>
        <v>299.89999999999998</v>
      </c>
      <c r="AC44" s="23"/>
      <c r="AD44" s="1864">
        <f>ROUND(SUM(AD39:AD43),1)</f>
        <v>2208.5</v>
      </c>
      <c r="AE44" s="1520"/>
      <c r="AF44" s="3744"/>
      <c r="AG44" s="1520"/>
      <c r="AH44" s="3563">
        <f t="shared" si="6"/>
        <v>308.2</v>
      </c>
      <c r="AI44" s="2330"/>
      <c r="AJ44" s="1558">
        <f t="shared" si="7"/>
        <v>0.14000000000000001</v>
      </c>
      <c r="AK44" s="2991"/>
      <c r="AL44" s="2992"/>
    </row>
    <row r="45" spans="1:38" ht="18" customHeight="1">
      <c r="A45" s="2947"/>
      <c r="B45" s="2947"/>
      <c r="C45" s="2947"/>
      <c r="D45" s="1559"/>
      <c r="E45" s="630"/>
      <c r="F45" s="1559"/>
      <c r="G45" s="629"/>
      <c r="H45" s="1559"/>
      <c r="I45" s="630"/>
      <c r="J45" s="1559"/>
      <c r="K45" s="629"/>
      <c r="L45" s="1865"/>
      <c r="M45" s="1459"/>
      <c r="N45" s="1865"/>
      <c r="O45" s="629"/>
      <c r="P45" s="1559"/>
      <c r="Q45" s="630"/>
      <c r="R45" s="1559"/>
      <c r="S45" s="629"/>
      <c r="T45" s="2976"/>
      <c r="U45" s="2976"/>
      <c r="V45" s="1559"/>
      <c r="W45" s="630"/>
      <c r="X45" s="1559"/>
      <c r="Y45" s="630"/>
      <c r="Z45" s="2977"/>
      <c r="AA45" s="630"/>
      <c r="AB45" s="1865"/>
      <c r="AC45" s="634"/>
      <c r="AD45" s="1865"/>
      <c r="AE45" s="1459"/>
      <c r="AF45" s="3743"/>
      <c r="AG45" s="1459"/>
      <c r="AH45" s="1459"/>
      <c r="AI45" s="627"/>
      <c r="AJ45" s="2978"/>
      <c r="AK45" s="2979"/>
      <c r="AL45" s="2929"/>
    </row>
    <row r="46" spans="1:38" ht="18" customHeight="1">
      <c r="A46" s="2980" t="s">
        <v>1196</v>
      </c>
      <c r="B46" s="2947"/>
      <c r="C46" s="2947"/>
      <c r="D46" s="629"/>
      <c r="E46" s="629"/>
      <c r="F46" s="629"/>
      <c r="G46" s="634"/>
      <c r="H46" s="629"/>
      <c r="I46" s="629"/>
      <c r="J46" s="629"/>
      <c r="K46" s="629"/>
      <c r="L46" s="634"/>
      <c r="M46" s="634"/>
      <c r="N46" s="634"/>
      <c r="O46" s="629"/>
      <c r="P46" s="629"/>
      <c r="Q46" s="629"/>
      <c r="R46" s="629"/>
      <c r="S46" s="629"/>
      <c r="T46" s="2976"/>
      <c r="U46" s="2976"/>
      <c r="V46" s="630"/>
      <c r="W46" s="630"/>
      <c r="X46" s="629"/>
      <c r="Y46" s="629"/>
      <c r="Z46" s="2977"/>
      <c r="AA46" s="630"/>
      <c r="AB46" s="1459"/>
      <c r="AC46" s="634"/>
      <c r="AD46" s="634"/>
      <c r="AE46" s="634"/>
      <c r="AF46" s="3743"/>
      <c r="AG46" s="634"/>
      <c r="AH46" s="634"/>
      <c r="AI46" s="2336"/>
      <c r="AJ46" s="1555"/>
      <c r="AK46" s="2979"/>
      <c r="AL46" s="2929"/>
    </row>
    <row r="47" spans="1:38" ht="18" customHeight="1">
      <c r="A47" s="2947" t="s">
        <v>928</v>
      </c>
      <c r="B47" s="2947"/>
      <c r="C47" s="2947"/>
      <c r="D47" s="1852">
        <f>'Exhibit F'!J44</f>
        <v>0</v>
      </c>
      <c r="E47" s="634"/>
      <c r="F47" s="634">
        <f>'Exhibit F'!AC44</f>
        <v>0</v>
      </c>
      <c r="G47" s="634"/>
      <c r="H47" s="1852">
        <v>0</v>
      </c>
      <c r="I47" s="1854"/>
      <c r="J47" s="1853">
        <v>0</v>
      </c>
      <c r="K47" s="634"/>
      <c r="L47" s="1853">
        <v>0</v>
      </c>
      <c r="M47" s="1853"/>
      <c r="N47" s="1853">
        <v>0</v>
      </c>
      <c r="O47" s="634"/>
      <c r="P47" s="1852">
        <v>0</v>
      </c>
      <c r="Q47" s="1854"/>
      <c r="R47" s="1853">
        <v>0</v>
      </c>
      <c r="S47" s="629"/>
      <c r="T47" s="2976"/>
      <c r="U47" s="2976"/>
      <c r="V47" s="1401">
        <f t="shared" ref="V47:V52" si="8">SUM(D47)+SUM(H47)+SUM(L47)+SUM(P47)</f>
        <v>0</v>
      </c>
      <c r="W47" s="630"/>
      <c r="X47" s="1554">
        <f t="shared" ref="X47:X52" si="9">SUM(F47)+SUM(J47)+SUM(N47)+SUM(R47)</f>
        <v>0</v>
      </c>
      <c r="Y47" s="2984"/>
      <c r="Z47" s="2977"/>
      <c r="AA47" s="630"/>
      <c r="AB47" s="1851">
        <v>0</v>
      </c>
      <c r="AC47" s="634"/>
      <c r="AD47" s="1867">
        <f>'Cashflow Governmental'!AE49</f>
        <v>0</v>
      </c>
      <c r="AE47" s="1854"/>
      <c r="AF47" s="3743"/>
      <c r="AG47" s="2960"/>
      <c r="AH47" s="1854">
        <f t="shared" ref="AH47:AH54" si="10">ROUND(SUM(X47)-SUM(AD47),1)</f>
        <v>0</v>
      </c>
      <c r="AI47" s="2985"/>
      <c r="AJ47" s="1478">
        <f>ROUND(IF(AD47=0,0,-AH47/(AD47)),3)</f>
        <v>0</v>
      </c>
      <c r="AK47" s="1555"/>
      <c r="AL47" s="2929"/>
    </row>
    <row r="48" spans="1:38" ht="18" customHeight="1">
      <c r="A48" s="2947" t="s">
        <v>929</v>
      </c>
      <c r="B48" s="2947"/>
      <c r="C48" s="2947"/>
      <c r="D48" s="1852">
        <f>'Exhibit F'!J45</f>
        <v>124.69999999999999</v>
      </c>
      <c r="E48" s="634"/>
      <c r="F48" s="634">
        <f>'Exhibit F'!AC45</f>
        <v>323.89999999999998</v>
      </c>
      <c r="G48" s="634"/>
      <c r="H48" s="1852">
        <v>0</v>
      </c>
      <c r="I48" s="1854"/>
      <c r="J48" s="1853">
        <v>0</v>
      </c>
      <c r="K48" s="634"/>
      <c r="L48" s="1853">
        <v>0</v>
      </c>
      <c r="M48" s="1853"/>
      <c r="N48" s="1853">
        <v>0</v>
      </c>
      <c r="O48" s="634"/>
      <c r="P48" s="1852">
        <v>0</v>
      </c>
      <c r="Q48" s="1854"/>
      <c r="R48" s="1853">
        <v>0</v>
      </c>
      <c r="S48" s="629"/>
      <c r="T48" s="2976"/>
      <c r="U48" s="2976"/>
      <c r="V48" s="1554">
        <f t="shared" si="8"/>
        <v>124.69999999999999</v>
      </c>
      <c r="W48" s="630"/>
      <c r="X48" s="1554">
        <f t="shared" si="9"/>
        <v>323.89999999999998</v>
      </c>
      <c r="Y48" s="2984"/>
      <c r="Z48" s="2977"/>
      <c r="AA48" s="630"/>
      <c r="AB48" s="1851">
        <v>98.1</v>
      </c>
      <c r="AC48" s="634"/>
      <c r="AD48" s="1867">
        <f>'Cashflow Governmental'!AE50</f>
        <v>298.39999999999998</v>
      </c>
      <c r="AE48" s="1867"/>
      <c r="AF48" s="3743"/>
      <c r="AG48" s="2960"/>
      <c r="AH48" s="1854">
        <f t="shared" si="10"/>
        <v>25.5</v>
      </c>
      <c r="AI48" s="2985"/>
      <c r="AJ48" s="1555">
        <f>ROUND(AH48/AD48,3)</f>
        <v>8.5000000000000006E-2</v>
      </c>
      <c r="AK48" s="1555"/>
      <c r="AL48" s="2929"/>
    </row>
    <row r="49" spans="1:38" ht="18" customHeight="1">
      <c r="A49" s="2947" t="s">
        <v>930</v>
      </c>
      <c r="B49" s="2947"/>
      <c r="C49" s="2947"/>
      <c r="D49" s="1852">
        <f>'Exhibit F'!J46</f>
        <v>1.1999999999999997</v>
      </c>
      <c r="E49" s="634"/>
      <c r="F49" s="634">
        <f>'Exhibit F'!AC46</f>
        <v>4.8</v>
      </c>
      <c r="G49" s="634"/>
      <c r="H49" s="1852">
        <v>0</v>
      </c>
      <c r="I49" s="1854"/>
      <c r="J49" s="1853">
        <v>0</v>
      </c>
      <c r="K49" s="634"/>
      <c r="L49" s="1853">
        <v>0</v>
      </c>
      <c r="M49" s="1853"/>
      <c r="N49" s="1853">
        <v>0</v>
      </c>
      <c r="O49" s="634"/>
      <c r="P49" s="1852">
        <v>0</v>
      </c>
      <c r="Q49" s="1854"/>
      <c r="R49" s="1853">
        <v>0</v>
      </c>
      <c r="S49" s="629"/>
      <c r="T49" s="2976"/>
      <c r="U49" s="2976"/>
      <c r="V49" s="1554">
        <f t="shared" si="8"/>
        <v>1.1999999999999997</v>
      </c>
      <c r="W49" s="630"/>
      <c r="X49" s="1554">
        <f t="shared" si="9"/>
        <v>4.8</v>
      </c>
      <c r="Y49" s="2984"/>
      <c r="Z49" s="2977"/>
      <c r="AA49" s="630"/>
      <c r="AB49" s="1851">
        <v>1.3</v>
      </c>
      <c r="AC49" s="634"/>
      <c r="AD49" s="1867">
        <f>'Cashflow Governmental'!AE51</f>
        <v>5.2</v>
      </c>
      <c r="AE49" s="1867"/>
      <c r="AF49" s="3743"/>
      <c r="AG49" s="2960"/>
      <c r="AH49" s="1854">
        <f t="shared" si="10"/>
        <v>-0.4</v>
      </c>
      <c r="AI49" s="2985"/>
      <c r="AJ49" s="1555">
        <f>ROUND(AH49/AD49,3)</f>
        <v>-7.6999999999999999E-2</v>
      </c>
      <c r="AK49" s="1555"/>
      <c r="AL49" s="2929"/>
    </row>
    <row r="50" spans="1:38" ht="18" customHeight="1">
      <c r="A50" s="2947" t="s">
        <v>931</v>
      </c>
      <c r="B50" s="2947"/>
      <c r="C50" s="2947"/>
      <c r="D50" s="1852">
        <f>'Exhibit F'!J47</f>
        <v>0</v>
      </c>
      <c r="E50" s="1854"/>
      <c r="F50" s="634">
        <f>'Exhibit F'!AC47</f>
        <v>0</v>
      </c>
      <c r="G50" s="634"/>
      <c r="H50" s="1852">
        <v>0</v>
      </c>
      <c r="I50" s="1854"/>
      <c r="J50" s="1853">
        <v>0</v>
      </c>
      <c r="K50" s="634"/>
      <c r="L50" s="1854">
        <f>'Exhibit H'!H22</f>
        <v>118.90000000000003</v>
      </c>
      <c r="M50" s="1854"/>
      <c r="N50" s="1854">
        <f>'Exhibit H'!AA22</f>
        <v>374.5</v>
      </c>
      <c r="O50" s="634"/>
      <c r="P50" s="1851">
        <f>'Exhibit I'!K30</f>
        <v>11.9</v>
      </c>
      <c r="Q50" s="1854"/>
      <c r="R50" s="1867">
        <f>'Exhibit I'!AF30</f>
        <v>23.8</v>
      </c>
      <c r="S50" s="629"/>
      <c r="T50" s="2976"/>
      <c r="U50" s="2976"/>
      <c r="V50" s="1554">
        <f t="shared" si="8"/>
        <v>130.80000000000004</v>
      </c>
      <c r="W50" s="630"/>
      <c r="X50" s="1554">
        <f t="shared" si="9"/>
        <v>398.3</v>
      </c>
      <c r="Y50" s="2984"/>
      <c r="Z50" s="2977"/>
      <c r="AA50" s="630"/>
      <c r="AB50" s="1851">
        <v>99</v>
      </c>
      <c r="AC50" s="634"/>
      <c r="AD50" s="1867">
        <f>'Cashflow Governmental'!AE52</f>
        <v>379.2</v>
      </c>
      <c r="AE50" s="1854"/>
      <c r="AF50" s="3743"/>
      <c r="AG50" s="2960"/>
      <c r="AH50" s="1854">
        <f t="shared" si="10"/>
        <v>19.100000000000001</v>
      </c>
      <c r="AI50" s="2993"/>
      <c r="AJ50" s="1555">
        <f>ROUND(AH50/AD50,3)</f>
        <v>0.05</v>
      </c>
      <c r="AK50" s="1555"/>
      <c r="AL50" s="2929"/>
    </row>
    <row r="51" spans="1:38" ht="18" customHeight="1">
      <c r="A51" s="2947" t="s">
        <v>932</v>
      </c>
      <c r="B51" s="2947"/>
      <c r="C51" s="2947"/>
      <c r="D51" s="1852">
        <f>'Exhibit F'!J48</f>
        <v>0.20000000000000012</v>
      </c>
      <c r="E51" s="1459"/>
      <c r="F51" s="634">
        <f>'Exhibit F'!AC48</f>
        <v>0.8</v>
      </c>
      <c r="G51" s="634"/>
      <c r="H51" s="1852">
        <v>0</v>
      </c>
      <c r="I51" s="1854"/>
      <c r="J51" s="1853">
        <v>0</v>
      </c>
      <c r="K51" s="634"/>
      <c r="L51" s="1853">
        <v>0</v>
      </c>
      <c r="M51" s="1853"/>
      <c r="N51" s="1853">
        <v>0</v>
      </c>
      <c r="O51" s="634"/>
      <c r="P51" s="1852">
        <v>0</v>
      </c>
      <c r="Q51" s="1854"/>
      <c r="R51" s="1853">
        <v>0</v>
      </c>
      <c r="S51" s="629"/>
      <c r="T51" s="2976"/>
      <c r="U51" s="2976"/>
      <c r="V51" s="1554">
        <f t="shared" si="8"/>
        <v>0.20000000000000012</v>
      </c>
      <c r="W51" s="630"/>
      <c r="X51" s="1554">
        <f t="shared" si="9"/>
        <v>0.8</v>
      </c>
      <c r="Y51" s="2984"/>
      <c r="Z51" s="2977"/>
      <c r="AA51" s="630"/>
      <c r="AB51" s="1851">
        <v>0</v>
      </c>
      <c r="AC51" s="634"/>
      <c r="AD51" s="1867">
        <f>'Cashflow Governmental'!AE53</f>
        <v>0.8</v>
      </c>
      <c r="AE51" s="1854"/>
      <c r="AF51" s="3743"/>
      <c r="AG51" s="2960"/>
      <c r="AH51" s="1854">
        <f t="shared" si="10"/>
        <v>0</v>
      </c>
      <c r="AI51" s="2993"/>
      <c r="AJ51" s="1478">
        <f>ROUND(IF(AD51=0,0,AH51/(AD51)),3)</f>
        <v>0</v>
      </c>
      <c r="AK51" s="1555"/>
      <c r="AL51" s="2929"/>
    </row>
    <row r="52" spans="1:38" ht="18" customHeight="1">
      <c r="A52" s="2987" t="s">
        <v>933</v>
      </c>
      <c r="B52" s="2947"/>
      <c r="C52" s="2947"/>
      <c r="D52" s="1852">
        <f>'Exhibit F'!J49</f>
        <v>0</v>
      </c>
      <c r="E52" s="1459"/>
      <c r="F52" s="634">
        <f>'Exhibit F'!AC49</f>
        <v>0</v>
      </c>
      <c r="G52" s="634"/>
      <c r="H52" s="634">
        <v>0</v>
      </c>
      <c r="I52" s="1854"/>
      <c r="J52" s="1854">
        <v>0</v>
      </c>
      <c r="K52" s="634"/>
      <c r="L52" s="1853">
        <v>0</v>
      </c>
      <c r="M52" s="1853"/>
      <c r="N52" s="1853">
        <v>0</v>
      </c>
      <c r="O52" s="634"/>
      <c r="P52" s="1852">
        <v>0</v>
      </c>
      <c r="Q52" s="1854"/>
      <c r="R52" s="1853">
        <v>0</v>
      </c>
      <c r="S52" s="629"/>
      <c r="T52" s="2976"/>
      <c r="U52" s="2976"/>
      <c r="V52" s="1554">
        <f t="shared" si="8"/>
        <v>0</v>
      </c>
      <c r="W52" s="630"/>
      <c r="X52" s="1554">
        <f t="shared" si="9"/>
        <v>0</v>
      </c>
      <c r="Y52" s="2984"/>
      <c r="Z52" s="2977"/>
      <c r="AA52" s="630"/>
      <c r="AB52" s="1851">
        <v>0</v>
      </c>
      <c r="AC52" s="634"/>
      <c r="AD52" s="1867">
        <f>'Cashflow Governmental'!AE54</f>
        <v>0</v>
      </c>
      <c r="AE52" s="1854"/>
      <c r="AF52" s="3743"/>
      <c r="AG52" s="2960"/>
      <c r="AH52" s="1853">
        <f t="shared" si="10"/>
        <v>0</v>
      </c>
      <c r="AI52" s="2993"/>
      <c r="AJ52" s="1478">
        <f>ROUND(IF(AD52=0,0,AH52/(AD52)),3)</f>
        <v>0</v>
      </c>
      <c r="AK52" s="1555"/>
      <c r="AL52" s="2929"/>
    </row>
    <row r="53" spans="1:38" ht="18" customHeight="1">
      <c r="A53" s="2890" t="s">
        <v>1446</v>
      </c>
      <c r="B53" s="2948"/>
      <c r="C53" s="2948"/>
      <c r="D53" s="1852">
        <f>'Exhibit F'!J50</f>
        <v>0.1</v>
      </c>
      <c r="E53" s="1459"/>
      <c r="F53" s="634">
        <f>'Exhibit F'!AC50</f>
        <v>0.2</v>
      </c>
      <c r="G53" s="634"/>
      <c r="H53" s="634">
        <v>0</v>
      </c>
      <c r="I53" s="1854"/>
      <c r="J53" s="1854">
        <v>0</v>
      </c>
      <c r="K53" s="634"/>
      <c r="L53" s="1852">
        <f>'Exhibit H'!H23</f>
        <v>0.1</v>
      </c>
      <c r="M53" s="1854"/>
      <c r="N53" s="1853">
        <f>'Exhibit H'!AA23</f>
        <v>0.2</v>
      </c>
      <c r="O53" s="634"/>
      <c r="P53" s="1852">
        <v>0</v>
      </c>
      <c r="Q53" s="1854"/>
      <c r="R53" s="1853">
        <v>0</v>
      </c>
      <c r="S53" s="629"/>
      <c r="T53" s="2976"/>
      <c r="U53" s="2976"/>
      <c r="V53" s="1554">
        <f t="shared" ref="V53" si="11">SUM(D53)+SUM(H53)+SUM(L53)+SUM(P53)</f>
        <v>0.2</v>
      </c>
      <c r="W53" s="630"/>
      <c r="X53" s="1554">
        <f t="shared" ref="X53" si="12">SUM(F53)+SUM(J53)+SUM(N53)+SUM(R53)</f>
        <v>0.4</v>
      </c>
      <c r="Y53" s="2984"/>
      <c r="Z53" s="2977"/>
      <c r="AA53" s="630"/>
      <c r="AB53" s="1851">
        <v>0</v>
      </c>
      <c r="AC53" s="634"/>
      <c r="AD53" s="1867">
        <f>'Cashflow Governmental'!AE55</f>
        <v>0</v>
      </c>
      <c r="AE53" s="1854"/>
      <c r="AF53" s="3743"/>
      <c r="AG53" s="2960"/>
      <c r="AH53" s="1853">
        <f t="shared" ref="AH53" si="13">ROUND(SUM(X53)-SUM(AD53),1)</f>
        <v>0.4</v>
      </c>
      <c r="AI53" s="2993"/>
      <c r="AJ53" s="1478">
        <f>ROUND(IF(AD53=0,1,AH53/(AD53)),3)</f>
        <v>1</v>
      </c>
      <c r="AK53" s="1555"/>
      <c r="AL53" s="2929"/>
    </row>
    <row r="54" spans="1:38" ht="18" customHeight="1">
      <c r="A54" s="2946" t="s">
        <v>922</v>
      </c>
      <c r="B54" s="2947"/>
      <c r="C54" s="2947"/>
      <c r="D54" s="1557">
        <f>ROUND(SUM(D47:D53),1)</f>
        <v>126.2</v>
      </c>
      <c r="E54" s="2360"/>
      <c r="F54" s="1557">
        <f>ROUND(SUM(F47:F53),1)</f>
        <v>329.7</v>
      </c>
      <c r="G54" s="23"/>
      <c r="H54" s="1560">
        <f>ROUND(SUM(H47:H53),1)</f>
        <v>0</v>
      </c>
      <c r="I54" s="2994"/>
      <c r="J54" s="1560">
        <f>ROUND(SUM(J47:J53),1)</f>
        <v>0</v>
      </c>
      <c r="K54" s="1402"/>
      <c r="L54" s="1557">
        <f>ROUND(SUM(L47:L53),1)</f>
        <v>119</v>
      </c>
      <c r="M54" s="2360"/>
      <c r="N54" s="1557">
        <f>ROUND(SUM(N47:N53),1)</f>
        <v>374.7</v>
      </c>
      <c r="O54" s="1402" t="s">
        <v>15</v>
      </c>
      <c r="P54" s="1557">
        <f>ROUND(SUM(P47:P53),1)</f>
        <v>11.9</v>
      </c>
      <c r="Q54" s="2360"/>
      <c r="R54" s="1557">
        <f>ROUND(SUM(R47:R53),1)</f>
        <v>23.8</v>
      </c>
      <c r="S54" s="1402"/>
      <c r="T54" s="2989"/>
      <c r="U54" s="2989"/>
      <c r="V54" s="1560">
        <f>ROUND(SUM(V47:V53),1)</f>
        <v>257.10000000000002</v>
      </c>
      <c r="W54" s="2360"/>
      <c r="X54" s="1560">
        <f>ROUND(SUM(X47:X53),1)</f>
        <v>728.2</v>
      </c>
      <c r="Y54" s="2995"/>
      <c r="Z54" s="2361"/>
      <c r="AA54" s="2360"/>
      <c r="AB54" s="2966">
        <f>ROUND(SUM(AB47:AB53),1)</f>
        <v>198.4</v>
      </c>
      <c r="AC54" s="23"/>
      <c r="AD54" s="2966">
        <f>ROUND(SUM(AD47:AD53),1)</f>
        <v>683.6</v>
      </c>
      <c r="AE54" s="2964"/>
      <c r="AF54" s="3744"/>
      <c r="AG54" s="2967"/>
      <c r="AH54" s="1897">
        <f t="shared" si="10"/>
        <v>44.6</v>
      </c>
      <c r="AI54" s="2330"/>
      <c r="AJ54" s="1558">
        <f>ROUND(AH54/AD54,3)</f>
        <v>6.5000000000000002E-2</v>
      </c>
      <c r="AK54" s="2991"/>
      <c r="AL54" s="2992"/>
    </row>
    <row r="55" spans="1:38" ht="18" customHeight="1">
      <c r="A55" s="2947"/>
      <c r="B55" s="2947"/>
      <c r="C55" s="2947"/>
      <c r="D55" s="1561"/>
      <c r="E55" s="2330"/>
      <c r="F55" s="1561"/>
      <c r="G55" s="2392"/>
      <c r="H55" s="1561"/>
      <c r="I55" s="2330"/>
      <c r="J55" s="1561"/>
      <c r="K55" s="2392"/>
      <c r="L55" s="1561"/>
      <c r="M55" s="2330"/>
      <c r="N55" s="1561"/>
      <c r="O55" s="2392"/>
      <c r="P55" s="1561"/>
      <c r="Q55" s="2330"/>
      <c r="R55" s="1561"/>
      <c r="S55" s="2392"/>
      <c r="T55" s="2996"/>
      <c r="U55" s="2996"/>
      <c r="V55" s="1561"/>
      <c r="W55" s="2408"/>
      <c r="X55" s="1561"/>
      <c r="Y55" s="2330"/>
      <c r="Z55" s="2997"/>
      <c r="AA55" s="2408"/>
      <c r="AB55" s="3693"/>
      <c r="AC55" s="3227"/>
      <c r="AD55" s="3693"/>
      <c r="AE55" s="2391"/>
      <c r="AF55" s="3745"/>
      <c r="AG55" s="2391"/>
      <c r="AH55" s="3564"/>
      <c r="AI55" s="2330"/>
      <c r="AJ55" s="1562"/>
      <c r="AK55" s="2992"/>
      <c r="AL55" s="2992"/>
    </row>
    <row r="56" spans="1:38" ht="18" customHeight="1" thickBot="1">
      <c r="A56" s="2946" t="s">
        <v>934</v>
      </c>
      <c r="B56" s="2947"/>
      <c r="C56" s="2947"/>
      <c r="D56" s="1563">
        <f>ROUND(SUM(D25)+SUM(D36)+SUM(D44)+SUM(D54),1)</f>
        <v>2589</v>
      </c>
      <c r="E56" s="2998"/>
      <c r="F56" s="1563">
        <f>ROUND(SUM(F25)+SUM(F36)+SUM(F44)+SUM(F54),1)</f>
        <v>14731.7</v>
      </c>
      <c r="G56" s="2999"/>
      <c r="H56" s="1563">
        <f>ROUND(SUM(H25)+SUM(H36)+SUM(H44)+SUM(H54),1)</f>
        <v>248.2</v>
      </c>
      <c r="I56" s="2998"/>
      <c r="J56" s="1563">
        <f>ROUND(SUM(J25)+SUM(J36)+SUM(J44)+SUM(J54),1)</f>
        <v>1300.7</v>
      </c>
      <c r="K56" s="2998"/>
      <c r="L56" s="1563">
        <f>ROUND(SUM(L25)+SUM(L36)+SUM(L44)+SUM(L54),1)</f>
        <v>2364.1</v>
      </c>
      <c r="M56" s="2998"/>
      <c r="N56" s="1563">
        <f>ROUND(SUM(N25)+SUM(N36)+SUM(N44)+SUM(N54),1)</f>
        <v>12907.1</v>
      </c>
      <c r="O56" s="2998"/>
      <c r="P56" s="1563">
        <f>ROUND(SUM(P25)+SUM(P36)+SUM(P44)+SUM(P54),1)</f>
        <v>109.4</v>
      </c>
      <c r="Q56" s="2998"/>
      <c r="R56" s="1563">
        <f>ROUND(SUM(R25)+SUM(R36)+SUM(R44)+SUM(R54),1)</f>
        <v>462.6</v>
      </c>
      <c r="S56" s="3000"/>
      <c r="T56" s="3001"/>
      <c r="U56" s="2998"/>
      <c r="V56" s="3002">
        <f>ROUND(SUM(V25)+SUM(V36)+SUM(V44)+SUM(V54),1)</f>
        <v>5310.7</v>
      </c>
      <c r="W56" s="2998"/>
      <c r="X56" s="3002">
        <f>ROUND(SUM(X25)+SUM(X36)+SUM(X44)+SUM(X54),1)</f>
        <v>29402.1</v>
      </c>
      <c r="Y56" s="3003"/>
      <c r="Z56" s="3004"/>
      <c r="AA56" s="2998"/>
      <c r="AB56" s="3694">
        <f>ROUND(SUM(AB25)+SUM(AB36)+SUM(AB44)+SUM(AB54),1)</f>
        <v>4772.6000000000004</v>
      </c>
      <c r="AC56" s="2398"/>
      <c r="AD56" s="3694">
        <f>ROUND(SUM(AD25)+SUM(AD36)+SUM(AD44)+SUM(AD54),1)</f>
        <v>24525.3</v>
      </c>
      <c r="AE56" s="2398"/>
      <c r="AF56" s="3746"/>
      <c r="AG56" s="2398"/>
      <c r="AH56" s="25">
        <f>ROUND(SUM(X56)-SUM(AD56),1)</f>
        <v>4876.8</v>
      </c>
      <c r="AI56" s="2330"/>
      <c r="AJ56" s="1564">
        <f>ROUND(AH56/AD56,3)</f>
        <v>0.19900000000000001</v>
      </c>
      <c r="AK56" s="2991"/>
      <c r="AL56" s="2992"/>
    </row>
    <row r="57" spans="1:38" ht="15" customHeight="1" thickTop="1"/>
    <row r="58" spans="1:38" ht="15" customHeight="1"/>
    <row r="59"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6 R36 F44 AJ47 AJ22:AJ23" unlockedFormula="1"/>
    <ignoredError sqref="AH24 AJ19 AH19 V31 V21:X22 AJ21"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7" t="s">
        <v>980</v>
      </c>
    </row>
    <row r="2" spans="1:37" ht="16.5" customHeight="1">
      <c r="A2" s="842"/>
    </row>
    <row r="3" spans="1:37" ht="23.1" customHeight="1">
      <c r="A3" s="222" t="s">
        <v>0</v>
      </c>
      <c r="B3" s="225"/>
      <c r="C3" s="225"/>
      <c r="D3" s="225"/>
      <c r="E3" s="225"/>
      <c r="F3" s="225"/>
      <c r="G3" s="225"/>
      <c r="H3" s="225"/>
      <c r="I3" s="225"/>
      <c r="J3" s="225"/>
      <c r="K3" s="225"/>
      <c r="L3" s="225"/>
      <c r="M3" s="225"/>
      <c r="N3" s="225"/>
      <c r="O3" s="225"/>
      <c r="P3" s="225"/>
      <c r="Q3" s="3276"/>
      <c r="R3" s="225"/>
      <c r="S3" s="225"/>
      <c r="T3" s="225"/>
      <c r="U3" s="225"/>
      <c r="V3" s="225"/>
      <c r="W3" s="225"/>
      <c r="X3" s="225"/>
      <c r="Y3" s="225"/>
      <c r="Z3" s="225"/>
      <c r="AA3" s="225"/>
      <c r="AB3" s="3276"/>
      <c r="AC3" s="3276"/>
      <c r="AD3" s="3276"/>
      <c r="AE3" s="3276"/>
      <c r="AF3" s="3276"/>
      <c r="AG3" s="3276"/>
      <c r="AI3" s="3276"/>
    </row>
    <row r="4" spans="1:37" ht="23.25" customHeight="1">
      <c r="A4" s="222" t="s">
        <v>123</v>
      </c>
      <c r="B4" s="225"/>
      <c r="C4" s="225"/>
      <c r="D4" s="225"/>
      <c r="E4" s="225"/>
      <c r="F4" s="225"/>
      <c r="G4" s="225"/>
      <c r="H4" s="225"/>
      <c r="I4" s="225" t="s">
        <v>15</v>
      </c>
      <c r="J4" s="225"/>
      <c r="K4" s="225"/>
      <c r="L4" s="225"/>
      <c r="M4" s="225"/>
      <c r="N4" s="225"/>
      <c r="O4" s="225"/>
      <c r="P4" s="225"/>
      <c r="Q4" s="3276"/>
      <c r="R4" s="225"/>
      <c r="S4" s="225"/>
      <c r="T4" s="225"/>
      <c r="U4" s="225"/>
      <c r="V4" s="225"/>
      <c r="W4" s="225"/>
      <c r="X4" s="225"/>
      <c r="Y4" s="225" t="s">
        <v>15</v>
      </c>
      <c r="Z4" s="225"/>
      <c r="AA4" s="225"/>
      <c r="AB4" s="3276"/>
      <c r="AC4" s="3276"/>
      <c r="AD4" s="3276"/>
      <c r="AE4" s="3276"/>
      <c r="AF4" s="3276"/>
      <c r="AG4" s="3276"/>
      <c r="AI4" s="3276"/>
    </row>
    <row r="5" spans="1:37" ht="23.25" customHeight="1">
      <c r="A5" s="224" t="s">
        <v>124</v>
      </c>
      <c r="B5" s="225"/>
      <c r="C5" s="225"/>
      <c r="D5" s="225"/>
      <c r="E5" s="225"/>
      <c r="F5" s="225"/>
      <c r="G5" s="225"/>
      <c r="H5" s="225"/>
      <c r="I5" s="225"/>
      <c r="J5" s="225"/>
      <c r="K5" s="225"/>
      <c r="L5" s="225"/>
      <c r="M5" s="225"/>
      <c r="N5" s="225"/>
      <c r="O5" s="225"/>
      <c r="P5" s="225"/>
      <c r="Q5" s="3276"/>
      <c r="R5" s="225"/>
      <c r="S5" s="225"/>
      <c r="T5" s="225"/>
      <c r="U5" s="225"/>
      <c r="V5" s="225"/>
      <c r="W5" s="225"/>
      <c r="X5" s="225"/>
      <c r="Y5" s="225"/>
      <c r="Z5" s="225"/>
      <c r="AA5" s="225"/>
      <c r="AC5" s="3802"/>
      <c r="AD5" s="3803"/>
      <c r="AE5" s="3803"/>
      <c r="AF5" s="3803"/>
      <c r="AG5" s="3803"/>
      <c r="AH5" s="3803"/>
      <c r="AI5" s="3803"/>
      <c r="AJ5" s="3803"/>
    </row>
    <row r="6" spans="1:37" ht="23.25" customHeight="1">
      <c r="A6" s="224" t="s">
        <v>1413</v>
      </c>
      <c r="B6" s="225"/>
      <c r="C6" s="225"/>
      <c r="D6" s="225"/>
      <c r="E6" s="225"/>
      <c r="F6" s="225"/>
      <c r="G6" s="225"/>
      <c r="H6" s="225"/>
      <c r="I6" s="225"/>
      <c r="J6" s="225"/>
      <c r="K6" s="225"/>
      <c r="L6" s="225"/>
      <c r="M6" s="225"/>
      <c r="N6" s="225"/>
      <c r="O6" s="225"/>
      <c r="P6" s="225"/>
      <c r="Q6" s="3276"/>
      <c r="R6" s="225"/>
      <c r="S6" s="225"/>
      <c r="T6" s="225"/>
      <c r="U6" s="225"/>
      <c r="V6" s="225"/>
      <c r="W6" s="225"/>
      <c r="X6" s="225"/>
      <c r="Y6" s="225"/>
      <c r="Z6" s="225"/>
      <c r="AA6" s="225"/>
      <c r="AB6" s="3276"/>
      <c r="AC6" s="3276"/>
      <c r="AD6" s="3276"/>
      <c r="AE6" s="3276"/>
      <c r="AF6" s="3276"/>
      <c r="AG6" s="3276"/>
      <c r="AI6" s="3276"/>
    </row>
    <row r="7" spans="1:37" ht="23.25" customHeight="1">
      <c r="A7" s="222" t="s">
        <v>1433</v>
      </c>
      <c r="B7" s="225"/>
      <c r="C7" s="225"/>
      <c r="D7" s="225"/>
      <c r="E7" s="225"/>
      <c r="F7" s="225"/>
      <c r="G7" s="225"/>
      <c r="H7" s="225"/>
      <c r="I7" s="225"/>
      <c r="J7" s="225"/>
      <c r="K7" s="225"/>
      <c r="L7" s="225"/>
      <c r="M7" s="225"/>
      <c r="N7" s="225"/>
      <c r="O7" s="225"/>
      <c r="P7" s="225"/>
      <c r="Q7" s="3276"/>
      <c r="R7" s="225"/>
      <c r="S7" s="225"/>
      <c r="T7" s="225"/>
      <c r="U7" s="225"/>
      <c r="V7" s="225"/>
      <c r="W7" s="225"/>
      <c r="X7" s="225"/>
      <c r="Y7" s="225"/>
      <c r="Z7" s="225"/>
      <c r="AA7" s="225"/>
      <c r="AB7" s="3276"/>
      <c r="AC7" s="3276"/>
      <c r="AD7" s="3276"/>
      <c r="AE7" s="3276"/>
      <c r="AF7" s="3276"/>
      <c r="AG7" s="3276"/>
      <c r="AI7" s="3276"/>
    </row>
    <row r="8" spans="1:37" ht="16.5" customHeight="1">
      <c r="A8" s="225"/>
      <c r="B8" s="225"/>
      <c r="C8" s="225"/>
      <c r="D8" s="225"/>
      <c r="E8" s="225"/>
      <c r="F8" s="225"/>
      <c r="G8" s="225"/>
      <c r="H8" s="225"/>
      <c r="I8" s="225"/>
      <c r="J8" s="225"/>
      <c r="K8" s="225"/>
      <c r="L8" s="225"/>
      <c r="M8" s="225"/>
      <c r="N8" s="225"/>
      <c r="O8" s="225"/>
      <c r="P8" s="225"/>
      <c r="Q8" s="3276"/>
      <c r="R8" s="225"/>
      <c r="S8" s="225"/>
      <c r="T8" s="225"/>
      <c r="U8" s="225"/>
      <c r="V8" s="225"/>
      <c r="W8" s="225"/>
      <c r="X8" s="225"/>
      <c r="Y8" s="225"/>
      <c r="Z8" s="225"/>
      <c r="AA8" s="225"/>
      <c r="AB8" s="3276"/>
      <c r="AC8" s="3276"/>
      <c r="AD8" s="3276"/>
      <c r="AE8" s="3276"/>
      <c r="AF8" s="3276"/>
      <c r="AG8" s="3276"/>
      <c r="AI8" s="3276"/>
    </row>
    <row r="9" spans="1:37" ht="16.5" customHeight="1">
      <c r="A9" s="225"/>
      <c r="B9" s="225"/>
      <c r="C9" s="225"/>
      <c r="D9" s="225"/>
      <c r="E9" s="225"/>
      <c r="F9" s="225"/>
      <c r="G9" s="225"/>
      <c r="H9" s="225"/>
      <c r="I9" s="225"/>
      <c r="J9" s="225"/>
      <c r="K9" s="225"/>
      <c r="L9" s="225"/>
      <c r="M9" s="225"/>
      <c r="N9" s="225"/>
      <c r="O9" s="225"/>
      <c r="P9" s="225"/>
      <c r="Q9" s="3276"/>
      <c r="R9" s="225"/>
      <c r="S9" s="225"/>
      <c r="T9" s="225"/>
      <c r="U9" s="225"/>
      <c r="V9" s="225"/>
      <c r="W9" s="225"/>
      <c r="X9" s="225"/>
      <c r="Y9" s="225"/>
      <c r="Z9" s="225"/>
      <c r="AA9" s="225"/>
      <c r="AB9" s="3276"/>
      <c r="AC9" s="3276"/>
      <c r="AD9" s="3276"/>
      <c r="AE9" s="3276"/>
      <c r="AF9" s="3276"/>
      <c r="AG9" s="3276"/>
      <c r="AI9" s="3276"/>
    </row>
    <row r="10" spans="1:37" ht="16.5" customHeight="1">
      <c r="A10" s="225"/>
      <c r="B10" s="225"/>
      <c r="C10" s="225"/>
      <c r="D10" s="225"/>
      <c r="E10" s="225"/>
      <c r="F10" s="225"/>
      <c r="G10" s="225"/>
      <c r="H10" s="225"/>
      <c r="I10" s="225"/>
      <c r="J10" s="225"/>
      <c r="K10" s="225"/>
      <c r="L10" s="225"/>
      <c r="M10" s="225"/>
      <c r="N10" s="225"/>
      <c r="O10" s="225"/>
      <c r="P10" s="225"/>
      <c r="Q10" s="3276"/>
      <c r="R10" s="225"/>
      <c r="S10" s="225"/>
      <c r="T10" s="225"/>
      <c r="U10" s="225"/>
      <c r="V10" s="225"/>
      <c r="W10" s="225"/>
      <c r="X10" s="225"/>
      <c r="Y10" s="225"/>
      <c r="Z10" s="225"/>
      <c r="AA10" s="225"/>
      <c r="AB10" s="3276"/>
      <c r="AC10" s="3276"/>
      <c r="AD10" s="3276"/>
      <c r="AE10" s="3276"/>
      <c r="AF10" s="3276"/>
      <c r="AG10" s="3276"/>
      <c r="AI10" s="3276"/>
    </row>
    <row r="11" spans="1:37" ht="16.5" customHeight="1">
      <c r="A11" s="225"/>
      <c r="B11" s="225"/>
      <c r="C11" s="225"/>
      <c r="D11" s="225"/>
      <c r="E11" s="225"/>
      <c r="F11" s="225"/>
      <c r="G11" s="225"/>
      <c r="H11" s="225"/>
      <c r="I11" s="225"/>
      <c r="J11" s="225"/>
      <c r="K11" s="225"/>
      <c r="L11" s="225"/>
      <c r="M11" s="225"/>
      <c r="N11" s="225"/>
      <c r="O11" s="225"/>
      <c r="P11" s="225"/>
      <c r="Q11" s="3276"/>
      <c r="R11" s="225"/>
      <c r="S11" s="225"/>
      <c r="T11" s="225"/>
      <c r="U11" s="225"/>
      <c r="V11" s="225"/>
      <c r="W11" s="225"/>
      <c r="X11" s="225"/>
      <c r="Y11" s="225"/>
      <c r="Z11" s="225"/>
      <c r="AA11" s="225"/>
      <c r="AC11" s="3276"/>
      <c r="AD11" s="3276"/>
      <c r="AE11" s="3276"/>
      <c r="AF11" s="3276"/>
      <c r="AG11" s="3276"/>
      <c r="AI11" s="3276"/>
    </row>
    <row r="12" spans="1:37" ht="16.5" customHeight="1">
      <c r="A12" s="225"/>
      <c r="B12" s="225"/>
      <c r="C12" s="225"/>
      <c r="D12" s="225"/>
      <c r="E12" s="225"/>
      <c r="F12" s="225"/>
      <c r="G12" s="225"/>
      <c r="H12" s="225"/>
      <c r="I12" s="225"/>
      <c r="J12" s="225"/>
      <c r="K12" s="225"/>
      <c r="L12" s="225"/>
      <c r="M12" s="225"/>
      <c r="N12" s="225"/>
      <c r="O12" s="225"/>
      <c r="P12" s="225"/>
      <c r="Q12" s="3276"/>
      <c r="R12" s="225"/>
      <c r="S12" s="225"/>
      <c r="T12" s="225"/>
      <c r="U12" s="225"/>
      <c r="V12" s="225"/>
      <c r="W12" s="225"/>
      <c r="X12" s="225"/>
      <c r="Z12" s="225"/>
      <c r="AA12" s="523"/>
      <c r="AB12" s="3804" t="s">
        <v>1473</v>
      </c>
      <c r="AC12" s="3805"/>
      <c r="AD12" s="3805"/>
      <c r="AE12" s="3805"/>
      <c r="AF12" s="3805"/>
      <c r="AG12" s="3805"/>
      <c r="AH12" s="3805"/>
      <c r="AI12" s="3805"/>
      <c r="AJ12" s="3805"/>
    </row>
    <row r="13" spans="1:37" ht="16.5" customHeight="1">
      <c r="A13" s="225"/>
      <c r="B13" s="225"/>
      <c r="C13" s="1599" t="s">
        <v>1332</v>
      </c>
      <c r="D13" s="521"/>
      <c r="E13" s="521"/>
      <c r="F13" s="521"/>
      <c r="G13" s="521"/>
      <c r="H13" s="521"/>
      <c r="I13" s="521"/>
      <c r="J13" s="521"/>
      <c r="K13" s="521"/>
      <c r="L13" s="521"/>
      <c r="M13" s="521"/>
      <c r="N13" s="521"/>
      <c r="O13" s="521"/>
      <c r="P13" s="521"/>
      <c r="Q13" s="3277"/>
      <c r="R13" s="521"/>
      <c r="S13" s="521"/>
      <c r="T13" s="521"/>
      <c r="U13" s="1599" t="s">
        <v>1414</v>
      </c>
      <c r="V13" s="521"/>
      <c r="W13" s="521"/>
      <c r="X13" s="521"/>
      <c r="Y13" s="521"/>
      <c r="Z13" s="521"/>
      <c r="AA13" s="521"/>
      <c r="AB13" s="3277"/>
      <c r="AC13" s="3278"/>
      <c r="AD13" s="3278"/>
      <c r="AE13" s="3278"/>
      <c r="AF13" s="3277"/>
      <c r="AG13" s="3277"/>
      <c r="AH13" s="3498" t="s">
        <v>8</v>
      </c>
      <c r="AI13" s="3499"/>
      <c r="AJ13" s="3498"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498" t="s">
        <v>132</v>
      </c>
      <c r="R14" s="521"/>
      <c r="S14" s="762" t="s">
        <v>133</v>
      </c>
      <c r="T14" s="521"/>
      <c r="U14" s="762" t="s">
        <v>134</v>
      </c>
      <c r="V14" s="521"/>
      <c r="W14" s="762" t="s">
        <v>135</v>
      </c>
      <c r="X14" s="521"/>
      <c r="Y14" s="762" t="s">
        <v>136</v>
      </c>
      <c r="Z14" s="521"/>
      <c r="AA14" s="521"/>
      <c r="AB14" s="3279" t="s">
        <v>1332</v>
      </c>
      <c r="AC14" s="3277"/>
      <c r="AD14" s="3277"/>
      <c r="AE14" s="3279" t="s">
        <v>1296</v>
      </c>
      <c r="AF14" s="3277"/>
      <c r="AG14" s="3277"/>
      <c r="AH14" s="3500" t="s">
        <v>12</v>
      </c>
      <c r="AI14" s="3499"/>
      <c r="AJ14" s="3500" t="s">
        <v>13</v>
      </c>
    </row>
    <row r="15" spans="1:37" ht="6" customHeight="1">
      <c r="A15" s="225"/>
      <c r="B15" s="225"/>
      <c r="C15" s="524"/>
      <c r="D15" s="225"/>
      <c r="E15" s="524"/>
      <c r="F15" s="225"/>
      <c r="G15" s="524"/>
      <c r="H15" s="225"/>
      <c r="I15" s="524"/>
      <c r="J15" s="225"/>
      <c r="K15" s="524"/>
      <c r="L15" s="225"/>
      <c r="M15" s="524"/>
      <c r="N15" s="225"/>
      <c r="O15" s="524" t="s">
        <v>15</v>
      </c>
      <c r="P15" s="225"/>
      <c r="Q15" s="3280"/>
      <c r="R15" s="225"/>
      <c r="S15" s="524"/>
      <c r="T15" s="225"/>
      <c r="U15" s="524" t="s">
        <v>15</v>
      </c>
      <c r="V15" s="225"/>
      <c r="W15" s="524"/>
      <c r="X15" s="225"/>
      <c r="Y15" s="524"/>
      <c r="Z15" s="225"/>
      <c r="AA15" s="225"/>
      <c r="AB15" s="3280"/>
      <c r="AC15" s="3276"/>
      <c r="AD15" s="3276"/>
      <c r="AE15" s="3280"/>
      <c r="AF15" s="3276"/>
      <c r="AG15" s="3276"/>
      <c r="AI15" s="3276"/>
    </row>
    <row r="16" spans="1:37" ht="16.5" customHeight="1">
      <c r="A16" s="522" t="s">
        <v>137</v>
      </c>
      <c r="B16" s="225"/>
      <c r="C16" s="1794">
        <f>'Exhibit F'!D12+'Exhibit G'!D13+'Exhibit H'!B12+'Exhibit I'!E15</f>
        <v>9975</v>
      </c>
      <c r="D16" s="525"/>
      <c r="E16" s="525">
        <f>C146</f>
        <v>18267.7</v>
      </c>
      <c r="F16" s="525"/>
      <c r="G16" s="525">
        <f>E146</f>
        <v>10925.1</v>
      </c>
      <c r="H16" s="525"/>
      <c r="I16" s="525">
        <f>G146</f>
        <v>13728.6</v>
      </c>
      <c r="J16" s="525"/>
      <c r="K16" s="525"/>
      <c r="L16" s="525"/>
      <c r="M16" s="525"/>
      <c r="N16" s="525"/>
      <c r="O16" s="525"/>
      <c r="P16" s="525"/>
      <c r="Q16" s="1794"/>
      <c r="R16" s="525"/>
      <c r="S16" s="525"/>
      <c r="T16" s="525"/>
      <c r="U16" s="525"/>
      <c r="V16" s="525"/>
      <c r="W16" s="525"/>
      <c r="X16" s="525"/>
      <c r="Y16" s="525"/>
      <c r="Z16" s="525"/>
      <c r="AA16" s="526"/>
      <c r="AB16" s="1794">
        <f>C16</f>
        <v>9975</v>
      </c>
      <c r="AC16" s="1794"/>
      <c r="AD16" s="3501"/>
      <c r="AE16" s="1794">
        <f>'Exhibit F'!AF12+'Exhibit G'!AG13+'Exhibit H'!AD12+'Exhibit I'!AI15</f>
        <v>12749</v>
      </c>
      <c r="AF16" s="1794"/>
      <c r="AG16" s="1794"/>
      <c r="AH16" s="1794">
        <f>ROUND(SUM(AB16-AE16),1)</f>
        <v>-2774</v>
      </c>
      <c r="AI16" s="3277"/>
      <c r="AJ16" s="3502">
        <f>ROUND(SUM(AH16/AE16),3)</f>
        <v>-0.218</v>
      </c>
      <c r="AK16" s="3503"/>
    </row>
    <row r="17" spans="1:36" ht="16.5" customHeight="1">
      <c r="A17" s="225"/>
      <c r="B17" s="225"/>
      <c r="C17" s="225" t="s">
        <v>15</v>
      </c>
      <c r="D17" s="225"/>
      <c r="E17" s="527"/>
      <c r="F17" s="225"/>
      <c r="G17" s="527"/>
      <c r="H17" s="225"/>
      <c r="I17" s="527"/>
      <c r="J17" s="225"/>
      <c r="K17" s="527"/>
      <c r="L17" s="225"/>
      <c r="M17" s="527"/>
      <c r="N17" s="225"/>
      <c r="O17" s="527"/>
      <c r="P17" s="225"/>
      <c r="Q17" s="3508"/>
      <c r="R17" s="225"/>
      <c r="S17" s="527"/>
      <c r="T17" s="225"/>
      <c r="U17" s="527"/>
      <c r="V17" s="225"/>
      <c r="W17" s="527"/>
      <c r="X17" s="225"/>
      <c r="Y17" s="527"/>
      <c r="Z17" s="225"/>
      <c r="AA17" s="528"/>
      <c r="AB17" s="3276" t="s">
        <v>15</v>
      </c>
      <c r="AC17" s="3276"/>
      <c r="AD17" s="3504"/>
      <c r="AE17" s="3276" t="s">
        <v>15</v>
      </c>
      <c r="AF17" s="3276"/>
      <c r="AG17" s="3276"/>
      <c r="AH17" s="910"/>
      <c r="AI17" s="3276"/>
      <c r="AJ17" s="910"/>
    </row>
    <row r="18" spans="1:36" ht="16.5" customHeight="1">
      <c r="A18" s="207" t="s">
        <v>14</v>
      </c>
      <c r="B18" s="225"/>
      <c r="C18" s="225"/>
      <c r="D18" s="225"/>
      <c r="E18" s="527"/>
      <c r="F18" s="225"/>
      <c r="G18" s="527"/>
      <c r="H18" s="225"/>
      <c r="I18" s="527"/>
      <c r="J18" s="225"/>
      <c r="K18" s="527"/>
      <c r="L18" s="225"/>
      <c r="M18" s="527"/>
      <c r="N18" s="225"/>
      <c r="O18" s="527"/>
      <c r="P18" s="225"/>
      <c r="Q18" s="3508"/>
      <c r="R18" s="225"/>
      <c r="S18" s="527"/>
      <c r="T18" s="225"/>
      <c r="U18" s="527"/>
      <c r="V18" s="225"/>
      <c r="W18" s="527"/>
      <c r="X18" s="225"/>
      <c r="Y18" s="527"/>
      <c r="Z18" s="225"/>
      <c r="AA18" s="528"/>
      <c r="AB18" s="3276"/>
      <c r="AC18" s="3276"/>
      <c r="AD18" s="3504"/>
      <c r="AE18" s="3276"/>
      <c r="AF18" s="3276"/>
      <c r="AG18" s="3276"/>
      <c r="AH18" s="910"/>
      <c r="AI18" s="3276"/>
      <c r="AJ18" s="910"/>
    </row>
    <row r="19" spans="1:36" ht="16.5" customHeight="1">
      <c r="A19" s="261" t="s">
        <v>1098</v>
      </c>
      <c r="B19" s="225"/>
      <c r="C19" s="225"/>
      <c r="D19" s="225"/>
      <c r="E19" s="527"/>
      <c r="F19" s="225"/>
      <c r="G19" s="527"/>
      <c r="H19" s="225"/>
      <c r="I19" s="527"/>
      <c r="J19" s="225"/>
      <c r="K19" s="527"/>
      <c r="L19" s="225"/>
      <c r="M19" s="527"/>
      <c r="N19" s="225"/>
      <c r="O19" s="527"/>
      <c r="P19" s="225"/>
      <c r="Q19" s="3508"/>
      <c r="R19" s="225"/>
      <c r="S19" s="527"/>
      <c r="T19" s="225"/>
      <c r="U19" s="527"/>
      <c r="V19" s="225"/>
      <c r="W19" s="527"/>
      <c r="X19" s="225"/>
      <c r="Y19" s="527"/>
      <c r="Z19" s="225"/>
      <c r="AA19" s="528"/>
      <c r="AB19" s="3276"/>
      <c r="AC19" s="3276"/>
      <c r="AD19" s="3504"/>
      <c r="AE19" s="3276"/>
      <c r="AF19" s="3276"/>
      <c r="AG19" s="3276"/>
      <c r="AH19" s="910"/>
      <c r="AI19" s="3276"/>
      <c r="AJ19" s="910"/>
    </row>
    <row r="20" spans="1:36" ht="16.5" customHeight="1">
      <c r="A20" s="1070" t="s">
        <v>1411</v>
      </c>
      <c r="B20" s="685"/>
      <c r="C20" s="626"/>
      <c r="D20" s="626"/>
      <c r="E20" s="626"/>
      <c r="F20" s="626"/>
      <c r="G20" s="626"/>
      <c r="H20" s="225"/>
      <c r="I20" s="527"/>
      <c r="J20" s="225"/>
      <c r="K20" s="527"/>
      <c r="L20" s="225"/>
      <c r="M20" s="527"/>
      <c r="N20" s="225"/>
      <c r="O20" s="527"/>
      <c r="P20" s="225"/>
      <c r="Q20" s="3508"/>
      <c r="R20" s="225"/>
      <c r="S20" s="527"/>
      <c r="T20" s="225"/>
      <c r="U20" s="527"/>
      <c r="V20" s="225"/>
      <c r="W20" s="527"/>
      <c r="X20" s="225"/>
      <c r="Y20" s="527"/>
      <c r="Z20" s="225"/>
      <c r="AA20" s="979"/>
      <c r="AB20" s="3276"/>
      <c r="AC20" s="3276"/>
      <c r="AD20" s="3504"/>
      <c r="AE20" s="3276"/>
      <c r="AF20" s="3276"/>
      <c r="AG20" s="3276"/>
      <c r="AH20" s="910"/>
      <c r="AI20" s="3276"/>
      <c r="AJ20" s="910"/>
    </row>
    <row r="21" spans="1:36" ht="16.5" customHeight="1">
      <c r="A21" s="685" t="s">
        <v>1104</v>
      </c>
      <c r="B21" s="685"/>
      <c r="C21" s="368">
        <f>+'Exhibit F'!D17</f>
        <v>3237.1</v>
      </c>
      <c r="D21" s="628"/>
      <c r="E21" s="368">
        <f>+'Exhibit F'!F17</f>
        <v>3220.1</v>
      </c>
      <c r="F21" s="628"/>
      <c r="G21" s="368">
        <f>+'Exhibit F'!H17</f>
        <v>2922.2999999999997</v>
      </c>
      <c r="H21" s="529"/>
      <c r="I21" s="368">
        <f>+'Exhibit F'!J17</f>
        <v>3365.7999999999988</v>
      </c>
      <c r="J21" s="529"/>
      <c r="K21" s="368"/>
      <c r="L21" s="225"/>
      <c r="M21" s="368"/>
      <c r="N21" s="225"/>
      <c r="O21" s="368"/>
      <c r="P21" s="225"/>
      <c r="Q21" s="3505"/>
      <c r="R21" s="225"/>
      <c r="S21" s="368"/>
      <c r="T21" s="225"/>
      <c r="U21" s="368"/>
      <c r="V21" s="225"/>
      <c r="W21" s="368"/>
      <c r="X21" s="225"/>
      <c r="Y21" s="368"/>
      <c r="Z21" s="225"/>
      <c r="AA21" s="979"/>
      <c r="AB21" s="1695">
        <f>ROUND(SUM(C21:Y21),1)</f>
        <v>12745.3</v>
      </c>
      <c r="AC21" s="3276"/>
      <c r="AD21" s="3504"/>
      <c r="AE21" s="3505">
        <f>+'Exhibit F'!AF17</f>
        <v>11807.3</v>
      </c>
      <c r="AF21" s="3276"/>
      <c r="AG21" s="3276"/>
      <c r="AH21" s="914">
        <f>ROUND(SUM(+AB21-AE21),1)</f>
        <v>938</v>
      </c>
      <c r="AI21" s="3506"/>
      <c r="AJ21" s="1787">
        <f>ROUND(IF(AE21=0,0,AH21/ABS(AE21)),3)</f>
        <v>7.9000000000000001E-2</v>
      </c>
    </row>
    <row r="22" spans="1:36" ht="16.5" customHeight="1">
      <c r="A22" s="685" t="s">
        <v>1401</v>
      </c>
      <c r="B22" s="689"/>
      <c r="C22" s="368">
        <f>+'Exhibit F'!D18</f>
        <v>6843.2</v>
      </c>
      <c r="D22" s="628"/>
      <c r="E22" s="368">
        <f>+'Exhibit F'!F18</f>
        <v>112.60000000000036</v>
      </c>
      <c r="F22" s="628"/>
      <c r="G22" s="368">
        <f>+'Exhibit F'!H18</f>
        <v>2396.4000000000005</v>
      </c>
      <c r="H22" s="529"/>
      <c r="I22" s="368">
        <f>+'Exhibit F'!J18</f>
        <v>118.69999999999891</v>
      </c>
      <c r="J22" s="529"/>
      <c r="K22" s="368"/>
      <c r="L22" s="225"/>
      <c r="M22" s="368"/>
      <c r="N22" s="225"/>
      <c r="O22" s="368"/>
      <c r="P22" s="225"/>
      <c r="Q22" s="3505"/>
      <c r="R22" s="225"/>
      <c r="S22" s="368"/>
      <c r="T22" s="225"/>
      <c r="U22" s="368"/>
      <c r="V22" s="225"/>
      <c r="W22" s="368"/>
      <c r="X22" s="225"/>
      <c r="Y22" s="368"/>
      <c r="Z22" s="225"/>
      <c r="AA22" s="979"/>
      <c r="AB22" s="1695">
        <f>ROUND(SUM(C22:Y22),1)</f>
        <v>9470.9</v>
      </c>
      <c r="AC22" s="3276"/>
      <c r="AD22" s="3504"/>
      <c r="AE22" s="3505">
        <f>+'Exhibit F'!AF18</f>
        <v>6793.8</v>
      </c>
      <c r="AF22" s="3276"/>
      <c r="AG22" s="3276"/>
      <c r="AH22" s="914">
        <f>ROUND(SUM(+AB22-AE22),1)</f>
        <v>2677.1</v>
      </c>
      <c r="AI22" s="3506"/>
      <c r="AJ22" s="1787">
        <f>ROUND(IF(AE22=0,0,AH22/ABS(AE22)),3)</f>
        <v>0.39400000000000002</v>
      </c>
    </row>
    <row r="23" spans="1:36" ht="16.5" customHeight="1">
      <c r="A23" s="685" t="s">
        <v>1105</v>
      </c>
      <c r="B23" s="685"/>
      <c r="C23" s="368">
        <f>+'Exhibit F'!D19</f>
        <v>2286.9</v>
      </c>
      <c r="D23" s="628"/>
      <c r="E23" s="368">
        <f>+'Exhibit F'!F19</f>
        <v>75.099999999999994</v>
      </c>
      <c r="F23" s="628"/>
      <c r="G23" s="368">
        <f>+'Exhibit F'!H19</f>
        <v>54.1</v>
      </c>
      <c r="H23" s="529"/>
      <c r="I23" s="368">
        <f>+'Exhibit F'!J19</f>
        <v>40.800000000000004</v>
      </c>
      <c r="J23" s="529"/>
      <c r="K23" s="368"/>
      <c r="L23" s="225"/>
      <c r="M23" s="368"/>
      <c r="N23" s="225"/>
      <c r="O23" s="368"/>
      <c r="P23" s="225"/>
      <c r="Q23" s="3505"/>
      <c r="R23" s="225"/>
      <c r="S23" s="368"/>
      <c r="T23" s="225"/>
      <c r="U23" s="368"/>
      <c r="V23" s="225"/>
      <c r="W23" s="368"/>
      <c r="X23" s="225"/>
      <c r="Y23" s="368"/>
      <c r="Z23" s="225"/>
      <c r="AA23" s="979"/>
      <c r="AB23" s="1695">
        <f>ROUND(SUM(C23:Y23),1)</f>
        <v>2456.9</v>
      </c>
      <c r="AC23" s="3276"/>
      <c r="AD23" s="3504"/>
      <c r="AE23" s="3505">
        <f>+'Exhibit F'!AF19</f>
        <v>1786.6</v>
      </c>
      <c r="AF23" s="3276"/>
      <c r="AG23" s="3276"/>
      <c r="AH23" s="914">
        <f>ROUND(SUM(+AB23-AE23),1)</f>
        <v>670.3</v>
      </c>
      <c r="AI23" s="3506"/>
      <c r="AJ23" s="1787">
        <f>ROUND(IF(AE23=0,0,AH23/ABS(AE23)),3)</f>
        <v>0.375</v>
      </c>
    </row>
    <row r="24" spans="1:36" ht="16.5" customHeight="1">
      <c r="A24" s="1096" t="s">
        <v>1106</v>
      </c>
      <c r="B24" s="685"/>
      <c r="C24" s="368">
        <f>+'Exhibit F'!D20</f>
        <v>-296.89999999999998</v>
      </c>
      <c r="D24" s="628"/>
      <c r="E24" s="368">
        <f>+'Exhibit F'!F20</f>
        <v>-31.100000000000023</v>
      </c>
      <c r="F24" s="628"/>
      <c r="G24" s="368">
        <f>+'Exhibit F'!H20</f>
        <v>-25.899999999999977</v>
      </c>
      <c r="H24" s="529"/>
      <c r="I24" s="368">
        <f>+'Exhibit F'!J20</f>
        <v>-21</v>
      </c>
      <c r="J24" s="529"/>
      <c r="K24" s="368"/>
      <c r="L24" s="225"/>
      <c r="M24" s="368"/>
      <c r="N24" s="225"/>
      <c r="O24" s="368"/>
      <c r="P24" s="225"/>
      <c r="Q24" s="3505"/>
      <c r="R24" s="225"/>
      <c r="S24" s="368"/>
      <c r="T24" s="225"/>
      <c r="U24" s="368"/>
      <c r="V24" s="225"/>
      <c r="W24" s="368"/>
      <c r="X24" s="225"/>
      <c r="Y24" s="368"/>
      <c r="Z24" s="225"/>
      <c r="AA24" s="979"/>
      <c r="AB24" s="1695">
        <f t="shared" ref="AB24:AB30" si="0">ROUND(SUM(C24:Y24),1)</f>
        <v>-374.9</v>
      </c>
      <c r="AC24" s="3276"/>
      <c r="AD24" s="3504"/>
      <c r="AE24" s="3505">
        <f>+'Exhibit F'!AF20</f>
        <v>-354.7</v>
      </c>
      <c r="AF24" s="3276"/>
      <c r="AG24" s="3276"/>
      <c r="AH24" s="914">
        <f>-ROUND(SUM(+AB24-AE24),1)</f>
        <v>20.2</v>
      </c>
      <c r="AI24" s="3506"/>
      <c r="AJ24" s="1786">
        <f>ROUND(IF(AE24=0,0,AH24/ABS(AE24)),3)</f>
        <v>5.7000000000000002E-2</v>
      </c>
    </row>
    <row r="25" spans="1:36" ht="16.5" customHeight="1">
      <c r="A25" s="1096" t="s">
        <v>1399</v>
      </c>
      <c r="B25" s="685"/>
      <c r="C25" s="368">
        <f>+'Exhibit F'!D21</f>
        <v>170.3</v>
      </c>
      <c r="D25" s="628"/>
      <c r="E25" s="368">
        <f>+'Exhibit F'!F21</f>
        <v>105.19999999999999</v>
      </c>
      <c r="F25" s="628"/>
      <c r="G25" s="368">
        <f>+'Exhibit F'!H21</f>
        <v>96.199999999999989</v>
      </c>
      <c r="H25" s="529"/>
      <c r="I25" s="368">
        <f>+'Exhibit F'!J21</f>
        <v>89.300000000000011</v>
      </c>
      <c r="J25" s="529"/>
      <c r="K25" s="368"/>
      <c r="L25" s="225"/>
      <c r="M25" s="368"/>
      <c r="N25" s="225"/>
      <c r="O25" s="368"/>
      <c r="P25" s="225"/>
      <c r="Q25" s="3505"/>
      <c r="R25" s="225"/>
      <c r="S25" s="368"/>
      <c r="T25" s="225"/>
      <c r="U25" s="368"/>
      <c r="V25" s="225"/>
      <c r="W25" s="368"/>
      <c r="X25" s="225"/>
      <c r="Y25" s="368"/>
      <c r="Z25" s="225"/>
      <c r="AA25" s="979"/>
      <c r="AB25" s="1695">
        <f t="shared" si="0"/>
        <v>461</v>
      </c>
      <c r="AC25" s="3276"/>
      <c r="AD25" s="3504"/>
      <c r="AE25" s="3505">
        <f>+'Exhibit F'!AF21</f>
        <v>439.6</v>
      </c>
      <c r="AF25" s="3276"/>
      <c r="AG25" s="3276"/>
      <c r="AH25" s="914">
        <f>ROUND(SUM(+AB25-AE25),1)</f>
        <v>21.4</v>
      </c>
      <c r="AI25" s="3506"/>
      <c r="AJ25" s="1786">
        <f t="shared" ref="AJ25:AJ30" si="1">ROUND(IF(AE25=0,0,AH25/ABS(AE25)),3)</f>
        <v>4.9000000000000002E-2</v>
      </c>
    </row>
    <row r="26" spans="1:36" ht="16.5" customHeight="1">
      <c r="A26" s="686" t="s">
        <v>1107</v>
      </c>
      <c r="B26" s="686"/>
      <c r="C26" s="688">
        <f>ROUND(SUM(C21:C25),1)</f>
        <v>12240.6</v>
      </c>
      <c r="D26" s="26"/>
      <c r="E26" s="688">
        <f>ROUND(SUM(E21:E25),1)</f>
        <v>3481.9</v>
      </c>
      <c r="F26" s="26"/>
      <c r="G26" s="688">
        <f>ROUND(SUM(G21:G25),1)</f>
        <v>5443.1</v>
      </c>
      <c r="H26" s="225"/>
      <c r="I26" s="905">
        <f>ROUND(SUM(I21:I25),1)</f>
        <v>3593.6</v>
      </c>
      <c r="J26" s="225"/>
      <c r="K26" s="905">
        <f>ROUND(SUM(K21:K25),1)</f>
        <v>0</v>
      </c>
      <c r="L26" s="225"/>
      <c r="M26" s="905">
        <f>ROUND(SUM(M21:M25),1)</f>
        <v>0</v>
      </c>
      <c r="N26" s="225"/>
      <c r="O26" s="905">
        <f>ROUND(SUM(O21:O25),1)</f>
        <v>0</v>
      </c>
      <c r="P26" s="225"/>
      <c r="Q26" s="3282">
        <f>ROUND(SUM(Q21:Q25),1)</f>
        <v>0</v>
      </c>
      <c r="R26" s="225"/>
      <c r="S26" s="905">
        <f>ROUND(SUM(S21:S25),1)</f>
        <v>0</v>
      </c>
      <c r="T26" s="225"/>
      <c r="U26" s="905">
        <f>ROUND(SUM(U21:U25),1)</f>
        <v>0</v>
      </c>
      <c r="V26" s="225"/>
      <c r="W26" s="905">
        <f>ROUND(SUM(W21:W25),1)</f>
        <v>0</v>
      </c>
      <c r="X26" s="225"/>
      <c r="Y26" s="905">
        <f>ROUND(SUM(Y21:Y25),1)</f>
        <v>0</v>
      </c>
      <c r="Z26" s="225"/>
      <c r="AA26" s="979"/>
      <c r="AB26" s="3281">
        <f>ROUND(SUM(C26:Y26),1)</f>
        <v>24759.200000000001</v>
      </c>
      <c r="AC26" s="3276"/>
      <c r="AD26" s="3504"/>
      <c r="AE26" s="3282">
        <f>ROUND(SUM(AE21:AE25),1)</f>
        <v>20472.599999999999</v>
      </c>
      <c r="AF26" s="3276"/>
      <c r="AG26" s="3276"/>
      <c r="AH26" s="1586">
        <f>ROUND(SUM(AB26-AE26),1)</f>
        <v>4286.6000000000004</v>
      </c>
      <c r="AI26" s="3506"/>
      <c r="AJ26" s="2272">
        <f t="shared" si="1"/>
        <v>0.20899999999999999</v>
      </c>
    </row>
    <row r="27" spans="1:36" ht="16.5" customHeight="1">
      <c r="A27" s="1096" t="s">
        <v>1109</v>
      </c>
      <c r="B27" s="685"/>
      <c r="C27" s="1404">
        <v>0</v>
      </c>
      <c r="D27" s="629"/>
      <c r="E27" s="1404">
        <v>0</v>
      </c>
      <c r="F27" s="629"/>
      <c r="G27" s="1404">
        <v>0</v>
      </c>
      <c r="H27" s="1479"/>
      <c r="I27" s="1404">
        <v>0</v>
      </c>
      <c r="J27" s="1479"/>
      <c r="K27" s="1404"/>
      <c r="L27" s="1480"/>
      <c r="M27" s="1404"/>
      <c r="N27" s="1480"/>
      <c r="O27" s="1404"/>
      <c r="P27" s="225"/>
      <c r="Q27" s="3507"/>
      <c r="R27" s="225"/>
      <c r="S27" s="1404"/>
      <c r="T27" s="225"/>
      <c r="U27" s="1404"/>
      <c r="V27" s="225"/>
      <c r="W27" s="1404"/>
      <c r="X27" s="225"/>
      <c r="Y27" s="1404"/>
      <c r="Z27" s="225"/>
      <c r="AA27" s="979"/>
      <c r="AB27" s="1695">
        <f t="shared" si="0"/>
        <v>0</v>
      </c>
      <c r="AC27" s="3276"/>
      <c r="AD27" s="3504"/>
      <c r="AE27" s="3507">
        <f>+'Exhibit F'!AF23+'Exhibit G'!AG17</f>
        <v>0</v>
      </c>
      <c r="AF27" s="3276"/>
      <c r="AG27" s="3276"/>
      <c r="AH27" s="914">
        <f>ROUND(SUM(+AB27-AE27),1)</f>
        <v>0</v>
      </c>
      <c r="AI27" s="3506"/>
      <c r="AJ27" s="1786">
        <f t="shared" si="1"/>
        <v>0</v>
      </c>
    </row>
    <row r="28" spans="1:36" ht="16.5" customHeight="1">
      <c r="A28" s="1096" t="s">
        <v>1110</v>
      </c>
      <c r="B28" s="685"/>
      <c r="C28" s="631">
        <f>'Exhibit F'!D24+'Exhibit H'!B16</f>
        <v>0</v>
      </c>
      <c r="D28" s="629"/>
      <c r="E28" s="631">
        <f>ROUND('Exhibit F'!F24+'Exhibit H'!D16,1)</f>
        <v>0</v>
      </c>
      <c r="F28" s="629"/>
      <c r="G28" s="631">
        <f>ROUND('Exhibit F'!H24+'Exhibit H'!F16,1)</f>
        <v>0</v>
      </c>
      <c r="H28" s="1479"/>
      <c r="I28" s="631">
        <f>ROUND('Exhibit F'!J24+'Exhibit H'!H16,1)</f>
        <v>0</v>
      </c>
      <c r="J28" s="1479"/>
      <c r="K28" s="631"/>
      <c r="L28" s="1480"/>
      <c r="M28" s="631"/>
      <c r="N28" s="1480"/>
      <c r="O28" s="631"/>
      <c r="P28" s="225"/>
      <c r="Q28" s="1852"/>
      <c r="R28" s="225"/>
      <c r="S28" s="631"/>
      <c r="T28" s="225"/>
      <c r="U28" s="631"/>
      <c r="V28" s="225"/>
      <c r="W28" s="631"/>
      <c r="X28" s="225"/>
      <c r="Y28" s="631"/>
      <c r="Z28" s="225"/>
      <c r="AA28" s="979"/>
      <c r="AB28" s="1695">
        <f t="shared" si="0"/>
        <v>0</v>
      </c>
      <c r="AC28" s="3276"/>
      <c r="AD28" s="3504"/>
      <c r="AE28" s="1852">
        <f>+'Exhibit F'!AF24+'Exhibit H'!AD16</f>
        <v>0</v>
      </c>
      <c r="AF28" s="3276"/>
      <c r="AG28" s="3276"/>
      <c r="AH28" s="914">
        <f>ROUND(SUM(+AB28-AE28),1)</f>
        <v>0</v>
      </c>
      <c r="AI28" s="3506"/>
      <c r="AJ28" s="1786">
        <f>ROUND(IF(AE28=0,0,AH28/ABS(AE28)),3)</f>
        <v>0</v>
      </c>
    </row>
    <row r="29" spans="1:36" ht="16.5" customHeight="1">
      <c r="A29" s="685" t="s">
        <v>1402</v>
      </c>
      <c r="B29" s="685"/>
      <c r="C29" s="368">
        <f>+'Exhibit F'!D25</f>
        <v>-3025.2</v>
      </c>
      <c r="D29" s="628"/>
      <c r="E29" s="368">
        <f>+'Exhibit F'!F25</f>
        <v>-997.30000000000018</v>
      </c>
      <c r="F29" s="628"/>
      <c r="G29" s="368">
        <f>+'Exhibit F'!H25</f>
        <v>-233.19999999999982</v>
      </c>
      <c r="H29" s="529"/>
      <c r="I29" s="368">
        <f>+'Exhibit F'!J25</f>
        <v>-262</v>
      </c>
      <c r="J29" s="529"/>
      <c r="K29" s="368"/>
      <c r="L29" s="225"/>
      <c r="M29" s="368"/>
      <c r="N29" s="225"/>
      <c r="O29" s="368"/>
      <c r="P29" s="225"/>
      <c r="Q29" s="3505"/>
      <c r="R29" s="225"/>
      <c r="S29" s="368"/>
      <c r="T29" s="225"/>
      <c r="U29" s="368"/>
      <c r="V29" s="225"/>
      <c r="W29" s="368"/>
      <c r="X29" s="225"/>
      <c r="Y29" s="368"/>
      <c r="Z29" s="225"/>
      <c r="AA29" s="979"/>
      <c r="AB29" s="1695">
        <f t="shared" si="0"/>
        <v>-4517.7</v>
      </c>
      <c r="AC29" s="3276"/>
      <c r="AD29" s="3504"/>
      <c r="AE29" s="3505">
        <f>+'Exhibit F'!AF25</f>
        <v>-4581.8999999999996</v>
      </c>
      <c r="AF29" s="3276"/>
      <c r="AG29" s="3276"/>
      <c r="AH29" s="914">
        <f>-ROUND(SUM(+AB29-AE29),1)</f>
        <v>-64.2</v>
      </c>
      <c r="AI29" s="3506"/>
      <c r="AJ29" s="1786">
        <f t="shared" si="1"/>
        <v>-1.4E-2</v>
      </c>
    </row>
    <row r="30" spans="1:36" ht="16.5" customHeight="1">
      <c r="A30" s="312" t="s">
        <v>1108</v>
      </c>
      <c r="B30" s="685"/>
      <c r="C30" s="905">
        <f>ROUND(SUM(C26)+SUM(C27)+SUM(C28)+SUM(C29),1)</f>
        <v>9215.4</v>
      </c>
      <c r="D30" s="26"/>
      <c r="E30" s="905">
        <f>ROUND(SUM(E26)+SUM(E27)+SUM(E28)+SUM(E29),1)</f>
        <v>2484.6</v>
      </c>
      <c r="F30" s="26"/>
      <c r="G30" s="905">
        <f>ROUND(SUM(G26)+SUM(G27)+SUM(G28)+SUM(G29),1)</f>
        <v>5209.8999999999996</v>
      </c>
      <c r="H30" s="225"/>
      <c r="I30" s="905">
        <f>ROUND(SUM(I26)+SUM(I27)+SUM(I28)+SUM(I29),1)</f>
        <v>3331.6</v>
      </c>
      <c r="J30" s="225"/>
      <c r="K30" s="905">
        <f>ROUND(SUM(K26)+SUM(K27)+SUM(K28)+SUM(K29),1)</f>
        <v>0</v>
      </c>
      <c r="L30" s="225"/>
      <c r="M30" s="905">
        <f>ROUND(SUM(M26)+SUM(M27)+SUM(M28)+SUM(M29),1)</f>
        <v>0</v>
      </c>
      <c r="N30" s="225"/>
      <c r="O30" s="905">
        <f>ROUND(SUM(O26)+SUM(O27)+SUM(O28)+SUM(O29),1)</f>
        <v>0</v>
      </c>
      <c r="P30" s="225"/>
      <c r="Q30" s="3282">
        <f>ROUND(SUM(Q26)+SUM(Q27)+SUM(Q28)+SUM(Q29),1)</f>
        <v>0</v>
      </c>
      <c r="R30" s="225"/>
      <c r="S30" s="905">
        <f>ROUND(SUM(S26)+SUM(S27)+SUM(S28)+SUM(S29),1)</f>
        <v>0</v>
      </c>
      <c r="T30" s="225"/>
      <c r="U30" s="905">
        <f>ROUND(SUM(U26)+SUM(U27)+SUM(U28)+SUM(U29),1)</f>
        <v>0</v>
      </c>
      <c r="V30" s="225"/>
      <c r="W30" s="905">
        <f>ROUND(SUM(W26)+SUM(W27)+SUM(W28)+SUM(W29),1)</f>
        <v>0</v>
      </c>
      <c r="X30" s="225"/>
      <c r="Y30" s="905">
        <f>ROUND(SUM(Y26)+SUM(Y27)+SUM(Y28)+SUM(Y29),1)</f>
        <v>0</v>
      </c>
      <c r="Z30" s="225"/>
      <c r="AA30" s="979"/>
      <c r="AB30" s="3281">
        <f t="shared" si="0"/>
        <v>20241.5</v>
      </c>
      <c r="AC30" s="3276"/>
      <c r="AD30" s="3504"/>
      <c r="AE30" s="3282">
        <f>ROUND(SUM(AE26)+SUM(AE27)+SUM(AE28)+SUM(AE29),1)</f>
        <v>15890.7</v>
      </c>
      <c r="AF30" s="3276"/>
      <c r="AG30" s="3276"/>
      <c r="AH30" s="1586">
        <f>ROUND(SUM(AH26+AH27+AH28-AH29),1)</f>
        <v>4350.8</v>
      </c>
      <c r="AI30" s="1043"/>
      <c r="AJ30" s="2272">
        <f t="shared" si="1"/>
        <v>0.27400000000000002</v>
      </c>
    </row>
    <row r="31" spans="1:36" ht="16.5" customHeight="1">
      <c r="A31" s="1070" t="s">
        <v>1162</v>
      </c>
      <c r="B31" s="689"/>
      <c r="C31" s="624"/>
      <c r="D31" s="624"/>
      <c r="E31" s="624"/>
      <c r="F31" s="624"/>
      <c r="G31" s="624"/>
      <c r="H31" s="225"/>
      <c r="I31" s="624"/>
      <c r="J31" s="225"/>
      <c r="K31" s="624"/>
      <c r="L31" s="225"/>
      <c r="M31" s="624"/>
      <c r="N31" s="225"/>
      <c r="O31" s="624"/>
      <c r="P31" s="225"/>
      <c r="Q31" s="3594"/>
      <c r="R31" s="225"/>
      <c r="S31" s="624"/>
      <c r="T31" s="225"/>
      <c r="U31" s="624"/>
      <c r="V31" s="225"/>
      <c r="W31" s="624"/>
      <c r="X31" s="225"/>
      <c r="Y31" s="624"/>
      <c r="Z31" s="225"/>
      <c r="AA31" s="979"/>
      <c r="AB31" s="3276"/>
      <c r="AC31" s="3276"/>
      <c r="AD31" s="3504"/>
      <c r="AE31" s="3508"/>
      <c r="AF31" s="3276"/>
      <c r="AG31" s="3276"/>
      <c r="AH31" s="115"/>
      <c r="AI31" s="1043"/>
      <c r="AJ31" s="3509"/>
    </row>
    <row r="32" spans="1:36" ht="16.5" customHeight="1">
      <c r="A32" s="685" t="s">
        <v>1113</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f>+'Exhibit F'!J28+'Exhibit G'!J20+'Exhibit H'!H19</f>
        <v>1238.1999999999998</v>
      </c>
      <c r="J32" s="529"/>
      <c r="K32" s="368"/>
      <c r="L32" s="225"/>
      <c r="M32" s="368"/>
      <c r="N32" s="225"/>
      <c r="O32" s="368"/>
      <c r="P32" s="225"/>
      <c r="Q32" s="3505"/>
      <c r="R32" s="225"/>
      <c r="S32" s="368"/>
      <c r="T32" s="225"/>
      <c r="U32" s="368"/>
      <c r="V32" s="225"/>
      <c r="W32" s="368"/>
      <c r="X32" s="225"/>
      <c r="Y32" s="368"/>
      <c r="Z32" s="225"/>
      <c r="AA32" s="979"/>
      <c r="AB32" s="1695">
        <f t="shared" ref="AB32:AB39" si="2">ROUND(SUM(C32:Y32),1)</f>
        <v>5208.1000000000004</v>
      </c>
      <c r="AC32" s="3276"/>
      <c r="AD32" s="3504"/>
      <c r="AE32" s="3505">
        <f>+'Exhibit F'!AF28+'Exhibit G'!AG20+'Exhibit H'!AD19</f>
        <v>4963.1000000000004</v>
      </c>
      <c r="AF32" s="3276"/>
      <c r="AG32" s="3276"/>
      <c r="AH32" s="914">
        <f t="shared" ref="AH32:AH39" si="3">ROUND(SUM(+AB32-AE32),1)</f>
        <v>245</v>
      </c>
      <c r="AI32" s="1043"/>
      <c r="AJ32" s="1787">
        <f t="shared" ref="AJ32:AJ40" si="4">ROUND(IF(AE32=0,0,AH32/ABS(AE32)),3)</f>
        <v>4.9000000000000002E-2</v>
      </c>
    </row>
    <row r="33" spans="1:36" ht="16.5" customHeight="1">
      <c r="A33" s="685" t="s">
        <v>1114</v>
      </c>
      <c r="B33" s="689"/>
      <c r="C33" s="368">
        <f>+'Exhibit F'!D29+'Exhibit G'!D21+'Exhibit I'!E20</f>
        <v>3.5</v>
      </c>
      <c r="D33" s="628"/>
      <c r="E33" s="368">
        <f>+'Exhibit F'!F29+'Exhibit G'!F21+'Exhibit I'!G20</f>
        <v>0.29999999999999982</v>
      </c>
      <c r="F33" s="628"/>
      <c r="G33" s="368">
        <f>+'Exhibit F'!H29+'Exhibit G'!H21+'Exhibit I'!I20</f>
        <v>19.5</v>
      </c>
      <c r="H33" s="529"/>
      <c r="I33" s="368">
        <f>+'Exhibit F'!J29+'Exhibit G'!J21+'Exhibit I'!K20</f>
        <v>9.9999999999997868E-2</v>
      </c>
      <c r="J33" s="529"/>
      <c r="K33" s="368"/>
      <c r="L33" s="225"/>
      <c r="M33" s="368"/>
      <c r="N33" s="225"/>
      <c r="O33" s="368"/>
      <c r="P33" s="225"/>
      <c r="Q33" s="3505"/>
      <c r="R33" s="225"/>
      <c r="S33" s="368"/>
      <c r="T33" s="225"/>
      <c r="U33" s="368"/>
      <c r="V33" s="225"/>
      <c r="W33" s="368"/>
      <c r="X33" s="225"/>
      <c r="Y33" s="368"/>
      <c r="Z33" s="225"/>
      <c r="AA33" s="979"/>
      <c r="AB33" s="1695">
        <f t="shared" si="2"/>
        <v>23.4</v>
      </c>
      <c r="AC33" s="3276"/>
      <c r="AD33" s="3504"/>
      <c r="AE33" s="3505">
        <f>+'Exhibit F'!AF29+'Exhibit G'!AG21+'Exhibit I'!AI20</f>
        <v>31.4</v>
      </c>
      <c r="AF33" s="3276"/>
      <c r="AG33" s="3276"/>
      <c r="AH33" s="914">
        <f t="shared" si="3"/>
        <v>-8</v>
      </c>
      <c r="AI33" s="1043"/>
      <c r="AJ33" s="1787">
        <f t="shared" si="4"/>
        <v>-0.255</v>
      </c>
    </row>
    <row r="34" spans="1:36" ht="16.5" customHeight="1">
      <c r="A34" s="685" t="s">
        <v>1115</v>
      </c>
      <c r="B34" s="685"/>
      <c r="C34" s="368">
        <f>+'Exhibit F'!D30+'Exhibit G'!D22</f>
        <v>89.2</v>
      </c>
      <c r="D34" s="628"/>
      <c r="E34" s="368">
        <f>+'Exhibit F'!F30+'Exhibit G'!F22</f>
        <v>85.199999999999989</v>
      </c>
      <c r="F34" s="628"/>
      <c r="G34" s="368">
        <f>+'Exhibit F'!H30+'Exhibit G'!H22</f>
        <v>83.800000000000011</v>
      </c>
      <c r="H34" s="529"/>
      <c r="I34" s="368">
        <f>+'Exhibit F'!J30+'Exhibit G'!J22</f>
        <v>106.80000000000004</v>
      </c>
      <c r="J34" s="529"/>
      <c r="K34" s="368"/>
      <c r="L34" s="225"/>
      <c r="M34" s="368"/>
      <c r="N34" s="225"/>
      <c r="O34" s="368"/>
      <c r="P34" s="225"/>
      <c r="Q34" s="3505"/>
      <c r="R34" s="225"/>
      <c r="S34" s="368"/>
      <c r="T34" s="225"/>
      <c r="U34" s="368"/>
      <c r="V34" s="225"/>
      <c r="W34" s="368"/>
      <c r="X34" s="225"/>
      <c r="Y34" s="368"/>
      <c r="Z34" s="225"/>
      <c r="AA34" s="979"/>
      <c r="AB34" s="1695">
        <f t="shared" si="2"/>
        <v>365</v>
      </c>
      <c r="AC34" s="3276"/>
      <c r="AD34" s="3504"/>
      <c r="AE34" s="3505">
        <f>+'Exhibit F'!AF30+'Exhibit G'!AG22</f>
        <v>398.3</v>
      </c>
      <c r="AF34" s="3276"/>
      <c r="AG34" s="3276"/>
      <c r="AH34" s="914">
        <f t="shared" si="3"/>
        <v>-33.299999999999997</v>
      </c>
      <c r="AI34" s="1043"/>
      <c r="AJ34" s="1787">
        <f t="shared" si="4"/>
        <v>-8.4000000000000005E-2</v>
      </c>
    </row>
    <row r="35" spans="1:36" ht="16.5" customHeight="1">
      <c r="A35" s="685" t="s">
        <v>1265</v>
      </c>
      <c r="B35" s="685"/>
      <c r="C35" s="368">
        <f>+'Exhibit G'!D23</f>
        <v>0.5</v>
      </c>
      <c r="D35" s="628"/>
      <c r="E35" s="368">
        <f>+'Exhibit G'!F23</f>
        <v>0.4</v>
      </c>
      <c r="F35" s="628"/>
      <c r="G35" s="368">
        <f>+'Exhibit G'!H23</f>
        <v>0.49999999999999989</v>
      </c>
      <c r="H35" s="529"/>
      <c r="I35" s="368">
        <f>+'Exhibit G'!J23</f>
        <v>0.5</v>
      </c>
      <c r="J35" s="529"/>
      <c r="K35" s="368"/>
      <c r="L35" s="1580"/>
      <c r="M35" s="368"/>
      <c r="N35" s="1580"/>
      <c r="O35" s="368"/>
      <c r="P35" s="1580"/>
      <c r="Q35" s="3505"/>
      <c r="R35" s="1580"/>
      <c r="S35" s="368"/>
      <c r="T35" s="1580"/>
      <c r="U35" s="368"/>
      <c r="V35" s="1580"/>
      <c r="W35" s="368"/>
      <c r="X35" s="1580"/>
      <c r="Y35" s="368"/>
      <c r="Z35" s="1580"/>
      <c r="AA35" s="979"/>
      <c r="AB35" s="1695">
        <f>ROUND(SUM(C35:Y35),1)</f>
        <v>1.9</v>
      </c>
      <c r="AC35" s="3276"/>
      <c r="AD35" s="3504"/>
      <c r="AE35" s="3505">
        <f>'Exhibit G'!AG23</f>
        <v>1</v>
      </c>
      <c r="AF35" s="3276"/>
      <c r="AG35" s="3276"/>
      <c r="AH35" s="914">
        <f>ROUND(SUM(+AB35-AE35),1)</f>
        <v>0.9</v>
      </c>
      <c r="AI35" s="1043"/>
      <c r="AJ35" s="1787">
        <f>ROUND(IF(AE35=0,0,AH35/ABS(AE35)),3)</f>
        <v>0.9</v>
      </c>
    </row>
    <row r="36" spans="1:36" ht="16.5" customHeight="1">
      <c r="A36" s="685" t="s">
        <v>1116</v>
      </c>
      <c r="B36" s="685"/>
      <c r="C36" s="368">
        <f>+'Exhibit F'!D31+'Exhibit G'!D24+'Exhibit I'!E21</f>
        <v>46</v>
      </c>
      <c r="D36" s="628"/>
      <c r="E36" s="368">
        <f>+'Exhibit F'!F31+'Exhibit G'!F24+'Exhibit I'!G21</f>
        <v>44.2</v>
      </c>
      <c r="F36" s="628"/>
      <c r="G36" s="368">
        <f>+'Exhibit F'!H31+'Exhibit G'!H24+'Exhibit I'!I21</f>
        <v>46.1</v>
      </c>
      <c r="H36" s="529"/>
      <c r="I36" s="368">
        <f>+'Exhibit F'!J31+'Exhibit G'!J24+'Exhibit I'!K21</f>
        <v>39.199999999999967</v>
      </c>
      <c r="J36" s="529"/>
      <c r="K36" s="368"/>
      <c r="L36" s="225"/>
      <c r="M36" s="368"/>
      <c r="N36" s="225"/>
      <c r="O36" s="368"/>
      <c r="P36" s="225"/>
      <c r="Q36" s="3505"/>
      <c r="R36" s="225"/>
      <c r="S36" s="368"/>
      <c r="T36" s="225"/>
      <c r="U36" s="368"/>
      <c r="V36" s="225"/>
      <c r="W36" s="368"/>
      <c r="X36" s="225"/>
      <c r="Y36" s="368"/>
      <c r="Z36" s="225"/>
      <c r="AA36" s="979"/>
      <c r="AB36" s="1695">
        <f t="shared" si="2"/>
        <v>175.5</v>
      </c>
      <c r="AC36" s="3276"/>
      <c r="AD36" s="3504"/>
      <c r="AE36" s="3505">
        <f>+'Exhibit F'!AF31+'Exhibit G'!AG24+'Exhibit I'!AI21</f>
        <v>176</v>
      </c>
      <c r="AF36" s="3276"/>
      <c r="AG36" s="3276"/>
      <c r="AH36" s="914">
        <f t="shared" si="3"/>
        <v>-0.5</v>
      </c>
      <c r="AI36" s="1043"/>
      <c r="AJ36" s="1787">
        <f t="shared" si="4"/>
        <v>-3.0000000000000001E-3</v>
      </c>
    </row>
    <row r="37" spans="1:36" ht="16.5" customHeight="1">
      <c r="A37" s="685" t="s">
        <v>1117</v>
      </c>
      <c r="B37" s="685"/>
      <c r="C37" s="368">
        <f>+'Exhibit F'!D32+'Exhibit G'!D25</f>
        <v>20</v>
      </c>
      <c r="D37" s="628"/>
      <c r="E37" s="368">
        <f>+'Exhibit F'!F32+'Exhibit G'!F25</f>
        <v>20.9</v>
      </c>
      <c r="F37" s="628"/>
      <c r="G37" s="368">
        <f>+'Exhibit F'!H32+'Exhibit G'!H25</f>
        <v>26.000000000000007</v>
      </c>
      <c r="H37" s="529"/>
      <c r="I37" s="368">
        <f>+'Exhibit F'!J32+'Exhibit G'!J25</f>
        <v>25.599999999999994</v>
      </c>
      <c r="J37" s="529"/>
      <c r="K37" s="368"/>
      <c r="L37" s="225"/>
      <c r="M37" s="368"/>
      <c r="N37" s="225"/>
      <c r="O37" s="368"/>
      <c r="P37" s="225"/>
      <c r="Q37" s="3505"/>
      <c r="R37" s="225"/>
      <c r="S37" s="368"/>
      <c r="T37" s="225"/>
      <c r="U37" s="368"/>
      <c r="V37" s="225"/>
      <c r="W37" s="368"/>
      <c r="X37" s="225"/>
      <c r="Y37" s="368"/>
      <c r="Z37" s="225"/>
      <c r="AA37" s="979"/>
      <c r="AB37" s="1695">
        <f t="shared" si="2"/>
        <v>92.5</v>
      </c>
      <c r="AC37" s="3276"/>
      <c r="AD37" s="3504"/>
      <c r="AE37" s="3505">
        <f>+'Exhibit F'!AF32+'Exhibit G'!AG25</f>
        <v>92.2</v>
      </c>
      <c r="AF37" s="3276"/>
      <c r="AG37" s="3276"/>
      <c r="AH37" s="914">
        <f t="shared" si="3"/>
        <v>0.3</v>
      </c>
      <c r="AI37" s="1043"/>
      <c r="AJ37" s="1787">
        <f t="shared" si="4"/>
        <v>3.0000000000000001E-3</v>
      </c>
    </row>
    <row r="38" spans="1:36" ht="16.5" customHeight="1">
      <c r="A38" s="685" t="s">
        <v>1118</v>
      </c>
      <c r="B38" s="685"/>
      <c r="C38" s="368">
        <f>+'Exhibit F'!D33+'Exhibit G'!D26+'Exhibit I'!E22</f>
        <v>14.2</v>
      </c>
      <c r="D38" s="628"/>
      <c r="E38" s="368">
        <f>+'Exhibit F'!F33+'Exhibit G'!F26+'Exhibit I'!G22</f>
        <v>10.700000000000001</v>
      </c>
      <c r="F38" s="628"/>
      <c r="G38" s="368">
        <f>+'Exhibit F'!H33+'Exhibit G'!H26+'Exhibit I'!I22</f>
        <v>9.9</v>
      </c>
      <c r="H38" s="529"/>
      <c r="I38" s="368">
        <f>+'Exhibit F'!J33+'Exhibit G'!J26+'Exhibit I'!K22</f>
        <v>14.500000000000004</v>
      </c>
      <c r="J38" s="529"/>
      <c r="K38" s="368"/>
      <c r="L38" s="225"/>
      <c r="M38" s="368"/>
      <c r="N38" s="225"/>
      <c r="O38" s="368"/>
      <c r="P38" s="225"/>
      <c r="Q38" s="3505"/>
      <c r="R38" s="225"/>
      <c r="S38" s="368"/>
      <c r="T38" s="225"/>
      <c r="U38" s="368"/>
      <c r="V38" s="225"/>
      <c r="W38" s="368"/>
      <c r="X38" s="225"/>
      <c r="Y38" s="368"/>
      <c r="Z38" s="225"/>
      <c r="AA38" s="979"/>
      <c r="AB38" s="1695">
        <f t="shared" si="2"/>
        <v>49.3</v>
      </c>
      <c r="AC38" s="3276"/>
      <c r="AD38" s="3504"/>
      <c r="AE38" s="3505">
        <f>+'Exhibit F'!AF33+'Exhibit G'!AG26+'Exhibit I'!AI22</f>
        <v>54.2</v>
      </c>
      <c r="AF38" s="3276"/>
      <c r="AG38" s="3276"/>
      <c r="AH38" s="914">
        <f t="shared" si="3"/>
        <v>-4.9000000000000004</v>
      </c>
      <c r="AI38" s="1043"/>
      <c r="AJ38" s="3510">
        <f t="shared" si="4"/>
        <v>-0.09</v>
      </c>
    </row>
    <row r="39" spans="1:36" ht="16.5" customHeight="1">
      <c r="A39" s="1097" t="s">
        <v>1119</v>
      </c>
      <c r="B39" s="685"/>
      <c r="C39" s="368">
        <f>+'Exhibit F'!D34+'Exhibit G'!D27</f>
        <v>0</v>
      </c>
      <c r="D39" s="628"/>
      <c r="E39" s="368">
        <f>+'Exhibit F'!F34+'Exhibit G'!F27</f>
        <v>0</v>
      </c>
      <c r="F39" s="628"/>
      <c r="G39" s="368">
        <f>+'Exhibit F'!H34+'Exhibit G'!H27</f>
        <v>0</v>
      </c>
      <c r="H39" s="529"/>
      <c r="I39" s="368">
        <f>+'Exhibit F'!J34+'Exhibit G'!J27</f>
        <v>0</v>
      </c>
      <c r="J39" s="529"/>
      <c r="K39" s="368"/>
      <c r="L39" s="225"/>
      <c r="M39" s="368"/>
      <c r="N39" s="225"/>
      <c r="O39" s="368"/>
      <c r="P39" s="225"/>
      <c r="Q39" s="3505"/>
      <c r="R39" s="225"/>
      <c r="S39" s="368"/>
      <c r="T39" s="225"/>
      <c r="U39" s="368"/>
      <c r="V39" s="225"/>
      <c r="W39" s="368"/>
      <c r="X39" s="225"/>
      <c r="Y39" s="368"/>
      <c r="Z39" s="225"/>
      <c r="AA39" s="979"/>
      <c r="AB39" s="1695">
        <f t="shared" si="2"/>
        <v>0</v>
      </c>
      <c r="AC39" s="3276"/>
      <c r="AD39" s="3504"/>
      <c r="AE39" s="3505">
        <f>+'Exhibit F'!AF34+'Exhibit G'!AG27</f>
        <v>26.3</v>
      </c>
      <c r="AF39" s="3276"/>
      <c r="AG39" s="3276"/>
      <c r="AH39" s="914">
        <f t="shared" si="3"/>
        <v>-26.3</v>
      </c>
      <c r="AI39" s="1043"/>
      <c r="AJ39" s="1787">
        <f t="shared" si="4"/>
        <v>-1</v>
      </c>
    </row>
    <row r="40" spans="1:36" ht="16.5" customHeight="1">
      <c r="A40" s="312" t="s">
        <v>1112</v>
      </c>
      <c r="B40" s="685"/>
      <c r="C40" s="905">
        <f>ROUND(SUM(C32:C39),1)</f>
        <v>1375</v>
      </c>
      <c r="D40" s="26"/>
      <c r="E40" s="905">
        <f>ROUND(SUM(E32:E39),1)</f>
        <v>1340.5</v>
      </c>
      <c r="F40" s="26"/>
      <c r="G40" s="905">
        <f>ROUND(SUM(G32:G39),1)</f>
        <v>1775.3</v>
      </c>
      <c r="H40" s="225"/>
      <c r="I40" s="905">
        <f>ROUND(SUM(I32:I39),1)</f>
        <v>1424.9</v>
      </c>
      <c r="J40" s="225"/>
      <c r="K40" s="905">
        <f>ROUND(SUM(K32:K39),1)</f>
        <v>0</v>
      </c>
      <c r="L40" s="225"/>
      <c r="M40" s="905">
        <f>ROUND(SUM(M32:M39),1)</f>
        <v>0</v>
      </c>
      <c r="N40" s="225"/>
      <c r="O40" s="905">
        <f>ROUND(SUM(O32:O39),1)</f>
        <v>0</v>
      </c>
      <c r="P40" s="225"/>
      <c r="Q40" s="3282">
        <f>ROUND(SUM(Q32:Q39),1)</f>
        <v>0</v>
      </c>
      <c r="R40" s="225"/>
      <c r="S40" s="905">
        <f>ROUND(SUM(S32:S39),1)</f>
        <v>0</v>
      </c>
      <c r="T40" s="225"/>
      <c r="U40" s="905">
        <f>ROUND(SUM(U32:U39),1)</f>
        <v>0</v>
      </c>
      <c r="V40" s="225"/>
      <c r="W40" s="905">
        <f>ROUND(SUM(W32:W39),1)</f>
        <v>0</v>
      </c>
      <c r="X40" s="225"/>
      <c r="Y40" s="905">
        <f>ROUND(SUM(Y32:Y39),1)</f>
        <v>0</v>
      </c>
      <c r="Z40" s="225"/>
      <c r="AA40" s="979"/>
      <c r="AB40" s="3282">
        <f>ROUND(SUM(AB32:AB39),1)</f>
        <v>5915.7</v>
      </c>
      <c r="AC40" s="3276"/>
      <c r="AD40" s="3504"/>
      <c r="AE40" s="3282">
        <f>ROUND(SUM(AE32:AE39),1)</f>
        <v>5742.5</v>
      </c>
      <c r="AF40" s="3276"/>
      <c r="AG40" s="3276"/>
      <c r="AH40" s="1586">
        <f>ROUND(SUM(AH32:AH39),1)</f>
        <v>173.2</v>
      </c>
      <c r="AI40" s="115"/>
      <c r="AJ40" s="3511">
        <f t="shared" si="4"/>
        <v>0.03</v>
      </c>
    </row>
    <row r="41" spans="1:36" ht="16.5" customHeight="1">
      <c r="A41" s="1070" t="s">
        <v>1163</v>
      </c>
      <c r="B41" s="685"/>
      <c r="C41" s="624"/>
      <c r="D41" s="624"/>
      <c r="E41" s="624"/>
      <c r="F41" s="624"/>
      <c r="G41" s="624"/>
      <c r="H41" s="225"/>
      <c r="I41" s="624"/>
      <c r="J41" s="225"/>
      <c r="K41" s="624"/>
      <c r="L41" s="225"/>
      <c r="M41" s="624"/>
      <c r="N41" s="225"/>
      <c r="O41" s="624"/>
      <c r="P41" s="225"/>
      <c r="Q41" s="3594"/>
      <c r="R41" s="225"/>
      <c r="S41" s="624"/>
      <c r="T41" s="225"/>
      <c r="U41" s="624"/>
      <c r="V41" s="225"/>
      <c r="W41" s="624"/>
      <c r="X41" s="225"/>
      <c r="Y41" s="624"/>
      <c r="Z41" s="225"/>
      <c r="AA41" s="979"/>
      <c r="AB41" s="3276"/>
      <c r="AC41" s="3276"/>
      <c r="AD41" s="3504"/>
      <c r="AE41" s="3508"/>
      <c r="AF41" s="3276"/>
      <c r="AG41" s="3276"/>
      <c r="AH41" s="115"/>
      <c r="AI41" s="115"/>
      <c r="AJ41" s="3509"/>
    </row>
    <row r="42" spans="1:36" ht="16.5" customHeight="1">
      <c r="A42" s="685" t="s">
        <v>1121</v>
      </c>
      <c r="B42" s="685"/>
      <c r="C42" s="368">
        <f>+'Exhibit F'!D37+'Exhibit G'!D30+'Exhibit I'!E25</f>
        <v>376.70000000000005</v>
      </c>
      <c r="D42" s="628"/>
      <c r="E42" s="368">
        <f>+'Exhibit F'!F37+'Exhibit G'!F30+'Exhibit I'!G25</f>
        <v>-69.000000000000028</v>
      </c>
      <c r="F42" s="628"/>
      <c r="G42" s="368">
        <f>+'Exhibit F'!H37+'Exhibit G'!H30+'Exhibit I'!I25</f>
        <v>901.19999999999993</v>
      </c>
      <c r="H42" s="529"/>
      <c r="I42" s="368">
        <f>+'Exhibit F'!J37+'Exhibit G'!J30+'Exhibit I'!K25</f>
        <v>146.29999999999995</v>
      </c>
      <c r="J42" s="529"/>
      <c r="K42" s="368"/>
      <c r="L42" s="225"/>
      <c r="M42" s="368"/>
      <c r="N42" s="225"/>
      <c r="O42" s="368"/>
      <c r="P42" s="225"/>
      <c r="Q42" s="3505"/>
      <c r="R42" s="225"/>
      <c r="S42" s="368"/>
      <c r="T42" s="225"/>
      <c r="U42" s="368"/>
      <c r="V42" s="225"/>
      <c r="W42" s="368"/>
      <c r="X42" s="225"/>
      <c r="Y42" s="368"/>
      <c r="Z42" s="225"/>
      <c r="AA42" s="979"/>
      <c r="AB42" s="1695">
        <f>ROUND(SUM(C42:Y42),1)</f>
        <v>1355.2</v>
      </c>
      <c r="AC42" s="3276"/>
      <c r="AD42" s="3504"/>
      <c r="AE42" s="3505">
        <f>+'Exhibit F'!AF37+'Exhibit G'!AG30+'Exhibit I'!AI25</f>
        <v>1260.8</v>
      </c>
      <c r="AF42" s="3276"/>
      <c r="AG42" s="3276"/>
      <c r="AH42" s="914">
        <f>ROUND(SUM(+AB42-AE42),1)</f>
        <v>94.4</v>
      </c>
      <c r="AI42" s="115"/>
      <c r="AJ42" s="1787">
        <f t="shared" ref="AJ42:AJ47" si="5">ROUND(IF(AE42=0,0,AH42/ABS(AE42)),3)</f>
        <v>7.4999999999999997E-2</v>
      </c>
    </row>
    <row r="43" spans="1:36" ht="16.5" customHeight="1">
      <c r="A43" s="685" t="s">
        <v>1122</v>
      </c>
      <c r="B43" s="685"/>
      <c r="C43" s="368">
        <f>+'Exhibit F'!D38+'Exhibit G'!D31+'Exhibit I'!E26</f>
        <v>43</v>
      </c>
      <c r="D43" s="628"/>
      <c r="E43" s="368">
        <f>+'Exhibit F'!F38+'Exhibit G'!F31+'Exhibit I'!G26</f>
        <v>1.2000000000000006</v>
      </c>
      <c r="F43" s="628"/>
      <c r="G43" s="368">
        <f>+'Exhibit F'!H38+'Exhibit G'!H31+'Exhibit I'!I26</f>
        <v>109.50000000000001</v>
      </c>
      <c r="H43" s="529"/>
      <c r="I43" s="368">
        <f>+'Exhibit F'!J38+'Exhibit G'!J31+'Exhibit I'!K26</f>
        <v>0.40000000000000568</v>
      </c>
      <c r="J43" s="529"/>
      <c r="K43" s="368"/>
      <c r="L43" s="225"/>
      <c r="M43" s="368"/>
      <c r="N43" s="225"/>
      <c r="O43" s="368"/>
      <c r="P43" s="225"/>
      <c r="Q43" s="3505"/>
      <c r="R43" s="225"/>
      <c r="S43" s="368"/>
      <c r="T43" s="225"/>
      <c r="U43" s="368"/>
      <c r="V43" s="225"/>
      <c r="W43" s="368"/>
      <c r="X43" s="225"/>
      <c r="Y43" s="368"/>
      <c r="Z43" s="225"/>
      <c r="AA43" s="979"/>
      <c r="AB43" s="1695">
        <f>ROUND(SUM(C43:Y43),1)</f>
        <v>154.1</v>
      </c>
      <c r="AC43" s="3276"/>
      <c r="AD43" s="3504"/>
      <c r="AE43" s="3505">
        <f>+'Exhibit F'!AF38+'Exhibit G'!AG31+'Exhibit I'!AI26</f>
        <v>152.80000000000001</v>
      </c>
      <c r="AF43" s="3276"/>
      <c r="AG43" s="3276"/>
      <c r="AH43" s="914">
        <f>ROUND(SUM(+AB43-AE43),1)</f>
        <v>1.3</v>
      </c>
      <c r="AI43" s="115"/>
      <c r="AJ43" s="1787">
        <f t="shared" si="5"/>
        <v>8.9999999999999993E-3</v>
      </c>
    </row>
    <row r="44" spans="1:36" ht="16.5" customHeight="1">
      <c r="A44" s="685" t="s">
        <v>1123</v>
      </c>
      <c r="B44" s="685"/>
      <c r="C44" s="368">
        <f>+'Exhibit F'!D39+'Exhibit G'!D32</f>
        <v>141.80000000000001</v>
      </c>
      <c r="D44" s="628"/>
      <c r="E44" s="368">
        <f>+'Exhibit F'!F39+'Exhibit G'!F32</f>
        <v>4.9999999999999911</v>
      </c>
      <c r="F44" s="628"/>
      <c r="G44" s="368">
        <f>+'Exhibit F'!H39+'Exhibit G'!H32</f>
        <v>403.20000000000005</v>
      </c>
      <c r="H44" s="529"/>
      <c r="I44" s="368">
        <f>+'Exhibit F'!J39+'Exhibit G'!J32</f>
        <v>56.799999999999983</v>
      </c>
      <c r="J44" s="529"/>
      <c r="K44" s="368"/>
      <c r="L44" s="225"/>
      <c r="M44" s="368"/>
      <c r="N44" s="225"/>
      <c r="O44" s="368"/>
      <c r="P44" s="225"/>
      <c r="Q44" s="3505"/>
      <c r="R44" s="225"/>
      <c r="S44" s="368"/>
      <c r="T44" s="225"/>
      <c r="U44" s="368"/>
      <c r="V44" s="225"/>
      <c r="W44" s="368"/>
      <c r="X44" s="225"/>
      <c r="Y44" s="368"/>
      <c r="Z44" s="225"/>
      <c r="AA44" s="979"/>
      <c r="AB44" s="1695">
        <f>ROUND(SUM(C44:Y44),1)</f>
        <v>606.79999999999995</v>
      </c>
      <c r="AC44" s="3276"/>
      <c r="AD44" s="3504"/>
      <c r="AE44" s="3505">
        <f>+'Exhibit F'!AF39+'Exhibit G'!AG32</f>
        <v>374.29999999999995</v>
      </c>
      <c r="AF44" s="3276"/>
      <c r="AG44" s="3276"/>
      <c r="AH44" s="914">
        <f>ROUND(SUM(+AB44-AE44),1)</f>
        <v>232.5</v>
      </c>
      <c r="AI44" s="115"/>
      <c r="AJ44" s="1787">
        <f t="shared" si="5"/>
        <v>0.621</v>
      </c>
    </row>
    <row r="45" spans="1:36" ht="16.5" customHeight="1">
      <c r="A45" s="685" t="s">
        <v>1124</v>
      </c>
      <c r="B45" s="685"/>
      <c r="C45" s="368">
        <f>+'Exhibit F'!D40+'Exhibit G'!D33</f>
        <v>145.30000000000001</v>
      </c>
      <c r="D45" s="628"/>
      <c r="E45" s="368">
        <f>+'Exhibit F'!F40+'Exhibit G'!F33</f>
        <v>-121.1</v>
      </c>
      <c r="F45" s="628"/>
      <c r="G45" s="368">
        <f>+'Exhibit F'!H40+'Exhibit G'!H33</f>
        <v>-21.1</v>
      </c>
      <c r="H45" s="529"/>
      <c r="I45" s="368">
        <f>+'Exhibit F'!J40+'Exhibit G'!J33</f>
        <v>-0.19999999999999751</v>
      </c>
      <c r="J45" s="529"/>
      <c r="K45" s="368"/>
      <c r="L45" s="225"/>
      <c r="M45" s="368"/>
      <c r="N45" s="225"/>
      <c r="O45" s="368"/>
      <c r="P45" s="225"/>
      <c r="Q45" s="3505"/>
      <c r="R45" s="225"/>
      <c r="S45" s="368"/>
      <c r="T45" s="225"/>
      <c r="U45" s="368"/>
      <c r="V45" s="225"/>
      <c r="W45" s="368"/>
      <c r="X45" s="225"/>
      <c r="Y45" s="368"/>
      <c r="Z45" s="225"/>
      <c r="AA45" s="979"/>
      <c r="AB45" s="1695">
        <f>ROUND(SUM(C45:Y45),1)</f>
        <v>2.9</v>
      </c>
      <c r="AC45" s="3276"/>
      <c r="AD45" s="3504"/>
      <c r="AE45" s="3505">
        <f>+'Exhibit F'!AF40+'Exhibit G'!AG33</f>
        <v>35.1</v>
      </c>
      <c r="AF45" s="3276"/>
      <c r="AG45" s="3276"/>
      <c r="AH45" s="914">
        <f>ROUND(SUM(+AB45-AE45),1)</f>
        <v>-32.200000000000003</v>
      </c>
      <c r="AI45" s="115"/>
      <c r="AJ45" s="3510">
        <f t="shared" si="5"/>
        <v>-0.91700000000000004</v>
      </c>
    </row>
    <row r="46" spans="1:36" ht="16.5" customHeight="1">
      <c r="A46" s="685" t="s">
        <v>1125</v>
      </c>
      <c r="B46" s="685"/>
      <c r="C46" s="368">
        <f>+'Exhibit F'!D41+'Exhibit G'!D34+'Exhibit I'!E27</f>
        <v>100.4</v>
      </c>
      <c r="D46" s="628"/>
      <c r="E46" s="368">
        <f>+'Exhibit F'!F41+'Exhibit G'!F34+'Exhibit I'!G27</f>
        <v>99.699999999999989</v>
      </c>
      <c r="F46" s="628"/>
      <c r="G46" s="368">
        <f>+'Exhibit F'!H41+'Exhibit G'!H34+'Exhibit I'!I27</f>
        <v>103.80000000000001</v>
      </c>
      <c r="H46" s="529"/>
      <c r="I46" s="368">
        <f>+'Exhibit F'!J41+'Exhibit G'!J34+'Exhibit I'!K27</f>
        <v>93.799999999999955</v>
      </c>
      <c r="J46" s="529"/>
      <c r="K46" s="368"/>
      <c r="L46" s="225"/>
      <c r="M46" s="368"/>
      <c r="N46" s="225"/>
      <c r="O46" s="368"/>
      <c r="P46" s="225"/>
      <c r="Q46" s="3505"/>
      <c r="R46" s="225"/>
      <c r="S46" s="368"/>
      <c r="T46" s="225"/>
      <c r="U46" s="368"/>
      <c r="V46" s="225"/>
      <c r="W46" s="368"/>
      <c r="X46" s="225"/>
      <c r="Y46" s="368"/>
      <c r="Z46" s="225"/>
      <c r="AA46" s="979"/>
      <c r="AB46" s="1695">
        <f>ROUND(SUM(C46:Y46),1)</f>
        <v>397.7</v>
      </c>
      <c r="AC46" s="3276"/>
      <c r="AD46" s="3504"/>
      <c r="AE46" s="3505">
        <f>+'Exhibit F'!AF41+'Exhibit G'!AG34+'Exhibit I'!AI27</f>
        <v>385.5</v>
      </c>
      <c r="AF46" s="3276"/>
      <c r="AG46" s="3276"/>
      <c r="AH46" s="914">
        <f>ROUND(SUM(+AB46-AE46),1)</f>
        <v>12.2</v>
      </c>
      <c r="AI46" s="115"/>
      <c r="AJ46" s="1787">
        <f t="shared" si="5"/>
        <v>3.2000000000000001E-2</v>
      </c>
    </row>
    <row r="47" spans="1:36" ht="16.5" customHeight="1">
      <c r="A47" s="312" t="s">
        <v>1120</v>
      </c>
      <c r="B47" s="685"/>
      <c r="C47" s="905">
        <f>ROUND(SUM(C42:C46),1)</f>
        <v>807.2</v>
      </c>
      <c r="D47" s="26"/>
      <c r="E47" s="905">
        <f>ROUND(SUM(E42:E46),1)</f>
        <v>-84.2</v>
      </c>
      <c r="F47" s="26"/>
      <c r="G47" s="905">
        <f>ROUND(SUM(G42:G46),1)</f>
        <v>1496.6</v>
      </c>
      <c r="H47" s="225"/>
      <c r="I47" s="905">
        <f>ROUND(SUM(I42:I46),1)</f>
        <v>297.10000000000002</v>
      </c>
      <c r="J47" s="225"/>
      <c r="K47" s="905">
        <f>ROUND(SUM(K42:K46),1)</f>
        <v>0</v>
      </c>
      <c r="L47" s="225"/>
      <c r="M47" s="905">
        <f>ROUND(SUM(M42:M46),1)</f>
        <v>0</v>
      </c>
      <c r="N47" s="225"/>
      <c r="O47" s="905">
        <f>ROUND(SUM(O42:O46),1)</f>
        <v>0</v>
      </c>
      <c r="P47" s="225"/>
      <c r="Q47" s="3282">
        <f>ROUND(SUM(Q42:Q46),1)</f>
        <v>0</v>
      </c>
      <c r="R47" s="225"/>
      <c r="S47" s="905">
        <f>ROUND(SUM(S42:S46),1)</f>
        <v>0</v>
      </c>
      <c r="T47" s="225"/>
      <c r="U47" s="905">
        <f>ROUND(SUM(U42:U46),1)</f>
        <v>0</v>
      </c>
      <c r="V47" s="225"/>
      <c r="W47" s="905">
        <f>ROUND(SUM(W42:W46),1)</f>
        <v>0</v>
      </c>
      <c r="X47" s="225"/>
      <c r="Y47" s="905">
        <f>ROUND(SUM(Y42:Y46),1)</f>
        <v>0</v>
      </c>
      <c r="Z47" s="225"/>
      <c r="AA47" s="979"/>
      <c r="AB47" s="3282">
        <f>ROUND(SUM(AB42:AB46),1)</f>
        <v>2516.6999999999998</v>
      </c>
      <c r="AC47" s="3276"/>
      <c r="AD47" s="3504"/>
      <c r="AE47" s="3282">
        <f>ROUND(SUM(AE42:AE46),1)</f>
        <v>2208.5</v>
      </c>
      <c r="AF47" s="3276"/>
      <c r="AG47" s="3276"/>
      <c r="AH47" s="3282">
        <f>ROUND(SUM(AH42:AH46),1)</f>
        <v>308.2</v>
      </c>
      <c r="AI47" s="115"/>
      <c r="AJ47" s="3511">
        <f t="shared" si="5"/>
        <v>0.14000000000000001</v>
      </c>
    </row>
    <row r="48" spans="1:36" ht="16.5" customHeight="1">
      <c r="A48" s="1070" t="s">
        <v>1164</v>
      </c>
      <c r="B48" s="685"/>
      <c r="C48" s="624"/>
      <c r="D48" s="624"/>
      <c r="E48" s="624"/>
      <c r="F48" s="624"/>
      <c r="G48" s="624"/>
      <c r="H48" s="225"/>
      <c r="I48" s="624"/>
      <c r="J48" s="225"/>
      <c r="K48" s="624"/>
      <c r="L48" s="225"/>
      <c r="M48" s="624"/>
      <c r="N48" s="225"/>
      <c r="O48" s="624"/>
      <c r="P48" s="225"/>
      <c r="Q48" s="3594"/>
      <c r="R48" s="225"/>
      <c r="S48" s="624"/>
      <c r="T48" s="225"/>
      <c r="U48" s="624"/>
      <c r="V48" s="225"/>
      <c r="W48" s="624"/>
      <c r="X48" s="225"/>
      <c r="Y48" s="624"/>
      <c r="Z48" s="225"/>
      <c r="AA48" s="979"/>
      <c r="AB48" s="3276"/>
      <c r="AC48" s="3276"/>
      <c r="AD48" s="3504"/>
      <c r="AE48" s="3508"/>
      <c r="AF48" s="3276"/>
      <c r="AG48" s="3276"/>
      <c r="AH48" s="115"/>
      <c r="AI48" s="115"/>
      <c r="AJ48" s="3509"/>
    </row>
    <row r="49" spans="1:36" ht="16.5" customHeight="1">
      <c r="A49" s="685" t="s">
        <v>1128</v>
      </c>
      <c r="B49" s="685"/>
      <c r="C49" s="1403">
        <f>+'Exhibit F'!D44</f>
        <v>0</v>
      </c>
      <c r="D49" s="628"/>
      <c r="E49" s="1403">
        <f>+'Exhibit F'!F44</f>
        <v>0</v>
      </c>
      <c r="F49" s="628"/>
      <c r="G49" s="1403">
        <f>+'Exhibit F'!H44</f>
        <v>0</v>
      </c>
      <c r="H49" s="529"/>
      <c r="I49" s="1403">
        <f>+'Exhibit F'!J44</f>
        <v>0</v>
      </c>
      <c r="J49" s="529"/>
      <c r="K49" s="1403"/>
      <c r="L49" s="225"/>
      <c r="M49" s="1403"/>
      <c r="N49" s="225"/>
      <c r="O49" s="1403"/>
      <c r="P49" s="225"/>
      <c r="Q49" s="1851"/>
      <c r="R49" s="225"/>
      <c r="S49" s="1403"/>
      <c r="T49" s="225"/>
      <c r="U49" s="1403"/>
      <c r="V49" s="225"/>
      <c r="W49" s="1403"/>
      <c r="X49" s="225"/>
      <c r="Y49" s="1403"/>
      <c r="Z49" s="225"/>
      <c r="AA49" s="979"/>
      <c r="AB49" s="1695">
        <f t="shared" ref="AB49:AB54" si="6">ROUND(SUM(C49:Y49),1)</f>
        <v>0</v>
      </c>
      <c r="AC49" s="3276"/>
      <c r="AD49" s="3504"/>
      <c r="AE49" s="1851">
        <f>+'Exhibit F'!AF44</f>
        <v>0</v>
      </c>
      <c r="AF49" s="3254"/>
      <c r="AG49" s="3254"/>
      <c r="AH49" s="2067">
        <f t="shared" ref="AH49:AH54" si="7">ROUND(SUM(+AB49-AE49),1)</f>
        <v>0</v>
      </c>
      <c r="AI49" s="1502"/>
      <c r="AJ49" s="1786">
        <f>-ROUND(IF(AE49=0,0,AH49/ABS(AE49)),3)</f>
        <v>0</v>
      </c>
    </row>
    <row r="50" spans="1:36" ht="16.5" customHeight="1">
      <c r="A50" s="685" t="s">
        <v>1129</v>
      </c>
      <c r="B50" s="685"/>
      <c r="C50" s="368">
        <f>+'Exhibit F'!D45</f>
        <v>79.7</v>
      </c>
      <c r="D50" s="628"/>
      <c r="E50" s="368">
        <f>+'Exhibit F'!F45</f>
        <v>57.3</v>
      </c>
      <c r="F50" s="628"/>
      <c r="G50" s="368">
        <f>+'Exhibit F'!H45</f>
        <v>62.199999999999989</v>
      </c>
      <c r="H50" s="529"/>
      <c r="I50" s="368">
        <f>+'Exhibit F'!J45</f>
        <v>124.69999999999999</v>
      </c>
      <c r="J50" s="529"/>
      <c r="K50" s="368"/>
      <c r="L50" s="529"/>
      <c r="M50" s="368"/>
      <c r="N50" s="225"/>
      <c r="O50" s="368"/>
      <c r="P50" s="225"/>
      <c r="Q50" s="3505"/>
      <c r="R50" s="225"/>
      <c r="S50" s="368"/>
      <c r="T50" s="225"/>
      <c r="U50" s="368"/>
      <c r="V50" s="225"/>
      <c r="W50" s="368"/>
      <c r="X50" s="225"/>
      <c r="Y50" s="368"/>
      <c r="Z50" s="225"/>
      <c r="AA50" s="979"/>
      <c r="AB50" s="1695">
        <f t="shared" si="6"/>
        <v>323.89999999999998</v>
      </c>
      <c r="AC50" s="3276"/>
      <c r="AD50" s="3504"/>
      <c r="AE50" s="3505">
        <f>+'Exhibit F'!AF45</f>
        <v>298.39999999999998</v>
      </c>
      <c r="AF50" s="3276"/>
      <c r="AG50" s="3276"/>
      <c r="AH50" s="914">
        <f t="shared" si="7"/>
        <v>25.5</v>
      </c>
      <c r="AI50" s="115"/>
      <c r="AJ50" s="1787">
        <f t="shared" ref="AJ50:AJ56" si="8">ROUND(IF(AE50=0,0,AH50/ABS(AE50)),3)</f>
        <v>8.5000000000000006E-2</v>
      </c>
    </row>
    <row r="51" spans="1:36" ht="16.5" customHeight="1">
      <c r="A51" s="685" t="s">
        <v>1130</v>
      </c>
      <c r="B51" s="685"/>
      <c r="C51" s="368">
        <f>+'Exhibit F'!D46</f>
        <v>0.9</v>
      </c>
      <c r="D51" s="628"/>
      <c r="E51" s="368">
        <f>+'Exhibit F'!F46</f>
        <v>1.1000000000000001</v>
      </c>
      <c r="F51" s="628"/>
      <c r="G51" s="368">
        <f>+'Exhibit F'!H46</f>
        <v>1.6</v>
      </c>
      <c r="H51" s="529"/>
      <c r="I51" s="368">
        <f>+'Exhibit F'!J46</f>
        <v>1.1999999999999997</v>
      </c>
      <c r="J51" s="529"/>
      <c r="K51" s="368"/>
      <c r="L51" s="529"/>
      <c r="M51" s="368"/>
      <c r="N51" s="225"/>
      <c r="O51" s="368"/>
      <c r="P51" s="225"/>
      <c r="Q51" s="3505"/>
      <c r="R51" s="225"/>
      <c r="S51" s="368"/>
      <c r="T51" s="225"/>
      <c r="U51" s="368"/>
      <c r="V51" s="225"/>
      <c r="W51" s="368"/>
      <c r="X51" s="225"/>
      <c r="Y51" s="368"/>
      <c r="Z51" s="225"/>
      <c r="AA51" s="979"/>
      <c r="AB51" s="1695">
        <f t="shared" si="6"/>
        <v>4.8</v>
      </c>
      <c r="AC51" s="3276"/>
      <c r="AD51" s="3504"/>
      <c r="AE51" s="3505">
        <f>+'Exhibit F'!AF46</f>
        <v>5.2</v>
      </c>
      <c r="AF51" s="3276"/>
      <c r="AG51" s="3276"/>
      <c r="AH51" s="914">
        <f t="shared" si="7"/>
        <v>-0.4</v>
      </c>
      <c r="AI51" s="115"/>
      <c r="AJ51" s="1787">
        <f t="shared" si="8"/>
        <v>-7.6999999999999999E-2</v>
      </c>
    </row>
    <row r="52" spans="1:36" ht="16.5" customHeight="1">
      <c r="A52" s="685" t="s">
        <v>1131</v>
      </c>
      <c r="B52" s="685"/>
      <c r="C52" s="368">
        <f>+'Exhibit F'!D47+'Exhibit H'!B22+'Exhibit I'!E30</f>
        <v>82.9</v>
      </c>
      <c r="D52" s="628"/>
      <c r="E52" s="368">
        <f>+'Exhibit F'!F47+'Exhibit H'!D22+'Exhibit I'!G30</f>
        <v>86</v>
      </c>
      <c r="F52" s="628"/>
      <c r="G52" s="368">
        <f>+'Exhibit F'!H47+'Exhibit H'!F22+'Exhibit I'!I30</f>
        <v>98.6</v>
      </c>
      <c r="H52" s="529"/>
      <c r="I52" s="368">
        <f>+'Exhibit F'!J47+'Exhibit H'!H22+'Exhibit I'!K30</f>
        <v>130.80000000000004</v>
      </c>
      <c r="J52" s="529"/>
      <c r="K52" s="368"/>
      <c r="L52" s="529"/>
      <c r="M52" s="368"/>
      <c r="N52" s="225"/>
      <c r="O52" s="368"/>
      <c r="P52" s="225"/>
      <c r="Q52" s="3505"/>
      <c r="R52" s="225"/>
      <c r="S52" s="368"/>
      <c r="T52" s="225"/>
      <c r="U52" s="368"/>
      <c r="V52" s="225"/>
      <c r="W52" s="368"/>
      <c r="X52" s="225"/>
      <c r="Y52" s="368"/>
      <c r="Z52" s="225"/>
      <c r="AA52" s="979"/>
      <c r="AB52" s="1695">
        <f t="shared" si="6"/>
        <v>398.3</v>
      </c>
      <c r="AC52" s="3276"/>
      <c r="AD52" s="3504"/>
      <c r="AE52" s="3505">
        <f>+'Exhibit F'!AF47+'Exhibit H'!AD22+'Exhibit I'!AI30</f>
        <v>379.2</v>
      </c>
      <c r="AF52" s="3276"/>
      <c r="AG52" s="3276"/>
      <c r="AH52" s="914">
        <f t="shared" si="7"/>
        <v>19.100000000000001</v>
      </c>
      <c r="AI52" s="115"/>
      <c r="AJ52" s="1787">
        <f t="shared" si="8"/>
        <v>0.05</v>
      </c>
    </row>
    <row r="53" spans="1:36" ht="16.5" customHeight="1">
      <c r="A53" s="685" t="s">
        <v>1132</v>
      </c>
      <c r="B53" s="685"/>
      <c r="C53" s="368">
        <f>+'Exhibit F'!D48</f>
        <v>0.2</v>
      </c>
      <c r="D53" s="628"/>
      <c r="E53" s="368">
        <f>+'Exhibit F'!F48</f>
        <v>9.9999999999999978E-2</v>
      </c>
      <c r="F53" s="628"/>
      <c r="G53" s="368">
        <f>+'Exhibit F'!H48</f>
        <v>0.3</v>
      </c>
      <c r="H53" s="529"/>
      <c r="I53" s="368">
        <f>+'Exhibit F'!J48</f>
        <v>0.20000000000000012</v>
      </c>
      <c r="J53" s="529"/>
      <c r="K53" s="368"/>
      <c r="L53" s="529"/>
      <c r="M53" s="368"/>
      <c r="N53" s="225"/>
      <c r="O53" s="368"/>
      <c r="P53" s="225"/>
      <c r="Q53" s="3505"/>
      <c r="R53" s="225"/>
      <c r="S53" s="368"/>
      <c r="T53" s="225"/>
      <c r="U53" s="368"/>
      <c r="V53" s="225"/>
      <c r="W53" s="368"/>
      <c r="X53" s="225"/>
      <c r="Y53" s="368"/>
      <c r="Z53" s="225"/>
      <c r="AA53" s="979"/>
      <c r="AB53" s="1695">
        <f t="shared" si="6"/>
        <v>0.8</v>
      </c>
      <c r="AC53" s="3276"/>
      <c r="AD53" s="3504"/>
      <c r="AE53" s="3505">
        <f>+'Exhibit F'!AF48</f>
        <v>0.8</v>
      </c>
      <c r="AF53" s="3276"/>
      <c r="AG53" s="3276"/>
      <c r="AH53" s="914">
        <f t="shared" si="7"/>
        <v>0</v>
      </c>
      <c r="AI53" s="115"/>
      <c r="AJ53" s="1787">
        <f>ROUND(IF(AE53=0,0,AH53/ABS(AE53)),3)</f>
        <v>0</v>
      </c>
    </row>
    <row r="54" spans="1:36" ht="16.5" customHeight="1">
      <c r="A54" s="1097" t="s">
        <v>1133</v>
      </c>
      <c r="B54" s="685"/>
      <c r="C54" s="368">
        <f>+'Exhibit F'!D49</f>
        <v>0</v>
      </c>
      <c r="D54" s="628"/>
      <c r="E54" s="368">
        <f>+'Exhibit F'!F49</f>
        <v>0</v>
      </c>
      <c r="F54" s="628"/>
      <c r="G54" s="368">
        <f>+'Exhibit F'!H49</f>
        <v>0</v>
      </c>
      <c r="H54" s="529"/>
      <c r="I54" s="368">
        <f>+'Exhibit F'!J49</f>
        <v>0</v>
      </c>
      <c r="J54" s="529"/>
      <c r="K54" s="368"/>
      <c r="L54" s="225"/>
      <c r="M54" s="368"/>
      <c r="N54" s="225"/>
      <c r="O54" s="368"/>
      <c r="P54" s="225"/>
      <c r="Q54" s="3505"/>
      <c r="R54" s="225"/>
      <c r="S54" s="368"/>
      <c r="T54" s="225"/>
      <c r="U54" s="368"/>
      <c r="V54" s="225"/>
      <c r="W54" s="368"/>
      <c r="X54" s="225"/>
      <c r="Y54" s="368"/>
      <c r="Z54" s="225"/>
      <c r="AA54" s="979"/>
      <c r="AB54" s="1695">
        <f t="shared" si="6"/>
        <v>0</v>
      </c>
      <c r="AC54" s="3276"/>
      <c r="AD54" s="3504"/>
      <c r="AE54" s="3505">
        <f>+'Exhibit F'!AF49</f>
        <v>0</v>
      </c>
      <c r="AF54" s="3276"/>
      <c r="AG54" s="3276"/>
      <c r="AH54" s="914">
        <f t="shared" si="7"/>
        <v>0</v>
      </c>
      <c r="AI54" s="115"/>
      <c r="AJ54" s="1787">
        <f t="shared" si="8"/>
        <v>0</v>
      </c>
    </row>
    <row r="55" spans="1:36" ht="16.5" customHeight="1">
      <c r="A55" s="2890" t="s">
        <v>1445</v>
      </c>
      <c r="B55" s="685"/>
      <c r="C55" s="368">
        <f>+'Exhibit F'!D50+'Exhibit H'!B23</f>
        <v>0.1</v>
      </c>
      <c r="D55" s="628"/>
      <c r="E55" s="368">
        <f>+'Exhibit F'!F50+'Exhibit H'!D23</f>
        <v>0.1</v>
      </c>
      <c r="F55" s="628"/>
      <c r="G55" s="3505">
        <f>+'Exhibit F'!H50+'Exhibit H'!F23</f>
        <v>0</v>
      </c>
      <c r="H55" s="529"/>
      <c r="I55" s="368">
        <f>+'Exhibit F'!J50+'Exhibit H'!H23</f>
        <v>0.2</v>
      </c>
      <c r="J55" s="529"/>
      <c r="K55" s="368"/>
      <c r="L55" s="1580"/>
      <c r="M55" s="368"/>
      <c r="N55" s="1580"/>
      <c r="O55" s="368"/>
      <c r="P55" s="1580"/>
      <c r="Q55" s="3505"/>
      <c r="R55" s="1580"/>
      <c r="S55" s="368"/>
      <c r="T55" s="1580"/>
      <c r="U55" s="368"/>
      <c r="V55" s="1580"/>
      <c r="W55" s="368"/>
      <c r="X55" s="1580"/>
      <c r="Y55" s="368"/>
      <c r="Z55" s="1580"/>
      <c r="AA55" s="979"/>
      <c r="AB55" s="1695">
        <f t="shared" ref="AB55" si="9">ROUND(SUM(C55:Y55),1)</f>
        <v>0.4</v>
      </c>
      <c r="AC55" s="3276"/>
      <c r="AD55" s="3504"/>
      <c r="AE55" s="3505">
        <f>+'Exhibit F'!AF50</f>
        <v>0</v>
      </c>
      <c r="AF55" s="3276"/>
      <c r="AG55" s="3276"/>
      <c r="AH55" s="914">
        <f>ROUND(SUM(+AB55-AE55),1)</f>
        <v>0.4</v>
      </c>
      <c r="AI55" s="3506"/>
      <c r="AJ55" s="1874">
        <f>ROUND(IF(AE55=0,1,AH55/ABS(AE55)),3)</f>
        <v>1</v>
      </c>
    </row>
    <row r="56" spans="1:36" ht="16.5" customHeight="1">
      <c r="A56" s="312" t="s">
        <v>1126</v>
      </c>
      <c r="B56" s="685"/>
      <c r="C56" s="905">
        <f>ROUND(SUM(C49:C55),1)</f>
        <v>163.80000000000001</v>
      </c>
      <c r="D56" s="26"/>
      <c r="E56" s="905">
        <f>ROUND(SUM(E49:E55),1)</f>
        <v>144.6</v>
      </c>
      <c r="F56" s="26"/>
      <c r="G56" s="905">
        <f>ROUND(SUM(G49:G55),1)</f>
        <v>162.69999999999999</v>
      </c>
      <c r="H56" s="225"/>
      <c r="I56" s="905">
        <f>ROUND(SUM(I49:I55),1)</f>
        <v>257.10000000000002</v>
      </c>
      <c r="J56" s="225"/>
      <c r="K56" s="905">
        <f>ROUND(SUM(K49:K55),1)</f>
        <v>0</v>
      </c>
      <c r="L56" s="225"/>
      <c r="M56" s="905">
        <f>ROUND(SUM(M49:M55),1)</f>
        <v>0</v>
      </c>
      <c r="N56" s="225"/>
      <c r="O56" s="905">
        <f>ROUND(SUM(O49:O55),1)</f>
        <v>0</v>
      </c>
      <c r="P56" s="225"/>
      <c r="Q56" s="3282">
        <f>ROUND(SUM(Q49:Q55),1)</f>
        <v>0</v>
      </c>
      <c r="R56" s="225"/>
      <c r="S56" s="905">
        <f>ROUND(SUM(S49:S55),1)</f>
        <v>0</v>
      </c>
      <c r="T56" s="225"/>
      <c r="U56" s="905">
        <f>ROUND(SUM(U49:U55),1)</f>
        <v>0</v>
      </c>
      <c r="V56" s="225"/>
      <c r="W56" s="905">
        <f>ROUND(SUM(W49:W55),1)</f>
        <v>0</v>
      </c>
      <c r="X56" s="225"/>
      <c r="Y56" s="905">
        <f>ROUND(SUM(Y49:Y55),1)</f>
        <v>0</v>
      </c>
      <c r="Z56" s="225"/>
      <c r="AA56" s="979"/>
      <c r="AB56" s="3282">
        <f>ROUND(SUM(AB49:AB55),1)</f>
        <v>728.2</v>
      </c>
      <c r="AC56" s="3276"/>
      <c r="AD56" s="3504"/>
      <c r="AE56" s="3282">
        <f>ROUND(SUM(AE49:AE55),1)</f>
        <v>683.6</v>
      </c>
      <c r="AF56" s="3276"/>
      <c r="AG56" s="3276"/>
      <c r="AH56" s="3282">
        <f>ROUND(SUM(AH49:AH55),1)</f>
        <v>44.6</v>
      </c>
      <c r="AI56" s="115"/>
      <c r="AJ56" s="3511">
        <f t="shared" si="8"/>
        <v>6.5000000000000002E-2</v>
      </c>
    </row>
    <row r="57" spans="1:36" ht="16.5" customHeight="1">
      <c r="A57" s="312"/>
      <c r="B57" s="685"/>
      <c r="C57" s="27"/>
      <c r="D57" s="27"/>
      <c r="E57" s="27"/>
      <c r="F57" s="27"/>
      <c r="G57" s="27"/>
      <c r="H57" s="1095"/>
      <c r="I57" s="27"/>
      <c r="J57" s="1095"/>
      <c r="K57" s="27"/>
      <c r="L57" s="1095"/>
      <c r="M57" s="27"/>
      <c r="N57" s="1095"/>
      <c r="O57" s="27"/>
      <c r="P57" s="1095"/>
      <c r="Q57" s="3595"/>
      <c r="R57" s="1095"/>
      <c r="S57" s="27"/>
      <c r="T57" s="1095"/>
      <c r="U57" s="27"/>
      <c r="V57" s="1095"/>
      <c r="W57" s="27"/>
      <c r="X57" s="1095"/>
      <c r="Y57" s="27"/>
      <c r="Z57" s="225"/>
      <c r="AA57" s="528"/>
      <c r="AB57" s="3283"/>
      <c r="AC57" s="3276"/>
      <c r="AD57" s="3504"/>
      <c r="AE57" s="3283"/>
      <c r="AF57" s="3276"/>
      <c r="AG57" s="3276"/>
      <c r="AH57" s="662"/>
      <c r="AI57" s="3276"/>
      <c r="AJ57" s="662"/>
    </row>
    <row r="58" spans="1:36" ht="16.5" customHeight="1">
      <c r="A58" s="312" t="s">
        <v>1127</v>
      </c>
      <c r="B58" s="30"/>
      <c r="C58" s="28">
        <f>ROUND(SUM(C56+C47+C40+C30),1)</f>
        <v>11561.4</v>
      </c>
      <c r="D58" s="66"/>
      <c r="E58" s="28">
        <f>ROUND(SUM(E56+E47+E40+E30),1)</f>
        <v>3885.5</v>
      </c>
      <c r="F58" s="66"/>
      <c r="G58" s="28">
        <f>ROUND(SUM(G56+G47+G40+G30),1)</f>
        <v>8644.5</v>
      </c>
      <c r="H58" s="66"/>
      <c r="I58" s="28">
        <f>ROUND(SUM(I56+I47+I40+I30),1)</f>
        <v>5310.7</v>
      </c>
      <c r="J58" s="66"/>
      <c r="K58" s="28">
        <f>ROUND(SUM(K56+K47+K40+K30),1)</f>
        <v>0</v>
      </c>
      <c r="L58" s="66"/>
      <c r="M58" s="28">
        <f>ROUND(SUM(M56+M47+M40+M30),1)</f>
        <v>0</v>
      </c>
      <c r="N58" s="66"/>
      <c r="O58" s="28">
        <f>ROUND(SUM(O56+O47+O40+O30),1)</f>
        <v>0</v>
      </c>
      <c r="P58" s="66"/>
      <c r="Q58" s="3596">
        <f>ROUND(SUM(Q56+Q47+Q40+Q30),1)</f>
        <v>0</v>
      </c>
      <c r="R58" s="66"/>
      <c r="S58" s="28">
        <f>ROUND(SUM(S56+S47+S40+S30),1)</f>
        <v>0</v>
      </c>
      <c r="T58" s="66"/>
      <c r="U58" s="28">
        <f>ROUND(SUM(U56+U47+U40+U30),1)</f>
        <v>0</v>
      </c>
      <c r="V58" s="66"/>
      <c r="W58" s="28">
        <f>ROUND(SUM(W56+W47+W40+W30),1)</f>
        <v>0</v>
      </c>
      <c r="X58" s="165"/>
      <c r="Y58" s="28">
        <f>ROUND(SUM(Y56+Y47+Y40+Y30),1)</f>
        <v>0</v>
      </c>
      <c r="Z58" s="165"/>
      <c r="AA58" s="45"/>
      <c r="AB58" s="315">
        <f>ROUND(+AB56+AB47+AB40+AB30,1)</f>
        <v>29402.1</v>
      </c>
      <c r="AC58" s="118"/>
      <c r="AD58" s="692"/>
      <c r="AE58" s="315">
        <f>ROUND(+AE56+AE47+AE40+AE30,1)</f>
        <v>24525.3</v>
      </c>
      <c r="AF58" s="67"/>
      <c r="AG58" s="3512"/>
      <c r="AH58" s="315">
        <f>ROUND(+AH56+AH47+AH40+AH30,1)</f>
        <v>4876.8</v>
      </c>
      <c r="AI58" s="1043"/>
      <c r="AJ58" s="3513">
        <f>ROUND(IF(AE58=0,0,AH58/ABS(AE58)),3)</f>
        <v>0.19900000000000001</v>
      </c>
    </row>
    <row r="59" spans="1:36" ht="16.5" customHeight="1">
      <c r="A59" s="225"/>
      <c r="B59" s="225"/>
      <c r="C59" s="529"/>
      <c r="D59" s="529"/>
      <c r="E59" s="529"/>
      <c r="F59" s="529"/>
      <c r="G59" s="529"/>
      <c r="H59" s="529"/>
      <c r="I59" s="529"/>
      <c r="J59" s="529"/>
      <c r="K59" s="529"/>
      <c r="L59" s="529"/>
      <c r="M59" s="529"/>
      <c r="N59" s="529"/>
      <c r="O59" s="529"/>
      <c r="P59" s="529"/>
      <c r="Q59" s="1695"/>
      <c r="R59" s="529"/>
      <c r="S59" s="529"/>
      <c r="T59" s="529"/>
      <c r="U59" s="529"/>
      <c r="V59" s="529"/>
      <c r="W59" s="529"/>
      <c r="X59" s="529"/>
      <c r="Y59" s="529"/>
      <c r="Z59" s="529"/>
      <c r="AA59" s="530"/>
      <c r="AB59" s="1695"/>
      <c r="AC59" s="1695"/>
      <c r="AD59" s="3514"/>
      <c r="AE59" s="1695"/>
      <c r="AF59" s="1695"/>
      <c r="AG59" s="1695"/>
      <c r="AH59" s="1695"/>
      <c r="AI59" s="3276"/>
      <c r="AJ59" s="3515"/>
    </row>
    <row r="60" spans="1:36" ht="16.5" customHeight="1">
      <c r="A60" s="261" t="s">
        <v>1034</v>
      </c>
      <c r="B60" s="909"/>
      <c r="C60" s="529"/>
      <c r="D60" s="529"/>
      <c r="E60" s="529"/>
      <c r="F60" s="529"/>
      <c r="G60" s="529"/>
      <c r="H60" s="529"/>
      <c r="I60" s="529"/>
      <c r="J60" s="529"/>
      <c r="K60" s="529"/>
      <c r="L60" s="529"/>
      <c r="M60" s="529"/>
      <c r="N60" s="529"/>
      <c r="O60" s="529"/>
      <c r="P60" s="529"/>
      <c r="Q60" s="1695"/>
      <c r="R60" s="529"/>
      <c r="S60" s="529"/>
      <c r="T60" s="529"/>
      <c r="U60" s="529"/>
      <c r="V60" s="529"/>
      <c r="W60" s="529"/>
      <c r="X60" s="529"/>
      <c r="Y60" s="529"/>
      <c r="Z60" s="529"/>
      <c r="AA60" s="530"/>
      <c r="AB60" s="1695"/>
      <c r="AC60" s="1695"/>
      <c r="AD60" s="3514"/>
      <c r="AE60" s="1695"/>
      <c r="AF60" s="1695"/>
      <c r="AG60" s="1695"/>
      <c r="AH60" s="1695"/>
      <c r="AI60" s="3276"/>
      <c r="AJ60" s="3515"/>
    </row>
    <row r="61" spans="1:36" ht="16.5" customHeight="1">
      <c r="A61" s="911" t="s">
        <v>1155</v>
      </c>
      <c r="B61" s="909"/>
      <c r="C61" s="529"/>
      <c r="D61" s="529"/>
      <c r="E61" s="529"/>
      <c r="F61" s="529"/>
      <c r="G61" s="529"/>
      <c r="H61" s="529"/>
      <c r="I61" s="529"/>
      <c r="J61" s="529"/>
      <c r="K61" s="529"/>
      <c r="L61" s="529"/>
      <c r="M61" s="529"/>
      <c r="N61" s="529"/>
      <c r="O61" s="529"/>
      <c r="P61" s="529"/>
      <c r="Q61" s="1695"/>
      <c r="R61" s="529"/>
      <c r="S61" s="529"/>
      <c r="T61" s="529"/>
      <c r="U61" s="529"/>
      <c r="V61" s="529"/>
      <c r="W61" s="529"/>
      <c r="X61" s="529"/>
      <c r="Y61" s="529"/>
      <c r="Z61" s="529"/>
      <c r="AA61" s="530"/>
      <c r="AB61" s="1695"/>
      <c r="AC61" s="1695"/>
      <c r="AD61" s="3514"/>
      <c r="AE61" s="1695"/>
      <c r="AF61" s="1695"/>
      <c r="AG61" s="1695"/>
      <c r="AH61" s="1695"/>
      <c r="AI61" s="3276"/>
      <c r="AJ61" s="3515"/>
    </row>
    <row r="62" spans="1:36" ht="16.5" customHeight="1">
      <c r="A62" s="911" t="s">
        <v>1032</v>
      </c>
      <c r="B62" s="911"/>
      <c r="C62" s="529">
        <f>+'Exhibit F'!D57+'Exhibit G'!D41</f>
        <v>2</v>
      </c>
      <c r="D62" s="529"/>
      <c r="E62" s="529">
        <f>+'Exhibit F'!F57+'Exhibit G'!F41</f>
        <v>1.2000000000000002</v>
      </c>
      <c r="F62" s="529"/>
      <c r="G62" s="529">
        <f>+'Exhibit F'!H57+'Exhibit G'!H41</f>
        <v>0.89999999999999991</v>
      </c>
      <c r="H62" s="529"/>
      <c r="I62" s="529">
        <f>+'Exhibit F'!J57+'Exhibit G'!J41</f>
        <v>1.2</v>
      </c>
      <c r="J62" s="529"/>
      <c r="K62" s="529"/>
      <c r="L62" s="529"/>
      <c r="M62" s="529"/>
      <c r="N62" s="529"/>
      <c r="O62" s="529"/>
      <c r="P62" s="529"/>
      <c r="Q62" s="1695"/>
      <c r="R62" s="529"/>
      <c r="S62" s="529"/>
      <c r="T62" s="529"/>
      <c r="U62" s="529"/>
      <c r="V62" s="529"/>
      <c r="W62" s="529"/>
      <c r="X62" s="529"/>
      <c r="Y62" s="529"/>
      <c r="Z62" s="529"/>
      <c r="AA62" s="530"/>
      <c r="AB62" s="1695">
        <f t="shared" ref="AB62:AB102" si="10">ROUND(SUM(C62:Y62),1)</f>
        <v>5.3</v>
      </c>
      <c r="AC62" s="1695"/>
      <c r="AD62" s="3514"/>
      <c r="AE62" s="1695">
        <f>+'Exhibit F'!AF57+'Exhibit G'!AG41</f>
        <v>4.5</v>
      </c>
      <c r="AF62" s="1695"/>
      <c r="AG62" s="1695"/>
      <c r="AH62" s="1695">
        <f t="shared" ref="AH62:AH102" si="11">ROUND(SUM(AB62-AE62),1)</f>
        <v>0.8</v>
      </c>
      <c r="AI62" s="3276"/>
      <c r="AJ62" s="1787">
        <f>ROUND(IF(AE62=0,0,AH62/ABS(AE62)),3)</f>
        <v>0.17799999999999999</v>
      </c>
    </row>
    <row r="63" spans="1:36" ht="16.5" customHeight="1">
      <c r="A63" s="911" t="s">
        <v>1033</v>
      </c>
      <c r="B63" s="911"/>
      <c r="C63" s="529">
        <f>+'Exhibit F'!D58+'Exhibit I'!E37</f>
        <v>0.2</v>
      </c>
      <c r="D63" s="529"/>
      <c r="E63" s="529">
        <f>+'Exhibit F'!F58+'Exhibit I'!G37</f>
        <v>0.3</v>
      </c>
      <c r="F63" s="529"/>
      <c r="G63" s="529">
        <f>+'Exhibit F'!H58+'Exhibit I'!I37</f>
        <v>31.2</v>
      </c>
      <c r="H63" s="529"/>
      <c r="I63" s="529">
        <f>+'Exhibit F'!J58+'Exhibit I'!K37</f>
        <v>0.30000000000000071</v>
      </c>
      <c r="J63" s="529"/>
      <c r="K63" s="529"/>
      <c r="L63" s="529"/>
      <c r="M63" s="529"/>
      <c r="N63" s="529"/>
      <c r="O63" s="529"/>
      <c r="P63" s="529"/>
      <c r="Q63" s="1695"/>
      <c r="R63" s="529"/>
      <c r="S63" s="529"/>
      <c r="T63" s="529"/>
      <c r="U63" s="529"/>
      <c r="V63" s="529"/>
      <c r="W63" s="529"/>
      <c r="X63" s="529"/>
      <c r="Y63" s="529"/>
      <c r="Z63" s="529"/>
      <c r="AA63" s="530"/>
      <c r="AB63" s="1695">
        <f t="shared" si="10"/>
        <v>32</v>
      </c>
      <c r="AC63" s="1695"/>
      <c r="AD63" s="3514"/>
      <c r="AE63" s="1695">
        <f>+'Exhibit F'!AF58+'Exhibit I'!AI37</f>
        <v>38.1</v>
      </c>
      <c r="AF63" s="1695"/>
      <c r="AG63" s="1695"/>
      <c r="AH63" s="1695">
        <f t="shared" si="11"/>
        <v>-6.1</v>
      </c>
      <c r="AI63" s="3276"/>
      <c r="AJ63" s="1787">
        <f>ROUND(IF(AE63=0,0,AH63/ABS(AE63)),3)</f>
        <v>-0.16</v>
      </c>
    </row>
    <row r="64" spans="1:36" ht="16.5" customHeight="1">
      <c r="A64" s="911" t="s">
        <v>1156</v>
      </c>
      <c r="B64" s="911"/>
      <c r="C64" s="529"/>
      <c r="D64" s="529"/>
      <c r="E64" s="529"/>
      <c r="F64" s="529"/>
      <c r="G64" s="529"/>
      <c r="H64" s="529"/>
      <c r="I64" s="529"/>
      <c r="J64" s="529"/>
      <c r="K64" s="529"/>
      <c r="L64" s="529"/>
      <c r="M64" s="529"/>
      <c r="N64" s="529"/>
      <c r="O64" s="529"/>
      <c r="P64" s="529"/>
      <c r="Q64" s="1695"/>
      <c r="R64" s="529"/>
      <c r="S64" s="529"/>
      <c r="T64" s="529"/>
      <c r="U64" s="529"/>
      <c r="V64" s="529"/>
      <c r="W64" s="529"/>
      <c r="X64" s="529"/>
      <c r="Y64" s="529"/>
      <c r="Z64" s="529"/>
      <c r="AA64" s="530"/>
      <c r="AB64" s="1695"/>
      <c r="AC64" s="1695"/>
      <c r="AD64" s="3514"/>
      <c r="AE64" s="1695"/>
      <c r="AF64" s="1695"/>
      <c r="AG64" s="1695"/>
      <c r="AH64" s="1695"/>
      <c r="AI64" s="3276"/>
      <c r="AJ64" s="1787"/>
    </row>
    <row r="65" spans="1:36" ht="16.5" customHeight="1">
      <c r="A65" s="911" t="s">
        <v>1037</v>
      </c>
      <c r="B65" s="911"/>
      <c r="C65" s="529">
        <f>+'Exhibit F'!D60+'Exhibit G'!D43+'Exhibit I'!E39</f>
        <v>81</v>
      </c>
      <c r="D65" s="529"/>
      <c r="E65" s="529">
        <f>+'Exhibit F'!F60+'Exhibit G'!F43+'Exhibit I'!G39</f>
        <v>81.999999999999986</v>
      </c>
      <c r="F65" s="529"/>
      <c r="G65" s="529">
        <f>+'Exhibit F'!H60+'Exhibit G'!H43+'Exhibit I'!I39</f>
        <v>103.09999999999998</v>
      </c>
      <c r="H65" s="529"/>
      <c r="I65" s="529">
        <f>+'Exhibit F'!J60+'Exhibit G'!J43+'Exhibit I'!K39</f>
        <v>60.200000000000017</v>
      </c>
      <c r="J65" s="529"/>
      <c r="K65" s="529"/>
      <c r="L65" s="529"/>
      <c r="M65" s="529"/>
      <c r="N65" s="529"/>
      <c r="O65" s="529"/>
      <c r="P65" s="529"/>
      <c r="Q65" s="1695"/>
      <c r="R65" s="529"/>
      <c r="S65" s="529"/>
      <c r="T65" s="529"/>
      <c r="U65" s="529"/>
      <c r="V65" s="529"/>
      <c r="W65" s="529"/>
      <c r="X65" s="529"/>
      <c r="Y65" s="529"/>
      <c r="Z65" s="529"/>
      <c r="AA65" s="530"/>
      <c r="AB65" s="1695">
        <f>ROUND(SUM(C65:Y65),1)</f>
        <v>326.3</v>
      </c>
      <c r="AC65" s="1695"/>
      <c r="AD65" s="3514"/>
      <c r="AE65" s="1695">
        <f>+'Exhibit F'!AF60+'Exhibit G'!AG43+'Exhibit I'!AI39</f>
        <v>335.59999999999997</v>
      </c>
      <c r="AF65" s="1695"/>
      <c r="AG65" s="1695"/>
      <c r="AH65" s="1695">
        <f t="shared" si="11"/>
        <v>-9.3000000000000007</v>
      </c>
      <c r="AI65" s="3276"/>
      <c r="AJ65" s="1787">
        <f>ROUND(IF(AE65=0,0,AH65/ABS(AE65)),3)</f>
        <v>-2.8000000000000001E-2</v>
      </c>
    </row>
    <row r="66" spans="1:36" ht="16.5" customHeight="1">
      <c r="A66" s="911" t="s">
        <v>1038</v>
      </c>
      <c r="B66" s="911"/>
      <c r="C66" s="529">
        <f>+'Exhibit F'!D61+'Exhibit G'!D44</f>
        <v>625.70000000000005</v>
      </c>
      <c r="D66" s="529"/>
      <c r="E66" s="529">
        <f>+'Exhibit F'!F61+'Exhibit G'!F44</f>
        <v>523.90000000000009</v>
      </c>
      <c r="F66" s="529"/>
      <c r="G66" s="529">
        <f>+'Exhibit F'!H61+'Exhibit G'!H44</f>
        <v>508.99999999999983</v>
      </c>
      <c r="H66" s="529"/>
      <c r="I66" s="529">
        <f>+'Exhibit F'!J61+'Exhibit G'!J44</f>
        <v>571.29999999999995</v>
      </c>
      <c r="J66" s="529"/>
      <c r="K66" s="529"/>
      <c r="L66" s="529"/>
      <c r="M66" s="529"/>
      <c r="N66" s="529"/>
      <c r="O66" s="529"/>
      <c r="P66" s="529"/>
      <c r="Q66" s="1695"/>
      <c r="R66" s="529"/>
      <c r="S66" s="529"/>
      <c r="T66" s="529"/>
      <c r="U66" s="529"/>
      <c r="V66" s="529"/>
      <c r="W66" s="529"/>
      <c r="X66" s="529"/>
      <c r="Y66" s="529"/>
      <c r="Z66" s="529"/>
      <c r="AA66" s="530"/>
      <c r="AB66" s="1695">
        <f t="shared" si="10"/>
        <v>2229.9</v>
      </c>
      <c r="AC66" s="1695"/>
      <c r="AD66" s="3514"/>
      <c r="AE66" s="1695">
        <f>+'Exhibit F'!AF61+'Exhibit G'!AG44+'Exhibit H'!AD30</f>
        <v>2047.1000000000001</v>
      </c>
      <c r="AF66" s="1695"/>
      <c r="AG66" s="1695"/>
      <c r="AH66" s="1695">
        <f t="shared" si="11"/>
        <v>182.8</v>
      </c>
      <c r="AI66" s="3276"/>
      <c r="AJ66" s="1787">
        <f>ROUND(IF(AE66=0,0,AH66/ABS(AE66)),3)</f>
        <v>8.8999999999999996E-2</v>
      </c>
    </row>
    <row r="67" spans="1:36" ht="16.5" customHeight="1">
      <c r="A67" s="911" t="s">
        <v>1039</v>
      </c>
      <c r="B67" s="911"/>
      <c r="C67" s="529">
        <f>+'Exhibit F'!D62+'Exhibit G'!D45</f>
        <v>5.0999999999999996</v>
      </c>
      <c r="D67" s="529"/>
      <c r="E67" s="529">
        <f>+'Exhibit F'!F62+'Exhibit G'!F45</f>
        <v>0</v>
      </c>
      <c r="F67" s="529"/>
      <c r="G67" s="529">
        <f>+'Exhibit F'!H62+'Exhibit G'!H45</f>
        <v>0.70000000000000018</v>
      </c>
      <c r="H67" s="529"/>
      <c r="I67" s="529">
        <f>+'Exhibit F'!J62+'Exhibit G'!J45</f>
        <v>0</v>
      </c>
      <c r="J67" s="529"/>
      <c r="K67" s="529"/>
      <c r="L67" s="529"/>
      <c r="M67" s="529"/>
      <c r="N67" s="529"/>
      <c r="O67" s="529"/>
      <c r="P67" s="529"/>
      <c r="Q67" s="1695"/>
      <c r="R67" s="529"/>
      <c r="S67" s="529"/>
      <c r="T67" s="529"/>
      <c r="U67" s="529"/>
      <c r="V67" s="529"/>
      <c r="W67" s="529"/>
      <c r="X67" s="529"/>
      <c r="Y67" s="529"/>
      <c r="Z67" s="529"/>
      <c r="AA67" s="530"/>
      <c r="AB67" s="1695">
        <f t="shared" si="10"/>
        <v>5.8</v>
      </c>
      <c r="AC67" s="1695"/>
      <c r="AD67" s="3514"/>
      <c r="AE67" s="1695">
        <f>+'Exhibit F'!AF62+'Exhibit G'!AG45</f>
        <v>2.4</v>
      </c>
      <c r="AF67" s="1695"/>
      <c r="AG67" s="1695"/>
      <c r="AH67" s="1695">
        <f t="shared" si="11"/>
        <v>3.4</v>
      </c>
      <c r="AI67" s="3276"/>
      <c r="AJ67" s="1787">
        <f>ROUND(IF(AE67=0,0,AH67/ABS(AE67)),3)</f>
        <v>1.417</v>
      </c>
    </row>
    <row r="68" spans="1:36" ht="16.5" customHeight="1">
      <c r="A68" s="911" t="s">
        <v>1040</v>
      </c>
      <c r="B68" s="911"/>
      <c r="C68" s="529">
        <f>+'Exhibit F'!D63+'Exhibit G'!D46</f>
        <v>0</v>
      </c>
      <c r="D68" s="529"/>
      <c r="E68" s="529">
        <f>+'Exhibit F'!F63+'Exhibit G'!F46</f>
        <v>0.2</v>
      </c>
      <c r="F68" s="529"/>
      <c r="G68" s="529">
        <f>+'Exhibit F'!H63+'Exhibit G'!H46</f>
        <v>0.1</v>
      </c>
      <c r="H68" s="529"/>
      <c r="I68" s="529">
        <f>+'Exhibit F'!J63+'Exhibit G'!J46</f>
        <v>0</v>
      </c>
      <c r="J68" s="529"/>
      <c r="K68" s="529"/>
      <c r="L68" s="529"/>
      <c r="M68" s="529"/>
      <c r="N68" s="529"/>
      <c r="O68" s="529"/>
      <c r="P68" s="529"/>
      <c r="Q68" s="1695"/>
      <c r="R68" s="529"/>
      <c r="S68" s="529"/>
      <c r="T68" s="529"/>
      <c r="U68" s="529"/>
      <c r="V68" s="529"/>
      <c r="W68" s="529"/>
      <c r="X68" s="529"/>
      <c r="Y68" s="529"/>
      <c r="Z68" s="529"/>
      <c r="AA68" s="530"/>
      <c r="AB68" s="1695">
        <f t="shared" si="10"/>
        <v>0.3</v>
      </c>
      <c r="AC68" s="1695"/>
      <c r="AD68" s="3514"/>
      <c r="AE68" s="1695">
        <f>+'Exhibit F'!AF63+'Exhibit G'!AG46</f>
        <v>1.1000000000000001</v>
      </c>
      <c r="AF68" s="1695"/>
      <c r="AG68" s="1695"/>
      <c r="AH68" s="1695">
        <f t="shared" si="11"/>
        <v>-0.8</v>
      </c>
      <c r="AI68" s="3276"/>
      <c r="AJ68" s="1787">
        <f>ROUND(IF(AE68=0,0,AH68/ABS(AE68)),3)</f>
        <v>-0.72699999999999998</v>
      </c>
    </row>
    <row r="69" spans="1:36" ht="16.5" customHeight="1">
      <c r="A69" s="911" t="s">
        <v>1161</v>
      </c>
      <c r="B69" s="911"/>
      <c r="C69" s="529"/>
      <c r="D69" s="529"/>
      <c r="E69" s="529"/>
      <c r="F69" s="529"/>
      <c r="G69" s="529"/>
      <c r="H69" s="529"/>
      <c r="I69" s="529"/>
      <c r="J69" s="529"/>
      <c r="K69" s="529"/>
      <c r="L69" s="529"/>
      <c r="M69" s="529"/>
      <c r="N69" s="529"/>
      <c r="O69" s="529"/>
      <c r="P69" s="529"/>
      <c r="Q69" s="1695"/>
      <c r="R69" s="529"/>
      <c r="S69" s="529"/>
      <c r="T69" s="529"/>
      <c r="U69" s="529"/>
      <c r="V69" s="529"/>
      <c r="W69" s="529"/>
      <c r="X69" s="529"/>
      <c r="Y69" s="529"/>
      <c r="Z69" s="529"/>
      <c r="AA69" s="530"/>
      <c r="AB69" s="1695"/>
      <c r="AC69" s="1695"/>
      <c r="AD69" s="3514"/>
      <c r="AE69" s="1695"/>
      <c r="AF69" s="1695"/>
      <c r="AG69" s="1695"/>
      <c r="AH69" s="1695"/>
      <c r="AI69" s="3276"/>
      <c r="AJ69" s="1787"/>
    </row>
    <row r="70" spans="1:36" ht="16.5" customHeight="1">
      <c r="A70" s="911" t="s">
        <v>1041</v>
      </c>
      <c r="B70" s="911"/>
      <c r="C70" s="529">
        <f>+'Exhibit F'!D65+'Exhibit H'!B32</f>
        <v>5.7</v>
      </c>
      <c r="D70" s="529"/>
      <c r="E70" s="529">
        <f>+'Exhibit F'!F65+'Exhibit H'!D32</f>
        <v>5.9999999999999991</v>
      </c>
      <c r="F70" s="529"/>
      <c r="G70" s="529">
        <f>+'Exhibit F'!H65+'Exhibit H'!F32</f>
        <v>5.400000000000003</v>
      </c>
      <c r="H70" s="529"/>
      <c r="I70" s="529">
        <f>+'Exhibit F'!J65+'Exhibit H'!H32</f>
        <v>5.9999999999999991</v>
      </c>
      <c r="J70" s="529"/>
      <c r="K70" s="529"/>
      <c r="L70" s="529"/>
      <c r="M70" s="529"/>
      <c r="N70" s="529"/>
      <c r="O70" s="529"/>
      <c r="P70" s="529"/>
      <c r="Q70" s="1695"/>
      <c r="R70" s="529"/>
      <c r="S70" s="529"/>
      <c r="T70" s="529"/>
      <c r="U70" s="529"/>
      <c r="V70" s="529"/>
      <c r="W70" s="529"/>
      <c r="X70" s="529"/>
      <c r="Y70" s="529"/>
      <c r="Z70" s="529"/>
      <c r="AA70" s="530"/>
      <c r="AB70" s="1695">
        <f t="shared" si="10"/>
        <v>23.1</v>
      </c>
      <c r="AC70" s="1695"/>
      <c r="AD70" s="3514"/>
      <c r="AE70" s="1695">
        <f>+'Exhibit F'!AF65+'Exhibit H'!AD32</f>
        <v>26.1</v>
      </c>
      <c r="AF70" s="1695"/>
      <c r="AG70" s="1695"/>
      <c r="AH70" s="1695">
        <f t="shared" si="11"/>
        <v>-3</v>
      </c>
      <c r="AI70" s="3276"/>
      <c r="AJ70" s="1787">
        <f t="shared" ref="AJ70:AJ77" si="12">ROUND(IF(AE70=0,0,AH70/ABS(AE70)),3)</f>
        <v>-0.115</v>
      </c>
    </row>
    <row r="71" spans="1:36" ht="16.5" customHeight="1">
      <c r="A71" s="911" t="s">
        <v>1259</v>
      </c>
      <c r="B71" s="911"/>
      <c r="C71" s="529">
        <f>'Exhibit G'!D48</f>
        <v>0</v>
      </c>
      <c r="D71" s="529"/>
      <c r="E71" s="529">
        <f>'Exhibit G'!F48</f>
        <v>0.8</v>
      </c>
      <c r="F71" s="529"/>
      <c r="G71" s="529">
        <f>'Exhibit G'!H48</f>
        <v>1.4999999999999998</v>
      </c>
      <c r="H71" s="529"/>
      <c r="I71" s="529">
        <f>'Exhibit G'!J48</f>
        <v>0</v>
      </c>
      <c r="J71" s="529"/>
      <c r="K71" s="529"/>
      <c r="L71" s="529"/>
      <c r="M71" s="529"/>
      <c r="N71" s="529"/>
      <c r="O71" s="529"/>
      <c r="P71" s="529"/>
      <c r="Q71" s="1695"/>
      <c r="R71" s="529"/>
      <c r="S71" s="529"/>
      <c r="T71" s="529"/>
      <c r="U71" s="529"/>
      <c r="V71" s="529"/>
      <c r="W71" s="529"/>
      <c r="X71" s="529"/>
      <c r="Y71" s="529"/>
      <c r="Z71" s="529"/>
      <c r="AA71" s="980"/>
      <c r="AB71" s="1695">
        <f t="shared" si="10"/>
        <v>2.2999999999999998</v>
      </c>
      <c r="AC71" s="1695"/>
      <c r="AD71" s="3514"/>
      <c r="AE71" s="1695">
        <f>'Exhibit G'!AG48</f>
        <v>2.1</v>
      </c>
      <c r="AF71" s="1695"/>
      <c r="AG71" s="1695"/>
      <c r="AH71" s="1695">
        <f>ROUND(SUM(AB71-AE71),1)</f>
        <v>0.2</v>
      </c>
      <c r="AI71" s="3276"/>
      <c r="AJ71" s="1786">
        <f>ROUND(IF(AE71=0,0,AH71/ABS(AE71)),3)</f>
        <v>9.5000000000000001E-2</v>
      </c>
    </row>
    <row r="72" spans="1:36" ht="16.5" customHeight="1">
      <c r="A72" s="911" t="s">
        <v>1157</v>
      </c>
      <c r="B72" s="911"/>
      <c r="C72" s="529">
        <f>+'Exhibit F'!D67+'Exhibit G'!D49+'Exhibit I'!E41+'Exhibit H'!B33</f>
        <v>60.5</v>
      </c>
      <c r="D72" s="529"/>
      <c r="E72" s="529">
        <f>+'Exhibit F'!F67+'Exhibit G'!F49+'Exhibit I'!G41+'Exhibit H'!D33</f>
        <v>60.6</v>
      </c>
      <c r="F72" s="529"/>
      <c r="G72" s="529">
        <f>+'Exhibit F'!H67+'Exhibit G'!H49+'Exhibit I'!I41+'Exhibit H'!F33</f>
        <v>131.5</v>
      </c>
      <c r="H72" s="529"/>
      <c r="I72" s="529">
        <f>+'Exhibit F'!J67+'Exhibit G'!J49+'Exhibit I'!K41+'Exhibit H'!H33</f>
        <v>65</v>
      </c>
      <c r="J72" s="529"/>
      <c r="K72" s="529"/>
      <c r="L72" s="529"/>
      <c r="M72" s="529"/>
      <c r="N72" s="529"/>
      <c r="O72" s="529"/>
      <c r="P72" s="529"/>
      <c r="Q72" s="1695"/>
      <c r="R72" s="529"/>
      <c r="S72" s="529"/>
      <c r="T72" s="529"/>
      <c r="U72" s="529"/>
      <c r="V72" s="529"/>
      <c r="W72" s="529"/>
      <c r="X72" s="529"/>
      <c r="Y72" s="529"/>
      <c r="Z72" s="529"/>
      <c r="AA72" s="530"/>
      <c r="AB72" s="1695">
        <f t="shared" si="10"/>
        <v>317.60000000000002</v>
      </c>
      <c r="AC72" s="1695"/>
      <c r="AD72" s="3514"/>
      <c r="AE72" s="1695">
        <f>+'Exhibit F'!AF67+'Exhibit G'!AG49+'Exhibit I'!AI41+'Exhibit H'!AD33</f>
        <v>291</v>
      </c>
      <c r="AF72" s="1695"/>
      <c r="AG72" s="1695"/>
      <c r="AH72" s="1695">
        <f>ROUND(SUM(AB72-AE72),1)</f>
        <v>26.6</v>
      </c>
      <c r="AI72" s="3276"/>
      <c r="AJ72" s="1787">
        <f>ROUND(IF(AE72=0,0,AH72/ABS(AE72)),3)</f>
        <v>9.0999999999999998E-2</v>
      </c>
    </row>
    <row r="73" spans="1:36" ht="16.5" customHeight="1">
      <c r="A73" s="911" t="s">
        <v>1043</v>
      </c>
      <c r="B73" s="911"/>
      <c r="C73" s="529">
        <f>+'Exhibit F'!D68+'Exhibit G'!D50+'Exhibit H'!B34</f>
        <v>28.6</v>
      </c>
      <c r="D73" s="529"/>
      <c r="E73" s="529">
        <f>+'Exhibit F'!F68+'Exhibit G'!F50+'Exhibit H'!D34</f>
        <v>18</v>
      </c>
      <c r="F73" s="529"/>
      <c r="G73" s="529">
        <f>+'Exhibit F'!H68+'Exhibit G'!H50+'Exhibit H'!F34</f>
        <v>22.900000000000006</v>
      </c>
      <c r="H73" s="529"/>
      <c r="I73" s="529">
        <f>+'Exhibit F'!J68+'Exhibit G'!J50+'Exhibit H'!H34</f>
        <v>22.599999999999991</v>
      </c>
      <c r="J73" s="529"/>
      <c r="K73" s="529"/>
      <c r="L73" s="529"/>
      <c r="M73" s="529"/>
      <c r="N73" s="529"/>
      <c r="O73" s="529"/>
      <c r="P73" s="529"/>
      <c r="Q73" s="1695"/>
      <c r="R73" s="529"/>
      <c r="S73" s="529"/>
      <c r="T73" s="529"/>
      <c r="U73" s="529"/>
      <c r="V73" s="529"/>
      <c r="W73" s="529"/>
      <c r="X73" s="529"/>
      <c r="Y73" s="529"/>
      <c r="Z73" s="529"/>
      <c r="AA73" s="530"/>
      <c r="AB73" s="1695">
        <f t="shared" si="10"/>
        <v>92.1</v>
      </c>
      <c r="AC73" s="1695"/>
      <c r="AD73" s="3514"/>
      <c r="AE73" s="1695">
        <f>+'Exhibit F'!AF68+'Exhibit G'!AG50+'Exhibit H'!AD34+'Exhibit I'!AI42</f>
        <v>93.1</v>
      </c>
      <c r="AF73" s="1695"/>
      <c r="AG73" s="1695"/>
      <c r="AH73" s="1695">
        <f t="shared" si="11"/>
        <v>-1</v>
      </c>
      <c r="AI73" s="3276"/>
      <c r="AJ73" s="1787">
        <f t="shared" si="12"/>
        <v>-1.0999999999999999E-2</v>
      </c>
    </row>
    <row r="74" spans="1:36" ht="16.5" customHeight="1">
      <c r="A74" s="911" t="s">
        <v>1044</v>
      </c>
      <c r="B74" s="911"/>
      <c r="C74" s="529">
        <f>+'Exhibit F'!D69+'Exhibit G'!D51+'Exhibit H'!B35</f>
        <v>0.5</v>
      </c>
      <c r="D74" s="529"/>
      <c r="E74" s="529">
        <f>+'Exhibit F'!F69+'Exhibit G'!F51+'Exhibit H'!D35</f>
        <v>0.49999999999999994</v>
      </c>
      <c r="F74" s="529"/>
      <c r="G74" s="529">
        <f>+'Exhibit F'!H69+'Exhibit G'!H51+'Exhibit H'!F35</f>
        <v>1.2000000000000002</v>
      </c>
      <c r="H74" s="529"/>
      <c r="I74" s="529">
        <f>+'Exhibit F'!J69+'Exhibit G'!J51+'Exhibit H'!H35</f>
        <v>0.19999999999999996</v>
      </c>
      <c r="J74" s="529"/>
      <c r="K74" s="529"/>
      <c r="L74" s="529"/>
      <c r="M74" s="529"/>
      <c r="N74" s="529"/>
      <c r="O74" s="529"/>
      <c r="P74" s="529"/>
      <c r="Q74" s="1695"/>
      <c r="R74" s="529"/>
      <c r="S74" s="529"/>
      <c r="T74" s="529"/>
      <c r="U74" s="529"/>
      <c r="V74" s="529"/>
      <c r="W74" s="529"/>
      <c r="X74" s="529"/>
      <c r="Y74" s="529"/>
      <c r="Z74" s="529"/>
      <c r="AA74" s="530"/>
      <c r="AB74" s="1695">
        <f t="shared" si="10"/>
        <v>2.4</v>
      </c>
      <c r="AC74" s="1695"/>
      <c r="AD74" s="3514"/>
      <c r="AE74" s="1695">
        <f>+'Exhibit F'!AF69+'Exhibit G'!AG51+'Exhibit H'!AD35</f>
        <v>3.6</v>
      </c>
      <c r="AF74" s="1695"/>
      <c r="AG74" s="1695"/>
      <c r="AH74" s="1695">
        <f t="shared" si="11"/>
        <v>-1.2</v>
      </c>
      <c r="AI74" s="3276"/>
      <c r="AJ74" s="1787">
        <f t="shared" si="12"/>
        <v>-0.33300000000000002</v>
      </c>
    </row>
    <row r="75" spans="1:36" ht="16.5" customHeight="1">
      <c r="A75" s="911" t="s">
        <v>1045</v>
      </c>
      <c r="B75" s="911"/>
      <c r="C75" s="529">
        <f>+'Exhibit F'!D70+'Exhibit G'!D52+'Exhibit I'!E43+'Exhibit H'!B36</f>
        <v>126.2</v>
      </c>
      <c r="D75" s="529"/>
      <c r="E75" s="529">
        <f>+'Exhibit F'!F70+'Exhibit G'!F52+'Exhibit I'!G43+'Exhibit H'!D36</f>
        <v>130.80000000000001</v>
      </c>
      <c r="F75" s="529"/>
      <c r="G75" s="529">
        <f>+'Exhibit F'!H70+'Exhibit G'!H52+'Exhibit I'!I43+'Exhibit H'!F36</f>
        <v>105.69999999999999</v>
      </c>
      <c r="H75" s="529"/>
      <c r="I75" s="529">
        <f>+'Exhibit F'!J70+'Exhibit G'!J52+'Exhibit I'!K43+'Exhibit H'!H36</f>
        <v>119.80000000000001</v>
      </c>
      <c r="J75" s="529"/>
      <c r="K75" s="529"/>
      <c r="L75" s="529"/>
      <c r="M75" s="529"/>
      <c r="N75" s="529"/>
      <c r="O75" s="529"/>
      <c r="P75" s="529"/>
      <c r="Q75" s="1695"/>
      <c r="R75" s="529"/>
      <c r="S75" s="529"/>
      <c r="T75" s="529"/>
      <c r="U75" s="529"/>
      <c r="V75" s="529"/>
      <c r="W75" s="529"/>
      <c r="X75" s="529"/>
      <c r="Y75" s="529"/>
      <c r="Z75" s="529"/>
      <c r="AA75" s="530"/>
      <c r="AB75" s="1695">
        <f t="shared" si="10"/>
        <v>482.5</v>
      </c>
      <c r="AC75" s="1695"/>
      <c r="AD75" s="3514"/>
      <c r="AE75" s="1695">
        <f>+'Exhibit F'!AF70+'Exhibit G'!AG52+'Exhibit I'!AI43+'Exhibit H'!AD36</f>
        <v>534.9</v>
      </c>
      <c r="AF75" s="1695"/>
      <c r="AG75" s="1695"/>
      <c r="AH75" s="1695">
        <f t="shared" si="11"/>
        <v>-52.4</v>
      </c>
      <c r="AI75" s="3276"/>
      <c r="AJ75" s="1787">
        <f t="shared" si="12"/>
        <v>-9.8000000000000004E-2</v>
      </c>
    </row>
    <row r="76" spans="1:36" ht="16.5" customHeight="1">
      <c r="A76" s="911" t="s">
        <v>1046</v>
      </c>
      <c r="B76" s="911"/>
      <c r="C76" s="529">
        <f>+'Exhibit F'!D71+'Exhibit G'!D53+'Exhibit I'!E44+'Exhibit H'!B37</f>
        <v>55.400000000000006</v>
      </c>
      <c r="D76" s="529"/>
      <c r="E76" s="529">
        <f>+'Exhibit F'!F71+'Exhibit G'!F53+'Exhibit I'!G44+'Exhibit H'!D37</f>
        <v>47.199999999999996</v>
      </c>
      <c r="F76" s="529"/>
      <c r="G76" s="529">
        <f>+'Exhibit F'!H71+'Exhibit G'!H53+'Exhibit I'!I44+'Exhibit H'!F37</f>
        <v>67.300000000000011</v>
      </c>
      <c r="H76" s="529"/>
      <c r="I76" s="529">
        <f>+'Exhibit F'!J71+'Exhibit G'!J53+'Exhibit I'!K44+'Exhibit H'!H37</f>
        <v>67.5</v>
      </c>
      <c r="J76" s="529"/>
      <c r="K76" s="529"/>
      <c r="L76" s="529"/>
      <c r="M76" s="529"/>
      <c r="N76" s="529"/>
      <c r="O76" s="529"/>
      <c r="P76" s="529"/>
      <c r="Q76" s="1695"/>
      <c r="R76" s="529"/>
      <c r="S76" s="529"/>
      <c r="T76" s="529"/>
      <c r="U76" s="529"/>
      <c r="V76" s="529"/>
      <c r="W76" s="529"/>
      <c r="X76" s="529"/>
      <c r="Y76" s="529"/>
      <c r="Z76" s="529"/>
      <c r="AA76" s="530"/>
      <c r="AB76" s="1695">
        <f t="shared" si="10"/>
        <v>237.4</v>
      </c>
      <c r="AC76" s="1695"/>
      <c r="AD76" s="3514"/>
      <c r="AE76" s="1695">
        <f>+'Exhibit F'!AF71+'Exhibit G'!AG53+'Exhibit I'!AI44+'Exhibit H'!AD37</f>
        <v>205.39999999999998</v>
      </c>
      <c r="AF76" s="1695"/>
      <c r="AG76" s="1695"/>
      <c r="AH76" s="1695">
        <f t="shared" si="11"/>
        <v>32</v>
      </c>
      <c r="AI76" s="3276"/>
      <c r="AJ76" s="1787">
        <f t="shared" si="12"/>
        <v>0.156</v>
      </c>
    </row>
    <row r="77" spans="1:36" ht="16.5" customHeight="1">
      <c r="A77" s="911" t="s">
        <v>1035</v>
      </c>
      <c r="B77" s="911"/>
      <c r="C77" s="529">
        <f>+'Exhibit F'!D72+'Exhibit G'!D54+'Exhibit I'!E45</f>
        <v>628.69999999999993</v>
      </c>
      <c r="D77" s="529"/>
      <c r="E77" s="529">
        <f>+'Exhibit F'!F72+'Exhibit G'!F54+'Exhibit I'!G45</f>
        <v>224.60000000000002</v>
      </c>
      <c r="F77" s="529"/>
      <c r="G77" s="529">
        <f>+'Exhibit F'!H72+'Exhibit G'!H54+'Exhibit I'!I45</f>
        <v>136</v>
      </c>
      <c r="H77" s="529"/>
      <c r="I77" s="529">
        <f>+'Exhibit F'!J72+'Exhibit G'!J54+'Exhibit I'!K45</f>
        <v>50.79999999999999</v>
      </c>
      <c r="J77" s="529"/>
      <c r="K77" s="529"/>
      <c r="L77" s="529"/>
      <c r="M77" s="529"/>
      <c r="N77" s="529"/>
      <c r="O77" s="529"/>
      <c r="P77" s="529"/>
      <c r="Q77" s="1695"/>
      <c r="R77" s="529"/>
      <c r="S77" s="529"/>
      <c r="T77" s="529"/>
      <c r="U77" s="529"/>
      <c r="V77" s="529"/>
      <c r="W77" s="529"/>
      <c r="X77" s="529"/>
      <c r="Y77" s="529"/>
      <c r="Z77" s="529"/>
      <c r="AA77" s="530"/>
      <c r="AB77" s="1695">
        <f t="shared" si="10"/>
        <v>1040.0999999999999</v>
      </c>
      <c r="AC77" s="1695"/>
      <c r="AD77" s="3514"/>
      <c r="AE77" s="1695">
        <f>+'Exhibit F'!AF72+'Exhibit G'!AG54+'Exhibit I'!AI45</f>
        <v>483.59999999999997</v>
      </c>
      <c r="AF77" s="1695"/>
      <c r="AG77" s="1695"/>
      <c r="AH77" s="1695">
        <f t="shared" si="11"/>
        <v>556.5</v>
      </c>
      <c r="AI77" s="3276"/>
      <c r="AJ77" s="1787">
        <f t="shared" si="12"/>
        <v>1.151</v>
      </c>
    </row>
    <row r="78" spans="1:36" ht="16.5" customHeight="1">
      <c r="A78" s="911" t="s">
        <v>1158</v>
      </c>
      <c r="B78" s="911"/>
      <c r="C78" s="529"/>
      <c r="D78" s="529"/>
      <c r="E78" s="529"/>
      <c r="F78" s="529"/>
      <c r="G78" s="529"/>
      <c r="H78" s="529"/>
      <c r="I78" s="529"/>
      <c r="J78" s="529"/>
      <c r="K78" s="529"/>
      <c r="L78" s="529"/>
      <c r="M78" s="529"/>
      <c r="N78" s="529"/>
      <c r="O78" s="529"/>
      <c r="P78" s="529"/>
      <c r="Q78" s="1695"/>
      <c r="R78" s="529"/>
      <c r="S78" s="529"/>
      <c r="T78" s="529"/>
      <c r="U78" s="529"/>
      <c r="V78" s="529"/>
      <c r="W78" s="529"/>
      <c r="X78" s="529"/>
      <c r="Y78" s="529"/>
      <c r="Z78" s="529"/>
      <c r="AA78" s="530"/>
      <c r="AB78" s="1695"/>
      <c r="AC78" s="1695"/>
      <c r="AD78" s="3514"/>
      <c r="AE78" s="1695"/>
      <c r="AF78" s="1695"/>
      <c r="AG78" s="1695"/>
      <c r="AH78" s="1695"/>
      <c r="AI78" s="3276"/>
      <c r="AJ78" s="1787"/>
    </row>
    <row r="79" spans="1:36" ht="16.5" customHeight="1">
      <c r="A79" s="911" t="s">
        <v>1047</v>
      </c>
      <c r="B79" s="911"/>
      <c r="C79" s="529">
        <f>+'Exhibit G'!D56</f>
        <v>31.4</v>
      </c>
      <c r="D79" s="529"/>
      <c r="E79" s="529">
        <f>+'Exhibit G'!F56</f>
        <v>18.800000000000004</v>
      </c>
      <c r="F79" s="529"/>
      <c r="G79" s="529">
        <f>+'Exhibit G'!H56</f>
        <v>19.700000000000003</v>
      </c>
      <c r="H79" s="529"/>
      <c r="I79" s="529">
        <f>+'Exhibit G'!J56</f>
        <v>37.699999999999982</v>
      </c>
      <c r="J79" s="529"/>
      <c r="K79" s="529"/>
      <c r="L79" s="529"/>
      <c r="M79" s="529"/>
      <c r="N79" s="529"/>
      <c r="O79" s="529"/>
      <c r="P79" s="529"/>
      <c r="Q79" s="1695"/>
      <c r="R79" s="529"/>
      <c r="S79" s="529"/>
      <c r="T79" s="529"/>
      <c r="U79" s="529"/>
      <c r="V79" s="529"/>
      <c r="W79" s="529"/>
      <c r="X79" s="529"/>
      <c r="Y79" s="529"/>
      <c r="Z79" s="529"/>
      <c r="AA79" s="530"/>
      <c r="AB79" s="1695">
        <f t="shared" si="10"/>
        <v>107.6</v>
      </c>
      <c r="AC79" s="1695"/>
      <c r="AD79" s="3514"/>
      <c r="AE79" s="1695">
        <f>+'Exhibit G'!AG56</f>
        <v>91.2</v>
      </c>
      <c r="AF79" s="1695"/>
      <c r="AG79" s="1695"/>
      <c r="AH79" s="1695">
        <f t="shared" si="11"/>
        <v>16.399999999999999</v>
      </c>
      <c r="AI79" s="3276"/>
      <c r="AJ79" s="3510">
        <f>ROUND(IF(AE79=0,0,AH79/ABS(AE79)),3)</f>
        <v>0.18</v>
      </c>
    </row>
    <row r="80" spans="1:36" ht="16.5" customHeight="1">
      <c r="A80" s="911" t="s">
        <v>1048</v>
      </c>
      <c r="B80" s="911"/>
      <c r="C80" s="529">
        <f>+'Exhibit G'!D57</f>
        <v>218.4</v>
      </c>
      <c r="D80" s="529"/>
      <c r="E80" s="529">
        <f>+'Exhibit G'!F57</f>
        <v>262</v>
      </c>
      <c r="F80" s="529"/>
      <c r="G80" s="529">
        <f>+'Exhibit G'!H57</f>
        <v>202.30000000000007</v>
      </c>
      <c r="H80" s="529"/>
      <c r="I80" s="529">
        <f>+'Exhibit G'!J57</f>
        <v>225.69999999999993</v>
      </c>
      <c r="J80" s="529"/>
      <c r="K80" s="529"/>
      <c r="L80" s="529"/>
      <c r="M80" s="529"/>
      <c r="N80" s="529"/>
      <c r="O80" s="529"/>
      <c r="P80" s="529"/>
      <c r="Q80" s="1695"/>
      <c r="R80" s="529"/>
      <c r="S80" s="529"/>
      <c r="T80" s="529"/>
      <c r="U80" s="529"/>
      <c r="V80" s="529"/>
      <c r="W80" s="529"/>
      <c r="X80" s="529"/>
      <c r="Y80" s="529"/>
      <c r="Z80" s="529"/>
      <c r="AA80" s="530"/>
      <c r="AB80" s="1695">
        <f t="shared" si="10"/>
        <v>908.4</v>
      </c>
      <c r="AC80" s="1695"/>
      <c r="AD80" s="3514"/>
      <c r="AE80" s="1695">
        <f>+'Exhibit G'!AG57</f>
        <v>804.8</v>
      </c>
      <c r="AF80" s="1695"/>
      <c r="AG80" s="1695"/>
      <c r="AH80" s="1695">
        <f t="shared" si="11"/>
        <v>103.6</v>
      </c>
      <c r="AI80" s="3276"/>
      <c r="AJ80" s="3510">
        <f>ROUND(IF(AE80=0,0,AH80/ABS(AE80)),3)</f>
        <v>0.129</v>
      </c>
    </row>
    <row r="81" spans="1:36" ht="16.5" customHeight="1">
      <c r="A81" s="911" t="s">
        <v>1049</v>
      </c>
      <c r="B81" s="911"/>
      <c r="C81" s="529">
        <f>+'Exhibit G'!D58</f>
        <v>76.599999999999994</v>
      </c>
      <c r="D81" s="529"/>
      <c r="E81" s="529">
        <f>+'Exhibit G'!F58</f>
        <v>88.5</v>
      </c>
      <c r="F81" s="529"/>
      <c r="G81" s="529">
        <f>+'Exhibit G'!H58</f>
        <v>63.200000000000017</v>
      </c>
      <c r="H81" s="529"/>
      <c r="I81" s="529">
        <f>+'Exhibit G'!J58</f>
        <v>89.5</v>
      </c>
      <c r="J81" s="529"/>
      <c r="K81" s="529"/>
      <c r="L81" s="529"/>
      <c r="M81" s="529"/>
      <c r="N81" s="529"/>
      <c r="O81" s="529"/>
      <c r="P81" s="529"/>
      <c r="Q81" s="1695"/>
      <c r="R81" s="529"/>
      <c r="S81" s="529"/>
      <c r="T81" s="529"/>
      <c r="U81" s="529"/>
      <c r="V81" s="529"/>
      <c r="W81" s="529"/>
      <c r="X81" s="529"/>
      <c r="Y81" s="529"/>
      <c r="Z81" s="529"/>
      <c r="AA81" s="530"/>
      <c r="AB81" s="1695">
        <f t="shared" si="10"/>
        <v>317.8</v>
      </c>
      <c r="AC81" s="1695"/>
      <c r="AD81" s="3514"/>
      <c r="AE81" s="1695">
        <f>+'Exhibit G'!AG58</f>
        <v>298</v>
      </c>
      <c r="AF81" s="1695"/>
      <c r="AG81" s="1695"/>
      <c r="AH81" s="1695">
        <f t="shared" si="11"/>
        <v>19.8</v>
      </c>
      <c r="AI81" s="3276"/>
      <c r="AJ81" s="3510">
        <f>ROUND(IF(AE81=0,0,AH81/ABS(AE81)),3)</f>
        <v>6.6000000000000003E-2</v>
      </c>
    </row>
    <row r="82" spans="1:36" ht="16.5" customHeight="1">
      <c r="A82" s="911" t="s">
        <v>1036</v>
      </c>
      <c r="B82" s="911"/>
      <c r="C82" s="529">
        <f>+'Exhibit F'!D73+'Exhibit G'!D59+'Exhibit H'!B38+'Exhibit I'!E46</f>
        <v>44.000000000000007</v>
      </c>
      <c r="D82" s="529"/>
      <c r="E82" s="529">
        <f>+'Exhibit F'!F73+'Exhibit G'!F59+'Exhibit H'!D38+'Exhibit I'!G46</f>
        <v>38.800000000000004</v>
      </c>
      <c r="F82" s="529"/>
      <c r="G82" s="529">
        <f>+'Exhibit F'!H73+'Exhibit G'!H59+'Exhibit H'!F38+'Exhibit I'!I46</f>
        <v>44.899999999999991</v>
      </c>
      <c r="H82" s="529"/>
      <c r="I82" s="529">
        <f>+'Exhibit F'!J73+'Exhibit G'!J59+'Exhibit H'!H38+'Exhibit I'!K46</f>
        <v>36.000000000000014</v>
      </c>
      <c r="J82" s="529"/>
      <c r="K82" s="529"/>
      <c r="L82" s="529"/>
      <c r="M82" s="529"/>
      <c r="N82" s="529"/>
      <c r="O82" s="529"/>
      <c r="P82" s="529"/>
      <c r="Q82" s="1695"/>
      <c r="R82" s="529"/>
      <c r="S82" s="529"/>
      <c r="T82" s="529"/>
      <c r="U82" s="529"/>
      <c r="V82" s="529"/>
      <c r="W82" s="529"/>
      <c r="X82" s="529"/>
      <c r="Y82" s="529"/>
      <c r="Z82" s="529"/>
      <c r="AA82" s="530"/>
      <c r="AB82" s="1695">
        <f t="shared" si="10"/>
        <v>163.69999999999999</v>
      </c>
      <c r="AC82" s="1695"/>
      <c r="AD82" s="3514"/>
      <c r="AE82" s="1695">
        <f>+'Exhibit F'!AF73+'Exhibit G'!AG59+'Exhibit H'!AD38+'Exhibit I'!AI46</f>
        <v>96.6</v>
      </c>
      <c r="AF82" s="1695"/>
      <c r="AG82" s="1695"/>
      <c r="AH82" s="1695">
        <f t="shared" si="11"/>
        <v>67.099999999999994</v>
      </c>
      <c r="AI82" s="3276"/>
      <c r="AJ82" s="3510">
        <f>ROUND(IF(AE82=0,0,AH82/ABS(AE82)),3)</f>
        <v>0.69499999999999995</v>
      </c>
    </row>
    <row r="83" spans="1:36" ht="16.5" customHeight="1">
      <c r="A83" s="911" t="s">
        <v>1159</v>
      </c>
      <c r="B83" s="911"/>
      <c r="C83" s="529"/>
      <c r="D83" s="529"/>
      <c r="E83" s="529"/>
      <c r="F83" s="529"/>
      <c r="G83" s="529"/>
      <c r="H83" s="529"/>
      <c r="I83" s="529"/>
      <c r="J83" s="529"/>
      <c r="K83" s="529"/>
      <c r="L83" s="529"/>
      <c r="M83" s="529"/>
      <c r="N83" s="529"/>
      <c r="O83" s="529"/>
      <c r="P83" s="529"/>
      <c r="Q83" s="1695"/>
      <c r="R83" s="529"/>
      <c r="S83" s="529"/>
      <c r="T83" s="529"/>
      <c r="U83" s="529"/>
      <c r="V83" s="529"/>
      <c r="W83" s="529"/>
      <c r="X83" s="529"/>
      <c r="Y83" s="529"/>
      <c r="Z83" s="529"/>
      <c r="AA83" s="530"/>
      <c r="AB83" s="1695"/>
      <c r="AC83" s="1695"/>
      <c r="AD83" s="3514"/>
      <c r="AE83" s="1695"/>
      <c r="AF83" s="1695"/>
      <c r="AG83" s="1695"/>
      <c r="AH83" s="1695"/>
      <c r="AI83" s="3276"/>
      <c r="AJ83" s="1787"/>
    </row>
    <row r="84" spans="1:36" ht="16.5" customHeight="1">
      <c r="A84" s="911" t="s">
        <v>1050</v>
      </c>
      <c r="B84" s="911"/>
      <c r="C84" s="529">
        <f>+'Exhibit G'!D61+'Exhibit I'!E48</f>
        <v>200.8</v>
      </c>
      <c r="D84" s="529"/>
      <c r="E84" s="529">
        <f>+'Exhibit G'!F61+'Exhibit I'!G48</f>
        <v>2.8</v>
      </c>
      <c r="F84" s="529"/>
      <c r="G84" s="529">
        <f>+'Exhibit G'!H61+'Exhibit I'!I48</f>
        <v>146.39999999999998</v>
      </c>
      <c r="H84" s="529"/>
      <c r="I84" s="529">
        <f>+'Exhibit G'!J61+'Exhibit I'!K48</f>
        <v>155.30000000000001</v>
      </c>
      <c r="J84" s="529"/>
      <c r="K84" s="529"/>
      <c r="L84" s="529"/>
      <c r="M84" s="529"/>
      <c r="N84" s="529"/>
      <c r="O84" s="529"/>
      <c r="P84" s="529"/>
      <c r="Q84" s="1695"/>
      <c r="R84" s="529"/>
      <c r="S84" s="529"/>
      <c r="T84" s="529"/>
      <c r="U84" s="529"/>
      <c r="V84" s="529"/>
      <c r="W84" s="529"/>
      <c r="X84" s="529"/>
      <c r="Y84" s="529"/>
      <c r="Z84" s="529"/>
      <c r="AA84" s="530"/>
      <c r="AB84" s="1695">
        <f t="shared" si="10"/>
        <v>505.3</v>
      </c>
      <c r="AC84" s="1695"/>
      <c r="AD84" s="3514"/>
      <c r="AE84" s="1695">
        <f>+'Exhibit G'!AG61+'Exhibit I'!AI48</f>
        <v>554.1</v>
      </c>
      <c r="AF84" s="1695"/>
      <c r="AG84" s="1695"/>
      <c r="AH84" s="1695">
        <f t="shared" si="11"/>
        <v>-48.8</v>
      </c>
      <c r="AI84" s="3276"/>
      <c r="AJ84" s="1791">
        <f>ROUND(IF(AE84=0,1,AH84/ABS(AE84)),3)</f>
        <v>-8.7999999999999995E-2</v>
      </c>
    </row>
    <row r="85" spans="1:36" ht="16.5" customHeight="1">
      <c r="A85" s="911" t="s">
        <v>1051</v>
      </c>
      <c r="B85" s="911"/>
      <c r="C85" s="529">
        <f>+'Exhibit F'!D75+'Exhibit G'!D62</f>
        <v>0</v>
      </c>
      <c r="D85" s="529"/>
      <c r="E85" s="529">
        <f>+'Exhibit F'!F75+'Exhibit G'!F62</f>
        <v>0</v>
      </c>
      <c r="F85" s="529"/>
      <c r="G85" s="529">
        <f>+'Exhibit F'!H75+'Exhibit G'!H62</f>
        <v>0</v>
      </c>
      <c r="H85" s="529"/>
      <c r="I85" s="529">
        <f>+'Exhibit F'!J75+'Exhibit G'!J62</f>
        <v>0</v>
      </c>
      <c r="J85" s="529"/>
      <c r="K85" s="529"/>
      <c r="L85" s="529"/>
      <c r="M85" s="529"/>
      <c r="N85" s="529"/>
      <c r="O85" s="529"/>
      <c r="P85" s="529"/>
      <c r="Q85" s="1695"/>
      <c r="R85" s="529"/>
      <c r="S85" s="529"/>
      <c r="T85" s="529"/>
      <c r="U85" s="529"/>
      <c r="V85" s="529"/>
      <c r="W85" s="529"/>
      <c r="X85" s="529"/>
      <c r="Y85" s="529"/>
      <c r="Z85" s="529"/>
      <c r="AA85" s="530"/>
      <c r="AB85" s="1695">
        <f t="shared" si="10"/>
        <v>0</v>
      </c>
      <c r="AC85" s="1695"/>
      <c r="AD85" s="3514"/>
      <c r="AE85" s="1695">
        <f>+'Exhibit F'!AF75+'Exhibit G'!AG62</f>
        <v>27.7</v>
      </c>
      <c r="AF85" s="1695"/>
      <c r="AG85" s="1695"/>
      <c r="AH85" s="1695">
        <f t="shared" si="11"/>
        <v>-27.7</v>
      </c>
      <c r="AI85" s="3276"/>
      <c r="AJ85" s="1786">
        <f>ROUND(IF(AE85=0,0,AH85/ABS(AE85)),3)</f>
        <v>-1</v>
      </c>
    </row>
    <row r="86" spans="1:36" ht="16.5" customHeight="1">
      <c r="A86" s="911" t="s">
        <v>1052</v>
      </c>
      <c r="B86" s="911"/>
      <c r="C86" s="529">
        <f>+'Exhibit F'!D76+'Exhibit G'!D63</f>
        <v>2</v>
      </c>
      <c r="D86" s="529"/>
      <c r="E86" s="529">
        <f>+'Exhibit F'!F76+'Exhibit G'!F63</f>
        <v>1</v>
      </c>
      <c r="F86" s="529"/>
      <c r="G86" s="529">
        <f>+'Exhibit F'!H76+'Exhibit G'!H63</f>
        <v>15.100000000000001</v>
      </c>
      <c r="H86" s="529"/>
      <c r="I86" s="529">
        <f>+'Exhibit F'!J76+'Exhibit G'!J63</f>
        <v>6.9999999999999982</v>
      </c>
      <c r="J86" s="529"/>
      <c r="K86" s="529"/>
      <c r="L86" s="529"/>
      <c r="M86" s="529"/>
      <c r="N86" s="529"/>
      <c r="O86" s="529"/>
      <c r="P86" s="529"/>
      <c r="Q86" s="1695"/>
      <c r="R86" s="529"/>
      <c r="S86" s="529"/>
      <c r="T86" s="529"/>
      <c r="U86" s="529"/>
      <c r="V86" s="529"/>
      <c r="W86" s="529"/>
      <c r="X86" s="529"/>
      <c r="Y86" s="529"/>
      <c r="Z86" s="529"/>
      <c r="AA86" s="530"/>
      <c r="AB86" s="1695">
        <f t="shared" si="10"/>
        <v>25.1</v>
      </c>
      <c r="AC86" s="1695"/>
      <c r="AD86" s="3514"/>
      <c r="AE86" s="1695">
        <f>+'Exhibit F'!AF76+'Exhibit G'!AG63</f>
        <v>36.5</v>
      </c>
      <c r="AF86" s="1695"/>
      <c r="AG86" s="1695"/>
      <c r="AH86" s="1695">
        <f t="shared" si="11"/>
        <v>-11.4</v>
      </c>
      <c r="AI86" s="3276"/>
      <c r="AJ86" s="1791">
        <f t="shared" ref="AJ86:AJ89" si="13">ROUND(IF(AE86=0,0,AH86/ABS(AE86)),3)</f>
        <v>-0.312</v>
      </c>
    </row>
    <row r="87" spans="1:36" ht="16.5" customHeight="1">
      <c r="A87" s="911" t="s">
        <v>1053</v>
      </c>
      <c r="B87" s="911"/>
      <c r="C87" s="529">
        <f>+'Exhibit F'!D77+'Exhibit G'!D64+'Exhibit I'!E50</f>
        <v>4.2</v>
      </c>
      <c r="D87" s="529"/>
      <c r="E87" s="529">
        <f>+'Exhibit F'!F77+'Exhibit G'!F64+'Exhibit I'!G50</f>
        <v>4.8000000000000007</v>
      </c>
      <c r="F87" s="529"/>
      <c r="G87" s="529">
        <f>+'Exhibit F'!H77+'Exhibit G'!H64+'Exhibit I'!I50</f>
        <v>4.6999999999999993</v>
      </c>
      <c r="H87" s="529"/>
      <c r="I87" s="529">
        <f>+'Exhibit F'!J77+'Exhibit G'!J64+'Exhibit I'!K50</f>
        <v>13.4</v>
      </c>
      <c r="J87" s="529"/>
      <c r="K87" s="529"/>
      <c r="L87" s="529"/>
      <c r="M87" s="529"/>
      <c r="N87" s="529"/>
      <c r="O87" s="529"/>
      <c r="P87" s="529"/>
      <c r="Q87" s="1695"/>
      <c r="R87" s="529"/>
      <c r="S87" s="529"/>
      <c r="T87" s="529"/>
      <c r="U87" s="529"/>
      <c r="V87" s="529"/>
      <c r="W87" s="529"/>
      <c r="X87" s="529"/>
      <c r="Y87" s="529"/>
      <c r="Z87" s="529"/>
      <c r="AA87" s="530"/>
      <c r="AB87" s="1695">
        <f t="shared" si="10"/>
        <v>27.1</v>
      </c>
      <c r="AC87" s="1695"/>
      <c r="AD87" s="3514"/>
      <c r="AE87" s="1695">
        <f>+'Exhibit F'!AF77+'Exhibit G'!AG64+'Exhibit I'!AI50</f>
        <v>24.4</v>
      </c>
      <c r="AF87" s="1695"/>
      <c r="AG87" s="1695"/>
      <c r="AH87" s="1695">
        <f t="shared" si="11"/>
        <v>2.7</v>
      </c>
      <c r="AI87" s="3276"/>
      <c r="AJ87" s="1786">
        <f t="shared" si="13"/>
        <v>0.111</v>
      </c>
    </row>
    <row r="88" spans="1:36" ht="16.5" customHeight="1">
      <c r="A88" s="911" t="s">
        <v>1054</v>
      </c>
      <c r="B88" s="911"/>
      <c r="C88" s="529">
        <f>+'Exhibit F'!D78+'Exhibit G'!D65+'Exhibit H'!B39+'Exhibit I'!E51</f>
        <v>26.400000000000002</v>
      </c>
      <c r="D88" s="529"/>
      <c r="E88" s="529">
        <f>+'Exhibit F'!F78+'Exhibit G'!F65+'Exhibit H'!D39+'Exhibit I'!G51</f>
        <v>3.1999999999999993</v>
      </c>
      <c r="F88" s="529"/>
      <c r="G88" s="529">
        <f>+'Exhibit F'!H78+'Exhibit G'!H65+'Exhibit H'!F39+'Exhibit I'!I51</f>
        <v>6.5999999999999988</v>
      </c>
      <c r="H88" s="529"/>
      <c r="I88" s="529">
        <f>+'Exhibit F'!J78+'Exhibit G'!J65+'Exhibit H'!H39+'Exhibit I'!K51</f>
        <v>4.4000000000000012</v>
      </c>
      <c r="J88" s="529"/>
      <c r="K88" s="529"/>
      <c r="L88" s="529"/>
      <c r="M88" s="529"/>
      <c r="N88" s="529"/>
      <c r="O88" s="529"/>
      <c r="P88" s="529"/>
      <c r="Q88" s="1695"/>
      <c r="R88" s="529"/>
      <c r="S88" s="529"/>
      <c r="T88" s="529"/>
      <c r="U88" s="529"/>
      <c r="V88" s="529"/>
      <c r="W88" s="529"/>
      <c r="X88" s="529"/>
      <c r="Y88" s="529"/>
      <c r="Z88" s="529"/>
      <c r="AA88" s="530"/>
      <c r="AB88" s="1695">
        <f t="shared" si="10"/>
        <v>40.6</v>
      </c>
      <c r="AC88" s="1695"/>
      <c r="AD88" s="3514"/>
      <c r="AE88" s="1695">
        <f>+'Exhibit F'!AF78+'Exhibit G'!AG65+'Exhibit H'!AD39+'Exhibit I'!AI51</f>
        <v>97.1</v>
      </c>
      <c r="AF88" s="1695"/>
      <c r="AG88" s="1695"/>
      <c r="AH88" s="1695">
        <f t="shared" si="11"/>
        <v>-56.5</v>
      </c>
      <c r="AI88" s="3276"/>
      <c r="AJ88" s="1786">
        <f t="shared" si="13"/>
        <v>-0.58199999999999996</v>
      </c>
    </row>
    <row r="89" spans="1:36" ht="16.5" customHeight="1">
      <c r="A89" s="911" t="s">
        <v>1055</v>
      </c>
      <c r="B89" s="911"/>
      <c r="C89" s="529">
        <f>+'Exhibit F'!D79+'Exhibit G'!D66+'Exhibit H'!B40+'Exhibit I'!E52</f>
        <v>40.199999999999996</v>
      </c>
      <c r="D89" s="529"/>
      <c r="E89" s="529">
        <f>+'Exhibit F'!F79+'Exhibit G'!F66+'Exhibit H'!D40+'Exhibit I'!G52</f>
        <v>29.100000000000005</v>
      </c>
      <c r="F89" s="529"/>
      <c r="G89" s="529">
        <f>+'Exhibit F'!H79+'Exhibit G'!H66+'Exhibit H'!F40+'Exhibit I'!I52</f>
        <v>9.0999999999999908</v>
      </c>
      <c r="H89" s="529"/>
      <c r="I89" s="529">
        <f>+'Exhibit F'!J79+'Exhibit G'!J66+'Exhibit H'!H40+'Exhibit I'!K52</f>
        <v>30.200000000000014</v>
      </c>
      <c r="J89" s="529"/>
      <c r="K89" s="529"/>
      <c r="L89" s="529"/>
      <c r="M89" s="529"/>
      <c r="N89" s="529"/>
      <c r="O89" s="529"/>
      <c r="P89" s="529"/>
      <c r="Q89" s="1695"/>
      <c r="R89" s="529"/>
      <c r="S89" s="529"/>
      <c r="T89" s="529"/>
      <c r="U89" s="529"/>
      <c r="V89" s="529"/>
      <c r="W89" s="529"/>
      <c r="X89" s="529"/>
      <c r="Y89" s="529"/>
      <c r="Z89" s="529"/>
      <c r="AA89" s="530"/>
      <c r="AB89" s="1695">
        <f t="shared" si="10"/>
        <v>108.6</v>
      </c>
      <c r="AC89" s="1695"/>
      <c r="AD89" s="3514"/>
      <c r="AE89" s="1695">
        <f>+'Exhibit F'!AF79+'Exhibit G'!AG66+'Exhibit H'!AD40+'Exhibit I'!AI52</f>
        <v>125.5</v>
      </c>
      <c r="AF89" s="1695"/>
      <c r="AG89" s="1695"/>
      <c r="AH89" s="1695">
        <f t="shared" si="11"/>
        <v>-16.899999999999999</v>
      </c>
      <c r="AI89" s="3276"/>
      <c r="AJ89" s="1786">
        <f t="shared" si="13"/>
        <v>-0.13500000000000001</v>
      </c>
    </row>
    <row r="90" spans="1:36" ht="16.5" customHeight="1">
      <c r="A90" s="911" t="s">
        <v>1160</v>
      </c>
      <c r="B90" s="911"/>
      <c r="C90" s="529"/>
      <c r="D90" s="529"/>
      <c r="E90" s="529"/>
      <c r="F90" s="529"/>
      <c r="G90" s="529"/>
      <c r="H90" s="529"/>
      <c r="I90" s="529"/>
      <c r="J90" s="529"/>
      <c r="K90" s="529"/>
      <c r="L90" s="529"/>
      <c r="M90" s="529"/>
      <c r="N90" s="529"/>
      <c r="O90" s="529"/>
      <c r="P90" s="529"/>
      <c r="Q90" s="1695"/>
      <c r="R90" s="529"/>
      <c r="S90" s="529"/>
      <c r="T90" s="529"/>
      <c r="U90" s="529"/>
      <c r="V90" s="529"/>
      <c r="W90" s="529"/>
      <c r="X90" s="529"/>
      <c r="Y90" s="529"/>
      <c r="Z90" s="529"/>
      <c r="AA90" s="530"/>
      <c r="AB90" s="1695"/>
      <c r="AC90" s="1695"/>
      <c r="AD90" s="3514"/>
      <c r="AE90" s="1695"/>
      <c r="AF90" s="1695"/>
      <c r="AG90" s="1695"/>
      <c r="AH90" s="1695"/>
      <c r="AI90" s="3276"/>
      <c r="AJ90" s="1786"/>
    </row>
    <row r="91" spans="1:36" ht="16.5" customHeight="1">
      <c r="A91" s="911" t="s">
        <v>1056</v>
      </c>
      <c r="B91" s="911"/>
      <c r="C91" s="529">
        <f>+'Exhibit F'!D81+'Exhibit G'!D68+'Exhibit I'!E54</f>
        <v>1.9</v>
      </c>
      <c r="D91" s="529"/>
      <c r="E91" s="529">
        <f>+'Exhibit F'!F81+'Exhibit G'!F68+'Exhibit I'!G54</f>
        <v>2.8000000000000003</v>
      </c>
      <c r="F91" s="529"/>
      <c r="G91" s="529">
        <f>+'Exhibit F'!H81+'Exhibit G'!H68+'Exhibit I'!I54</f>
        <v>24.700000000000003</v>
      </c>
      <c r="H91" s="529"/>
      <c r="I91" s="529">
        <f>+'Exhibit F'!J81+'Exhibit G'!J68+'Exhibit I'!K54</f>
        <v>17.7</v>
      </c>
      <c r="J91" s="529"/>
      <c r="K91" s="529"/>
      <c r="L91" s="529"/>
      <c r="M91" s="529"/>
      <c r="N91" s="529"/>
      <c r="O91" s="529"/>
      <c r="P91" s="529"/>
      <c r="Q91" s="1695"/>
      <c r="R91" s="529"/>
      <c r="S91" s="529"/>
      <c r="T91" s="529"/>
      <c r="U91" s="529"/>
      <c r="V91" s="529"/>
      <c r="W91" s="529"/>
      <c r="X91" s="529"/>
      <c r="Y91" s="529"/>
      <c r="Z91" s="529"/>
      <c r="AA91" s="530"/>
      <c r="AB91" s="1695">
        <f t="shared" si="10"/>
        <v>47.1</v>
      </c>
      <c r="AC91" s="1695"/>
      <c r="AD91" s="3514"/>
      <c r="AE91" s="1695">
        <f>+'Exhibit F'!AF81+'Exhibit G'!AG68+'Exhibit I'!AI54</f>
        <v>46</v>
      </c>
      <c r="AF91" s="1695"/>
      <c r="AG91" s="1695"/>
      <c r="AH91" s="1695">
        <f t="shared" si="11"/>
        <v>1.1000000000000001</v>
      </c>
      <c r="AI91" s="3276"/>
      <c r="AJ91" s="1786">
        <f>ROUND(IF(AE91=0,0,AH91/ABS(AE91)),3)</f>
        <v>2.4E-2</v>
      </c>
    </row>
    <row r="92" spans="1:36" ht="16.5" customHeight="1">
      <c r="A92" s="911" t="s">
        <v>1057</v>
      </c>
      <c r="B92" s="911"/>
      <c r="C92" s="529">
        <f>+'Exhibit G'!D69+'Exhibit F'!D82</f>
        <v>0.6</v>
      </c>
      <c r="D92" s="529"/>
      <c r="E92" s="529">
        <f>+'Exhibit G'!F69+'Exhibit F'!F82</f>
        <v>0.6</v>
      </c>
      <c r="F92" s="529"/>
      <c r="G92" s="529">
        <f>+'Exhibit G'!H69+'Exhibit F'!H82</f>
        <v>0.6</v>
      </c>
      <c r="H92" s="529"/>
      <c r="I92" s="529">
        <f>+'Exhibit G'!J69+'Exhibit F'!J82</f>
        <v>0.60000000000000586</v>
      </c>
      <c r="J92" s="529"/>
      <c r="K92" s="529"/>
      <c r="L92" s="529"/>
      <c r="M92" s="529"/>
      <c r="N92" s="529"/>
      <c r="O92" s="529"/>
      <c r="P92" s="529"/>
      <c r="Q92" s="1695"/>
      <c r="R92" s="529"/>
      <c r="S92" s="529"/>
      <c r="T92" s="529"/>
      <c r="U92" s="529"/>
      <c r="V92" s="529"/>
      <c r="W92" s="529"/>
      <c r="X92" s="529"/>
      <c r="Y92" s="529"/>
      <c r="Z92" s="529"/>
      <c r="AA92" s="530"/>
      <c r="AB92" s="1695">
        <f t="shared" si="10"/>
        <v>2.4</v>
      </c>
      <c r="AC92" s="1695"/>
      <c r="AD92" s="3514"/>
      <c r="AE92" s="1695">
        <f>+'Exhibit G'!AG69+'Exhibit F'!AF82</f>
        <v>1.7</v>
      </c>
      <c r="AF92" s="1695"/>
      <c r="AG92" s="1695"/>
      <c r="AH92" s="1695">
        <f t="shared" si="11"/>
        <v>0.7</v>
      </c>
      <c r="AI92" s="3276"/>
      <c r="AJ92" s="1786">
        <f>ROUND(IF(AE92=0,0,AH92/ABS(AE92)),3)</f>
        <v>0.41199999999999998</v>
      </c>
    </row>
    <row r="93" spans="1:36" ht="16.5" customHeight="1">
      <c r="A93" s="911" t="s">
        <v>1448</v>
      </c>
      <c r="B93" s="911"/>
      <c r="C93" s="529">
        <v>0</v>
      </c>
      <c r="D93" s="529"/>
      <c r="E93" s="529">
        <v>0</v>
      </c>
      <c r="F93" s="529"/>
      <c r="G93" s="529">
        <v>0</v>
      </c>
      <c r="H93" s="529"/>
      <c r="I93" s="529">
        <v>0</v>
      </c>
      <c r="J93" s="529"/>
      <c r="K93" s="1695"/>
      <c r="L93" s="529"/>
      <c r="M93" s="1695"/>
      <c r="N93" s="529"/>
      <c r="O93" s="1695"/>
      <c r="P93" s="529"/>
      <c r="Q93" s="1695"/>
      <c r="R93" s="529"/>
      <c r="S93" s="1695"/>
      <c r="T93" s="529"/>
      <c r="U93" s="1695"/>
      <c r="V93" s="529"/>
      <c r="W93" s="1695"/>
      <c r="X93" s="529"/>
      <c r="Y93" s="1695"/>
      <c r="Z93" s="529"/>
      <c r="AA93" s="980"/>
      <c r="AB93" s="1695">
        <f t="shared" si="10"/>
        <v>0</v>
      </c>
      <c r="AC93" s="1695"/>
      <c r="AD93" s="3514"/>
      <c r="AE93" s="1695">
        <f>'Exhibit G'!AG70</f>
        <v>1000</v>
      </c>
      <c r="AF93" s="1695"/>
      <c r="AG93" s="1695"/>
      <c r="AH93" s="1695">
        <f t="shared" ref="AH93" si="14">ROUND(SUM(AB93-AE93),1)</f>
        <v>-1000</v>
      </c>
      <c r="AI93" s="3276"/>
      <c r="AJ93" s="1786">
        <f>ROUND(IF(AE93=0,0,AH93/ABS(AE93)),3)</f>
        <v>-1</v>
      </c>
    </row>
    <row r="94" spans="1:36" ht="16.5" customHeight="1">
      <c r="A94" s="911" t="s">
        <v>1058</v>
      </c>
      <c r="B94" s="911"/>
      <c r="C94" s="529">
        <f>+'Exhibit F'!D83+'Exhibit G'!D71+'Exhibit I'!E55</f>
        <v>10.9</v>
      </c>
      <c r="D94" s="529"/>
      <c r="E94" s="529">
        <f>+'Exhibit F'!F83+'Exhibit G'!F71+'Exhibit I'!G55</f>
        <v>1.5</v>
      </c>
      <c r="F94" s="529"/>
      <c r="G94" s="529">
        <f>+'Exhibit F'!H83+'Exhibit G'!H71+'Exhibit I'!I55</f>
        <v>3.1000000000000005</v>
      </c>
      <c r="H94" s="529"/>
      <c r="I94" s="529">
        <f>+'Exhibit F'!J83+'Exhibit G'!J71+'Exhibit I'!K55</f>
        <v>0.90000000000000036</v>
      </c>
      <c r="J94" s="529"/>
      <c r="K94" s="529"/>
      <c r="L94" s="529"/>
      <c r="M94" s="529"/>
      <c r="N94" s="529"/>
      <c r="O94" s="529"/>
      <c r="P94" s="529"/>
      <c r="Q94" s="1695"/>
      <c r="R94" s="529"/>
      <c r="S94" s="529"/>
      <c r="T94" s="529"/>
      <c r="U94" s="529"/>
      <c r="V94" s="529"/>
      <c r="W94" s="529"/>
      <c r="X94" s="529"/>
      <c r="Y94" s="529"/>
      <c r="Z94" s="529"/>
      <c r="AA94" s="530"/>
      <c r="AB94" s="1695">
        <f t="shared" si="10"/>
        <v>16.399999999999999</v>
      </c>
      <c r="AC94" s="1695"/>
      <c r="AD94" s="3514"/>
      <c r="AE94" s="1695">
        <f>+'Exhibit F'!AF83+'Exhibit G'!AG71+'Exhibit I'!AI55</f>
        <v>8.1</v>
      </c>
      <c r="AF94" s="1695"/>
      <c r="AG94" s="1695"/>
      <c r="AH94" s="1695">
        <f t="shared" si="11"/>
        <v>8.3000000000000007</v>
      </c>
      <c r="AI94" s="3276"/>
      <c r="AJ94" s="1787">
        <f t="shared" ref="AJ94:AJ101" si="15">ROUND(IF(AE94=0,0,AH94/ABS(AE94)),3)</f>
        <v>1.0249999999999999</v>
      </c>
    </row>
    <row r="95" spans="1:36" ht="16.5" customHeight="1">
      <c r="A95" s="911" t="s">
        <v>1059</v>
      </c>
      <c r="B95" s="911"/>
      <c r="C95" s="529">
        <f>+'Exhibit F'!D84+'Exhibit G'!D72+'Exhibit I'!E56</f>
        <v>5.6</v>
      </c>
      <c r="D95" s="529"/>
      <c r="E95" s="529">
        <f>+'Exhibit F'!F84+'Exhibit G'!F72+'Exhibit I'!G56</f>
        <v>5.2000000000000011</v>
      </c>
      <c r="F95" s="529"/>
      <c r="G95" s="529">
        <f>+'Exhibit F'!H84+'Exhibit G'!H72+'Exhibit I'!I56</f>
        <v>8.6999999999999993</v>
      </c>
      <c r="H95" s="529"/>
      <c r="I95" s="529">
        <f>+'Exhibit F'!J84+'Exhibit G'!J72+'Exhibit I'!K56</f>
        <v>8.3000000000000007</v>
      </c>
      <c r="J95" s="529"/>
      <c r="K95" s="529"/>
      <c r="L95" s="529"/>
      <c r="M95" s="529"/>
      <c r="N95" s="529"/>
      <c r="O95" s="529"/>
      <c r="P95" s="529"/>
      <c r="Q95" s="1695"/>
      <c r="R95" s="529"/>
      <c r="S95" s="529"/>
      <c r="T95" s="529"/>
      <c r="U95" s="529"/>
      <c r="V95" s="529"/>
      <c r="W95" s="529"/>
      <c r="X95" s="529"/>
      <c r="Y95" s="529"/>
      <c r="Z95" s="529"/>
      <c r="AA95" s="530"/>
      <c r="AB95" s="1695">
        <f>ROUND(SUM(C95:Y95),1)</f>
        <v>27.8</v>
      </c>
      <c r="AC95" s="1695"/>
      <c r="AD95" s="3514"/>
      <c r="AE95" s="1695">
        <f>+'Exhibit F'!AF84+'Exhibit G'!AG72+'Exhibit I'!AI56</f>
        <v>22.700000000000003</v>
      </c>
      <c r="AF95" s="1695"/>
      <c r="AG95" s="1695"/>
      <c r="AH95" s="1695">
        <f t="shared" si="11"/>
        <v>5.0999999999999996</v>
      </c>
      <c r="AI95" s="3276"/>
      <c r="AJ95" s="1787">
        <f t="shared" si="15"/>
        <v>0.22500000000000001</v>
      </c>
    </row>
    <row r="96" spans="1:36" ht="16.5" customHeight="1">
      <c r="A96" s="911" t="s">
        <v>1060</v>
      </c>
      <c r="B96" s="911"/>
      <c r="C96" s="529">
        <f>+'Exhibit F'!D85+'Exhibit G'!D73+'Exhibit H'!B42</f>
        <v>239.4</v>
      </c>
      <c r="D96" s="529"/>
      <c r="E96" s="529">
        <f>+'Exhibit F'!F85+'Exhibit G'!F73+'Exhibit H'!D42</f>
        <v>194.89999999999998</v>
      </c>
      <c r="F96" s="529"/>
      <c r="G96" s="529">
        <f>+'Exhibit F'!H85+'Exhibit G'!H73+'Exhibit H'!F42</f>
        <v>198.09999999999997</v>
      </c>
      <c r="H96" s="529"/>
      <c r="I96" s="529">
        <f>+'Exhibit F'!J85+'Exhibit G'!J73+'Exhibit H'!H42</f>
        <v>240.80000000000013</v>
      </c>
      <c r="J96" s="529"/>
      <c r="K96" s="529"/>
      <c r="L96" s="529"/>
      <c r="M96" s="529"/>
      <c r="N96" s="529"/>
      <c r="O96" s="529"/>
      <c r="P96" s="529"/>
      <c r="Q96" s="1695"/>
      <c r="R96" s="529"/>
      <c r="S96" s="529"/>
      <c r="T96" s="529"/>
      <c r="U96" s="529"/>
      <c r="V96" s="529"/>
      <c r="W96" s="529"/>
      <c r="X96" s="529"/>
      <c r="Y96" s="529"/>
      <c r="Z96" s="529"/>
      <c r="AA96" s="530"/>
      <c r="AB96" s="1695">
        <f t="shared" si="10"/>
        <v>873.2</v>
      </c>
      <c r="AC96" s="1695"/>
      <c r="AD96" s="3514"/>
      <c r="AE96" s="1695">
        <f>+'Exhibit F'!AF85+'Exhibit G'!AG73+'Exhibit H'!AD42</f>
        <v>909.1</v>
      </c>
      <c r="AF96" s="1695"/>
      <c r="AG96" s="1695"/>
      <c r="AH96" s="1695">
        <f t="shared" si="11"/>
        <v>-35.9</v>
      </c>
      <c r="AI96" s="3276"/>
      <c r="AJ96" s="1787">
        <f t="shared" si="15"/>
        <v>-3.9E-2</v>
      </c>
    </row>
    <row r="97" spans="1:45" ht="16.5" customHeight="1">
      <c r="A97" s="911" t="s">
        <v>1061</v>
      </c>
      <c r="B97" s="911"/>
      <c r="C97" s="529">
        <f>+'Exhibit G'!D74+'Exhibit F'!D86+'Exhibit I'!E57</f>
        <v>12.3</v>
      </c>
      <c r="D97" s="529"/>
      <c r="E97" s="529">
        <f>+'Exhibit G'!F74+'Exhibit F'!F86+'Exhibit I'!G57</f>
        <v>11.499999999999998</v>
      </c>
      <c r="F97" s="529"/>
      <c r="G97" s="529">
        <f>+'Exhibit G'!H74+'Exhibit F'!H86+'Exhibit I'!I57</f>
        <v>14.7</v>
      </c>
      <c r="H97" s="529"/>
      <c r="I97" s="529">
        <f>+'Exhibit G'!J74+'Exhibit F'!J86+'Exhibit I'!K57</f>
        <v>22.100000000000005</v>
      </c>
      <c r="J97" s="529"/>
      <c r="K97" s="529"/>
      <c r="L97" s="529"/>
      <c r="M97" s="529"/>
      <c r="N97" s="529"/>
      <c r="O97" s="529"/>
      <c r="P97" s="529"/>
      <c r="Q97" s="1695"/>
      <c r="R97" s="529"/>
      <c r="S97" s="529"/>
      <c r="T97" s="529"/>
      <c r="U97" s="529"/>
      <c r="V97" s="529"/>
      <c r="W97" s="529"/>
      <c r="X97" s="529"/>
      <c r="Y97" s="529"/>
      <c r="Z97" s="529"/>
      <c r="AA97" s="530"/>
      <c r="AB97" s="1695">
        <f t="shared" si="10"/>
        <v>60.6</v>
      </c>
      <c r="AC97" s="1695"/>
      <c r="AD97" s="3514"/>
      <c r="AE97" s="1695">
        <f>+'Exhibit G'!AG74+'Exhibit F'!AF86+'Exhibit I'!AI57</f>
        <v>49.699999999999996</v>
      </c>
      <c r="AF97" s="1695"/>
      <c r="AG97" s="1695"/>
      <c r="AH97" s="1695">
        <f t="shared" si="11"/>
        <v>10.9</v>
      </c>
      <c r="AI97" s="3276"/>
      <c r="AJ97" s="1787">
        <f t="shared" si="15"/>
        <v>0.219</v>
      </c>
    </row>
    <row r="98" spans="1:45" ht="16.5" customHeight="1">
      <c r="A98" s="911" t="s">
        <v>1062</v>
      </c>
      <c r="B98" s="911"/>
      <c r="C98" s="529">
        <f>+'Exhibit F'!D87+'Exhibit G'!D75+'Exhibit I'!E58</f>
        <v>7.8</v>
      </c>
      <c r="D98" s="529"/>
      <c r="E98" s="529">
        <f>+'Exhibit F'!F87+'Exhibit G'!F75+'Exhibit I'!G58</f>
        <v>1.7000000000000011</v>
      </c>
      <c r="F98" s="529"/>
      <c r="G98" s="529">
        <f>+'Exhibit F'!H87+'Exhibit G'!H75+'Exhibit I'!I58</f>
        <v>1.399999999999999</v>
      </c>
      <c r="H98" s="529"/>
      <c r="I98" s="529">
        <f>+'Exhibit F'!J87+'Exhibit G'!J75+'Exhibit I'!K58</f>
        <v>1.0999999999999999</v>
      </c>
      <c r="J98" s="529"/>
      <c r="K98" s="529"/>
      <c r="L98" s="529"/>
      <c r="M98" s="529"/>
      <c r="N98" s="529"/>
      <c r="O98" s="529"/>
      <c r="P98" s="529"/>
      <c r="Q98" s="1695"/>
      <c r="R98" s="529"/>
      <c r="S98" s="529"/>
      <c r="T98" s="529"/>
      <c r="U98" s="529"/>
      <c r="V98" s="529"/>
      <c r="W98" s="529"/>
      <c r="X98" s="529"/>
      <c r="Y98" s="529"/>
      <c r="Z98" s="529"/>
      <c r="AA98" s="530"/>
      <c r="AB98" s="1695">
        <f t="shared" si="10"/>
        <v>12</v>
      </c>
      <c r="AC98" s="1695"/>
      <c r="AD98" s="3514"/>
      <c r="AE98" s="1695">
        <f>+'Exhibit F'!AF87+'Exhibit G'!AG75+'Exhibit I'!AI58</f>
        <v>171.20000000000002</v>
      </c>
      <c r="AF98" s="1695"/>
      <c r="AG98" s="1695"/>
      <c r="AH98" s="1695">
        <f t="shared" si="11"/>
        <v>-159.19999999999999</v>
      </c>
      <c r="AI98" s="3276"/>
      <c r="AJ98" s="3510">
        <f t="shared" si="15"/>
        <v>-0.93</v>
      </c>
    </row>
    <row r="99" spans="1:45" ht="16.5" customHeight="1">
      <c r="A99" s="911" t="s">
        <v>1063</v>
      </c>
      <c r="B99" s="911"/>
      <c r="C99" s="529">
        <f>+'Exhibit F'!D88+'Exhibit G'!D76</f>
        <v>7.5</v>
      </c>
      <c r="D99" s="529"/>
      <c r="E99" s="529">
        <f>+'Exhibit F'!F88+'Exhibit G'!F76</f>
        <v>3.0999999999999996</v>
      </c>
      <c r="F99" s="529"/>
      <c r="G99" s="529">
        <f>+'Exhibit F'!H88+'Exhibit G'!H76</f>
        <v>8.5000000000000018</v>
      </c>
      <c r="H99" s="529"/>
      <c r="I99" s="529">
        <f>+'Exhibit F'!J88+'Exhibit G'!J76</f>
        <v>7.4999999999999982</v>
      </c>
      <c r="J99" s="529"/>
      <c r="K99" s="529"/>
      <c r="L99" s="529"/>
      <c r="M99" s="529"/>
      <c r="N99" s="529"/>
      <c r="O99" s="529"/>
      <c r="P99" s="529"/>
      <c r="Q99" s="1695"/>
      <c r="R99" s="529"/>
      <c r="S99" s="529"/>
      <c r="T99" s="529"/>
      <c r="U99" s="529"/>
      <c r="V99" s="529"/>
      <c r="W99" s="529"/>
      <c r="X99" s="529"/>
      <c r="Y99" s="529"/>
      <c r="Z99" s="529"/>
      <c r="AA99" s="530"/>
      <c r="AB99" s="1695">
        <f t="shared" si="10"/>
        <v>26.6</v>
      </c>
      <c r="AC99" s="1695"/>
      <c r="AD99" s="3514"/>
      <c r="AE99" s="1695">
        <f>+'Exhibit F'!AF88+'Exhibit G'!AG76</f>
        <v>38.299999999999997</v>
      </c>
      <c r="AF99" s="1695"/>
      <c r="AG99" s="1695"/>
      <c r="AH99" s="1695">
        <f t="shared" si="11"/>
        <v>-11.7</v>
      </c>
      <c r="AI99" s="3276"/>
      <c r="AJ99" s="1787">
        <f t="shared" si="15"/>
        <v>-0.30499999999999999</v>
      </c>
    </row>
    <row r="100" spans="1:45" ht="16.5" customHeight="1">
      <c r="A100" s="911" t="s">
        <v>1064</v>
      </c>
      <c r="B100" s="911"/>
      <c r="C100" s="529">
        <f>+'Exhibit F'!D89+'Exhibit G'!D77+'Exhibit I'!E59+'Exhibit H'!B43</f>
        <v>52.9</v>
      </c>
      <c r="D100" s="529"/>
      <c r="E100" s="529">
        <f>+'Exhibit F'!F89+'Exhibit G'!F77+'Exhibit I'!G59+'Exhibit H'!D43</f>
        <v>55.999999999999993</v>
      </c>
      <c r="F100" s="529"/>
      <c r="G100" s="529">
        <f>+'Exhibit F'!H89+'Exhibit G'!H77+'Exhibit I'!I59+'Exhibit H'!F43</f>
        <v>47.099999999999994</v>
      </c>
      <c r="H100" s="529"/>
      <c r="I100" s="529">
        <f>+'Exhibit F'!J89+'Exhibit G'!J77+'Exhibit I'!K59+'Exhibit H'!H43</f>
        <v>57.800000000000011</v>
      </c>
      <c r="J100" s="529"/>
      <c r="K100" s="529"/>
      <c r="L100" s="529"/>
      <c r="M100" s="529"/>
      <c r="N100" s="529"/>
      <c r="O100" s="529"/>
      <c r="P100" s="529"/>
      <c r="Q100" s="1695"/>
      <c r="R100" s="529"/>
      <c r="S100" s="529"/>
      <c r="T100" s="529"/>
      <c r="U100" s="529"/>
      <c r="V100" s="529"/>
      <c r="W100" s="529"/>
      <c r="X100" s="529"/>
      <c r="Y100" s="529"/>
      <c r="Z100" s="529"/>
      <c r="AA100" s="530"/>
      <c r="AB100" s="1695">
        <f t="shared" si="10"/>
        <v>213.8</v>
      </c>
      <c r="AC100" s="1695"/>
      <c r="AD100" s="3514"/>
      <c r="AE100" s="1695">
        <f>+'Exhibit F'!AF89+'Exhibit G'!AG77+'Exhibit I'!AI59+'Exhibit H'!AD43</f>
        <v>179.59999999999997</v>
      </c>
      <c r="AF100" s="1695"/>
      <c r="AG100" s="1695"/>
      <c r="AH100" s="1695">
        <f t="shared" si="11"/>
        <v>34.200000000000003</v>
      </c>
      <c r="AI100" s="3276"/>
      <c r="AJ100" s="1787">
        <f t="shared" si="15"/>
        <v>0.19</v>
      </c>
    </row>
    <row r="101" spans="1:45" ht="16.5" customHeight="1">
      <c r="A101" s="911" t="s">
        <v>1065</v>
      </c>
      <c r="B101" s="911"/>
      <c r="C101" s="529">
        <f>+'Exhibit F'!D90+'Exhibit G'!D78+'Exhibit I'!E60+'Exhibit H'!B44</f>
        <v>5.1999999999999993</v>
      </c>
      <c r="D101" s="529"/>
      <c r="E101" s="529">
        <f>+'Exhibit F'!F90+'Exhibit G'!F78+'Exhibit I'!G60+'Exhibit H'!D44</f>
        <v>0.79999999999999993</v>
      </c>
      <c r="F101" s="529"/>
      <c r="G101" s="529">
        <f>+'Exhibit F'!H90+'Exhibit G'!H78+'Exhibit I'!I60+'Exhibit H'!F44</f>
        <v>1.2000000000000004</v>
      </c>
      <c r="H101" s="529"/>
      <c r="I101" s="529">
        <f>+'Exhibit F'!J90+'Exhibit G'!J78+'Exhibit I'!K60+'Exhibit H'!H44</f>
        <v>2.6999999999999997</v>
      </c>
      <c r="J101" s="529"/>
      <c r="K101" s="529"/>
      <c r="L101" s="529"/>
      <c r="M101" s="529"/>
      <c r="N101" s="529"/>
      <c r="O101" s="529"/>
      <c r="P101" s="529"/>
      <c r="Q101" s="1695"/>
      <c r="R101" s="529"/>
      <c r="S101" s="529"/>
      <c r="T101" s="529"/>
      <c r="U101" s="529"/>
      <c r="V101" s="529"/>
      <c r="W101" s="529"/>
      <c r="X101" s="529"/>
      <c r="Y101" s="529"/>
      <c r="Z101" s="529"/>
      <c r="AA101" s="530"/>
      <c r="AB101" s="1695">
        <f t="shared" si="10"/>
        <v>9.9</v>
      </c>
      <c r="AC101" s="1695"/>
      <c r="AD101" s="3514"/>
      <c r="AE101" s="1695">
        <f>+'Exhibit F'!AF90+'Exhibit G'!AG78+'Exhibit I'!AI60+'Exhibit H'!AD44</f>
        <v>8.9999999999999538</v>
      </c>
      <c r="AF101" s="1695"/>
      <c r="AG101" s="1695"/>
      <c r="AH101" s="1695">
        <f t="shared" si="11"/>
        <v>0.9</v>
      </c>
      <c r="AI101" s="3276"/>
      <c r="AJ101" s="1787">
        <f t="shared" si="15"/>
        <v>0.1</v>
      </c>
    </row>
    <row r="102" spans="1:45" ht="16.5" customHeight="1">
      <c r="A102" s="911" t="s">
        <v>1066</v>
      </c>
      <c r="B102" s="911"/>
      <c r="C102" s="529">
        <f>+'Exhibit G'!D79</f>
        <v>52</v>
      </c>
      <c r="D102" s="529"/>
      <c r="E102" s="529">
        <f>+'Exhibit G'!F79</f>
        <v>48.099999999999994</v>
      </c>
      <c r="F102" s="529"/>
      <c r="G102" s="529">
        <f>+'Exhibit G'!H79</f>
        <v>34.900000000000006</v>
      </c>
      <c r="H102" s="529"/>
      <c r="I102" s="529">
        <f>+'Exhibit G'!J79</f>
        <v>45</v>
      </c>
      <c r="J102" s="529"/>
      <c r="K102" s="529"/>
      <c r="L102" s="529"/>
      <c r="M102" s="529"/>
      <c r="N102" s="529"/>
      <c r="O102" s="529"/>
      <c r="P102" s="529"/>
      <c r="Q102" s="1695"/>
      <c r="R102" s="529"/>
      <c r="S102" s="529"/>
      <c r="T102" s="529"/>
      <c r="U102" s="529"/>
      <c r="V102" s="529"/>
      <c r="W102" s="529"/>
      <c r="X102" s="529"/>
      <c r="Y102" s="529"/>
      <c r="Z102" s="529"/>
      <c r="AA102" s="530"/>
      <c r="AB102" s="1695">
        <f t="shared" si="10"/>
        <v>180</v>
      </c>
      <c r="AC102" s="1695"/>
      <c r="AD102" s="3514"/>
      <c r="AE102" s="1695">
        <f>+'Exhibit G'!AG79</f>
        <v>218.7</v>
      </c>
      <c r="AF102" s="1695"/>
      <c r="AG102" s="1695"/>
      <c r="AH102" s="1695">
        <f t="shared" si="11"/>
        <v>-38.700000000000003</v>
      </c>
      <c r="AI102" s="3276"/>
      <c r="AJ102" s="1787">
        <f>ROUND(IF(AE102=0,0,AH102/ABS(AE102)),3)</f>
        <v>-0.17699999999999999</v>
      </c>
    </row>
    <row r="103" spans="1:45" s="435" customFormat="1" ht="16.5" customHeight="1">
      <c r="A103" s="312" t="s">
        <v>1100</v>
      </c>
      <c r="B103" s="209"/>
      <c r="C103" s="258">
        <f>ROUND(SUM(C62:C102),1)</f>
        <v>2659.7</v>
      </c>
      <c r="D103" s="1089"/>
      <c r="E103" s="258">
        <f>ROUND(SUM(E62:E102),1)</f>
        <v>1871.3</v>
      </c>
      <c r="F103" s="1089"/>
      <c r="G103" s="258">
        <f>ROUND(SUM(G62:G102),1)</f>
        <v>1971.5</v>
      </c>
      <c r="H103" s="941"/>
      <c r="I103" s="258">
        <f>ROUND(SUM(I62:I102),1)</f>
        <v>1968.6</v>
      </c>
      <c r="J103" s="941"/>
      <c r="K103" s="258">
        <f>ROUND(SUM(K62:K102),1)</f>
        <v>0</v>
      </c>
      <c r="L103" s="941"/>
      <c r="M103" s="258">
        <f>ROUND(SUM(M62:M102),1)</f>
        <v>0</v>
      </c>
      <c r="N103" s="941"/>
      <c r="O103" s="2124">
        <f>ROUND(SUM(O62:O102),1)</f>
        <v>0</v>
      </c>
      <c r="P103" s="941"/>
      <c r="Q103" s="2124">
        <f>ROUND(SUM(Q62:Q102),1)</f>
        <v>0</v>
      </c>
      <c r="R103" s="941"/>
      <c r="S103" s="258">
        <f>ROUND(SUM(S62:S102),1)</f>
        <v>0</v>
      </c>
      <c r="T103" s="941"/>
      <c r="U103" s="258">
        <f>ROUND(SUM(U62:U102),1)</f>
        <v>0</v>
      </c>
      <c r="V103" s="941"/>
      <c r="W103" s="258">
        <f>ROUND(SUM(W62:W102),1)</f>
        <v>0</v>
      </c>
      <c r="X103" s="207"/>
      <c r="Y103" s="258">
        <f>ROUND(SUM(Y62:Y102),1)</f>
        <v>0</v>
      </c>
      <c r="Z103" s="207"/>
      <c r="AA103" s="259"/>
      <c r="AB103" s="1586">
        <f>ROUND(SUM(AB62:AB102),1)</f>
        <v>8471.1</v>
      </c>
      <c r="AC103" s="112"/>
      <c r="AD103" s="693"/>
      <c r="AE103" s="1586">
        <f>ROUND(SUM(AE62:AE102),1)</f>
        <v>8878.6</v>
      </c>
      <c r="AF103" s="115"/>
      <c r="AG103" s="3516"/>
      <c r="AH103" s="1586">
        <f>ROUND(SUM(AH62:AH102),1)</f>
        <v>-407.5</v>
      </c>
      <c r="AI103" s="115"/>
      <c r="AJ103" s="3511">
        <f>ROUND(IF(AE103=0,0,AH103/ABS(AE103)),3)</f>
        <v>-4.5999999999999999E-2</v>
      </c>
      <c r="AK103" s="3503"/>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84"/>
      <c r="R104" s="534"/>
      <c r="S104" s="534"/>
      <c r="T104" s="534"/>
      <c r="U104" s="534"/>
      <c r="V104" s="534"/>
      <c r="W104" s="534"/>
      <c r="X104" s="534"/>
      <c r="Y104" s="534"/>
      <c r="Z104" s="534"/>
      <c r="AA104" s="535"/>
      <c r="AB104" s="3284"/>
      <c r="AC104" s="3285"/>
      <c r="AD104" s="3517"/>
      <c r="AE104" s="3284"/>
      <c r="AF104" s="3285"/>
      <c r="AG104" s="3284"/>
      <c r="AH104" s="3284"/>
      <c r="AI104" s="3277"/>
      <c r="AJ104" s="3502"/>
      <c r="AK104" s="3503"/>
    </row>
    <row r="105" spans="1:45" ht="16.5" customHeight="1">
      <c r="A105" s="225" t="s">
        <v>21</v>
      </c>
      <c r="B105" s="225"/>
      <c r="C105" s="532">
        <f>+'Exhibit F'!D93+'Exhibit G'!D82+'Exhibit H'!B47+'Exhibit I'!E63</f>
        <v>6242</v>
      </c>
      <c r="D105" s="529"/>
      <c r="E105" s="532">
        <f>+'Exhibit F'!F93+'Exhibit G'!F82+'Exhibit H'!D47+'Exhibit I'!G63</f>
        <v>4959.2</v>
      </c>
      <c r="F105" s="529"/>
      <c r="G105" s="532">
        <f>+'Exhibit F'!H93+'Exhibit G'!H82+'Exhibit H'!F47+'Exhibit I'!I63</f>
        <v>5803.7999999999993</v>
      </c>
      <c r="H105" s="529"/>
      <c r="I105" s="532">
        <f>+'Exhibit F'!J93+'Exhibit G'!J82+'Exhibit H'!H47+'Exhibit I'!K63</f>
        <v>3275.4000000000005</v>
      </c>
      <c r="J105" s="529"/>
      <c r="K105" s="532"/>
      <c r="L105" s="529"/>
      <c r="M105" s="532"/>
      <c r="N105" s="529"/>
      <c r="O105" s="532"/>
      <c r="P105" s="529"/>
      <c r="Q105" s="3518"/>
      <c r="R105" s="529"/>
      <c r="S105" s="532"/>
      <c r="T105" s="529"/>
      <c r="U105" s="532"/>
      <c r="V105" s="529"/>
      <c r="W105" s="532"/>
      <c r="X105" s="529"/>
      <c r="Y105" s="532"/>
      <c r="Z105" s="529"/>
      <c r="AA105" s="530"/>
      <c r="AB105" s="3286">
        <f>ROUND(SUM(C105:Y105),1)</f>
        <v>20280.400000000001</v>
      </c>
      <c r="AC105" s="1695"/>
      <c r="AD105" s="3514"/>
      <c r="AE105" s="3518">
        <f>+'Exhibit F'!AF93+'Exhibit G'!AG82+'Exhibit H'!AD47+'Exhibit I'!AI63</f>
        <v>18070.999999999996</v>
      </c>
      <c r="AF105" s="2243"/>
      <c r="AG105" s="1695"/>
      <c r="AH105" s="3286">
        <f>ROUND(SUM(AB105-AE105),1)</f>
        <v>2209.4</v>
      </c>
      <c r="AI105" s="3276"/>
      <c r="AJ105" s="3519">
        <f>ROUND(IF(AE105=0,0,AH105/ABS(AE105)),3)</f>
        <v>0.122</v>
      </c>
    </row>
    <row r="106" spans="1:45" ht="16.5" customHeight="1">
      <c r="A106" s="225"/>
      <c r="B106" s="225"/>
      <c r="C106" s="529"/>
      <c r="D106" s="529"/>
      <c r="E106" s="529"/>
      <c r="F106" s="529"/>
      <c r="G106" s="529"/>
      <c r="H106" s="529"/>
      <c r="I106" s="529"/>
      <c r="J106" s="529"/>
      <c r="K106" s="529"/>
      <c r="L106" s="529"/>
      <c r="M106" s="529"/>
      <c r="N106" s="529"/>
      <c r="O106" s="529"/>
      <c r="P106" s="529"/>
      <c r="Q106" s="1695"/>
      <c r="R106" s="529"/>
      <c r="S106" s="529"/>
      <c r="T106" s="529"/>
      <c r="U106" s="529"/>
      <c r="V106" s="529"/>
      <c r="W106" s="529"/>
      <c r="X106" s="529"/>
      <c r="Y106" s="529"/>
      <c r="Z106" s="529"/>
      <c r="AA106" s="530"/>
      <c r="AB106" s="1695"/>
      <c r="AC106" s="1695"/>
      <c r="AD106" s="3514"/>
      <c r="AE106" s="1695"/>
      <c r="AF106" s="2243"/>
      <c r="AG106" s="1695"/>
      <c r="AH106" s="1695"/>
      <c r="AI106" s="3276"/>
      <c r="AJ106" s="3520"/>
    </row>
    <row r="107" spans="1:45" ht="16.5" customHeight="1">
      <c r="A107" s="29" t="s">
        <v>151</v>
      </c>
      <c r="B107" s="30"/>
      <c r="C107" s="847">
        <f>ROUND(SUM(C105+C103+C58),1)</f>
        <v>20463.099999999999</v>
      </c>
      <c r="D107" s="941"/>
      <c r="E107" s="847">
        <f>ROUND(SUM(E105+E103+E58),1)</f>
        <v>10716</v>
      </c>
      <c r="F107" s="941"/>
      <c r="G107" s="847">
        <f>ROUND(SUM(G105+G103+G58),1)</f>
        <v>16419.8</v>
      </c>
      <c r="H107" s="941"/>
      <c r="I107" s="847">
        <f>ROUND(SUM(I105+I103+I58),1)</f>
        <v>10554.7</v>
      </c>
      <c r="J107" s="941"/>
      <c r="K107" s="847">
        <f>ROUND(SUM(K105+K103+K58),1)</f>
        <v>0</v>
      </c>
      <c r="L107" s="941"/>
      <c r="M107" s="847">
        <f>ROUND(SUM(M105+M103+M58),1)</f>
        <v>0</v>
      </c>
      <c r="N107" s="941"/>
      <c r="O107" s="1129">
        <f>ROUND(SUM(O105+O103+O58),1)</f>
        <v>0</v>
      </c>
      <c r="P107" s="941"/>
      <c r="Q107" s="1129">
        <f>ROUND(SUM(Q105+Q103+Q58),1)</f>
        <v>0</v>
      </c>
      <c r="R107" s="941"/>
      <c r="S107" s="847">
        <f>ROUND(SUM(S105+S103+S58),1)</f>
        <v>0</v>
      </c>
      <c r="T107" s="941"/>
      <c r="U107" s="847">
        <f>ROUND(SUM(U105+U103+U58),1)</f>
        <v>0</v>
      </c>
      <c r="V107" s="941"/>
      <c r="W107" s="847">
        <f>ROUND(SUM(W105+W103+W58),1)</f>
        <v>0</v>
      </c>
      <c r="X107" s="207"/>
      <c r="Y107" s="847">
        <f>ROUND(SUM(Y105+Y103+Y58),1)</f>
        <v>0</v>
      </c>
      <c r="Z107" s="253"/>
      <c r="AA107" s="254"/>
      <c r="AB107" s="1129">
        <f>ROUND(SUM(AB105+AB103+AB58),1)</f>
        <v>58153.599999999999</v>
      </c>
      <c r="AC107" s="112"/>
      <c r="AD107" s="693"/>
      <c r="AE107" s="1129">
        <f>ROUND(SUM(AE105+AE103+AE58),1)</f>
        <v>51474.9</v>
      </c>
      <c r="AF107" s="115"/>
      <c r="AG107" s="3516"/>
      <c r="AH107" s="1129">
        <f>ROUND(SUM(AH105+AH103+AH58),1)</f>
        <v>6678.7</v>
      </c>
      <c r="AI107" s="115"/>
      <c r="AJ107" s="3513">
        <f>ROUND(IF(AE107=0,0,AH107/ABS(AE107)),3)</f>
        <v>0.13</v>
      </c>
      <c r="AK107" s="3503"/>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87"/>
      <c r="R108" s="529"/>
      <c r="S108" s="536"/>
      <c r="T108" s="529"/>
      <c r="U108" s="536"/>
      <c r="V108" s="529"/>
      <c r="W108" s="536"/>
      <c r="X108" s="529"/>
      <c r="Y108" s="536"/>
      <c r="Z108" s="529"/>
      <c r="AA108" s="530"/>
      <c r="AB108" s="3287"/>
      <c r="AC108" s="1695"/>
      <c r="AD108" s="3514"/>
      <c r="AE108" s="3287"/>
      <c r="AF108" s="1695"/>
      <c r="AG108" s="1695"/>
      <c r="AH108" s="914"/>
      <c r="AI108" s="3276"/>
      <c r="AJ108" s="910"/>
    </row>
    <row r="109" spans="1:45" ht="16.5" customHeight="1">
      <c r="A109" s="207" t="s">
        <v>23</v>
      </c>
      <c r="B109" s="225"/>
      <c r="C109" s="537"/>
      <c r="D109" s="529"/>
      <c r="E109" s="537"/>
      <c r="F109" s="529"/>
      <c r="G109" s="537"/>
      <c r="H109" s="529"/>
      <c r="I109" s="537"/>
      <c r="J109" s="529"/>
      <c r="K109" s="537"/>
      <c r="L109" s="529"/>
      <c r="M109" s="537"/>
      <c r="N109" s="529"/>
      <c r="O109" s="537"/>
      <c r="P109" s="529"/>
      <c r="Q109" s="2243"/>
      <c r="R109" s="529"/>
      <c r="S109" s="537"/>
      <c r="T109" s="529"/>
      <c r="U109" s="537"/>
      <c r="V109" s="529"/>
      <c r="W109" s="537"/>
      <c r="X109" s="529"/>
      <c r="Y109" s="537"/>
      <c r="Z109" s="529"/>
      <c r="AA109" s="530"/>
      <c r="AB109" s="2243"/>
      <c r="AC109" s="1695"/>
      <c r="AD109" s="3514"/>
      <c r="AE109" s="2243"/>
      <c r="AF109" s="1695"/>
      <c r="AG109" s="1695"/>
      <c r="AH109" s="914"/>
      <c r="AI109" s="3276"/>
      <c r="AJ109" s="910"/>
    </row>
    <row r="110" spans="1:45" ht="16.5" customHeight="1">
      <c r="A110" s="225" t="s">
        <v>138</v>
      </c>
      <c r="B110" s="225"/>
      <c r="C110" s="529"/>
      <c r="D110" s="529"/>
      <c r="E110" s="529"/>
      <c r="F110" s="529"/>
      <c r="G110" s="529"/>
      <c r="H110" s="529"/>
      <c r="I110" s="529"/>
      <c r="J110" s="529"/>
      <c r="K110" s="529"/>
      <c r="L110" s="529"/>
      <c r="M110" s="529"/>
      <c r="N110" s="529"/>
      <c r="O110" s="529"/>
      <c r="P110" s="529"/>
      <c r="Q110" s="1695"/>
      <c r="R110" s="529"/>
      <c r="S110" s="529"/>
      <c r="T110" s="529"/>
      <c r="U110" s="529"/>
      <c r="V110" s="529"/>
      <c r="W110" s="529"/>
      <c r="X110" s="529"/>
      <c r="Y110" s="529"/>
      <c r="Z110" s="529"/>
      <c r="AA110" s="530"/>
      <c r="AB110" s="1695"/>
      <c r="AC110" s="1695"/>
      <c r="AD110" s="3514"/>
      <c r="AE110" s="118"/>
      <c r="AF110" s="1695"/>
      <c r="AG110" s="1695"/>
      <c r="AH110" s="1695"/>
      <c r="AI110" s="3276"/>
      <c r="AJ110" s="3515"/>
    </row>
    <row r="111" spans="1:45" ht="16.5" customHeight="1">
      <c r="A111" s="256" t="s">
        <v>25</v>
      </c>
      <c r="B111" s="225"/>
      <c r="C111" s="529">
        <f>+'Exhibit F'!D99+'Exhibit G'!D88+'Exhibit I'!E69</f>
        <v>1263.9000000000001</v>
      </c>
      <c r="D111" s="529"/>
      <c r="E111" s="529">
        <f>+'Exhibit F'!F99+'Exhibit G'!F88+'Exhibit I'!G69</f>
        <v>4574</v>
      </c>
      <c r="F111" s="529"/>
      <c r="G111" s="529">
        <f>+'Exhibit F'!H99+'Exhibit G'!H88+'Exhibit I'!I69</f>
        <v>2811.5000000000005</v>
      </c>
      <c r="H111" s="529"/>
      <c r="I111" s="529">
        <f>+'Exhibit F'!J99+'Exhibit G'!J88+'Exhibit I'!K69</f>
        <v>1910.1999999999996</v>
      </c>
      <c r="J111" s="529"/>
      <c r="K111" s="529"/>
      <c r="L111" s="529"/>
      <c r="M111" s="529"/>
      <c r="N111" s="529"/>
      <c r="O111" s="529"/>
      <c r="P111" s="529"/>
      <c r="Q111" s="1695"/>
      <c r="R111" s="529"/>
      <c r="S111" s="529"/>
      <c r="T111" s="529"/>
      <c r="U111" s="529"/>
      <c r="V111" s="529"/>
      <c r="W111" s="529"/>
      <c r="X111" s="529"/>
      <c r="Y111" s="529"/>
      <c r="Z111" s="529"/>
      <c r="AA111" s="530"/>
      <c r="AB111" s="118">
        <f>ROUND(SUM(C111:Y111),1)</f>
        <v>10559.6</v>
      </c>
      <c r="AC111" s="1695"/>
      <c r="AD111" s="3514"/>
      <c r="AE111" s="118">
        <f>+'Exhibit F'!AF99+'Exhibit G'!AG88+'Exhibit I'!AI69</f>
        <v>10524.3</v>
      </c>
      <c r="AF111" s="1695"/>
      <c r="AG111" s="1695"/>
      <c r="AH111" s="1695">
        <f>ROUND(SUM(AB111-AE111),1)</f>
        <v>35.299999999999997</v>
      </c>
      <c r="AI111" s="3276"/>
      <c r="AJ111" s="1787">
        <f>ROUND(IF(AE111=0,0,AH111/ABS(AE111)),3)</f>
        <v>3.0000000000000001E-3</v>
      </c>
    </row>
    <row r="112" spans="1:45" ht="16.5" customHeight="1">
      <c r="A112" s="256" t="s">
        <v>26</v>
      </c>
      <c r="B112" s="225"/>
      <c r="C112" s="529">
        <f>+'Exhibit F'!D100+'Exhibit G'!D89+'Exhibit I'!E70</f>
        <v>25.400000000000002</v>
      </c>
      <c r="D112" s="529"/>
      <c r="E112" s="529">
        <f>+'Exhibit F'!F100+'Exhibit G'!F89+'Exhibit I'!G70</f>
        <v>33.700000000000003</v>
      </c>
      <c r="F112" s="529"/>
      <c r="G112" s="529">
        <f>+'Exhibit F'!H100+'Exhibit G'!H89+'Exhibit I'!I70</f>
        <v>2.7000000000000015</v>
      </c>
      <c r="H112" s="529"/>
      <c r="I112" s="529">
        <f>+'Exhibit F'!J100+'Exhibit G'!J89+'Exhibit I'!K70</f>
        <v>14.9</v>
      </c>
      <c r="J112" s="529"/>
      <c r="K112" s="529"/>
      <c r="L112" s="529"/>
      <c r="M112" s="529"/>
      <c r="N112" s="529"/>
      <c r="O112" s="529"/>
      <c r="P112" s="529"/>
      <c r="Q112" s="1695"/>
      <c r="R112" s="529"/>
      <c r="S112" s="529"/>
      <c r="T112" s="529"/>
      <c r="U112" s="529"/>
      <c r="V112" s="529"/>
      <c r="W112" s="529"/>
      <c r="X112" s="529"/>
      <c r="Y112" s="529"/>
      <c r="Z112" s="529"/>
      <c r="AA112" s="530"/>
      <c r="AB112" s="118">
        <f t="shared" ref="AB112:AB119" si="16">ROUND(SUM(C112:Y112),1)</f>
        <v>76.7</v>
      </c>
      <c r="AC112" s="1695"/>
      <c r="AD112" s="3514"/>
      <c r="AE112" s="118">
        <f>+'Exhibit F'!AF100+'Exhibit G'!AG89+'Exhibit I'!AI70</f>
        <v>54.4</v>
      </c>
      <c r="AF112" s="1695"/>
      <c r="AG112" s="1695"/>
      <c r="AH112" s="1695">
        <f t="shared" ref="AH112:AH119" si="17">ROUND(SUM(AB112-AE112),1)</f>
        <v>22.3</v>
      </c>
      <c r="AI112" s="3276"/>
      <c r="AJ112" s="1787">
        <f>ROUND(IF(AE112=0,0,AH112/ABS(AE112)),3)</f>
        <v>0.41</v>
      </c>
    </row>
    <row r="113" spans="1:38" ht="16.5" customHeight="1">
      <c r="A113" s="256" t="s">
        <v>27</v>
      </c>
      <c r="B113" s="225"/>
      <c r="C113" s="529">
        <f>+'Exhibit F'!D101+'Exhibit G'!D90+'Exhibit I'!E71</f>
        <v>60.3</v>
      </c>
      <c r="D113" s="529"/>
      <c r="E113" s="529">
        <f>+'Exhibit F'!F101+'Exhibit G'!F90+'Exhibit I'!G71</f>
        <v>159.69999999999999</v>
      </c>
      <c r="F113" s="529"/>
      <c r="G113" s="529">
        <f>+'Exhibit F'!H101+'Exhibit G'!H90+'Exhibit I'!I71</f>
        <v>734.39999999999986</v>
      </c>
      <c r="H113" s="529"/>
      <c r="I113" s="529">
        <f>+'Exhibit F'!J101+'Exhibit G'!J90+'Exhibit I'!K71</f>
        <v>63.000000000000021</v>
      </c>
      <c r="J113" s="529"/>
      <c r="K113" s="529"/>
      <c r="L113" s="529"/>
      <c r="M113" s="529"/>
      <c r="N113" s="529"/>
      <c r="O113" s="529"/>
      <c r="P113" s="529"/>
      <c r="Q113" s="1695"/>
      <c r="R113" s="529"/>
      <c r="S113" s="529"/>
      <c r="T113" s="529"/>
      <c r="U113" s="529"/>
      <c r="V113" s="529"/>
      <c r="W113" s="529"/>
      <c r="X113" s="529"/>
      <c r="Y113" s="529"/>
      <c r="Z113" s="529"/>
      <c r="AA113" s="530"/>
      <c r="AB113" s="118">
        <f t="shared" si="16"/>
        <v>1017.4</v>
      </c>
      <c r="AC113" s="1695"/>
      <c r="AD113" s="3514"/>
      <c r="AE113" s="118">
        <f>+'Exhibit F'!AF101+'Exhibit G'!AG90+'Exhibit I'!AI71</f>
        <v>938.59999999999991</v>
      </c>
      <c r="AF113" s="1695"/>
      <c r="AG113" s="1695"/>
      <c r="AH113" s="1695">
        <f t="shared" si="17"/>
        <v>78.8</v>
      </c>
      <c r="AI113" s="3276"/>
      <c r="AJ113" s="1787">
        <f>ROUND(IF(AE113=0,0,AH113/ABS(AE113)),3)</f>
        <v>8.4000000000000005E-2</v>
      </c>
    </row>
    <row r="114" spans="1:38" ht="16.5" customHeight="1">
      <c r="A114" s="256" t="s">
        <v>28</v>
      </c>
      <c r="B114" s="225"/>
      <c r="C114" s="529"/>
      <c r="D114" s="529"/>
      <c r="E114" s="529"/>
      <c r="F114" s="529"/>
      <c r="G114" s="529"/>
      <c r="H114" s="529"/>
      <c r="I114" s="529"/>
      <c r="J114" s="529"/>
      <c r="K114" s="529"/>
      <c r="L114" s="529"/>
      <c r="M114" s="529"/>
      <c r="N114" s="529"/>
      <c r="O114" s="529"/>
      <c r="P114" s="529"/>
      <c r="Q114" s="1695"/>
      <c r="R114" s="529"/>
      <c r="S114" s="529"/>
      <c r="T114" s="529"/>
      <c r="U114" s="529"/>
      <c r="V114" s="529"/>
      <c r="W114" s="529"/>
      <c r="X114" s="529"/>
      <c r="Y114" s="529"/>
      <c r="Z114" s="529"/>
      <c r="AA114" s="530"/>
      <c r="AB114" s="118"/>
      <c r="AC114" s="1695"/>
      <c r="AD114" s="3514"/>
      <c r="AE114" s="362"/>
      <c r="AF114" s="1695"/>
      <c r="AG114" s="1695"/>
      <c r="AH114" s="1695" t="s">
        <v>15</v>
      </c>
      <c r="AI114" s="3276"/>
      <c r="AJ114" s="3515"/>
    </row>
    <row r="115" spans="1:38" ht="16.5" customHeight="1">
      <c r="A115" s="257" t="s">
        <v>29</v>
      </c>
      <c r="B115" s="225"/>
      <c r="C115" s="529">
        <f>+'Exhibit F'!D103+'Exhibit G'!D92+'Exhibit I'!E73</f>
        <v>6412</v>
      </c>
      <c r="D115" s="529"/>
      <c r="E115" s="529">
        <f>+'Exhibit F'!F103+'Exhibit G'!F92+'Exhibit I'!G73</f>
        <v>6151.6999999999989</v>
      </c>
      <c r="F115" s="529"/>
      <c r="G115" s="529">
        <f>+'Exhibit F'!H103+'Exhibit G'!H92+'Exhibit I'!I73</f>
        <v>4857.8999999999996</v>
      </c>
      <c r="H115" s="529"/>
      <c r="I115" s="529">
        <f>+'Exhibit F'!J103+'Exhibit G'!J92+'Exhibit I'!K73</f>
        <v>4905.7000000000007</v>
      </c>
      <c r="J115" s="529"/>
      <c r="K115" s="529"/>
      <c r="L115" s="529"/>
      <c r="M115" s="529"/>
      <c r="N115" s="529"/>
      <c r="O115" s="529"/>
      <c r="P115" s="529"/>
      <c r="Q115" s="1695"/>
      <c r="R115" s="529"/>
      <c r="S115" s="529"/>
      <c r="T115" s="529"/>
      <c r="U115" s="529"/>
      <c r="V115" s="529"/>
      <c r="W115" s="529"/>
      <c r="X115" s="529"/>
      <c r="Y115" s="529"/>
      <c r="Z115" s="529"/>
      <c r="AA115" s="530"/>
      <c r="AB115" s="118">
        <f t="shared" si="16"/>
        <v>22327.3</v>
      </c>
      <c r="AC115" s="1695"/>
      <c r="AD115" s="3514"/>
      <c r="AE115" s="118">
        <f>+'Exhibit F'!AF103+'Exhibit G'!AG92+'Exhibit I'!AI73</f>
        <v>19340.7</v>
      </c>
      <c r="AF115" s="1695"/>
      <c r="AG115" s="1695"/>
      <c r="AH115" s="1695">
        <f t="shared" si="17"/>
        <v>2986.6</v>
      </c>
      <c r="AI115" s="3276"/>
      <c r="AJ115" s="1787">
        <f t="shared" ref="AJ115:AJ121" si="18">ROUND(IF(AE115=0,0,AH115/ABS(AE115)),3)</f>
        <v>0.154</v>
      </c>
      <c r="AK115" s="3521"/>
    </row>
    <row r="116" spans="1:38" ht="16.5" customHeight="1">
      <c r="A116" s="256" t="s">
        <v>30</v>
      </c>
      <c r="B116" s="225"/>
      <c r="C116" s="529">
        <f>+'Exhibit F'!D104+'Exhibit G'!D93+'Exhibit I'!E74</f>
        <v>724.4</v>
      </c>
      <c r="D116" s="529"/>
      <c r="E116" s="529">
        <f>+'Exhibit F'!F104+'Exhibit G'!F93+'Exhibit I'!G74</f>
        <v>682.4</v>
      </c>
      <c r="F116" s="529"/>
      <c r="G116" s="529">
        <f>+'Exhibit F'!H104+'Exhibit G'!H93+'Exhibit I'!I74</f>
        <v>1162.1000000000001</v>
      </c>
      <c r="H116" s="529"/>
      <c r="I116" s="529">
        <f>+'Exhibit F'!J104+'Exhibit G'!J93+'Exhibit I'!K74</f>
        <v>802.30000000000007</v>
      </c>
      <c r="J116" s="529"/>
      <c r="K116" s="529"/>
      <c r="L116" s="529"/>
      <c r="M116" s="529"/>
      <c r="N116" s="529"/>
      <c r="O116" s="529"/>
      <c r="P116" s="529"/>
      <c r="Q116" s="1695"/>
      <c r="R116" s="529"/>
      <c r="S116" s="529"/>
      <c r="T116" s="529"/>
      <c r="U116" s="529"/>
      <c r="V116" s="529"/>
      <c r="W116" s="529"/>
      <c r="X116" s="529"/>
      <c r="Y116" s="529"/>
      <c r="Z116" s="529"/>
      <c r="AA116" s="530"/>
      <c r="AB116" s="118">
        <f t="shared" si="16"/>
        <v>3371.2</v>
      </c>
      <c r="AC116" s="3288"/>
      <c r="AD116" s="1695"/>
      <c r="AE116" s="118">
        <f>+'Exhibit F'!AF104+'Exhibit G'!AG93+'Exhibit I'!AI74</f>
        <v>3479.2</v>
      </c>
      <c r="AF116" s="1695"/>
      <c r="AG116" s="1695"/>
      <c r="AH116" s="1695">
        <f t="shared" si="17"/>
        <v>-108</v>
      </c>
      <c r="AI116" s="3276"/>
      <c r="AJ116" s="1787">
        <f t="shared" si="18"/>
        <v>-3.1E-2</v>
      </c>
    </row>
    <row r="117" spans="1:38" ht="16.5" customHeight="1">
      <c r="A117" s="256" t="s">
        <v>31</v>
      </c>
      <c r="B117" s="225"/>
      <c r="C117" s="529">
        <f>+'Exhibit F'!D105+'Exhibit G'!D94+'Exhibit I'!E75</f>
        <v>156.9</v>
      </c>
      <c r="D117" s="529"/>
      <c r="E117" s="529">
        <f>+'Exhibit F'!F105+'Exhibit G'!F94+'Exhibit I'!G75</f>
        <v>178.20000000000002</v>
      </c>
      <c r="F117" s="529"/>
      <c r="G117" s="529">
        <f>+'Exhibit F'!H105+'Exhibit G'!H94+'Exhibit I'!I75</f>
        <v>70.59999999999998</v>
      </c>
      <c r="H117" s="529"/>
      <c r="I117" s="529">
        <f>+'Exhibit F'!J105+'Exhibit G'!J94+'Exhibit I'!K75</f>
        <v>87.9</v>
      </c>
      <c r="J117" s="529"/>
      <c r="K117" s="529"/>
      <c r="L117" s="529"/>
      <c r="M117" s="529"/>
      <c r="N117" s="529"/>
      <c r="O117" s="529"/>
      <c r="P117" s="529"/>
      <c r="Q117" s="1695"/>
      <c r="R117" s="529"/>
      <c r="S117" s="529"/>
      <c r="T117" s="529"/>
      <c r="U117" s="529"/>
      <c r="V117" s="529"/>
      <c r="W117" s="529"/>
      <c r="X117" s="529"/>
      <c r="Y117" s="529"/>
      <c r="Z117" s="529"/>
      <c r="AA117" s="530"/>
      <c r="AB117" s="118">
        <f t="shared" si="16"/>
        <v>493.6</v>
      </c>
      <c r="AC117" s="3289"/>
      <c r="AD117" s="3514"/>
      <c r="AE117" s="118">
        <f>+'Exhibit F'!AF105+'Exhibit G'!AG94+'Exhibit I'!AI75</f>
        <v>497.59999999999997</v>
      </c>
      <c r="AF117" s="1695"/>
      <c r="AG117" s="1695"/>
      <c r="AH117" s="1695">
        <f t="shared" si="17"/>
        <v>-4</v>
      </c>
      <c r="AI117" s="3276"/>
      <c r="AJ117" s="1787">
        <f t="shared" si="18"/>
        <v>-8.0000000000000002E-3</v>
      </c>
    </row>
    <row r="118" spans="1:38" ht="16.5" customHeight="1">
      <c r="A118" s="256" t="s">
        <v>32</v>
      </c>
      <c r="B118" s="225"/>
      <c r="C118" s="529">
        <f>+'Exhibit F'!D106+'Exhibit G'!D95+'Exhibit I'!E76</f>
        <v>240.10000000000002</v>
      </c>
      <c r="D118" s="529"/>
      <c r="E118" s="529">
        <f>+'Exhibit F'!F106+'Exhibit G'!F95+'Exhibit I'!G76</f>
        <v>215.79999999999998</v>
      </c>
      <c r="F118" s="529"/>
      <c r="G118" s="529">
        <f>+'Exhibit F'!H106+'Exhibit G'!H95+'Exhibit I'!I76</f>
        <v>537.79999999999995</v>
      </c>
      <c r="H118" s="529"/>
      <c r="I118" s="529">
        <f>+'Exhibit F'!J106+'Exhibit G'!J95+'Exhibit I'!K76</f>
        <v>452.80000000000013</v>
      </c>
      <c r="J118" s="529"/>
      <c r="K118" s="529"/>
      <c r="L118" s="529"/>
      <c r="M118" s="529"/>
      <c r="N118" s="529"/>
      <c r="O118" s="529"/>
      <c r="P118" s="529"/>
      <c r="Q118" s="1695"/>
      <c r="R118" s="529"/>
      <c r="S118" s="529"/>
      <c r="T118" s="529"/>
      <c r="U118" s="529"/>
      <c r="V118" s="529"/>
      <c r="W118" s="529"/>
      <c r="X118" s="529"/>
      <c r="Y118" s="529"/>
      <c r="Z118" s="529"/>
      <c r="AA118" s="530"/>
      <c r="AB118" s="118">
        <f t="shared" si="16"/>
        <v>1446.5</v>
      </c>
      <c r="AC118" s="3289"/>
      <c r="AD118" s="3514"/>
      <c r="AE118" s="118">
        <f>+'Exhibit F'!AF106+'Exhibit G'!AG95+'Exhibit I'!AI76</f>
        <v>1811.9</v>
      </c>
      <c r="AF118" s="1695"/>
      <c r="AG118" s="1695"/>
      <c r="AH118" s="1695">
        <f t="shared" si="17"/>
        <v>-365.4</v>
      </c>
      <c r="AI118" s="3276"/>
      <c r="AJ118" s="1787">
        <f t="shared" si="18"/>
        <v>-0.20200000000000001</v>
      </c>
    </row>
    <row r="119" spans="1:38" ht="16.5" customHeight="1">
      <c r="A119" s="256" t="s">
        <v>33</v>
      </c>
      <c r="B119" s="225"/>
      <c r="C119" s="529">
        <f>+'Exhibit F'!D107+'Exhibit G'!D96+'Exhibit I'!E77</f>
        <v>34.1</v>
      </c>
      <c r="D119" s="529"/>
      <c r="E119" s="529">
        <f>+'Exhibit F'!F107+'Exhibit G'!F96+'Exhibit I'!G77</f>
        <v>164.8</v>
      </c>
      <c r="F119" s="529"/>
      <c r="G119" s="529">
        <f>+'Exhibit F'!H107+'Exhibit G'!H96+'Exhibit I'!I77</f>
        <v>204.6</v>
      </c>
      <c r="H119" s="529"/>
      <c r="I119" s="529">
        <f>+'Exhibit F'!J107+'Exhibit G'!J96+'Exhibit I'!K77</f>
        <v>67.799999999999983</v>
      </c>
      <c r="J119" s="529"/>
      <c r="K119" s="529"/>
      <c r="L119" s="529"/>
      <c r="M119" s="529"/>
      <c r="N119" s="529"/>
      <c r="O119" s="529"/>
      <c r="P119" s="529"/>
      <c r="Q119" s="1695"/>
      <c r="R119" s="529"/>
      <c r="S119" s="529"/>
      <c r="T119" s="529"/>
      <c r="U119" s="529"/>
      <c r="V119" s="529"/>
      <c r="W119" s="529"/>
      <c r="X119" s="529"/>
      <c r="Y119" s="529"/>
      <c r="Z119" s="529"/>
      <c r="AA119" s="530"/>
      <c r="AB119" s="118">
        <f t="shared" si="16"/>
        <v>471.3</v>
      </c>
      <c r="AC119" s="3289"/>
      <c r="AD119" s="3514"/>
      <c r="AE119" s="118">
        <f>+'Exhibit F'!AF107+'Exhibit G'!AG96+'Exhibit I'!AI77</f>
        <v>366</v>
      </c>
      <c r="AF119" s="1695"/>
      <c r="AG119" s="1695"/>
      <c r="AH119" s="1695">
        <f t="shared" si="17"/>
        <v>105.3</v>
      </c>
      <c r="AI119" s="3276"/>
      <c r="AJ119" s="1787">
        <f t="shared" si="18"/>
        <v>0.28799999999999998</v>
      </c>
    </row>
    <row r="120" spans="1:38" ht="16.5" customHeight="1">
      <c r="A120" s="256" t="s">
        <v>34</v>
      </c>
      <c r="B120" s="225"/>
      <c r="C120" s="529">
        <f>+'Exhibit F'!D108+'Exhibit G'!D97+'Exhibit I'!E78</f>
        <v>305</v>
      </c>
      <c r="D120" s="529"/>
      <c r="E120" s="529">
        <f>+'Exhibit F'!F108+'Exhibit G'!F97+'Exhibit I'!G78</f>
        <v>477.09999999999997</v>
      </c>
      <c r="F120" s="529"/>
      <c r="G120" s="529">
        <f>+'Exhibit F'!H108+'Exhibit G'!H97+'Exhibit I'!I78</f>
        <v>354.6</v>
      </c>
      <c r="H120" s="529"/>
      <c r="I120" s="529">
        <f>+'Exhibit F'!J108+'Exhibit G'!J97+'Exhibit I'!K78</f>
        <v>335.40000000000009</v>
      </c>
      <c r="J120" s="529"/>
      <c r="K120" s="529"/>
      <c r="L120" s="529"/>
      <c r="M120" s="529"/>
      <c r="N120" s="529"/>
      <c r="O120" s="529"/>
      <c r="P120" s="529"/>
      <c r="Q120" s="1695"/>
      <c r="R120" s="529"/>
      <c r="S120" s="529"/>
      <c r="T120" s="529"/>
      <c r="U120" s="529"/>
      <c r="V120" s="529"/>
      <c r="W120" s="529"/>
      <c r="X120" s="529"/>
      <c r="Y120" s="529"/>
      <c r="Z120" s="529"/>
      <c r="AA120" s="530"/>
      <c r="AB120" s="1695">
        <f>ROUND(SUM(C120:Y120),1)</f>
        <v>1472.1</v>
      </c>
      <c r="AC120" s="3289"/>
      <c r="AD120" s="3514"/>
      <c r="AE120" s="118">
        <f>+'Exhibit F'!AF108+'Exhibit G'!AG97+'Exhibit I'!AI78</f>
        <v>1883.7999999999997</v>
      </c>
      <c r="AF120" s="1695"/>
      <c r="AG120" s="1695"/>
      <c r="AH120" s="1695">
        <f>ROUND(SUM(AB120-AE120),1)</f>
        <v>-411.7</v>
      </c>
      <c r="AI120" s="3276"/>
      <c r="AJ120" s="1787">
        <f t="shared" si="18"/>
        <v>-0.219</v>
      </c>
    </row>
    <row r="121" spans="1:38" ht="16.5" customHeight="1">
      <c r="A121" s="225" t="s">
        <v>35</v>
      </c>
      <c r="B121" s="225"/>
      <c r="C121" s="541">
        <f>ROUND(SUM(C111:C120),1)</f>
        <v>9222.1</v>
      </c>
      <c r="D121" s="534"/>
      <c r="E121" s="541">
        <f>ROUND(SUM(E111:E120),1)</f>
        <v>12637.4</v>
      </c>
      <c r="F121" s="534"/>
      <c r="G121" s="541">
        <f>ROUND(SUM(G111:G120),1)</f>
        <v>10736.2</v>
      </c>
      <c r="H121" s="534"/>
      <c r="I121" s="541">
        <f>ROUND(SUM(I111:I120),1)</f>
        <v>8640</v>
      </c>
      <c r="J121" s="534"/>
      <c r="K121" s="541">
        <f>ROUND(SUM(K111:K120),1)</f>
        <v>0</v>
      </c>
      <c r="L121" s="534"/>
      <c r="M121" s="541">
        <f>ROUND(SUM(M111:M120),1)</f>
        <v>0</v>
      </c>
      <c r="N121" s="534"/>
      <c r="O121" s="541">
        <f>ROUND(SUM(O111:O120),1)</f>
        <v>0</v>
      </c>
      <c r="P121" s="534"/>
      <c r="Q121" s="3281">
        <f>ROUND(SUM(Q111:Q120),1)</f>
        <v>0</v>
      </c>
      <c r="R121" s="534"/>
      <c r="S121" s="541">
        <f>ROUND(SUM(S111:S120),1)</f>
        <v>0</v>
      </c>
      <c r="T121" s="534"/>
      <c r="U121" s="541">
        <f>ROUND(SUM(U111:U120),1)</f>
        <v>0</v>
      </c>
      <c r="V121" s="534"/>
      <c r="W121" s="541">
        <f>ROUND(SUM(W111:W120),1)</f>
        <v>0</v>
      </c>
      <c r="X121" s="534"/>
      <c r="Y121" s="541">
        <f>ROUND(SUM(Y111:Y120),1)</f>
        <v>0</v>
      </c>
      <c r="Z121" s="534"/>
      <c r="AA121" s="535"/>
      <c r="AB121" s="3281">
        <f>ROUND(SUM(AB111:AB120),1)</f>
        <v>41235.699999999997</v>
      </c>
      <c r="AC121" s="3290"/>
      <c r="AD121" s="3522"/>
      <c r="AE121" s="3281">
        <f>ROUND(SUM(AE111:AE120),1)</f>
        <v>38896.5</v>
      </c>
      <c r="AF121" s="3284"/>
      <c r="AG121" s="3284"/>
      <c r="AH121" s="3281">
        <f>ROUND(SUM(AH111:AH120),1)</f>
        <v>2339.1999999999998</v>
      </c>
      <c r="AI121" s="3277"/>
      <c r="AJ121" s="3511">
        <f t="shared" si="18"/>
        <v>0.06</v>
      </c>
      <c r="AK121" s="3503"/>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43"/>
      <c r="R122" s="529"/>
      <c r="S122" s="537"/>
      <c r="T122" s="529"/>
      <c r="U122" s="537"/>
      <c r="V122" s="529"/>
      <c r="W122" s="537"/>
      <c r="X122" s="529"/>
      <c r="Y122" s="537"/>
      <c r="Z122" s="529"/>
      <c r="AA122" s="530"/>
      <c r="AB122" s="2243"/>
      <c r="AC122" s="1695"/>
      <c r="AD122" s="3514"/>
      <c r="AE122" s="67"/>
      <c r="AF122" s="1695"/>
      <c r="AG122" s="1695"/>
      <c r="AH122" s="914"/>
      <c r="AI122" s="3276"/>
      <c r="AJ122" s="910"/>
    </row>
    <row r="123" spans="1:38" ht="16.5" customHeight="1">
      <c r="A123" s="225" t="s">
        <v>139</v>
      </c>
      <c r="B123" s="225"/>
      <c r="C123" s="529">
        <f>+'Exhibit F'!D111+'Exhibit G'!D100+'Exhibit I'!E81</f>
        <v>1139.8</v>
      </c>
      <c r="D123" s="529"/>
      <c r="E123" s="529">
        <f>+'Exhibit F'!F111+'Exhibit G'!F100+'Exhibit I'!G81</f>
        <v>1717.6</v>
      </c>
      <c r="F123" s="529"/>
      <c r="G123" s="529">
        <f>+'Exhibit F'!H111+'Exhibit G'!H100+'Exhibit I'!I81</f>
        <v>1127.6999999999998</v>
      </c>
      <c r="H123" s="529"/>
      <c r="I123" s="529">
        <f>+'Exhibit F'!J111+'Exhibit G'!J100+'Exhibit I'!K81</f>
        <v>1191.0000000000005</v>
      </c>
      <c r="J123" s="529"/>
      <c r="K123" s="529"/>
      <c r="L123" s="529"/>
      <c r="M123" s="529"/>
      <c r="N123" s="529"/>
      <c r="O123" s="529"/>
      <c r="P123" s="529"/>
      <c r="Q123" s="1695"/>
      <c r="R123" s="529"/>
      <c r="S123" s="529"/>
      <c r="T123" s="529"/>
      <c r="U123" s="529"/>
      <c r="V123" s="529"/>
      <c r="W123" s="529"/>
      <c r="X123" s="529"/>
      <c r="Y123" s="529"/>
      <c r="Z123" s="529"/>
      <c r="AA123" s="530"/>
      <c r="AB123" s="1695">
        <f>ROUND(SUM(C123:Y123),1)</f>
        <v>5176.1000000000004</v>
      </c>
      <c r="AC123" s="1695"/>
      <c r="AD123" s="3514"/>
      <c r="AE123" s="67">
        <f>+'Exhibit F'!AF111+'Exhibit G'!AG100+'Exhibit I'!AI81</f>
        <v>4801.5</v>
      </c>
      <c r="AF123" s="1695"/>
      <c r="AG123" s="1695"/>
      <c r="AH123" s="1695">
        <f>ROUND(SUM(AB123-AE123),1)</f>
        <v>374.6</v>
      </c>
      <c r="AI123" s="3276"/>
      <c r="AJ123" s="1787">
        <f>ROUND(IF(AE123=0,0,AH123/ABS(AE123)),3)</f>
        <v>7.8E-2</v>
      </c>
    </row>
    <row r="124" spans="1:38" ht="16.5" customHeight="1">
      <c r="A124" s="225" t="s">
        <v>140</v>
      </c>
      <c r="B124" s="225"/>
      <c r="C124" s="529">
        <f>+'Exhibit F'!D112+'Exhibit G'!D101+'Exhibit H'!B53+'Exhibit I'!E82</f>
        <v>474.09999999999997</v>
      </c>
      <c r="D124" s="529"/>
      <c r="E124" s="529">
        <f>+'Exhibit F'!F112+'Exhibit G'!F101+'Exhibit H'!D53+'Exhibit I'!G82</f>
        <v>576.29999999999995</v>
      </c>
      <c r="F124" s="529"/>
      <c r="G124" s="529">
        <f>+'Exhibit F'!H112+'Exhibit G'!H101+'Exhibit H'!F53+'Exhibit I'!I82</f>
        <v>515.9</v>
      </c>
      <c r="H124" s="529"/>
      <c r="I124" s="529">
        <f>+'Exhibit F'!J112+'Exhibit G'!J101+'Exhibit H'!H53+'Exhibit I'!K82</f>
        <v>519.50000000000011</v>
      </c>
      <c r="J124" s="529"/>
      <c r="K124" s="529"/>
      <c r="L124" s="529"/>
      <c r="M124" s="529"/>
      <c r="N124" s="529"/>
      <c r="O124" s="529"/>
      <c r="P124" s="529"/>
      <c r="Q124" s="1695"/>
      <c r="R124" s="529"/>
      <c r="S124" s="529"/>
      <c r="T124" s="529"/>
      <c r="U124" s="529"/>
      <c r="V124" s="529"/>
      <c r="W124" s="529"/>
      <c r="X124" s="529"/>
      <c r="Y124" s="529"/>
      <c r="Z124" s="529"/>
      <c r="AA124" s="530"/>
      <c r="AB124" s="1695">
        <f>ROUND(SUM(C124:Y124),1)</f>
        <v>2085.8000000000002</v>
      </c>
      <c r="AC124" s="1695"/>
      <c r="AD124" s="3514"/>
      <c r="AE124" s="67">
        <f>+'Exhibit F'!AF112+'Exhibit G'!AG101+'Exhibit H'!AD53+'Exhibit I'!AI82</f>
        <v>2031.7</v>
      </c>
      <c r="AF124" s="1695"/>
      <c r="AG124" s="1695"/>
      <c r="AH124" s="1695">
        <f>ROUND(SUM(AB124-AE124),1)</f>
        <v>54.1</v>
      </c>
      <c r="AI124" s="3276"/>
      <c r="AJ124" s="1787">
        <f>ROUND(IF(AE124=0,0,AH124/ABS(AE124)),3)</f>
        <v>2.7E-2</v>
      </c>
    </row>
    <row r="125" spans="1:38" ht="16.5" customHeight="1">
      <c r="A125" s="225" t="s">
        <v>39</v>
      </c>
      <c r="B125" s="225"/>
      <c r="C125" s="529">
        <f>+'Exhibit F'!D113+'Exhibit G'!D102+'Exhibit I'!E83</f>
        <v>813.6</v>
      </c>
      <c r="D125" s="529"/>
      <c r="E125" s="529">
        <f>+'Exhibit F'!F113+'Exhibit G'!F102+'Exhibit I'!G83</f>
        <v>2460.6000000000004</v>
      </c>
      <c r="F125" s="529"/>
      <c r="G125" s="529">
        <f>+'Exhibit F'!H113+'Exhibit G'!H102+'Exhibit I'!I83</f>
        <v>454.59999999999968</v>
      </c>
      <c r="H125" s="529"/>
      <c r="I125" s="529">
        <f>+'Exhibit F'!J113+'Exhibit G'!J102+'Exhibit I'!K83</f>
        <v>499.00000000000017</v>
      </c>
      <c r="J125" s="529"/>
      <c r="K125" s="529"/>
      <c r="L125" s="529"/>
      <c r="M125" s="529"/>
      <c r="N125" s="529"/>
      <c r="O125" s="529"/>
      <c r="P125" s="529"/>
      <c r="Q125" s="1695"/>
      <c r="R125" s="529"/>
      <c r="S125" s="529"/>
      <c r="T125" s="529"/>
      <c r="U125" s="529"/>
      <c r="V125" s="529"/>
      <c r="W125" s="529"/>
      <c r="X125" s="529"/>
      <c r="Y125" s="529"/>
      <c r="Z125" s="529"/>
      <c r="AA125" s="530"/>
      <c r="AB125" s="1695">
        <f>ROUND(SUM(C125:Y125),1)</f>
        <v>4227.8</v>
      </c>
      <c r="AC125" s="1695"/>
      <c r="AD125" s="3514"/>
      <c r="AE125" s="67">
        <f>+'Exhibit F'!AF113+'Exhibit G'!AG102+'Exhibit H'!AD54+'Exhibit I'!AI83</f>
        <v>4275.3</v>
      </c>
      <c r="AF125" s="1695"/>
      <c r="AG125" s="1695"/>
      <c r="AH125" s="1695">
        <f>ROUND(SUM(AB125-AE125),1)</f>
        <v>-47.5</v>
      </c>
      <c r="AI125" s="3276"/>
      <c r="AJ125" s="1787">
        <f>ROUND(IF(AE125=0,0,AH125/ABS(AE125)),3)</f>
        <v>-1.0999999999999999E-2</v>
      </c>
    </row>
    <row r="126" spans="1:38" ht="16.5" customHeight="1">
      <c r="A126" s="225" t="s">
        <v>1279</v>
      </c>
      <c r="B126" s="225"/>
      <c r="C126" s="537"/>
      <c r="D126" s="529"/>
      <c r="E126" s="537"/>
      <c r="F126" s="529"/>
      <c r="G126" s="537"/>
      <c r="H126" s="529"/>
      <c r="I126" s="537"/>
      <c r="J126" s="529"/>
      <c r="K126" s="537"/>
      <c r="L126" s="529"/>
      <c r="M126" s="537"/>
      <c r="N126" s="529"/>
      <c r="O126" s="537"/>
      <c r="P126" s="529"/>
      <c r="Q126" s="2243"/>
      <c r="R126" s="529"/>
      <c r="S126" s="537"/>
      <c r="T126" s="529"/>
      <c r="U126" s="537"/>
      <c r="V126" s="529"/>
      <c r="W126" s="537"/>
      <c r="X126" s="529"/>
      <c r="Y126" s="537"/>
      <c r="Z126" s="529"/>
      <c r="AA126" s="530"/>
      <c r="AB126" s="1695"/>
      <c r="AC126" s="1695"/>
      <c r="AD126" s="3514"/>
      <c r="AE126" s="2243"/>
      <c r="AF126" s="1695"/>
      <c r="AG126" s="1695"/>
      <c r="AH126" s="1695"/>
      <c r="AI126" s="3276"/>
      <c r="AJ126" s="3515"/>
    </row>
    <row r="127" spans="1:38" ht="16.5" customHeight="1">
      <c r="A127" s="225" t="s">
        <v>41</v>
      </c>
      <c r="B127" s="225"/>
      <c r="C127" s="529">
        <f>+'Exhibit H'!B55</f>
        <v>72.400000000000006</v>
      </c>
      <c r="D127" s="529"/>
      <c r="E127" s="529">
        <f>+'Exhibit H'!D55</f>
        <v>121.1</v>
      </c>
      <c r="F127" s="529"/>
      <c r="G127" s="529">
        <f>+'Exhibit H'!F55</f>
        <v>230.29999999999998</v>
      </c>
      <c r="H127" s="529"/>
      <c r="I127" s="529">
        <f>+'Exhibit H'!H55</f>
        <v>45.099999999999994</v>
      </c>
      <c r="J127" s="529"/>
      <c r="K127" s="529"/>
      <c r="L127" s="529"/>
      <c r="M127" s="529"/>
      <c r="N127" s="529"/>
      <c r="O127" s="529"/>
      <c r="P127" s="529"/>
      <c r="Q127" s="1695"/>
      <c r="R127" s="529"/>
      <c r="S127" s="529"/>
      <c r="T127" s="529"/>
      <c r="U127" s="529"/>
      <c r="V127" s="529"/>
      <c r="W127" s="529"/>
      <c r="X127" s="529"/>
      <c r="Y127" s="529"/>
      <c r="Z127" s="529"/>
      <c r="AA127" s="530"/>
      <c r="AB127" s="1695">
        <f>ROUND(SUM(C127:Y127),1)</f>
        <v>468.9</v>
      </c>
      <c r="AC127" s="1695"/>
      <c r="AD127" s="3514"/>
      <c r="AE127" s="67">
        <f>+'Exhibit H'!AD55</f>
        <v>381.8</v>
      </c>
      <c r="AF127" s="1695"/>
      <c r="AG127" s="1695"/>
      <c r="AH127" s="1695">
        <f>ROUND(SUM(AB127-AE127),1)</f>
        <v>87.1</v>
      </c>
      <c r="AI127" s="3276"/>
      <c r="AJ127" s="1787">
        <f>ROUND(IF(AE127=0,0,AH127/ABS(AE127)),3)</f>
        <v>0.22800000000000001</v>
      </c>
    </row>
    <row r="128" spans="1:38" ht="16.5" customHeight="1">
      <c r="A128" s="540" t="s">
        <v>141</v>
      </c>
      <c r="B128" s="225"/>
      <c r="C128" s="532">
        <f>+'Exhibit G'!D103+'Exhibit I'!E84</f>
        <v>434.1</v>
      </c>
      <c r="D128" s="529"/>
      <c r="E128" s="532">
        <f>+'Exhibit G'!F103+'Exhibit I'!G84</f>
        <v>528.1</v>
      </c>
      <c r="F128" s="529"/>
      <c r="G128" s="532">
        <f>+'Exhibit G'!H103+'Exhibit I'!I84</f>
        <v>536.5</v>
      </c>
      <c r="H128" s="529"/>
      <c r="I128" s="532">
        <f>+'Exhibit G'!J103+'Exhibit I'!K84</f>
        <v>600.69999999999982</v>
      </c>
      <c r="J128" s="529"/>
      <c r="K128" s="532"/>
      <c r="L128" s="529"/>
      <c r="M128" s="532"/>
      <c r="N128" s="529"/>
      <c r="O128" s="532"/>
      <c r="P128" s="529"/>
      <c r="Q128" s="3518"/>
      <c r="R128" s="529"/>
      <c r="S128" s="532"/>
      <c r="T128" s="529"/>
      <c r="U128" s="532"/>
      <c r="V128" s="529"/>
      <c r="W128" s="532"/>
      <c r="X128" s="529"/>
      <c r="Y128" s="532"/>
      <c r="Z128" s="529"/>
      <c r="AA128" s="530"/>
      <c r="AB128" s="3286">
        <f>ROUND(SUM(C128:Y128),1)</f>
        <v>2099.4</v>
      </c>
      <c r="AC128" s="1695"/>
      <c r="AD128" s="3514"/>
      <c r="AE128" s="3612">
        <f>+'Exhibit G'!AG103+'Exhibit I'!AI84</f>
        <v>2147.5</v>
      </c>
      <c r="AF128" s="1695"/>
      <c r="AG128" s="1695"/>
      <c r="AH128" s="3286">
        <f>ROUND(SUM(AB128-AE128),1)</f>
        <v>-48.1</v>
      </c>
      <c r="AI128" s="3276"/>
      <c r="AJ128" s="3519">
        <f>ROUND(IF(AE128=0,0,AH128/ABS(AE128)),3)</f>
        <v>-2.1999999999999999E-2</v>
      </c>
    </row>
    <row r="129" spans="1:59" ht="16.5" customHeight="1">
      <c r="A129" s="225"/>
      <c r="B129" s="225"/>
      <c r="C129" s="537"/>
      <c r="D129" s="529"/>
      <c r="E129" s="537"/>
      <c r="F129" s="529"/>
      <c r="G129" s="537"/>
      <c r="H129" s="529"/>
      <c r="I129" s="537"/>
      <c r="J129" s="529"/>
      <c r="K129" s="537"/>
      <c r="L129" s="529"/>
      <c r="M129" s="537"/>
      <c r="N129" s="529"/>
      <c r="O129" s="537"/>
      <c r="P129" s="529"/>
      <c r="Q129" s="2243"/>
      <c r="R129" s="529"/>
      <c r="S129" s="537"/>
      <c r="T129" s="529"/>
      <c r="U129" s="537"/>
      <c r="V129" s="529"/>
      <c r="W129" s="537"/>
      <c r="X129" s="529"/>
      <c r="Y129" s="537"/>
      <c r="Z129" s="529"/>
      <c r="AA129" s="530"/>
      <c r="AB129" s="2243"/>
      <c r="AC129" s="1695"/>
      <c r="AD129" s="3514"/>
      <c r="AE129" s="2243"/>
      <c r="AF129" s="1695"/>
      <c r="AG129" s="1695"/>
      <c r="AH129" s="2243"/>
      <c r="AI129" s="3276"/>
      <c r="AJ129" s="3523"/>
    </row>
    <row r="130" spans="1:59" ht="16.5" customHeight="1">
      <c r="A130" s="207" t="s">
        <v>58</v>
      </c>
      <c r="B130" s="225"/>
      <c r="C130" s="533">
        <f>ROUND(SUM(C121:C128),1)</f>
        <v>12156.1</v>
      </c>
      <c r="D130" s="534"/>
      <c r="E130" s="533">
        <f>ROUND(SUM(E121:E128),1)</f>
        <v>18041.099999999999</v>
      </c>
      <c r="F130" s="534"/>
      <c r="G130" s="533">
        <f>ROUND(SUM(G121:G128),1)</f>
        <v>13601.2</v>
      </c>
      <c r="H130" s="534"/>
      <c r="I130" s="533">
        <f>ROUND(SUM(I121:I128),1)</f>
        <v>11495.3</v>
      </c>
      <c r="J130" s="534"/>
      <c r="K130" s="533">
        <f>ROUND(SUM(K121:K128),1)</f>
        <v>0</v>
      </c>
      <c r="L130" s="534"/>
      <c r="M130" s="533">
        <f>ROUND(SUM(M121:M128),1)</f>
        <v>0</v>
      </c>
      <c r="N130" s="534"/>
      <c r="O130" s="533">
        <f>ROUND(SUM(O121:O128),1)</f>
        <v>0</v>
      </c>
      <c r="P130" s="534"/>
      <c r="Q130" s="2244">
        <f>ROUND(SUM(Q121:Q128),1)</f>
        <v>0</v>
      </c>
      <c r="R130" s="534"/>
      <c r="S130" s="533">
        <f>ROUND(SUM(S121:S128),1)</f>
        <v>0</v>
      </c>
      <c r="T130" s="534"/>
      <c r="U130" s="533">
        <f>ROUND(SUM(U121:U128),1)</f>
        <v>0</v>
      </c>
      <c r="V130" s="534"/>
      <c r="W130" s="533">
        <f>ROUND(SUM(W121:W128),1)</f>
        <v>0</v>
      </c>
      <c r="X130" s="534"/>
      <c r="Y130" s="533">
        <f>ROUND(SUM(Y121:Y128),1)</f>
        <v>0</v>
      </c>
      <c r="Z130" s="534"/>
      <c r="AA130" s="535"/>
      <c r="AB130" s="2244">
        <f>ROUND(SUM(AB121:AB128),1)</f>
        <v>55293.7</v>
      </c>
      <c r="AC130" s="3284"/>
      <c r="AD130" s="3522"/>
      <c r="AE130" s="2244">
        <f>ROUND(SUM(AE121:AE128),1)</f>
        <v>52534.3</v>
      </c>
      <c r="AF130" s="3284"/>
      <c r="AG130" s="3284"/>
      <c r="AH130" s="2244">
        <f>ROUND(SUM(AB130-AE130),1)</f>
        <v>2759.4</v>
      </c>
      <c r="AI130" s="3277"/>
      <c r="AJ130" s="3513">
        <f>ROUND(IF(AE130=0,0,AH130/ABS(AE130)),3)</f>
        <v>5.2999999999999999E-2</v>
      </c>
      <c r="AK130" s="3503"/>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95"/>
      <c r="R131" s="529"/>
      <c r="S131" s="529"/>
      <c r="T131" s="529"/>
      <c r="U131" s="529"/>
      <c r="V131" s="529"/>
      <c r="W131" s="529"/>
      <c r="X131" s="529"/>
      <c r="Y131" s="529"/>
      <c r="Z131" s="529"/>
      <c r="AA131" s="530"/>
      <c r="AB131" s="1695"/>
      <c r="AC131" s="1695"/>
      <c r="AD131" s="3514"/>
      <c r="AE131" s="1695"/>
      <c r="AF131" s="1695"/>
      <c r="AG131" s="1695"/>
      <c r="AH131" s="914"/>
      <c r="AI131" s="3276"/>
      <c r="AJ131" s="910"/>
    </row>
    <row r="132" spans="1:59" ht="16.5" customHeight="1">
      <c r="A132" s="207" t="s">
        <v>44</v>
      </c>
      <c r="B132" s="225"/>
      <c r="C132" s="529"/>
      <c r="D132" s="529"/>
      <c r="E132" s="529"/>
      <c r="F132" s="529"/>
      <c r="G132" s="529"/>
      <c r="H132" s="529"/>
      <c r="I132" s="529"/>
      <c r="J132" s="529"/>
      <c r="K132" s="529"/>
      <c r="L132" s="529"/>
      <c r="M132" s="529"/>
      <c r="N132" s="529"/>
      <c r="O132" s="529"/>
      <c r="P132" s="529"/>
      <c r="Q132" s="1695"/>
      <c r="R132" s="529"/>
      <c r="S132" s="529"/>
      <c r="T132" s="529"/>
      <c r="U132" s="529"/>
      <c r="V132" s="529"/>
      <c r="W132" s="529"/>
      <c r="X132" s="529"/>
      <c r="Y132" s="529"/>
      <c r="Z132" s="529"/>
      <c r="AA132" s="530"/>
      <c r="AB132" s="1695"/>
      <c r="AC132" s="1695"/>
      <c r="AD132" s="3514"/>
      <c r="AE132" s="1695"/>
      <c r="AF132" s="1695"/>
      <c r="AG132" s="1695"/>
      <c r="AH132" s="914"/>
      <c r="AI132" s="3276"/>
      <c r="AJ132" s="910"/>
    </row>
    <row r="133" spans="1:59" ht="16.5" customHeight="1">
      <c r="A133" s="207" t="s">
        <v>45</v>
      </c>
      <c r="B133" s="225"/>
      <c r="C133" s="533">
        <f>ROUND(SUM(C107-C130),1)</f>
        <v>8307</v>
      </c>
      <c r="D133" s="534"/>
      <c r="E133" s="533">
        <f>ROUND(SUM(E107-E130),1)</f>
        <v>-7325.1</v>
      </c>
      <c r="F133" s="534"/>
      <c r="G133" s="533">
        <f>ROUND(SUM(G107-G130),1)</f>
        <v>2818.6</v>
      </c>
      <c r="H133" s="534"/>
      <c r="I133" s="533">
        <f>ROUND(SUM(I107-I130),1)</f>
        <v>-940.6</v>
      </c>
      <c r="J133" s="534"/>
      <c r="K133" s="533">
        <f>ROUND(SUM(K107-K130),1)</f>
        <v>0</v>
      </c>
      <c r="L133" s="534"/>
      <c r="M133" s="533">
        <f>ROUND(SUM(M107-M130),1)</f>
        <v>0</v>
      </c>
      <c r="N133" s="534"/>
      <c r="O133" s="533">
        <f>ROUND(SUM(O107-O130),1)</f>
        <v>0</v>
      </c>
      <c r="P133" s="534"/>
      <c r="Q133" s="2244">
        <f>ROUND(SUM(Q107-Q130),1)</f>
        <v>0</v>
      </c>
      <c r="R133" s="534"/>
      <c r="S133" s="533">
        <f>ROUND(SUM(S107-S130),1)</f>
        <v>0</v>
      </c>
      <c r="T133" s="534"/>
      <c r="U133" s="533">
        <f>ROUND(SUM(U107-U130),1)</f>
        <v>0</v>
      </c>
      <c r="V133" s="534"/>
      <c r="W133" s="533">
        <f>ROUND(SUM(W107-W130),1)</f>
        <v>0</v>
      </c>
      <c r="X133" s="534"/>
      <c r="Y133" s="533">
        <f>ROUND(SUM(Y107-Y130),1)</f>
        <v>0</v>
      </c>
      <c r="Z133" s="534"/>
      <c r="AA133" s="535"/>
      <c r="AB133" s="2244">
        <f>ROUND(SUM(AB107-AB130),1)</f>
        <v>2859.9</v>
      </c>
      <c r="AC133" s="3284"/>
      <c r="AD133" s="3522"/>
      <c r="AE133" s="2244">
        <f>ROUND(SUM(AE107-AE130),1)</f>
        <v>-1059.4000000000001</v>
      </c>
      <c r="AF133" s="3284"/>
      <c r="AG133" s="3284"/>
      <c r="AH133" s="3524">
        <f>ROUND(SUM(AB133-AE133),1)</f>
        <v>3919.3</v>
      </c>
      <c r="AI133" s="3277"/>
      <c r="AJ133" s="3525">
        <f>ROUND(IF(AE133=0,0,AH133/ABS(AE133)),3)</f>
        <v>3.7</v>
      </c>
      <c r="AK133" s="3503"/>
      <c r="AL133" s="435"/>
    </row>
    <row r="134" spans="1:59" ht="16.5" customHeight="1">
      <c r="A134" s="165"/>
      <c r="B134" s="225"/>
      <c r="C134" s="536"/>
      <c r="D134" s="529"/>
      <c r="E134" s="536"/>
      <c r="F134" s="529"/>
      <c r="G134" s="536"/>
      <c r="H134" s="529"/>
      <c r="I134" s="536"/>
      <c r="J134" s="529"/>
      <c r="K134" s="536"/>
      <c r="L134" s="529"/>
      <c r="M134" s="536"/>
      <c r="N134" s="529"/>
      <c r="O134" s="536"/>
      <c r="P134" s="529"/>
      <c r="Q134" s="3287"/>
      <c r="R134" s="529"/>
      <c r="S134" s="536"/>
      <c r="T134" s="529"/>
      <c r="U134" s="536"/>
      <c r="V134" s="529"/>
      <c r="W134" s="536"/>
      <c r="X134" s="529"/>
      <c r="Y134" s="536"/>
      <c r="Z134" s="538"/>
      <c r="AA134" s="530"/>
      <c r="AB134" s="3287"/>
      <c r="AC134" s="1695"/>
      <c r="AD134" s="3514"/>
      <c r="AE134" s="3287"/>
      <c r="AF134" s="1695"/>
      <c r="AG134" s="1695"/>
      <c r="AH134" s="914"/>
      <c r="AI134" s="3276"/>
      <c r="AJ134" s="910"/>
    </row>
    <row r="135" spans="1:59" ht="16.5" customHeight="1">
      <c r="A135" s="207" t="s">
        <v>46</v>
      </c>
      <c r="B135" s="225"/>
      <c r="C135" s="2243"/>
      <c r="D135" s="529"/>
      <c r="E135" s="2243"/>
      <c r="F135" s="543"/>
      <c r="G135" s="2243"/>
      <c r="H135" s="543"/>
      <c r="I135" s="542"/>
      <c r="J135" s="543"/>
      <c r="K135" s="542"/>
      <c r="L135" s="543"/>
      <c r="M135" s="542"/>
      <c r="N135" s="543"/>
      <c r="O135" s="542"/>
      <c r="P135" s="2233"/>
      <c r="Q135" s="3597"/>
      <c r="R135" s="543"/>
      <c r="S135" s="3597"/>
      <c r="T135" s="543"/>
      <c r="U135" s="542"/>
      <c r="V135" s="529"/>
      <c r="W135" s="3597"/>
      <c r="X135" s="529"/>
      <c r="Y135" s="542"/>
      <c r="Z135" s="531"/>
      <c r="AA135" s="530"/>
      <c r="AB135" s="2243"/>
      <c r="AC135" s="3288"/>
      <c r="AD135" s="1695"/>
      <c r="AE135" s="2243"/>
      <c r="AF135" s="1695"/>
      <c r="AG135" s="1695"/>
      <c r="AH135" s="914"/>
      <c r="AI135" s="3276"/>
      <c r="AJ135" s="910"/>
    </row>
    <row r="136" spans="1:59" ht="16.5" customHeight="1">
      <c r="A136" s="225" t="s">
        <v>47</v>
      </c>
      <c r="B136" s="225"/>
      <c r="C136" s="2232">
        <v>0</v>
      </c>
      <c r="D136" s="1695"/>
      <c r="E136" s="2232">
        <v>0</v>
      </c>
      <c r="F136" s="2233"/>
      <c r="G136" s="2232">
        <v>0</v>
      </c>
      <c r="H136" s="2233"/>
      <c r="I136" s="2232">
        <f>'Exhibit A'!Z48</f>
        <v>0</v>
      </c>
      <c r="J136" s="2233"/>
      <c r="K136" s="2232"/>
      <c r="L136" s="2233"/>
      <c r="M136" s="2232"/>
      <c r="N136" s="2233"/>
      <c r="O136" s="2232"/>
      <c r="P136" s="2233"/>
      <c r="Q136" s="2232"/>
      <c r="R136" s="2233"/>
      <c r="S136" s="2232"/>
      <c r="T136" s="2233"/>
      <c r="U136" s="2232"/>
      <c r="V136" s="1695"/>
      <c r="W136" s="2232"/>
      <c r="X136" s="1695"/>
      <c r="Y136" s="2232"/>
      <c r="Z136" s="1695"/>
      <c r="AA136" s="3643"/>
      <c r="AB136" s="1695">
        <f>ROUND(SUM(C136:Y136),1)</f>
        <v>0</v>
      </c>
      <c r="AC136" s="1695"/>
      <c r="AD136" s="3514"/>
      <c r="AE136" s="1695">
        <f>+'Exhibit A'!AD48</f>
        <v>0</v>
      </c>
      <c r="AF136" s="1695"/>
      <c r="AG136" s="1695"/>
      <c r="AH136" s="1695">
        <f>ROUND(SUM(AB136-AE136),1)</f>
        <v>0</v>
      </c>
      <c r="AI136" s="3526"/>
      <c r="AJ136" s="1786">
        <f>ROUND(IF(AE136=0,0,AH136/ABS(AE136)),3)</f>
        <v>0</v>
      </c>
    </row>
    <row r="137" spans="1:59" ht="16.5" customHeight="1">
      <c r="A137" s="225" t="s">
        <v>48</v>
      </c>
      <c r="B137" s="225"/>
      <c r="C137" s="2232">
        <v>6203.6000000000013</v>
      </c>
      <c r="D137" s="1695"/>
      <c r="E137" s="2232">
        <v>2681.3</v>
      </c>
      <c r="F137" s="1695"/>
      <c r="G137" s="2232">
        <v>4839.5</v>
      </c>
      <c r="H137" s="1695"/>
      <c r="I137" s="2232">
        <f>'Exhibit A'!V49</f>
        <v>3268.8</v>
      </c>
      <c r="J137" s="1695"/>
      <c r="K137" s="2232"/>
      <c r="L137" s="1695"/>
      <c r="M137" s="2232"/>
      <c r="N137" s="1695"/>
      <c r="O137" s="2232"/>
      <c r="P137" s="1695"/>
      <c r="Q137" s="2232"/>
      <c r="R137" s="1695"/>
      <c r="S137" s="2232"/>
      <c r="T137" s="1695"/>
      <c r="U137" s="2232"/>
      <c r="V137" s="1695"/>
      <c r="W137" s="2232"/>
      <c r="X137" s="1695"/>
      <c r="Y137" s="2232"/>
      <c r="Z137" s="1695"/>
      <c r="AA137" s="3643"/>
      <c r="AB137" s="1695">
        <f>ROUND(SUM(C137:Y137),1)</f>
        <v>16993.2</v>
      </c>
      <c r="AC137" s="1695"/>
      <c r="AD137" s="3643"/>
      <c r="AE137" s="1695">
        <f>+'Exhibit A'!AD49</f>
        <v>14355.4</v>
      </c>
      <c r="AF137" s="1695"/>
      <c r="AG137" s="1695"/>
      <c r="AH137" s="1695">
        <f>ROUND(SUM(AB137-AE137),1)</f>
        <v>2637.8</v>
      </c>
      <c r="AI137" s="3276"/>
      <c r="AJ137" s="1786">
        <f>ROUND(IF(AE137=0,0,AH137/ABS(AE137)),3)</f>
        <v>0.184</v>
      </c>
    </row>
    <row r="138" spans="1:59" ht="16.5" customHeight="1">
      <c r="A138" s="225" t="s">
        <v>49</v>
      </c>
      <c r="C138" s="3739">
        <v>-6217.9000000000005</v>
      </c>
      <c r="D138" s="55"/>
      <c r="E138" s="3739">
        <v>-2698.8</v>
      </c>
      <c r="F138" s="279"/>
      <c r="G138" s="3739">
        <v>-4854.6000000000004</v>
      </c>
      <c r="H138" s="279"/>
      <c r="I138" s="3739">
        <f>'Exhibit A'!V50</f>
        <v>-3281.7</v>
      </c>
      <c r="J138" s="279"/>
      <c r="K138" s="2234"/>
      <c r="L138" s="279"/>
      <c r="M138" s="2234"/>
      <c r="N138" s="279"/>
      <c r="O138" s="2234"/>
      <c r="P138" s="279"/>
      <c r="Q138" s="2234"/>
      <c r="R138" s="279"/>
      <c r="S138" s="2234"/>
      <c r="T138" s="279"/>
      <c r="U138" s="2234"/>
      <c r="V138" s="279"/>
      <c r="W138" s="2234"/>
      <c r="X138" s="279"/>
      <c r="Y138" s="2234"/>
      <c r="Z138" s="279"/>
      <c r="AA138" s="3527"/>
      <c r="AB138" s="3286">
        <f>ROUND(SUM(C138:Y138),1)</f>
        <v>-17053</v>
      </c>
      <c r="AC138" s="279"/>
      <c r="AD138" s="3527"/>
      <c r="AE138" s="3286">
        <f>+'Exhibit A'!AD50</f>
        <v>-14342</v>
      </c>
      <c r="AF138" s="279"/>
      <c r="AG138" s="279"/>
      <c r="AH138" s="3286">
        <f>ROUND(SUM(-AB138+AE138),1)</f>
        <v>2711</v>
      </c>
      <c r="AI138" s="910"/>
      <c r="AJ138" s="1874">
        <f>ROUND(IF(AE138=0,0,AH138/ABS(AE138)),3)</f>
        <v>0.189</v>
      </c>
      <c r="AK138" s="3528"/>
    </row>
    <row r="139" spans="1:59" ht="16.5" customHeight="1">
      <c r="A139" s="225"/>
      <c r="C139" s="2243"/>
      <c r="D139" s="55"/>
      <c r="E139" s="537"/>
      <c r="F139" s="55"/>
      <c r="G139" s="537"/>
      <c r="H139" s="55"/>
      <c r="I139" s="537"/>
      <c r="J139" s="55"/>
      <c r="K139" s="537"/>
      <c r="L139" s="55"/>
      <c r="M139" s="537"/>
      <c r="N139" s="55"/>
      <c r="O139" s="537"/>
      <c r="P139" s="279"/>
      <c r="Q139" s="2243"/>
      <c r="R139" s="55"/>
      <c r="S139" s="2243"/>
      <c r="T139" s="279"/>
      <c r="U139" s="537"/>
      <c r="V139" s="55"/>
      <c r="W139" s="537"/>
      <c r="X139" s="55"/>
      <c r="Y139" s="537"/>
      <c r="Z139" s="55"/>
      <c r="AA139" s="544"/>
      <c r="AB139" s="2243"/>
      <c r="AC139" s="279"/>
      <c r="AD139" s="3527"/>
      <c r="AE139" s="2243"/>
      <c r="AF139" s="279"/>
      <c r="AG139" s="279"/>
      <c r="AH139" s="2243"/>
      <c r="AI139" s="910"/>
      <c r="AJ139" s="3523"/>
    </row>
    <row r="140" spans="1:59" ht="16.5" customHeight="1">
      <c r="A140" s="207" t="s">
        <v>50</v>
      </c>
      <c r="C140" s="2244">
        <f>ROUND(SUM(C136:C138),1)</f>
        <v>-14.3</v>
      </c>
      <c r="D140" s="545"/>
      <c r="E140" s="533">
        <f>ROUND(SUM(E136:E138),1)</f>
        <v>-17.5</v>
      </c>
      <c r="F140" s="545"/>
      <c r="G140" s="533">
        <f>ROUND(SUM(G136:G138),1)</f>
        <v>-15.1</v>
      </c>
      <c r="H140" s="545"/>
      <c r="I140" s="533">
        <f>ROUND(SUM(I136:I138),1)</f>
        <v>-12.9</v>
      </c>
      <c r="J140" s="545"/>
      <c r="K140" s="533">
        <f>ROUND(SUM(K136:K138),1)</f>
        <v>0</v>
      </c>
      <c r="L140" s="545"/>
      <c r="M140" s="533">
        <f>ROUND(SUM(M136:M138),1)</f>
        <v>0</v>
      </c>
      <c r="N140" s="545"/>
      <c r="O140" s="533">
        <f>ROUND(SUM(O136:O138),1)</f>
        <v>0</v>
      </c>
      <c r="P140" s="545"/>
      <c r="Q140" s="2244">
        <f>ROUND(SUM(Q136:Q138),1)</f>
        <v>0</v>
      </c>
      <c r="R140" s="545"/>
      <c r="S140" s="533">
        <f>ROUND(SUM(S136:S138),1)</f>
        <v>0</v>
      </c>
      <c r="T140" s="545"/>
      <c r="U140" s="533">
        <f>ROUND(SUM(U136:U138),1)</f>
        <v>0</v>
      </c>
      <c r="V140" s="545"/>
      <c r="W140" s="533">
        <f>ROUND(SUM(W136:W138),1)</f>
        <v>0</v>
      </c>
      <c r="X140" s="545"/>
      <c r="Y140" s="533">
        <f>ROUND(SUM(Y136:Y138),1)</f>
        <v>0</v>
      </c>
      <c r="Z140" s="545"/>
      <c r="AA140" s="546"/>
      <c r="AB140" s="2244">
        <f>ROUND(SUM(AB136:AB139),1)</f>
        <v>-59.8</v>
      </c>
      <c r="AC140" s="3291"/>
      <c r="AD140" s="3529"/>
      <c r="AE140" s="2244">
        <f>SUM(AE136:AE139)</f>
        <v>13.399999999999636</v>
      </c>
      <c r="AF140" s="3291"/>
      <c r="AG140" s="3291"/>
      <c r="AH140" s="2244">
        <f>ROUND(SUM(+AH137-AH138+AH136),1)</f>
        <v>-73.2</v>
      </c>
      <c r="AI140" s="255"/>
      <c r="AJ140" s="3513">
        <f>ROUND(IF(AE140=0,0,AH140/ABS(AE140)),3)</f>
        <v>-5.4630000000000001</v>
      </c>
      <c r="AK140" s="3503"/>
      <c r="AL140" s="435"/>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27"/>
      <c r="AE141" s="279"/>
      <c r="AF141" s="279"/>
      <c r="AG141" s="279"/>
      <c r="AH141" s="914"/>
      <c r="AI141" s="910"/>
      <c r="AJ141" s="910"/>
    </row>
    <row r="142" spans="1:59" ht="16.5" customHeight="1">
      <c r="A142" s="255" t="s">
        <v>44</v>
      </c>
      <c r="C142" s="537"/>
      <c r="D142" s="55"/>
      <c r="E142" s="537"/>
      <c r="F142" s="55"/>
      <c r="G142" s="537"/>
      <c r="H142" s="55"/>
      <c r="I142" s="537"/>
      <c r="J142" s="55"/>
      <c r="K142" s="537"/>
      <c r="L142" s="55"/>
      <c r="M142" s="537"/>
      <c r="N142" s="55"/>
      <c r="O142" s="537"/>
      <c r="P142" s="55"/>
      <c r="Q142" s="2243"/>
      <c r="R142" s="55"/>
      <c r="S142" s="537"/>
      <c r="T142" s="55"/>
      <c r="U142" s="537"/>
      <c r="V142" s="55"/>
      <c r="W142" s="537"/>
      <c r="X142" s="55"/>
      <c r="Y142" s="537"/>
      <c r="Z142" s="55"/>
      <c r="AA142" s="544"/>
      <c r="AB142" s="2243"/>
      <c r="AC142" s="279"/>
      <c r="AD142" s="3527"/>
      <c r="AE142" s="2243"/>
      <c r="AF142" s="279"/>
      <c r="AG142" s="279"/>
      <c r="AH142" s="914"/>
      <c r="AI142" s="910"/>
      <c r="AJ142" s="910"/>
    </row>
    <row r="143" spans="1:59" ht="16.5" customHeight="1">
      <c r="A143" s="255" t="s">
        <v>51</v>
      </c>
      <c r="C143" s="534"/>
      <c r="D143" s="545"/>
      <c r="E143" s="534"/>
      <c r="F143" s="545"/>
      <c r="G143" s="534"/>
      <c r="H143" s="545"/>
      <c r="I143" s="534"/>
      <c r="J143" s="545"/>
      <c r="K143" s="534"/>
      <c r="L143" s="545"/>
      <c r="M143" s="534"/>
      <c r="N143" s="545"/>
      <c r="O143" s="534"/>
      <c r="P143" s="545"/>
      <c r="Q143" s="3284"/>
      <c r="R143" s="545"/>
      <c r="S143" s="534"/>
      <c r="T143" s="545"/>
      <c r="U143" s="534"/>
      <c r="V143" s="545"/>
      <c r="W143" s="534"/>
      <c r="X143" s="545"/>
      <c r="Y143" s="534"/>
      <c r="Z143" s="545"/>
      <c r="AA143" s="546"/>
      <c r="AB143" s="3284"/>
      <c r="AC143" s="3291"/>
      <c r="AD143" s="3529"/>
      <c r="AE143" s="3284"/>
      <c r="AF143" s="3291"/>
      <c r="AG143" s="3291"/>
      <c r="AH143" s="112"/>
      <c r="AI143" s="255"/>
      <c r="AJ143" s="255"/>
      <c r="AK143" s="3503"/>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2803.5</v>
      </c>
      <c r="H144" s="545"/>
      <c r="I144" s="547">
        <f>ROUND(SUM(I133+I140),1)</f>
        <v>-953.5</v>
      </c>
      <c r="J144" s="545"/>
      <c r="K144" s="547">
        <f>ROUND(SUM(K133+K140),1)</f>
        <v>0</v>
      </c>
      <c r="L144" s="545"/>
      <c r="M144" s="547">
        <f>ROUND(SUM(M133+M140),1)</f>
        <v>0</v>
      </c>
      <c r="N144" s="545"/>
      <c r="O144" s="547">
        <f>ROUND(SUM(O133+O140),1)</f>
        <v>0</v>
      </c>
      <c r="P144" s="545"/>
      <c r="Q144" s="3292">
        <f>ROUND(SUM(Q133+Q140),1)</f>
        <v>0</v>
      </c>
      <c r="R144" s="545"/>
      <c r="S144" s="547">
        <f>ROUND(SUM(S133+S140),1)</f>
        <v>0</v>
      </c>
      <c r="T144" s="545"/>
      <c r="U144" s="547">
        <f>ROUND(SUM(U133+U140),1)</f>
        <v>0</v>
      </c>
      <c r="V144" s="545"/>
      <c r="W144" s="547">
        <f>ROUND(SUM(W133+W140),1)</f>
        <v>0</v>
      </c>
      <c r="X144" s="545"/>
      <c r="Y144" s="547">
        <f>ROUND(SUM(Y133+Y140),1)</f>
        <v>0</v>
      </c>
      <c r="Z144" s="545"/>
      <c r="AA144" s="546"/>
      <c r="AB144" s="3292">
        <f>ROUND(SUM(AB133+AB140),1)</f>
        <v>2800.1</v>
      </c>
      <c r="AC144" s="3291"/>
      <c r="AD144" s="3529"/>
      <c r="AE144" s="3292">
        <f>AE133+AE140</f>
        <v>-1046.0000000000005</v>
      </c>
      <c r="AF144" s="3291"/>
      <c r="AG144" s="3291"/>
      <c r="AH144" s="3524">
        <f>ROUND(SUM(AB144-AE144),1)</f>
        <v>3846.1</v>
      </c>
      <c r="AI144" s="255"/>
      <c r="AJ144" s="3525">
        <f>ROUND(IF(AE144=0,0,AH144/ABS(AE144)),3)</f>
        <v>3.677</v>
      </c>
      <c r="AK144" s="3503"/>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80"/>
      <c r="S145" s="524"/>
      <c r="U145" s="524"/>
      <c r="W145" s="524"/>
      <c r="Y145" s="524"/>
      <c r="AA145" s="548"/>
      <c r="AB145" s="3280"/>
      <c r="AD145" s="3530"/>
      <c r="AE145" s="3280"/>
      <c r="AH145" s="910"/>
      <c r="AI145" s="910"/>
      <c r="AJ145" s="910"/>
    </row>
    <row r="146" spans="1:37" ht="16.5" customHeight="1" thickBot="1">
      <c r="A146" s="549" t="s">
        <v>142</v>
      </c>
      <c r="C146" s="550">
        <f>ROUND(SUM(C16+C144),1)</f>
        <v>18267.7</v>
      </c>
      <c r="D146" s="251"/>
      <c r="E146" s="550">
        <f>ROUND(SUM(E16+E144),1)</f>
        <v>10925.1</v>
      </c>
      <c r="F146" s="251"/>
      <c r="G146" s="550">
        <f>ROUND(SUM(G16+G144),1)</f>
        <v>13728.6</v>
      </c>
      <c r="H146" s="251"/>
      <c r="I146" s="550">
        <f>ROUND(SUM(I16+I144),1)</f>
        <v>12775.1</v>
      </c>
      <c r="J146" s="551"/>
      <c r="K146" s="550">
        <f>ROUND(SUM(K16+K144),1)</f>
        <v>0</v>
      </c>
      <c r="L146" s="551"/>
      <c r="M146" s="550">
        <f>ROUND(SUM(M16+M144),1)</f>
        <v>0</v>
      </c>
      <c r="N146" s="551"/>
      <c r="O146" s="550">
        <f>ROUND(SUM(O16+O144),1)</f>
        <v>0</v>
      </c>
      <c r="P146" s="551"/>
      <c r="Q146" s="3293">
        <f>ROUND(SUM(Q16+Q144),1)</f>
        <v>0</v>
      </c>
      <c r="R146" s="551"/>
      <c r="S146" s="550">
        <f>ROUND(SUM(S16+S144),1)</f>
        <v>0</v>
      </c>
      <c r="T146" s="551"/>
      <c r="U146" s="550">
        <f>ROUND(SUM(U16+U144),1)</f>
        <v>0</v>
      </c>
      <c r="V146" s="551"/>
      <c r="W146" s="550">
        <f>ROUND(SUM(W16+W144),1)</f>
        <v>0</v>
      </c>
      <c r="X146" s="551"/>
      <c r="Y146" s="550">
        <f>ROUND(SUM(Y16+Y144),1)</f>
        <v>0</v>
      </c>
      <c r="Z146" s="251"/>
      <c r="AA146" s="552"/>
      <c r="AB146" s="3293">
        <f>ROUND(SUM(AB16+AB144),1)</f>
        <v>12775.1</v>
      </c>
      <c r="AC146" s="3294"/>
      <c r="AD146" s="3531"/>
      <c r="AE146" s="3293">
        <f>AE16+AE144</f>
        <v>11703</v>
      </c>
      <c r="AF146" s="3294"/>
      <c r="AG146" s="3294"/>
      <c r="AH146" s="3293">
        <f>ROUND(SUM(AB146-AE146),1)</f>
        <v>1072.0999999999999</v>
      </c>
      <c r="AI146" s="255"/>
      <c r="AJ146" s="3532">
        <f>ROUND(IF(AE146=0,0,AH146/ABS(AE146)),3)</f>
        <v>9.1999999999999998E-2</v>
      </c>
      <c r="AK146" s="3503"/>
    </row>
    <row r="147" spans="1:37" ht="16.5" customHeight="1" thickTop="1">
      <c r="A147" s="553"/>
      <c r="C147" s="213"/>
      <c r="AH147" s="910"/>
      <c r="AI147" s="910"/>
      <c r="AJ147" s="910"/>
    </row>
    <row r="148" spans="1:37" ht="16.5" customHeight="1">
      <c r="A148" s="360" t="s">
        <v>143</v>
      </c>
      <c r="AH148" s="910"/>
      <c r="AI148" s="910"/>
      <c r="AJ148" s="910"/>
    </row>
    <row r="149" spans="1:37" ht="16.5" customHeight="1">
      <c r="A149" s="30"/>
      <c r="AH149" s="910"/>
      <c r="AI149" s="910"/>
      <c r="AJ149" s="910"/>
    </row>
    <row r="150" spans="1:37" ht="16.5" customHeight="1">
      <c r="A150" s="30"/>
      <c r="AH150" s="910"/>
      <c r="AI150" s="910"/>
      <c r="AJ150" s="910"/>
    </row>
    <row r="151" spans="1:37" ht="16.5" customHeight="1">
      <c r="A151" s="30"/>
      <c r="AH151" s="910"/>
      <c r="AI151" s="910"/>
      <c r="AJ151" s="910"/>
    </row>
    <row r="152" spans="1:37" ht="16.5" customHeight="1">
      <c r="AH152" s="910"/>
      <c r="AI152" s="910"/>
      <c r="AJ152" s="910"/>
    </row>
    <row r="153" spans="1:37" ht="16.5" customHeight="1">
      <c r="AH153" s="910"/>
      <c r="AI153" s="910"/>
      <c r="AJ153" s="910"/>
    </row>
    <row r="154" spans="1:37" ht="16.5" customHeight="1">
      <c r="AH154" s="910"/>
      <c r="AI154" s="910"/>
      <c r="AJ154" s="910"/>
    </row>
    <row r="155" spans="1:37" ht="16.5" customHeight="1">
      <c r="AH155" s="910"/>
      <c r="AI155" s="910"/>
      <c r="AJ155" s="910"/>
    </row>
    <row r="156" spans="1:37" ht="16.5" customHeight="1">
      <c r="AH156" s="910"/>
      <c r="AI156" s="910"/>
      <c r="AJ156" s="910"/>
    </row>
    <row r="157" spans="1:37" ht="16.5" customHeight="1">
      <c r="AH157" s="910"/>
      <c r="AI157" s="910"/>
      <c r="AJ157" s="910"/>
    </row>
    <row r="158" spans="1:37" ht="16.5" customHeight="1">
      <c r="AH158" s="910"/>
      <c r="AI158" s="910"/>
      <c r="AJ158" s="910"/>
    </row>
    <row r="159" spans="1:37" ht="16.5" customHeight="1">
      <c r="AH159" s="910"/>
      <c r="AI159" s="910"/>
      <c r="AJ159" s="910"/>
    </row>
    <row r="160" spans="1:37" ht="16.5" customHeight="1">
      <c r="AH160" s="910"/>
      <c r="AI160" s="910"/>
      <c r="AJ160" s="910"/>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8" max="35" man="1"/>
  </rowBreak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77734375" defaultRowHeight="16.5" customHeight="1"/>
  <cols>
    <col min="1" max="1" width="43" style="2875" customWidth="1"/>
    <col min="2" max="2" width="1.77734375" style="2875" customWidth="1"/>
    <col min="3" max="3" width="13.21875" style="2875" customWidth="1"/>
    <col min="4" max="4" width="1.77734375" style="2875" customWidth="1"/>
    <col min="5" max="5" width="13.21875" style="2875" customWidth="1"/>
    <col min="6" max="6" width="1.77734375" style="2875" customWidth="1"/>
    <col min="7" max="7" width="13.5546875" style="2875" customWidth="1"/>
    <col min="8" max="8" width="1.77734375" style="2875" customWidth="1"/>
    <col min="9" max="9" width="13.77734375" style="2875" customWidth="1"/>
    <col min="10" max="10" width="1.77734375" style="2875" customWidth="1"/>
    <col min="11" max="11" width="14.5546875" style="2875" customWidth="1"/>
    <col min="12" max="12" width="1.77734375" style="2875" customWidth="1"/>
    <col min="13" max="13" width="13.21875" style="2875" customWidth="1"/>
    <col min="14" max="14" width="1.77734375" style="2875" customWidth="1"/>
    <col min="15" max="15" width="14.21875" style="2875" customWidth="1"/>
    <col min="16" max="16" width="1.77734375" style="2875" customWidth="1"/>
    <col min="17" max="17" width="13.21875" style="2875" customWidth="1"/>
    <col min="18" max="18" width="1.77734375" style="2875" customWidth="1"/>
    <col min="19" max="19" width="13.77734375" style="2875" customWidth="1"/>
    <col min="20" max="20" width="1.77734375" style="2875" customWidth="1"/>
    <col min="21" max="21" width="13" style="2875" customWidth="1"/>
    <col min="22" max="22" width="1.77734375" style="2875" customWidth="1"/>
    <col min="23" max="23" width="13.21875" style="2875" customWidth="1"/>
    <col min="24" max="24" width="1.77734375" style="2875" customWidth="1"/>
    <col min="25" max="25" width="13.21875" style="2875" customWidth="1"/>
    <col min="26" max="27" width="1.77734375" style="2875" customWidth="1"/>
    <col min="28" max="28" width="15" style="2057" customWidth="1"/>
    <col min="29" max="30" width="1.77734375" style="2057" customWidth="1"/>
    <col min="31" max="31" width="12.21875" style="2057" customWidth="1"/>
    <col min="32" max="32" width="1.21875" style="2057" customWidth="1"/>
    <col min="33" max="33" width="1.77734375" style="2057" customWidth="1"/>
    <col min="34" max="34" width="12.77734375" style="2057" bestFit="1" customWidth="1"/>
    <col min="35" max="35" width="1" style="2057" customWidth="1"/>
    <col min="36" max="36" width="12.21875" style="2057" bestFit="1" customWidth="1"/>
    <col min="37" max="16384" width="8.77734375" style="2875"/>
  </cols>
  <sheetData>
    <row r="1" spans="1:37" ht="15">
      <c r="A1" s="2874" t="s">
        <v>980</v>
      </c>
    </row>
    <row r="2" spans="1:37" ht="15">
      <c r="A2" s="1473"/>
    </row>
    <row r="3" spans="1:37" ht="23.25">
      <c r="A3" s="2876" t="s">
        <v>0</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3254"/>
      <c r="AC3" s="3254"/>
      <c r="AD3" s="3254"/>
      <c r="AE3" s="3254"/>
      <c r="AF3" s="3254"/>
      <c r="AG3" s="3254"/>
      <c r="AI3" s="3254"/>
    </row>
    <row r="4" spans="1:37" ht="23.25">
      <c r="A4" s="2876" t="s">
        <v>1183</v>
      </c>
      <c r="B4" s="1480"/>
      <c r="C4" s="1480"/>
      <c r="D4" s="1480"/>
      <c r="E4" s="1480"/>
      <c r="F4" s="1480"/>
      <c r="G4" s="1480"/>
      <c r="H4" s="1480"/>
      <c r="I4" s="1480" t="s">
        <v>15</v>
      </c>
      <c r="J4" s="1480"/>
      <c r="K4" s="1480"/>
      <c r="L4" s="1480"/>
      <c r="M4" s="1480"/>
      <c r="N4" s="1480"/>
      <c r="O4" s="1480"/>
      <c r="P4" s="1480"/>
      <c r="Q4" s="1480"/>
      <c r="R4" s="1480"/>
      <c r="S4" s="1480"/>
      <c r="T4" s="1480"/>
      <c r="U4" s="1480"/>
      <c r="V4" s="1480"/>
      <c r="W4" s="1480"/>
      <c r="X4" s="1480"/>
      <c r="Y4" s="1480" t="s">
        <v>15</v>
      </c>
      <c r="Z4" s="1480"/>
      <c r="AA4" s="1480"/>
      <c r="AB4" s="3254"/>
      <c r="AC4" s="3254"/>
      <c r="AD4" s="3254"/>
      <c r="AE4" s="3254"/>
      <c r="AF4" s="3254"/>
      <c r="AG4" s="3254"/>
      <c r="AI4" s="3254"/>
    </row>
    <row r="5" spans="1:37" ht="23.25" customHeight="1">
      <c r="A5" s="2877" t="s">
        <v>1184</v>
      </c>
      <c r="B5" s="1480"/>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C5" s="3806"/>
      <c r="AD5" s="3807"/>
      <c r="AE5" s="3807"/>
      <c r="AF5" s="3807"/>
      <c r="AG5" s="3807"/>
      <c r="AH5" s="3807"/>
      <c r="AI5" s="3807"/>
      <c r="AJ5" s="3807"/>
    </row>
    <row r="6" spans="1:37" ht="23.25">
      <c r="A6" s="2877" t="str">
        <f>'Cashflow Governmental'!A6</f>
        <v>FISCAL YEAR 2019-2020</v>
      </c>
      <c r="B6" s="1480"/>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3254"/>
      <c r="AC6" s="3254"/>
      <c r="AD6" s="3254"/>
      <c r="AE6" s="3254"/>
      <c r="AF6" s="3254"/>
      <c r="AG6" s="3254"/>
      <c r="AI6" s="3254"/>
    </row>
    <row r="7" spans="1:37" ht="23.25" customHeight="1">
      <c r="A7" s="2876" t="s">
        <v>1433</v>
      </c>
      <c r="B7" s="1480"/>
      <c r="C7" s="1480"/>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3254"/>
      <c r="AC7" s="3254"/>
      <c r="AD7" s="3254"/>
      <c r="AE7" s="3254"/>
      <c r="AF7" s="3254"/>
      <c r="AG7" s="3254"/>
      <c r="AI7" s="3254"/>
    </row>
    <row r="8" spans="1:37" ht="15">
      <c r="A8" s="1480"/>
      <c r="B8" s="1480"/>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3254"/>
      <c r="AC8" s="3254"/>
      <c r="AD8" s="3254"/>
      <c r="AE8" s="3254"/>
      <c r="AF8" s="3254"/>
      <c r="AG8" s="3254"/>
      <c r="AI8" s="3254"/>
    </row>
    <row r="9" spans="1:37" ht="15">
      <c r="A9" s="1480"/>
      <c r="B9" s="1480"/>
      <c r="C9" s="1480"/>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3254"/>
      <c r="AC9" s="3254"/>
      <c r="AD9" s="3254"/>
      <c r="AE9" s="3254"/>
      <c r="AF9" s="3254"/>
      <c r="AG9" s="3254"/>
      <c r="AI9" s="3254"/>
    </row>
    <row r="10" spans="1:37" ht="15">
      <c r="A10" s="1480"/>
      <c r="B10" s="1480"/>
      <c r="C10" s="1480"/>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3254"/>
      <c r="AC10" s="3254"/>
      <c r="AD10" s="3254"/>
      <c r="AE10" s="3254"/>
      <c r="AF10" s="3254"/>
      <c r="AG10" s="3254"/>
      <c r="AI10" s="3254"/>
    </row>
    <row r="11" spans="1:37" ht="15">
      <c r="A11" s="1480"/>
      <c r="B11" s="1480"/>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C11" s="3254"/>
      <c r="AD11" s="3254"/>
      <c r="AE11" s="3254"/>
      <c r="AF11" s="3254"/>
      <c r="AG11" s="3254"/>
      <c r="AI11" s="3254"/>
    </row>
    <row r="12" spans="1:37" ht="15.75">
      <c r="A12" s="1480"/>
      <c r="B12" s="1480"/>
      <c r="C12" s="1480"/>
      <c r="D12" s="1480"/>
      <c r="E12" s="1480"/>
      <c r="F12" s="1480"/>
      <c r="G12" s="1480"/>
      <c r="H12" s="1480"/>
      <c r="I12" s="1480"/>
      <c r="J12" s="1480"/>
      <c r="K12" s="1480"/>
      <c r="L12" s="1480"/>
      <c r="M12" s="1480"/>
      <c r="N12" s="1480"/>
      <c r="O12" s="1480"/>
      <c r="P12" s="1480"/>
      <c r="Q12" s="1480"/>
      <c r="R12" s="1480"/>
      <c r="S12" s="1480"/>
      <c r="T12" s="1480"/>
      <c r="U12" s="1480"/>
      <c r="V12" s="1480"/>
      <c r="W12" s="1480"/>
      <c r="X12" s="1480"/>
      <c r="Z12" s="1480"/>
      <c r="AA12" s="2878"/>
      <c r="AB12" s="3808" t="str">
        <f>'Cashflow Governmental'!AB12:AJ12</f>
        <v>4 Months Ended July 31</v>
      </c>
      <c r="AC12" s="3808"/>
      <c r="AD12" s="3808"/>
      <c r="AE12" s="3808"/>
      <c r="AF12" s="3808"/>
      <c r="AG12" s="3808"/>
      <c r="AH12" s="3808"/>
      <c r="AI12" s="3808"/>
      <c r="AJ12" s="3808"/>
    </row>
    <row r="13" spans="1:37" ht="15.75">
      <c r="A13" s="1480"/>
      <c r="B13" s="1480"/>
      <c r="C13" s="2510" t="str">
        <f>'Cashflow Governmental'!C13</f>
        <v>2019</v>
      </c>
      <c r="D13" s="2511"/>
      <c r="E13" s="2511"/>
      <c r="F13" s="2511"/>
      <c r="G13" s="2511"/>
      <c r="H13" s="2511"/>
      <c r="I13" s="2511"/>
      <c r="J13" s="2511"/>
      <c r="K13" s="2511"/>
      <c r="L13" s="2511"/>
      <c r="M13" s="2511"/>
      <c r="N13" s="2511"/>
      <c r="O13" s="2511"/>
      <c r="P13" s="2511"/>
      <c r="Q13" s="2511"/>
      <c r="R13" s="2511"/>
      <c r="S13" s="2511"/>
      <c r="T13" s="2511"/>
      <c r="U13" s="2510" t="str">
        <f>'Cashflow Governmental'!U13</f>
        <v>2020</v>
      </c>
      <c r="V13" s="2511"/>
      <c r="W13" s="2511"/>
      <c r="X13" s="2511"/>
      <c r="Y13" s="2511"/>
      <c r="Z13" s="2511"/>
      <c r="AA13" s="2511"/>
      <c r="AB13" s="3237"/>
      <c r="AC13" s="3295"/>
      <c r="AD13" s="3295"/>
      <c r="AE13" s="3295"/>
      <c r="AF13" s="3237"/>
      <c r="AG13" s="3237"/>
      <c r="AH13" s="3533" t="s">
        <v>8</v>
      </c>
      <c r="AI13" s="3534"/>
      <c r="AJ13" s="3533" t="s">
        <v>9</v>
      </c>
    </row>
    <row r="14" spans="1:37" ht="15.75">
      <c r="A14" s="1480"/>
      <c r="B14" s="1480"/>
      <c r="C14" s="2879" t="s">
        <v>125</v>
      </c>
      <c r="D14" s="2511"/>
      <c r="E14" s="2879" t="s">
        <v>126</v>
      </c>
      <c r="F14" s="2511"/>
      <c r="G14" s="2879" t="s">
        <v>127</v>
      </c>
      <c r="H14" s="2511"/>
      <c r="I14" s="2879" t="s">
        <v>128</v>
      </c>
      <c r="J14" s="2511"/>
      <c r="K14" s="2879" t="s">
        <v>129</v>
      </c>
      <c r="L14" s="2511"/>
      <c r="M14" s="2879" t="s">
        <v>130</v>
      </c>
      <c r="N14" s="2511"/>
      <c r="O14" s="2879" t="s">
        <v>131</v>
      </c>
      <c r="P14" s="2511"/>
      <c r="Q14" s="2880" t="s">
        <v>132</v>
      </c>
      <c r="R14" s="2511"/>
      <c r="S14" s="2879" t="s">
        <v>133</v>
      </c>
      <c r="T14" s="2511"/>
      <c r="U14" s="2879" t="s">
        <v>134</v>
      </c>
      <c r="V14" s="2511"/>
      <c r="W14" s="2879" t="s">
        <v>135</v>
      </c>
      <c r="X14" s="2511"/>
      <c r="Y14" s="2879" t="s">
        <v>136</v>
      </c>
      <c r="Z14" s="2511"/>
      <c r="AA14" s="2511"/>
      <c r="AB14" s="3575" t="str">
        <f>'Cashflow Governmental'!AB14</f>
        <v>2019</v>
      </c>
      <c r="AC14" s="3237"/>
      <c r="AD14" s="3237"/>
      <c r="AE14" s="3575" t="str">
        <f>'Cashflow Governmental'!AE14</f>
        <v>2018</v>
      </c>
      <c r="AF14" s="3295"/>
      <c r="AG14" s="3295"/>
      <c r="AH14" s="3535" t="s">
        <v>12</v>
      </c>
      <c r="AI14" s="3534"/>
      <c r="AJ14" s="3535" t="s">
        <v>13</v>
      </c>
    </row>
    <row r="15" spans="1:37" ht="5.25" customHeight="1">
      <c r="A15" s="1480"/>
      <c r="B15" s="1480"/>
      <c r="C15" s="2881"/>
      <c r="D15" s="1480"/>
      <c r="E15" s="2881"/>
      <c r="F15" s="1480"/>
      <c r="G15" s="2881"/>
      <c r="H15" s="1480"/>
      <c r="I15" s="2881"/>
      <c r="J15" s="1480"/>
      <c r="K15" s="2881"/>
      <c r="L15" s="1480"/>
      <c r="M15" s="2881"/>
      <c r="N15" s="1480"/>
      <c r="O15" s="2881" t="s">
        <v>15</v>
      </c>
      <c r="P15" s="1480"/>
      <c r="Q15" s="2882"/>
      <c r="R15" s="1480"/>
      <c r="S15" s="2881"/>
      <c r="T15" s="1480"/>
      <c r="U15" s="2881" t="s">
        <v>15</v>
      </c>
      <c r="V15" s="1480"/>
      <c r="W15" s="2881"/>
      <c r="X15" s="1480"/>
      <c r="Y15" s="2881"/>
      <c r="Z15" s="1480"/>
      <c r="AA15" s="1480"/>
      <c r="AB15" s="3576"/>
      <c r="AC15" s="3254"/>
      <c r="AD15" s="3254"/>
      <c r="AE15" s="3576"/>
      <c r="AF15" s="3536"/>
      <c r="AG15" s="3536"/>
      <c r="AI15" s="3254"/>
    </row>
    <row r="16" spans="1:37" ht="15.75">
      <c r="A16" s="2883" t="s">
        <v>137</v>
      </c>
      <c r="B16" s="1480"/>
      <c r="C16" s="2884">
        <f>'Exhibit F'!D12+'Exh D Special Revenue State Fed'!G40+'Exhibit H'!B12</f>
        <v>12361.3</v>
      </c>
      <c r="D16" s="2885"/>
      <c r="E16" s="2885">
        <f>C145</f>
        <v>18718.2</v>
      </c>
      <c r="F16" s="2885"/>
      <c r="G16" s="2885">
        <f>E145</f>
        <v>12243.5</v>
      </c>
      <c r="H16" s="2885"/>
      <c r="I16" s="2885">
        <f>G145</f>
        <v>14049.7</v>
      </c>
      <c r="J16" s="2885"/>
      <c r="K16" s="2885"/>
      <c r="L16" s="2885"/>
      <c r="M16" s="2885"/>
      <c r="N16" s="2885"/>
      <c r="O16" s="2885"/>
      <c r="P16" s="2885"/>
      <c r="Q16" s="2885"/>
      <c r="R16" s="2885"/>
      <c r="S16" s="2885"/>
      <c r="T16" s="2885"/>
      <c r="U16" s="2885"/>
      <c r="V16" s="2885"/>
      <c r="W16" s="2885"/>
      <c r="X16" s="2885"/>
      <c r="Y16" s="2885"/>
      <c r="Z16" s="2885"/>
      <c r="AA16" s="2886"/>
      <c r="AB16" s="2884">
        <f>C16</f>
        <v>12361.3</v>
      </c>
      <c r="AC16" s="2884"/>
      <c r="AD16" s="3577"/>
      <c r="AE16" s="2884">
        <f>'Exhibit F'!AF12+'Exhibit G State'!AG13+'Exhibit H'!AD12</f>
        <v>13606.6</v>
      </c>
      <c r="AF16" s="3537"/>
      <c r="AG16" s="3537"/>
      <c r="AH16" s="2884">
        <f>ROUND(SUM(AB16-AE16),1)</f>
        <v>-1245.3</v>
      </c>
      <c r="AI16" s="3237"/>
      <c r="AJ16" s="1919">
        <f>ROUND(SUM(AH16/AE16),3)</f>
        <v>-9.1999999999999998E-2</v>
      </c>
      <c r="AK16" s="2887"/>
    </row>
    <row r="17" spans="1:36" ht="15.75">
      <c r="A17" s="1480"/>
      <c r="B17" s="1480"/>
      <c r="C17" s="1480" t="s">
        <v>15</v>
      </c>
      <c r="D17" s="1480"/>
      <c r="E17" s="2808"/>
      <c r="F17" s="1480"/>
      <c r="G17" s="2808"/>
      <c r="H17" s="1480"/>
      <c r="I17" s="2808"/>
      <c r="J17" s="1480"/>
      <c r="K17" s="2808"/>
      <c r="L17" s="1480"/>
      <c r="M17" s="2808"/>
      <c r="N17" s="1480"/>
      <c r="O17" s="2808"/>
      <c r="P17" s="1480"/>
      <c r="Q17" s="2808"/>
      <c r="R17" s="1480"/>
      <c r="S17" s="2808"/>
      <c r="T17" s="1480"/>
      <c r="U17" s="2808"/>
      <c r="V17" s="1480"/>
      <c r="W17" s="2885"/>
      <c r="X17" s="1480"/>
      <c r="Y17" s="2808"/>
      <c r="Z17" s="1480"/>
      <c r="AA17" s="2888"/>
      <c r="AB17" s="3254" t="s">
        <v>15</v>
      </c>
      <c r="AC17" s="3254"/>
      <c r="AD17" s="3578"/>
      <c r="AE17" s="3254" t="s">
        <v>15</v>
      </c>
      <c r="AF17" s="3536"/>
      <c r="AG17" s="3536"/>
      <c r="AH17" s="3538"/>
      <c r="AI17" s="3254"/>
      <c r="AJ17" s="3538"/>
    </row>
    <row r="18" spans="1:36" ht="15.75">
      <c r="A18" s="2077" t="s">
        <v>14</v>
      </c>
      <c r="B18" s="1480"/>
      <c r="C18" s="1480"/>
      <c r="D18" s="1480"/>
      <c r="E18" s="2808"/>
      <c r="F18" s="1480"/>
      <c r="G18" s="2808"/>
      <c r="H18" s="1480"/>
      <c r="I18" s="2808"/>
      <c r="J18" s="1480"/>
      <c r="K18" s="2808"/>
      <c r="L18" s="1480"/>
      <c r="M18" s="2808"/>
      <c r="N18" s="1480"/>
      <c r="O18" s="2808"/>
      <c r="P18" s="1480"/>
      <c r="Q18" s="2808"/>
      <c r="R18" s="1480"/>
      <c r="S18" s="2808"/>
      <c r="T18" s="1480"/>
      <c r="U18" s="2808"/>
      <c r="V18" s="1480"/>
      <c r="W18" s="2808"/>
      <c r="X18" s="1480"/>
      <c r="Y18" s="2808"/>
      <c r="Z18" s="1480"/>
      <c r="AA18" s="2888"/>
      <c r="AB18" s="3254"/>
      <c r="AC18" s="3254"/>
      <c r="AD18" s="3578"/>
      <c r="AE18" s="3254"/>
      <c r="AF18" s="3536"/>
      <c r="AG18" s="3536"/>
      <c r="AH18" s="3538"/>
      <c r="AI18" s="3254"/>
      <c r="AJ18" s="3538"/>
    </row>
    <row r="19" spans="1:36" ht="15.75">
      <c r="A19" s="2539" t="s">
        <v>1098</v>
      </c>
      <c r="B19" s="1480"/>
      <c r="C19" s="1480"/>
      <c r="D19" s="1480"/>
      <c r="E19" s="2808"/>
      <c r="F19" s="1480"/>
      <c r="G19" s="2808"/>
      <c r="H19" s="1480"/>
      <c r="I19" s="2808"/>
      <c r="J19" s="1480"/>
      <c r="K19" s="2808"/>
      <c r="L19" s="1480"/>
      <c r="M19" s="2808"/>
      <c r="N19" s="1480"/>
      <c r="O19" s="2808"/>
      <c r="P19" s="1480"/>
      <c r="Q19" s="2808"/>
      <c r="R19" s="1480"/>
      <c r="S19" s="2808"/>
      <c r="T19" s="1480"/>
      <c r="U19" s="2808"/>
      <c r="V19" s="1480"/>
      <c r="W19" s="2808"/>
      <c r="X19" s="1480"/>
      <c r="Y19" s="2808"/>
      <c r="Z19" s="1480"/>
      <c r="AA19" s="2889"/>
      <c r="AB19" s="3254"/>
      <c r="AC19" s="3254"/>
      <c r="AD19" s="3578"/>
      <c r="AE19" s="3254"/>
      <c r="AF19" s="3536"/>
      <c r="AG19" s="3536"/>
      <c r="AH19" s="3538"/>
      <c r="AI19" s="3254"/>
      <c r="AJ19" s="3538"/>
    </row>
    <row r="20" spans="1:36" ht="15">
      <c r="A20" s="2540" t="s">
        <v>1165</v>
      </c>
      <c r="B20" s="1480"/>
      <c r="C20" s="1480"/>
      <c r="D20" s="1480"/>
      <c r="E20" s="1479"/>
      <c r="F20" s="1480"/>
      <c r="G20" s="2808"/>
      <c r="H20" s="1480"/>
      <c r="I20" s="2808"/>
      <c r="J20" s="1480"/>
      <c r="K20" s="2808"/>
      <c r="L20" s="1480"/>
      <c r="M20" s="2808"/>
      <c r="N20" s="1480"/>
      <c r="O20" s="2808"/>
      <c r="P20" s="1480"/>
      <c r="Q20" s="2808"/>
      <c r="R20" s="1480"/>
      <c r="S20" s="2808"/>
      <c r="T20" s="1480"/>
      <c r="U20" s="2808"/>
      <c r="V20" s="1480"/>
      <c r="W20" s="2808"/>
      <c r="X20" s="1480"/>
      <c r="Y20" s="2808"/>
      <c r="Z20" s="1480"/>
      <c r="AA20" s="2888"/>
      <c r="AB20" s="3254"/>
      <c r="AC20" s="3254"/>
      <c r="AD20" s="3578"/>
      <c r="AE20" s="3254"/>
      <c r="AF20" s="3536"/>
      <c r="AG20" s="3536"/>
      <c r="AH20" s="3538"/>
      <c r="AI20" s="3254"/>
      <c r="AJ20" s="3538"/>
    </row>
    <row r="21" spans="1:36" ht="15">
      <c r="A21" s="2310" t="s">
        <v>1104</v>
      </c>
      <c r="B21" s="1480"/>
      <c r="C21" s="1479">
        <f>+'Exhibit F'!D17</f>
        <v>3237.1</v>
      </c>
      <c r="D21" s="1479"/>
      <c r="E21" s="1479">
        <f>+'Exhibit F'!F17</f>
        <v>3220.1</v>
      </c>
      <c r="F21" s="1479"/>
      <c r="G21" s="1479">
        <f>+'Exhibit F'!H17</f>
        <v>2922.2999999999997</v>
      </c>
      <c r="H21" s="1479"/>
      <c r="I21" s="1479">
        <f>+'Exhibit F'!J17</f>
        <v>3365.7999999999988</v>
      </c>
      <c r="J21" s="1479"/>
      <c r="K21" s="1479"/>
      <c r="L21" s="1479"/>
      <c r="M21" s="1479"/>
      <c r="N21" s="1479"/>
      <c r="O21" s="1479"/>
      <c r="P21" s="1480"/>
      <c r="Q21" s="1479"/>
      <c r="R21" s="1480"/>
      <c r="S21" s="1479"/>
      <c r="T21" s="1480"/>
      <c r="U21" s="1479"/>
      <c r="V21" s="1480"/>
      <c r="W21" s="1479"/>
      <c r="X21" s="1480"/>
      <c r="Y21" s="1479"/>
      <c r="Z21" s="1480"/>
      <c r="AA21" s="2888"/>
      <c r="AB21" s="3296">
        <f>ROUND(SUM(C21:Y21),1)</f>
        <v>12745.3</v>
      </c>
      <c r="AC21" s="3254"/>
      <c r="AD21" s="3578"/>
      <c r="AE21" s="3296">
        <f>+'Exhibit F'!AF17</f>
        <v>11807.3</v>
      </c>
      <c r="AF21" s="3536"/>
      <c r="AG21" s="3536"/>
      <c r="AH21" s="2067">
        <f>ROUND(SUM(+AB21-AE21),1)</f>
        <v>938</v>
      </c>
      <c r="AI21" s="2545"/>
      <c r="AJ21" s="1880">
        <f t="shared" ref="AJ21:AJ26" si="0">ROUND(SUM(+AH21/ABS(AE21)),3)</f>
        <v>7.9000000000000001E-2</v>
      </c>
    </row>
    <row r="22" spans="1:36" ht="15">
      <c r="A22" s="2310" t="s">
        <v>1401</v>
      </c>
      <c r="B22" s="1480"/>
      <c r="C22" s="1479">
        <f>+'Exhibit F'!D18</f>
        <v>6843.2</v>
      </c>
      <c r="D22" s="1479"/>
      <c r="E22" s="1479">
        <f>+'Exhibit F'!F18</f>
        <v>112.60000000000036</v>
      </c>
      <c r="F22" s="1479"/>
      <c r="G22" s="1479">
        <f>+'Exhibit F'!H18</f>
        <v>2396.4000000000005</v>
      </c>
      <c r="H22" s="1479"/>
      <c r="I22" s="1479">
        <f>+'Exhibit F'!J18</f>
        <v>118.69999999999891</v>
      </c>
      <c r="J22" s="1479"/>
      <c r="K22" s="1479"/>
      <c r="L22" s="1479"/>
      <c r="M22" s="1479"/>
      <c r="N22" s="1479"/>
      <c r="O22" s="1479"/>
      <c r="P22" s="1480"/>
      <c r="Q22" s="1479"/>
      <c r="R22" s="1480"/>
      <c r="S22" s="1479"/>
      <c r="T22" s="1480"/>
      <c r="U22" s="1479"/>
      <c r="V22" s="1480"/>
      <c r="W22" s="1479"/>
      <c r="X22" s="1480"/>
      <c r="Y22" s="1479"/>
      <c r="Z22" s="1480"/>
      <c r="AA22" s="2888"/>
      <c r="AB22" s="3296">
        <f>ROUND(SUM(C22:Y22),1)</f>
        <v>9470.9</v>
      </c>
      <c r="AC22" s="3254"/>
      <c r="AD22" s="3578"/>
      <c r="AE22" s="3296">
        <f>+'Exhibit F'!AF18</f>
        <v>6793.8</v>
      </c>
      <c r="AF22" s="3536"/>
      <c r="AG22" s="3536"/>
      <c r="AH22" s="2067">
        <f t="shared" ref="AH22:AH28" si="1">ROUND(SUM(+AB22-AE22),1)</f>
        <v>2677.1</v>
      </c>
      <c r="AI22" s="2545"/>
      <c r="AJ22" s="1880">
        <f t="shared" si="0"/>
        <v>0.39400000000000002</v>
      </c>
    </row>
    <row r="23" spans="1:36" ht="15">
      <c r="A23" s="2310" t="s">
        <v>1105</v>
      </c>
      <c r="B23" s="1480"/>
      <c r="C23" s="1479">
        <f>+'Exhibit F'!D19</f>
        <v>2286.9</v>
      </c>
      <c r="D23" s="1479"/>
      <c r="E23" s="1479">
        <f>+'Exhibit F'!F19</f>
        <v>75.099999999999994</v>
      </c>
      <c r="F23" s="1479"/>
      <c r="G23" s="1479">
        <f>+'Exhibit F'!H19</f>
        <v>54.1</v>
      </c>
      <c r="H23" s="1479"/>
      <c r="I23" s="1479">
        <f>+'Exhibit F'!J19</f>
        <v>40.800000000000004</v>
      </c>
      <c r="J23" s="1479"/>
      <c r="K23" s="1479"/>
      <c r="L23" s="1479"/>
      <c r="M23" s="1479"/>
      <c r="N23" s="1479"/>
      <c r="O23" s="1479"/>
      <c r="P23" s="1480"/>
      <c r="Q23" s="1479"/>
      <c r="R23" s="1480"/>
      <c r="S23" s="1479"/>
      <c r="T23" s="1480"/>
      <c r="U23" s="1479"/>
      <c r="V23" s="1480"/>
      <c r="W23" s="1479"/>
      <c r="X23" s="1480"/>
      <c r="Y23" s="1479"/>
      <c r="Z23" s="1480"/>
      <c r="AA23" s="2888"/>
      <c r="AB23" s="3296">
        <f t="shared" ref="AB23:AB29" si="2">ROUND(SUM(C23:Y23),1)</f>
        <v>2456.9</v>
      </c>
      <c r="AC23" s="3254"/>
      <c r="AD23" s="3578"/>
      <c r="AE23" s="3296">
        <f>+'Exhibit F'!AF19</f>
        <v>1786.6</v>
      </c>
      <c r="AF23" s="3536"/>
      <c r="AG23" s="3536"/>
      <c r="AH23" s="2067">
        <f t="shared" si="1"/>
        <v>670.3</v>
      </c>
      <c r="AI23" s="2545"/>
      <c r="AJ23" s="1880">
        <f t="shared" si="0"/>
        <v>0.375</v>
      </c>
    </row>
    <row r="24" spans="1:36" ht="15">
      <c r="A24" s="2890" t="s">
        <v>1106</v>
      </c>
      <c r="B24" s="1480"/>
      <c r="C24" s="1479">
        <f>+'Exhibit F'!D20</f>
        <v>-296.89999999999998</v>
      </c>
      <c r="D24" s="1479"/>
      <c r="E24" s="1479">
        <f>+'Exhibit F'!F20</f>
        <v>-31.100000000000023</v>
      </c>
      <c r="F24" s="1479"/>
      <c r="G24" s="1479">
        <f>+'Exhibit F'!H20</f>
        <v>-25.899999999999977</v>
      </c>
      <c r="H24" s="1479"/>
      <c r="I24" s="1479">
        <f>+'Exhibit F'!J20</f>
        <v>-21</v>
      </c>
      <c r="J24" s="1479"/>
      <c r="K24" s="1479"/>
      <c r="L24" s="1479"/>
      <c r="M24" s="1479"/>
      <c r="N24" s="1479"/>
      <c r="O24" s="1479"/>
      <c r="P24" s="1480"/>
      <c r="Q24" s="1479"/>
      <c r="R24" s="1480"/>
      <c r="S24" s="1479"/>
      <c r="T24" s="1480"/>
      <c r="U24" s="1479"/>
      <c r="V24" s="1480"/>
      <c r="W24" s="1479"/>
      <c r="X24" s="1480"/>
      <c r="Y24" s="1479"/>
      <c r="Z24" s="1480"/>
      <c r="AA24" s="2888"/>
      <c r="AB24" s="3296">
        <f>ROUND(SUM(C24:Y24),1)</f>
        <v>-374.9</v>
      </c>
      <c r="AC24" s="3254"/>
      <c r="AD24" s="3578"/>
      <c r="AE24" s="3296">
        <f>+'Exhibit F'!AF20</f>
        <v>-354.7</v>
      </c>
      <c r="AF24" s="3536"/>
      <c r="AG24" s="3536"/>
      <c r="AH24" s="2067">
        <f>-ROUND(SUM(+AB24-AE24),1)</f>
        <v>20.2</v>
      </c>
      <c r="AI24" s="2545"/>
      <c r="AJ24" s="1880">
        <f t="shared" si="0"/>
        <v>5.7000000000000002E-2</v>
      </c>
    </row>
    <row r="25" spans="1:36" ht="15">
      <c r="A25" s="2890" t="s">
        <v>1399</v>
      </c>
      <c r="B25" s="1480"/>
      <c r="C25" s="1479">
        <f>+'Exhibit F'!D21</f>
        <v>170.3</v>
      </c>
      <c r="D25" s="1479"/>
      <c r="E25" s="1479">
        <f>+'Exhibit F'!F21</f>
        <v>105.19999999999999</v>
      </c>
      <c r="F25" s="1479"/>
      <c r="G25" s="1479">
        <f>+'Exhibit F'!H21</f>
        <v>96.199999999999989</v>
      </c>
      <c r="H25" s="1479"/>
      <c r="I25" s="1479">
        <f>+'Exhibit F'!J21</f>
        <v>89.300000000000011</v>
      </c>
      <c r="J25" s="1479"/>
      <c r="K25" s="1479"/>
      <c r="L25" s="1479"/>
      <c r="M25" s="1479"/>
      <c r="N25" s="1479"/>
      <c r="O25" s="1479"/>
      <c r="P25" s="1480"/>
      <c r="Q25" s="1479"/>
      <c r="R25" s="1480"/>
      <c r="S25" s="1479"/>
      <c r="T25" s="1480"/>
      <c r="U25" s="1479"/>
      <c r="V25" s="1480"/>
      <c r="W25" s="1479"/>
      <c r="X25" s="1480"/>
      <c r="Y25" s="1479"/>
      <c r="Z25" s="1480"/>
      <c r="AA25" s="2888"/>
      <c r="AB25" s="3296">
        <f t="shared" si="2"/>
        <v>461</v>
      </c>
      <c r="AC25" s="3254"/>
      <c r="AD25" s="3578"/>
      <c r="AE25" s="3296">
        <f>+'Exhibit F'!AF21</f>
        <v>439.6</v>
      </c>
      <c r="AF25" s="3536"/>
      <c r="AG25" s="3536"/>
      <c r="AH25" s="2067">
        <f t="shared" si="1"/>
        <v>21.4</v>
      </c>
      <c r="AI25" s="2545"/>
      <c r="AJ25" s="1880">
        <f t="shared" si="0"/>
        <v>4.9000000000000002E-2</v>
      </c>
    </row>
    <row r="26" spans="1:36" ht="15.75">
      <c r="A26" s="2392" t="s">
        <v>1107</v>
      </c>
      <c r="B26" s="1480"/>
      <c r="C26" s="2109">
        <f>ROUND(SUM(C21:C25),1)</f>
        <v>12240.6</v>
      </c>
      <c r="D26" s="1480"/>
      <c r="E26" s="2109">
        <f>ROUND(SUM(E21:E25),1)</f>
        <v>3481.9</v>
      </c>
      <c r="F26" s="1480"/>
      <c r="G26" s="2109">
        <f>ROUND(SUM(G21:G25),1)</f>
        <v>5443.1</v>
      </c>
      <c r="H26" s="1480"/>
      <c r="I26" s="2109">
        <f>ROUND(SUM(I21:I25),1)</f>
        <v>3593.6</v>
      </c>
      <c r="J26" s="1480"/>
      <c r="K26" s="2109">
        <f>ROUND(SUM(K21:K25),1)</f>
        <v>0</v>
      </c>
      <c r="L26" s="1480"/>
      <c r="M26" s="2109">
        <f>ROUND(SUM(M21:M25),1)</f>
        <v>0</v>
      </c>
      <c r="N26" s="1480"/>
      <c r="O26" s="2109">
        <f>ROUND(SUM(O21:O25),1)</f>
        <v>0</v>
      </c>
      <c r="P26" s="1480"/>
      <c r="Q26" s="2109">
        <f>ROUND(SUM(Q21:Q25),1)</f>
        <v>0</v>
      </c>
      <c r="R26" s="1480"/>
      <c r="S26" s="2109">
        <f>ROUND(SUM(S21:S25),1)</f>
        <v>0</v>
      </c>
      <c r="T26" s="1480"/>
      <c r="U26" s="2109">
        <f>ROUND(SUM(U21:U25),1)</f>
        <v>0</v>
      </c>
      <c r="V26" s="1480"/>
      <c r="W26" s="2109">
        <f>ROUND(SUM(W21:W25),1)</f>
        <v>0</v>
      </c>
      <c r="X26" s="1480"/>
      <c r="Y26" s="2109">
        <f>ROUND(SUM(Y21:Y25),1)</f>
        <v>0</v>
      </c>
      <c r="Z26" s="1480"/>
      <c r="AA26" s="2888"/>
      <c r="AB26" s="1500">
        <f>ROUND(SUM(AB21:AB25),1)</f>
        <v>24759.200000000001</v>
      </c>
      <c r="AC26" s="3254"/>
      <c r="AD26" s="3578"/>
      <c r="AE26" s="1500">
        <f>ROUND(SUM(AE21:AE25),1)</f>
        <v>20472.599999999999</v>
      </c>
      <c r="AF26" s="3536"/>
      <c r="AG26" s="3536"/>
      <c r="AH26" s="2084">
        <f t="shared" si="1"/>
        <v>4286.6000000000004</v>
      </c>
      <c r="AI26" s="2545"/>
      <c r="AJ26" s="2629">
        <f t="shared" si="0"/>
        <v>0.20899999999999999</v>
      </c>
    </row>
    <row r="27" spans="1:36" ht="15">
      <c r="A27" s="2890" t="s">
        <v>1109</v>
      </c>
      <c r="B27" s="1480"/>
      <c r="C27" s="1479">
        <f>+'Exhibit F'!D23+'Exhibit G State'!D17</f>
        <v>0</v>
      </c>
      <c r="D27" s="1480"/>
      <c r="E27" s="1479">
        <f>+'Exhibit F'!F23+'Exhibit G State'!F17</f>
        <v>0</v>
      </c>
      <c r="F27" s="1480"/>
      <c r="G27" s="1479">
        <f>+'Exhibit F'!H23+'Exhibit G State'!H17</f>
        <v>0</v>
      </c>
      <c r="H27" s="1480"/>
      <c r="I27" s="1479">
        <f>+'Exhibit F'!J23+'Exhibit G State'!J17</f>
        <v>0</v>
      </c>
      <c r="J27" s="1480"/>
      <c r="K27" s="1479"/>
      <c r="L27" s="1480"/>
      <c r="M27" s="1479"/>
      <c r="N27" s="1480"/>
      <c r="O27" s="1479"/>
      <c r="P27" s="1480"/>
      <c r="Q27" s="1479"/>
      <c r="R27" s="1480"/>
      <c r="S27" s="1479"/>
      <c r="T27" s="1480"/>
      <c r="U27" s="1479"/>
      <c r="V27" s="1480"/>
      <c r="W27" s="1479"/>
      <c r="X27" s="1480"/>
      <c r="Y27" s="1479"/>
      <c r="Z27" s="1480"/>
      <c r="AA27" s="2888"/>
      <c r="AB27" s="3296">
        <f t="shared" si="2"/>
        <v>0</v>
      </c>
      <c r="AC27" s="3254"/>
      <c r="AD27" s="3578"/>
      <c r="AE27" s="3296">
        <f>+'Exhibit F'!AF23+'Exhibit G State'!AG17</f>
        <v>0</v>
      </c>
      <c r="AF27" s="3536"/>
      <c r="AG27" s="3536"/>
      <c r="AH27" s="2067">
        <f t="shared" si="1"/>
        <v>0</v>
      </c>
      <c r="AI27" s="2545"/>
      <c r="AJ27" s="1786">
        <f>ROUND(IF(AE27=0,0,AH27/ABS(AE27)),3)</f>
        <v>0</v>
      </c>
    </row>
    <row r="28" spans="1:36" ht="15">
      <c r="A28" s="2890" t="s">
        <v>1110</v>
      </c>
      <c r="B28" s="1480"/>
      <c r="C28" s="1479">
        <f>+'Exhibit F'!D24+'Exhibit H'!B16</f>
        <v>0</v>
      </c>
      <c r="D28" s="1480"/>
      <c r="E28" s="1479">
        <f>ROUND(+'Exhibit F'!F24+'Exhibit H'!D16,1)</f>
        <v>0</v>
      </c>
      <c r="F28" s="1480"/>
      <c r="G28" s="1479">
        <f>ROUND(+'Exhibit F'!H24+'Exhibit H'!F16,1)</f>
        <v>0</v>
      </c>
      <c r="H28" s="1480"/>
      <c r="I28" s="1479">
        <f>ROUND(+'Exhibit F'!J24+'Exhibit H'!H16,1)</f>
        <v>0</v>
      </c>
      <c r="J28" s="1480"/>
      <c r="K28" s="1479"/>
      <c r="L28" s="1480"/>
      <c r="M28" s="1479"/>
      <c r="N28" s="1480"/>
      <c r="O28" s="1479"/>
      <c r="P28" s="1480"/>
      <c r="Q28" s="1479"/>
      <c r="R28" s="1480"/>
      <c r="S28" s="1479"/>
      <c r="T28" s="1480"/>
      <c r="U28" s="1479"/>
      <c r="V28" s="1480"/>
      <c r="W28" s="1479"/>
      <c r="X28" s="1480"/>
      <c r="Y28" s="1479"/>
      <c r="Z28" s="1480"/>
      <c r="AA28" s="2888"/>
      <c r="AB28" s="3296">
        <f t="shared" si="2"/>
        <v>0</v>
      </c>
      <c r="AC28" s="3254"/>
      <c r="AD28" s="3578"/>
      <c r="AE28" s="3296">
        <f>+'Exhibit F'!AF24+'Exhibit H'!AD16</f>
        <v>0</v>
      </c>
      <c r="AF28" s="3536"/>
      <c r="AG28" s="3536"/>
      <c r="AH28" s="2067">
        <f t="shared" si="1"/>
        <v>0</v>
      </c>
      <c r="AI28" s="2545"/>
      <c r="AJ28" s="1786">
        <f>ROUND(IF(AE28=0,0,AH28/ABS(AE28)),3)</f>
        <v>0</v>
      </c>
    </row>
    <row r="29" spans="1:36" ht="15">
      <c r="A29" s="2310" t="s">
        <v>1402</v>
      </c>
      <c r="B29" s="1479"/>
      <c r="C29" s="1479">
        <f>+'Exhibit F'!D25</f>
        <v>-3025.2</v>
      </c>
      <c r="D29" s="1479"/>
      <c r="E29" s="1479">
        <f>+'Exhibit F'!F25</f>
        <v>-997.30000000000018</v>
      </c>
      <c r="F29" s="1479"/>
      <c r="G29" s="1479">
        <f>+'Exhibit F'!H25</f>
        <v>-233.19999999999982</v>
      </c>
      <c r="H29" s="1479"/>
      <c r="I29" s="1479">
        <f>+'Exhibit F'!J25</f>
        <v>-262</v>
      </c>
      <c r="J29" s="1479"/>
      <c r="K29" s="1479"/>
      <c r="L29" s="1480"/>
      <c r="M29" s="1479"/>
      <c r="N29" s="1480"/>
      <c r="O29" s="1479"/>
      <c r="P29" s="1480"/>
      <c r="Q29" s="1479"/>
      <c r="R29" s="1480"/>
      <c r="S29" s="1479"/>
      <c r="T29" s="1480"/>
      <c r="U29" s="1479"/>
      <c r="V29" s="1480"/>
      <c r="W29" s="1479"/>
      <c r="X29" s="1480"/>
      <c r="Y29" s="1479"/>
      <c r="Z29" s="1480"/>
      <c r="AA29" s="2888"/>
      <c r="AB29" s="3296">
        <f t="shared" si="2"/>
        <v>-4517.7</v>
      </c>
      <c r="AC29" s="3254"/>
      <c r="AD29" s="3578"/>
      <c r="AE29" s="3296">
        <f>+'Exhibit F'!AF25</f>
        <v>-4581.8999999999996</v>
      </c>
      <c r="AF29" s="3536"/>
      <c r="AG29" s="3536"/>
      <c r="AH29" s="2067">
        <f>-ROUND(SUM(+AB29-AE29),1)</f>
        <v>-64.2</v>
      </c>
      <c r="AI29" s="2545"/>
      <c r="AJ29" s="1880">
        <f>ROUND(SUM(+AH29/ABS(AE29)),3)</f>
        <v>-1.4E-2</v>
      </c>
    </row>
    <row r="30" spans="1:36" ht="15.75">
      <c r="A30" s="2550" t="s">
        <v>1108</v>
      </c>
      <c r="B30" s="1480"/>
      <c r="C30" s="2109">
        <f>ROUND(SUM(C26+C27+C28+C29),1)</f>
        <v>9215.4</v>
      </c>
      <c r="D30" s="1480"/>
      <c r="E30" s="2109">
        <f>ROUND(SUM(E26+E27+E28+E29),1)</f>
        <v>2484.6</v>
      </c>
      <c r="F30" s="1480"/>
      <c r="G30" s="2109">
        <f>ROUND(SUM(G26+G27+G28+G29),1)</f>
        <v>5209.8999999999996</v>
      </c>
      <c r="H30" s="1480"/>
      <c r="I30" s="2109">
        <f>ROUND(SUM(I26+I27+I28+I29),1)</f>
        <v>3331.6</v>
      </c>
      <c r="J30" s="1480"/>
      <c r="K30" s="2109">
        <f>ROUND(SUM(K26+K27+K28+K29),1)</f>
        <v>0</v>
      </c>
      <c r="L30" s="1480"/>
      <c r="M30" s="2109">
        <f>ROUND(SUM(M26+M27+M28+M29),1)</f>
        <v>0</v>
      </c>
      <c r="N30" s="1480"/>
      <c r="O30" s="2109">
        <f>ROUND(SUM(O26+O27+O28+O29),1)</f>
        <v>0</v>
      </c>
      <c r="P30" s="1480"/>
      <c r="Q30" s="2109">
        <f>ROUND(SUM(Q26+Q27+Q28+Q29),1)</f>
        <v>0</v>
      </c>
      <c r="R30" s="1480"/>
      <c r="S30" s="2109">
        <f>ROUND(SUM(S26+S27+S28+S29),1)</f>
        <v>0</v>
      </c>
      <c r="T30" s="1480"/>
      <c r="U30" s="2109">
        <f>ROUND(SUM(U26+U27+U28+U29),1)</f>
        <v>0</v>
      </c>
      <c r="V30" s="1480"/>
      <c r="W30" s="2109">
        <f>ROUND(SUM(W26+W27+W28+W29),1)</f>
        <v>0</v>
      </c>
      <c r="X30" s="1480"/>
      <c r="Y30" s="2109">
        <f>ROUND(SUM(Y26+Y27+Y28+Y29),1)</f>
        <v>0</v>
      </c>
      <c r="Z30" s="1480"/>
      <c r="AA30" s="2888"/>
      <c r="AB30" s="1500">
        <f>ROUND(SUM(AB26+AB27+AB28+AB29),1)</f>
        <v>20241.5</v>
      </c>
      <c r="AC30" s="3254"/>
      <c r="AD30" s="3578"/>
      <c r="AE30" s="1500">
        <f>ROUND(SUM(AE26+AE27+AE28+AE29),1)</f>
        <v>15890.7</v>
      </c>
      <c r="AF30" s="3536"/>
      <c r="AG30" s="3536"/>
      <c r="AH30" s="1500">
        <f>ROUND(SUM(AH26+AH27+AH28-AH29),1)</f>
        <v>4350.8</v>
      </c>
      <c r="AI30" s="3539"/>
      <c r="AJ30" s="2629">
        <f>ROUND(SUM(+AH30/ABS(AE30)),3)</f>
        <v>0.27400000000000002</v>
      </c>
    </row>
    <row r="31" spans="1:36" ht="15">
      <c r="A31" s="2540" t="s">
        <v>1162</v>
      </c>
      <c r="B31" s="1480"/>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2888"/>
      <c r="AB31" s="3254"/>
      <c r="AC31" s="3254"/>
      <c r="AD31" s="3578"/>
      <c r="AE31" s="3296"/>
      <c r="AF31" s="3536"/>
      <c r="AG31" s="3536"/>
      <c r="AH31" s="3538"/>
      <c r="AI31" s="3254"/>
      <c r="AJ31" s="3538"/>
    </row>
    <row r="32" spans="1:36" ht="15">
      <c r="A32" s="2310" t="s">
        <v>1113</v>
      </c>
      <c r="B32" s="1480"/>
      <c r="C32" s="1479">
        <f>+'Exhibit F'!D28+'Exhibit H'!B19+'Exhibit G State'!D20</f>
        <v>1201.5999999999999</v>
      </c>
      <c r="D32" s="1479"/>
      <c r="E32" s="1479">
        <f>+'Exhibit F'!F28+'Exhibit H'!D19+'Exhibit G State'!F20</f>
        <v>1178.8000000000002</v>
      </c>
      <c r="F32" s="1479"/>
      <c r="G32" s="1479">
        <f>+'Exhibit F'!H28+'Exhibit H'!F19+'Exhibit G State'!H20</f>
        <v>1589.4999999999998</v>
      </c>
      <c r="H32" s="1479"/>
      <c r="I32" s="1479">
        <f>+'Exhibit F'!J28+'Exhibit H'!H19+'Exhibit G State'!J20</f>
        <v>1238.1999999999998</v>
      </c>
      <c r="J32" s="1479"/>
      <c r="K32" s="1479"/>
      <c r="L32" s="1480"/>
      <c r="M32" s="1479"/>
      <c r="N32" s="1480"/>
      <c r="O32" s="1479"/>
      <c r="P32" s="1480"/>
      <c r="Q32" s="1479"/>
      <c r="R32" s="1480"/>
      <c r="S32" s="1479"/>
      <c r="T32" s="1480"/>
      <c r="U32" s="1479"/>
      <c r="V32" s="1480"/>
      <c r="W32" s="1479"/>
      <c r="X32" s="1480"/>
      <c r="Y32" s="1479"/>
      <c r="Z32" s="1480"/>
      <c r="AA32" s="2888"/>
      <c r="AB32" s="3296">
        <f t="shared" ref="AB32:AB39" si="3">ROUND(SUM(C32:Y32),1)</f>
        <v>5208.1000000000004</v>
      </c>
      <c r="AC32" s="3254"/>
      <c r="AD32" s="3578"/>
      <c r="AE32" s="3296">
        <f>+'Exhibit F'!AF28+'Exhibit H'!AD19+'Exhibit G State'!AG20</f>
        <v>4963.1000000000004</v>
      </c>
      <c r="AF32" s="3536"/>
      <c r="AG32" s="3536"/>
      <c r="AH32" s="2067">
        <f t="shared" ref="AH32:AH39" si="4">ROUND(SUM(+AB32-AE32),1)</f>
        <v>245</v>
      </c>
      <c r="AI32" s="2545"/>
      <c r="AJ32" s="1880">
        <f>ROUND(SUM(+AH32/ABS(AE32)),3)</f>
        <v>4.9000000000000002E-2</v>
      </c>
    </row>
    <row r="33" spans="1:36" ht="15">
      <c r="A33" s="2310" t="s">
        <v>1114</v>
      </c>
      <c r="B33" s="1480"/>
      <c r="C33" s="1479">
        <f>+'Exhibit F'!D29+'Exhibit G State'!D21</f>
        <v>0</v>
      </c>
      <c r="D33" s="1479"/>
      <c r="E33" s="1479">
        <f>+'Exhibit F'!F29+'Exhibit G State'!F21</f>
        <v>0</v>
      </c>
      <c r="F33" s="1479"/>
      <c r="G33" s="1479">
        <f>+'Exhibit F'!H29+'Exhibit G State'!H21</f>
        <v>0</v>
      </c>
      <c r="H33" s="1479"/>
      <c r="I33" s="1479">
        <f>+'Exhibit F'!J29+'Exhibit G State'!J21</f>
        <v>0</v>
      </c>
      <c r="J33" s="1479"/>
      <c r="K33" s="1479"/>
      <c r="L33" s="1480"/>
      <c r="M33" s="1479"/>
      <c r="N33" s="1480"/>
      <c r="O33" s="1479"/>
      <c r="P33" s="1480"/>
      <c r="Q33" s="1479"/>
      <c r="R33" s="1480"/>
      <c r="S33" s="1479"/>
      <c r="T33" s="1480"/>
      <c r="U33" s="1479"/>
      <c r="V33" s="1480"/>
      <c r="W33" s="1479"/>
      <c r="X33" s="1480"/>
      <c r="Y33" s="1479"/>
      <c r="Z33" s="1480"/>
      <c r="AA33" s="2888"/>
      <c r="AB33" s="3296">
        <f t="shared" si="3"/>
        <v>0</v>
      </c>
      <c r="AC33" s="3254"/>
      <c r="AD33" s="3578"/>
      <c r="AE33" s="3296">
        <f>+'Exhibit F'!AF29+'Exhibit G State'!AG21</f>
        <v>12</v>
      </c>
      <c r="AF33" s="3536"/>
      <c r="AG33" s="3536"/>
      <c r="AH33" s="2067">
        <f t="shared" si="4"/>
        <v>-12</v>
      </c>
      <c r="AI33" s="2545"/>
      <c r="AJ33" s="1880">
        <f>ROUND(SUM(+AH33/ABS(AE33)),3)</f>
        <v>-1</v>
      </c>
    </row>
    <row r="34" spans="1:36" ht="15">
      <c r="A34" s="2310" t="s">
        <v>1115</v>
      </c>
      <c r="B34" s="1480"/>
      <c r="C34" s="1479">
        <f>+'Exhibit F'!D30+'Exhibit G State'!D22</f>
        <v>89.2</v>
      </c>
      <c r="D34" s="1479"/>
      <c r="E34" s="1479">
        <f>+'Exhibit F'!F30+'Exhibit G State'!F22</f>
        <v>85.199999999999989</v>
      </c>
      <c r="F34" s="1479"/>
      <c r="G34" s="1479">
        <f>+'Exhibit F'!H30+'Exhibit G State'!H22</f>
        <v>83.800000000000011</v>
      </c>
      <c r="H34" s="1479"/>
      <c r="I34" s="1479">
        <f>+'Exhibit F'!J30+'Exhibit G State'!J22</f>
        <v>106.80000000000004</v>
      </c>
      <c r="J34" s="1479"/>
      <c r="K34" s="1479"/>
      <c r="L34" s="1480"/>
      <c r="M34" s="1479"/>
      <c r="N34" s="1480"/>
      <c r="O34" s="1479"/>
      <c r="P34" s="1480"/>
      <c r="Q34" s="1479"/>
      <c r="R34" s="1480"/>
      <c r="S34" s="1479"/>
      <c r="T34" s="1480"/>
      <c r="U34" s="1479"/>
      <c r="V34" s="1480"/>
      <c r="W34" s="1479"/>
      <c r="X34" s="1480"/>
      <c r="Y34" s="1479"/>
      <c r="Z34" s="1480"/>
      <c r="AA34" s="2888"/>
      <c r="AB34" s="3296">
        <f t="shared" si="3"/>
        <v>365</v>
      </c>
      <c r="AC34" s="3254"/>
      <c r="AD34" s="3578"/>
      <c r="AE34" s="3296">
        <f>+'Exhibit F'!AF30+'Exhibit G State'!AG22</f>
        <v>398.3</v>
      </c>
      <c r="AF34" s="3536"/>
      <c r="AG34" s="3536"/>
      <c r="AH34" s="2067">
        <f t="shared" si="4"/>
        <v>-33.299999999999997</v>
      </c>
      <c r="AI34" s="2545"/>
      <c r="AJ34" s="1880">
        <f>ROUND(SUM(+AH34/ABS(AE34)),3)</f>
        <v>-8.4000000000000005E-2</v>
      </c>
    </row>
    <row r="35" spans="1:36" ht="15">
      <c r="A35" s="2310" t="s">
        <v>1265</v>
      </c>
      <c r="B35" s="1480"/>
      <c r="C35" s="1479">
        <f>'Exhibit G State'!D23</f>
        <v>0.5</v>
      </c>
      <c r="D35" s="1479"/>
      <c r="E35" s="1479">
        <f>'Exhibit G State'!F23</f>
        <v>0.4</v>
      </c>
      <c r="F35" s="1479"/>
      <c r="G35" s="1479">
        <f>'Exhibit G State'!H23</f>
        <v>0.49999999999999989</v>
      </c>
      <c r="H35" s="1479"/>
      <c r="I35" s="1479">
        <f>'Exhibit G State'!J23</f>
        <v>0.5</v>
      </c>
      <c r="J35" s="1479"/>
      <c r="K35" s="1479"/>
      <c r="L35" s="1480"/>
      <c r="M35" s="1479"/>
      <c r="N35" s="1480"/>
      <c r="O35" s="1479"/>
      <c r="P35" s="1480"/>
      <c r="Q35" s="1479"/>
      <c r="R35" s="1480"/>
      <c r="S35" s="1479"/>
      <c r="T35" s="1480"/>
      <c r="U35" s="1479"/>
      <c r="V35" s="1480"/>
      <c r="W35" s="1479"/>
      <c r="X35" s="1480"/>
      <c r="Y35" s="1479"/>
      <c r="Z35" s="1480"/>
      <c r="AA35" s="2888"/>
      <c r="AB35" s="3296">
        <f t="shared" si="3"/>
        <v>1.9</v>
      </c>
      <c r="AC35" s="3254"/>
      <c r="AD35" s="3578"/>
      <c r="AE35" s="3296">
        <f>'Exhibit G State'!AG23</f>
        <v>1</v>
      </c>
      <c r="AF35" s="3536"/>
      <c r="AG35" s="3536"/>
      <c r="AH35" s="2067">
        <f>ROUND(SUM(+AB35-AE35),1)</f>
        <v>0.9</v>
      </c>
      <c r="AI35" s="2545"/>
      <c r="AJ35" s="1786">
        <f>ROUND(IF(AE35=0,1,AH35/ABS(AE35)),3)</f>
        <v>0.9</v>
      </c>
    </row>
    <row r="36" spans="1:36" ht="15">
      <c r="A36" s="2310" t="s">
        <v>1116</v>
      </c>
      <c r="B36" s="1480"/>
      <c r="C36" s="1479">
        <f>+'Exhibit F'!D31+'Exhibit G State'!D24</f>
        <v>9.6</v>
      </c>
      <c r="D36" s="1479"/>
      <c r="E36" s="1479">
        <f>+'Exhibit F'!F31+'Exhibit G State'!F24</f>
        <v>9.4</v>
      </c>
      <c r="F36" s="1479"/>
      <c r="G36" s="1479">
        <f>+'Exhibit F'!H31+'Exhibit G State'!H24</f>
        <v>9.4999999999999982</v>
      </c>
      <c r="H36" s="1479"/>
      <c r="I36" s="1479">
        <f>+'Exhibit F'!J31+'Exhibit G State'!J24</f>
        <v>8.7999999999999989</v>
      </c>
      <c r="J36" s="1479"/>
      <c r="K36" s="1479"/>
      <c r="L36" s="1480"/>
      <c r="M36" s="1479"/>
      <c r="N36" s="1480"/>
      <c r="O36" s="1479"/>
      <c r="P36" s="1480"/>
      <c r="Q36" s="1479"/>
      <c r="R36" s="1480"/>
      <c r="S36" s="1479"/>
      <c r="T36" s="1480"/>
      <c r="U36" s="1479"/>
      <c r="V36" s="1480"/>
      <c r="W36" s="1479"/>
      <c r="X36" s="1480"/>
      <c r="Y36" s="1479"/>
      <c r="Z36" s="1480"/>
      <c r="AA36" s="2888"/>
      <c r="AB36" s="3296">
        <f t="shared" si="3"/>
        <v>37.299999999999997</v>
      </c>
      <c r="AC36" s="3254"/>
      <c r="AD36" s="3578"/>
      <c r="AE36" s="3296">
        <f>+'Exhibit F'!AF31+'Exhibit G State'!AG24</f>
        <v>36.9</v>
      </c>
      <c r="AF36" s="3536"/>
      <c r="AG36" s="3536"/>
      <c r="AH36" s="2067">
        <f t="shared" si="4"/>
        <v>0.4</v>
      </c>
      <c r="AI36" s="2545"/>
      <c r="AJ36" s="1880">
        <f>ROUND(SUM(+AH36/ABS(AE36)),3)</f>
        <v>1.0999999999999999E-2</v>
      </c>
    </row>
    <row r="37" spans="1:36" ht="15">
      <c r="A37" s="2310" t="s">
        <v>1117</v>
      </c>
      <c r="B37" s="1480"/>
      <c r="C37" s="1479">
        <f>+'Exhibit F'!D32+'Exhibit G State'!D25</f>
        <v>20</v>
      </c>
      <c r="D37" s="1479"/>
      <c r="E37" s="1479">
        <f>+'Exhibit F'!F32+'Exhibit G State'!F25</f>
        <v>20.9</v>
      </c>
      <c r="F37" s="1479"/>
      <c r="G37" s="1479">
        <f>+'Exhibit F'!H32+'Exhibit G State'!H25</f>
        <v>26.000000000000007</v>
      </c>
      <c r="H37" s="1479"/>
      <c r="I37" s="1479">
        <f>+'Exhibit F'!J32+'Exhibit G State'!J25</f>
        <v>25.599999999999994</v>
      </c>
      <c r="J37" s="1479"/>
      <c r="K37" s="1479"/>
      <c r="L37" s="1480"/>
      <c r="M37" s="1479"/>
      <c r="N37" s="1480"/>
      <c r="O37" s="1479"/>
      <c r="P37" s="1480"/>
      <c r="Q37" s="1479"/>
      <c r="R37" s="1480"/>
      <c r="S37" s="1479"/>
      <c r="T37" s="1480"/>
      <c r="U37" s="1479"/>
      <c r="V37" s="1480"/>
      <c r="W37" s="1479"/>
      <c r="X37" s="1480"/>
      <c r="Y37" s="1479"/>
      <c r="Z37" s="1480"/>
      <c r="AA37" s="2888"/>
      <c r="AB37" s="3296">
        <f t="shared" si="3"/>
        <v>92.5</v>
      </c>
      <c r="AC37" s="3254"/>
      <c r="AD37" s="3578"/>
      <c r="AE37" s="3296">
        <f>+'Exhibit F'!AF32+'Exhibit G State'!AG25</f>
        <v>92.2</v>
      </c>
      <c r="AF37" s="3536"/>
      <c r="AG37" s="3536"/>
      <c r="AH37" s="2067">
        <f t="shared" si="4"/>
        <v>0.3</v>
      </c>
      <c r="AI37" s="2545"/>
      <c r="AJ37" s="1880">
        <f>ROUND(SUM(+AH37/ABS(AE37)),3)</f>
        <v>3.0000000000000001E-3</v>
      </c>
    </row>
    <row r="38" spans="1:36" ht="15">
      <c r="A38" s="2310" t="s">
        <v>1118</v>
      </c>
      <c r="B38" s="1480"/>
      <c r="C38" s="1479">
        <f>+'Exhibit F'!D33+'Exhibit G State'!D26</f>
        <v>0</v>
      </c>
      <c r="D38" s="1479"/>
      <c r="E38" s="1479">
        <f>+'Exhibit F'!F33+'Exhibit G State'!F26</f>
        <v>0.1</v>
      </c>
      <c r="F38" s="1479"/>
      <c r="G38" s="1479">
        <f>+'Exhibit F'!H33+'Exhibit G State'!H26</f>
        <v>0.1</v>
      </c>
      <c r="H38" s="1479"/>
      <c r="I38" s="1479">
        <f>+'Exhibit F'!J33+'Exhibit G State'!J26</f>
        <v>0</v>
      </c>
      <c r="J38" s="1479"/>
      <c r="K38" s="1479"/>
      <c r="L38" s="1480"/>
      <c r="M38" s="1479"/>
      <c r="N38" s="1480"/>
      <c r="O38" s="1479"/>
      <c r="P38" s="1480"/>
      <c r="Q38" s="1479"/>
      <c r="R38" s="1480"/>
      <c r="S38" s="1479"/>
      <c r="T38" s="1480"/>
      <c r="U38" s="1479"/>
      <c r="V38" s="1480"/>
      <c r="W38" s="1479"/>
      <c r="X38" s="1480"/>
      <c r="Y38" s="1479"/>
      <c r="Z38" s="1480"/>
      <c r="AA38" s="2888"/>
      <c r="AB38" s="3296">
        <f t="shared" si="3"/>
        <v>0.2</v>
      </c>
      <c r="AC38" s="3254"/>
      <c r="AD38" s="3578"/>
      <c r="AE38" s="3296">
        <f>+'Exhibit F'!AF33+'Exhibit G State'!AG26</f>
        <v>0.7</v>
      </c>
      <c r="AF38" s="3536"/>
      <c r="AG38" s="3536"/>
      <c r="AH38" s="2067">
        <f t="shared" si="4"/>
        <v>-0.5</v>
      </c>
      <c r="AI38" s="2545"/>
      <c r="AJ38" s="1791">
        <f>ROUND(IF(AE38=0,1,AH38/ABS(AE38)),3)</f>
        <v>-0.71399999999999997</v>
      </c>
    </row>
    <row r="39" spans="1:36" ht="15">
      <c r="A39" s="2556" t="s">
        <v>1119</v>
      </c>
      <c r="B39" s="1480"/>
      <c r="C39" s="1479">
        <f>+'Exhibit F'!D34+'Exhibit G State'!D27</f>
        <v>0</v>
      </c>
      <c r="D39" s="1479"/>
      <c r="E39" s="1479">
        <f>+'Exhibit F'!F34+'Exhibit G State'!F27</f>
        <v>0</v>
      </c>
      <c r="F39" s="1479"/>
      <c r="G39" s="1479">
        <f>+'Exhibit F'!H34+'Exhibit G State'!H27</f>
        <v>0</v>
      </c>
      <c r="H39" s="1479"/>
      <c r="I39" s="1479">
        <f>+'Exhibit F'!J34+'Exhibit G State'!J27</f>
        <v>0</v>
      </c>
      <c r="J39" s="1479"/>
      <c r="K39" s="1479"/>
      <c r="L39" s="1480"/>
      <c r="M39" s="1479"/>
      <c r="N39" s="1480"/>
      <c r="O39" s="1479"/>
      <c r="P39" s="1480"/>
      <c r="Q39" s="1479"/>
      <c r="R39" s="1480"/>
      <c r="S39" s="1479"/>
      <c r="T39" s="1480"/>
      <c r="U39" s="1479"/>
      <c r="V39" s="1480"/>
      <c r="W39" s="1479"/>
      <c r="X39" s="1480"/>
      <c r="Y39" s="1479"/>
      <c r="Z39" s="1480"/>
      <c r="AA39" s="2888"/>
      <c r="AB39" s="3296">
        <f t="shared" si="3"/>
        <v>0</v>
      </c>
      <c r="AC39" s="3254"/>
      <c r="AD39" s="3578"/>
      <c r="AE39" s="3296">
        <f>+'Exhibit F'!AF34+'Exhibit G State'!AG27</f>
        <v>26.3</v>
      </c>
      <c r="AF39" s="3536"/>
      <c r="AG39" s="3536"/>
      <c r="AH39" s="2067">
        <f t="shared" si="4"/>
        <v>-26.3</v>
      </c>
      <c r="AI39" s="2545"/>
      <c r="AJ39" s="1880">
        <f>ROUND(SUM(+AH39/ABS(AE39)),3)</f>
        <v>-1</v>
      </c>
    </row>
    <row r="40" spans="1:36" ht="15.75">
      <c r="A40" s="2550" t="s">
        <v>1112</v>
      </c>
      <c r="B40" s="1480"/>
      <c r="C40" s="2109">
        <f>ROUND(SUM(C32:C39),1)</f>
        <v>1320.9</v>
      </c>
      <c r="D40" s="1480"/>
      <c r="E40" s="2109">
        <f>ROUND(SUM(E32:E39),1)</f>
        <v>1294.8</v>
      </c>
      <c r="F40" s="1480"/>
      <c r="G40" s="2109">
        <f>ROUND(SUM(G32:G39),1)</f>
        <v>1709.4</v>
      </c>
      <c r="H40" s="1480"/>
      <c r="I40" s="2109">
        <f>ROUND(SUM(I32:I39),1)</f>
        <v>1379.9</v>
      </c>
      <c r="J40" s="1480"/>
      <c r="K40" s="2109">
        <f>ROUND(SUM(K32:K39),1)</f>
        <v>0</v>
      </c>
      <c r="L40" s="1480"/>
      <c r="M40" s="2109">
        <f>ROUND(SUM(M32:M39),1)</f>
        <v>0</v>
      </c>
      <c r="N40" s="1480"/>
      <c r="O40" s="2109">
        <f>ROUND(SUM(O32:O39),1)</f>
        <v>0</v>
      </c>
      <c r="P40" s="1480"/>
      <c r="Q40" s="2109">
        <f>ROUND(SUM(Q32:Q39),1)</f>
        <v>0</v>
      </c>
      <c r="R40" s="1480"/>
      <c r="S40" s="2109">
        <f>ROUND(SUM(S32:S39),1)</f>
        <v>0</v>
      </c>
      <c r="T40" s="1480"/>
      <c r="U40" s="2109">
        <f>ROUND(SUM(U32:U39),1)</f>
        <v>0</v>
      </c>
      <c r="V40" s="1480"/>
      <c r="W40" s="2109">
        <f>ROUND(SUM(W32:W39),1)</f>
        <v>0</v>
      </c>
      <c r="X40" s="1480"/>
      <c r="Y40" s="2109">
        <f>ROUND(SUM(Y32:Y39),1)</f>
        <v>0</v>
      </c>
      <c r="Z40" s="1480"/>
      <c r="AA40" s="2888"/>
      <c r="AB40" s="1500">
        <f>ROUND(SUM(AB32:AB39),1)</f>
        <v>5705</v>
      </c>
      <c r="AC40" s="3254"/>
      <c r="AD40" s="3578"/>
      <c r="AE40" s="1500">
        <f>ROUND(SUM(AE32:AE39),1)</f>
        <v>5530.5</v>
      </c>
      <c r="AF40" s="3536"/>
      <c r="AG40" s="3536"/>
      <c r="AH40" s="1500">
        <f>ROUND(SUM(AH32:AH39),1)</f>
        <v>174.5</v>
      </c>
      <c r="AI40" s="3539"/>
      <c r="AJ40" s="2629">
        <f>ROUND(SUM(+AH40/ABS(AE40)),3)</f>
        <v>3.2000000000000001E-2</v>
      </c>
    </row>
    <row r="41" spans="1:36" ht="15">
      <c r="A41" s="2540" t="s">
        <v>1163</v>
      </c>
      <c r="B41" s="1480"/>
      <c r="C41" s="1480"/>
      <c r="D41" s="1480"/>
      <c r="E41" s="1480"/>
      <c r="F41" s="1480"/>
      <c r="G41" s="1480"/>
      <c r="H41" s="1480"/>
      <c r="I41" s="1480"/>
      <c r="J41" s="1480"/>
      <c r="K41" s="1480"/>
      <c r="L41" s="1480"/>
      <c r="M41" s="1480"/>
      <c r="N41" s="1480"/>
      <c r="O41" s="1480"/>
      <c r="P41" s="1480"/>
      <c r="Q41" s="1480"/>
      <c r="R41" s="1480"/>
      <c r="S41" s="1480"/>
      <c r="T41" s="1480"/>
      <c r="U41" s="1480"/>
      <c r="V41" s="1480"/>
      <c r="W41" s="1480"/>
      <c r="X41" s="1480"/>
      <c r="Y41" s="1480"/>
      <c r="Z41" s="1480"/>
      <c r="AA41" s="2888"/>
      <c r="AB41" s="3254"/>
      <c r="AC41" s="3254"/>
      <c r="AD41" s="3578"/>
      <c r="AE41" s="3296"/>
      <c r="AF41" s="3536"/>
      <c r="AG41" s="3536"/>
      <c r="AH41" s="3538"/>
      <c r="AI41" s="3254"/>
      <c r="AJ41" s="3538"/>
    </row>
    <row r="42" spans="1:36" ht="15">
      <c r="A42" s="2310" t="s">
        <v>1121</v>
      </c>
      <c r="B42" s="1480"/>
      <c r="C42" s="1479">
        <f>+'Exhibit F'!D37+'Exhibit G State'!D30</f>
        <v>376.70000000000005</v>
      </c>
      <c r="D42" s="1479"/>
      <c r="E42" s="1479">
        <f>+'Exhibit F'!F37+'Exhibit G State'!F30</f>
        <v>-69.000000000000028</v>
      </c>
      <c r="F42" s="1479"/>
      <c r="G42" s="1479">
        <f>+'Exhibit F'!H37+'Exhibit G State'!H30</f>
        <v>901.19999999999993</v>
      </c>
      <c r="H42" s="1479"/>
      <c r="I42" s="1479">
        <f>+'Exhibit F'!J37+'Exhibit G State'!J30</f>
        <v>146.29999999999995</v>
      </c>
      <c r="J42" s="1479"/>
      <c r="K42" s="1479"/>
      <c r="L42" s="1479"/>
      <c r="M42" s="1479"/>
      <c r="N42" s="1480"/>
      <c r="O42" s="1479"/>
      <c r="P42" s="1480"/>
      <c r="Q42" s="1479"/>
      <c r="R42" s="1480"/>
      <c r="S42" s="1479"/>
      <c r="T42" s="1480"/>
      <c r="U42" s="1479"/>
      <c r="V42" s="1480"/>
      <c r="W42" s="1479"/>
      <c r="X42" s="1480"/>
      <c r="Y42" s="1479"/>
      <c r="Z42" s="1480"/>
      <c r="AA42" s="2888"/>
      <c r="AB42" s="3296">
        <f>ROUND(SUM(C42:Y42),1)</f>
        <v>1355.2</v>
      </c>
      <c r="AC42" s="3254"/>
      <c r="AD42" s="3578"/>
      <c r="AE42" s="3296">
        <f>+'Exhibit F'!AF37+'Exhibit G State'!AG30</f>
        <v>1260.8</v>
      </c>
      <c r="AF42" s="3536"/>
      <c r="AG42" s="3536"/>
      <c r="AH42" s="2067">
        <f t="shared" ref="AH42:AH54" si="5">ROUND(SUM(+AB42-AE42),1)</f>
        <v>94.4</v>
      </c>
      <c r="AI42" s="2545"/>
      <c r="AJ42" s="1880">
        <f t="shared" ref="AJ42:AJ47" si="6">ROUND(SUM(+AH42/ABS(AE42)),3)</f>
        <v>7.4999999999999997E-2</v>
      </c>
    </row>
    <row r="43" spans="1:36" ht="15">
      <c r="A43" s="2310" t="s">
        <v>1122</v>
      </c>
      <c r="B43" s="1480"/>
      <c r="C43" s="1479">
        <f>+'Exhibit G State'!D31+'Exhibit F'!D38</f>
        <v>39.700000000000003</v>
      </c>
      <c r="D43" s="1479"/>
      <c r="E43" s="1479">
        <f>+'Exhibit G State'!F31+'Exhibit F'!F38</f>
        <v>1.3000000000000007</v>
      </c>
      <c r="F43" s="1479"/>
      <c r="G43" s="1479">
        <f>+'Exhibit G State'!H31+'Exhibit F'!H38</f>
        <v>107.60000000000001</v>
      </c>
      <c r="H43" s="1479"/>
      <c r="I43" s="1479">
        <f>+'Exhibit G State'!J31+'Exhibit F'!J38</f>
        <v>0.40000000000000568</v>
      </c>
      <c r="J43" s="1479"/>
      <c r="K43" s="1479"/>
      <c r="L43" s="1479"/>
      <c r="M43" s="1479"/>
      <c r="N43" s="1480"/>
      <c r="O43" s="1479"/>
      <c r="P43" s="1480"/>
      <c r="Q43" s="1479"/>
      <c r="R43" s="1480"/>
      <c r="S43" s="1479"/>
      <c r="T43" s="1480"/>
      <c r="U43" s="1479"/>
      <c r="V43" s="1480"/>
      <c r="W43" s="1479"/>
      <c r="X43" s="1480"/>
      <c r="Y43" s="1479"/>
      <c r="Z43" s="1480"/>
      <c r="AA43" s="2888"/>
      <c r="AB43" s="3296">
        <f>ROUND(SUM(C43:Y43),1)</f>
        <v>149</v>
      </c>
      <c r="AC43" s="3254"/>
      <c r="AD43" s="3578"/>
      <c r="AE43" s="3296">
        <f>+'Exhibit G State'!AG31+'Exhibit F'!AF38</f>
        <v>147.30000000000001</v>
      </c>
      <c r="AF43" s="3536"/>
      <c r="AG43" s="3536"/>
      <c r="AH43" s="2067">
        <f t="shared" si="5"/>
        <v>1.7</v>
      </c>
      <c r="AI43" s="2545"/>
      <c r="AJ43" s="1880">
        <f t="shared" si="6"/>
        <v>1.2E-2</v>
      </c>
    </row>
    <row r="44" spans="1:36" ht="15">
      <c r="A44" s="2310" t="s">
        <v>1123</v>
      </c>
      <c r="B44" s="1480"/>
      <c r="C44" s="1479">
        <f>+'Exhibit F'!D39+'Exhibit G State'!D32</f>
        <v>141.80000000000001</v>
      </c>
      <c r="D44" s="1479"/>
      <c r="E44" s="1479">
        <f>+'Exhibit F'!F39+'Exhibit G State'!F32</f>
        <v>4.9999999999999911</v>
      </c>
      <c r="F44" s="1479"/>
      <c r="G44" s="1479">
        <f>+'Exhibit F'!H39+'Exhibit G State'!H32</f>
        <v>403.20000000000005</v>
      </c>
      <c r="H44" s="1479"/>
      <c r="I44" s="1479">
        <f>+'Exhibit F'!J39+'Exhibit G State'!J32</f>
        <v>56.799999999999983</v>
      </c>
      <c r="J44" s="1479"/>
      <c r="K44" s="1479"/>
      <c r="L44" s="1479"/>
      <c r="M44" s="1479"/>
      <c r="N44" s="1480"/>
      <c r="O44" s="1479"/>
      <c r="P44" s="1480"/>
      <c r="Q44" s="1479"/>
      <c r="R44" s="1480"/>
      <c r="S44" s="1479"/>
      <c r="T44" s="1480"/>
      <c r="U44" s="1479"/>
      <c r="V44" s="1480"/>
      <c r="W44" s="1479"/>
      <c r="X44" s="1480"/>
      <c r="Y44" s="1479"/>
      <c r="Z44" s="1480"/>
      <c r="AA44" s="2888"/>
      <c r="AB44" s="3296">
        <f>ROUND(SUM(C44:Y44),1)</f>
        <v>606.79999999999995</v>
      </c>
      <c r="AC44" s="3254"/>
      <c r="AD44" s="3578"/>
      <c r="AE44" s="3296">
        <f>+'Exhibit F'!AF39+'Exhibit G State'!AG32</f>
        <v>374.29999999999995</v>
      </c>
      <c r="AF44" s="3536"/>
      <c r="AG44" s="3536"/>
      <c r="AH44" s="2067">
        <f t="shared" si="5"/>
        <v>232.5</v>
      </c>
      <c r="AI44" s="2545"/>
      <c r="AJ44" s="1880">
        <f t="shared" si="6"/>
        <v>0.621</v>
      </c>
    </row>
    <row r="45" spans="1:36" ht="15">
      <c r="A45" s="2310" t="s">
        <v>1124</v>
      </c>
      <c r="B45" s="1480"/>
      <c r="C45" s="1479">
        <f>+'Exhibit F'!D40+'Exhibit G State'!D33</f>
        <v>145.30000000000001</v>
      </c>
      <c r="D45" s="1479"/>
      <c r="E45" s="1479">
        <f>+'Exhibit F'!F40+'Exhibit G State'!F33</f>
        <v>-121.1</v>
      </c>
      <c r="F45" s="1479"/>
      <c r="G45" s="1479">
        <f>+'Exhibit F'!H40+'Exhibit G State'!H33</f>
        <v>-21.1</v>
      </c>
      <c r="H45" s="1479"/>
      <c r="I45" s="1479">
        <f>+'Exhibit F'!J40+'Exhibit G State'!J33</f>
        <v>-0.19999999999999751</v>
      </c>
      <c r="J45" s="1479"/>
      <c r="K45" s="1479"/>
      <c r="L45" s="1479"/>
      <c r="M45" s="1479"/>
      <c r="N45" s="1480"/>
      <c r="O45" s="1479"/>
      <c r="P45" s="1480"/>
      <c r="Q45" s="1479"/>
      <c r="R45" s="1480"/>
      <c r="S45" s="1479"/>
      <c r="T45" s="1480"/>
      <c r="U45" s="1479"/>
      <c r="V45" s="1480"/>
      <c r="W45" s="1479"/>
      <c r="X45" s="1480"/>
      <c r="Y45" s="1479"/>
      <c r="Z45" s="1480"/>
      <c r="AA45" s="2888"/>
      <c r="AB45" s="3296">
        <f>ROUND(SUM(C45:Y45),1)</f>
        <v>2.9</v>
      </c>
      <c r="AC45" s="3254"/>
      <c r="AD45" s="3578"/>
      <c r="AE45" s="3296">
        <f>+'Exhibit F'!AF40+'Exhibit G State'!AG33</f>
        <v>35.1</v>
      </c>
      <c r="AF45" s="3536"/>
      <c r="AG45" s="3536"/>
      <c r="AH45" s="2067">
        <f t="shared" si="5"/>
        <v>-32.200000000000003</v>
      </c>
      <c r="AI45" s="2545"/>
      <c r="AJ45" s="1891">
        <f t="shared" si="6"/>
        <v>-0.91700000000000004</v>
      </c>
    </row>
    <row r="46" spans="1:36" ht="15">
      <c r="A46" s="2310" t="s">
        <v>1125</v>
      </c>
      <c r="B46" s="1480"/>
      <c r="C46" s="1479">
        <f>+'Exhibit F'!D41+'Exhibit G State'!D34</f>
        <v>44.1</v>
      </c>
      <c r="D46" s="1479"/>
      <c r="E46" s="1479">
        <f>+'Exhibit F'!F41+'Exhibit G State'!F34</f>
        <v>43.9</v>
      </c>
      <c r="F46" s="1479"/>
      <c r="G46" s="1479">
        <f>+'Exhibit F'!H41+'Exhibit G State'!H34</f>
        <v>45.400000000000013</v>
      </c>
      <c r="H46" s="1479"/>
      <c r="I46" s="1479">
        <f>+'Exhibit F'!J41+'Exhibit G State'!J34</f>
        <v>41.299999999999976</v>
      </c>
      <c r="J46" s="1479"/>
      <c r="K46" s="1479"/>
      <c r="L46" s="1479"/>
      <c r="M46" s="1479"/>
      <c r="N46" s="1480"/>
      <c r="O46" s="1479"/>
      <c r="P46" s="1480"/>
      <c r="Q46" s="1479"/>
      <c r="R46" s="1480"/>
      <c r="S46" s="1479"/>
      <c r="T46" s="1480"/>
      <c r="U46" s="1479"/>
      <c r="V46" s="1480"/>
      <c r="W46" s="1479"/>
      <c r="X46" s="1480"/>
      <c r="Y46" s="1479"/>
      <c r="Z46" s="1480"/>
      <c r="AA46" s="2888"/>
      <c r="AB46" s="3296">
        <f>ROUND(SUM(C46:Y46),1)</f>
        <v>174.7</v>
      </c>
      <c r="AC46" s="3254"/>
      <c r="AD46" s="3578"/>
      <c r="AE46" s="3296">
        <f>+'Exhibit F'!AF41+'Exhibit G State'!AG34</f>
        <v>169</v>
      </c>
      <c r="AF46" s="3536"/>
      <c r="AG46" s="3536"/>
      <c r="AH46" s="2067">
        <f t="shared" si="5"/>
        <v>5.7</v>
      </c>
      <c r="AI46" s="2545"/>
      <c r="AJ46" s="1880">
        <f t="shared" si="6"/>
        <v>3.4000000000000002E-2</v>
      </c>
    </row>
    <row r="47" spans="1:36" ht="15.75">
      <c r="A47" s="2550" t="s">
        <v>1120</v>
      </c>
      <c r="B47" s="1480"/>
      <c r="C47" s="2109">
        <f>ROUND(SUM(C42:C46),1)</f>
        <v>747.6</v>
      </c>
      <c r="D47" s="1480"/>
      <c r="E47" s="2109">
        <f>ROUND(SUM(E42:E46),1)</f>
        <v>-139.9</v>
      </c>
      <c r="F47" s="1480"/>
      <c r="G47" s="2109">
        <f>ROUND(SUM(G42:G46),1)</f>
        <v>1436.3</v>
      </c>
      <c r="H47" s="1480"/>
      <c r="I47" s="2109">
        <f>ROUND(SUM(I42:I46),1)</f>
        <v>244.6</v>
      </c>
      <c r="J47" s="1480"/>
      <c r="K47" s="2109">
        <f>ROUND(SUM(K42:K46),1)</f>
        <v>0</v>
      </c>
      <c r="L47" s="1480"/>
      <c r="M47" s="2109">
        <f>ROUND(SUM(M42:M46),1)</f>
        <v>0</v>
      </c>
      <c r="N47" s="1480"/>
      <c r="O47" s="2109">
        <f>ROUND(SUM(O42:O46),1)</f>
        <v>0</v>
      </c>
      <c r="P47" s="1480"/>
      <c r="Q47" s="2109">
        <f>ROUND(SUM(Q42:Q46),1)</f>
        <v>0</v>
      </c>
      <c r="R47" s="1480"/>
      <c r="S47" s="2109">
        <f>ROUND(SUM(S42:S46),1)</f>
        <v>0</v>
      </c>
      <c r="T47" s="1480"/>
      <c r="U47" s="2109">
        <f>ROUND(SUM(U42:U46),1)</f>
        <v>0</v>
      </c>
      <c r="V47" s="1480"/>
      <c r="W47" s="2109">
        <f>ROUND(SUM(W42:W46),1)</f>
        <v>0</v>
      </c>
      <c r="X47" s="1480"/>
      <c r="Y47" s="2109">
        <f>ROUND(SUM(Y42:Y46),1)</f>
        <v>0</v>
      </c>
      <c r="Z47" s="1480"/>
      <c r="AA47" s="2888"/>
      <c r="AB47" s="1500">
        <f>ROUND(SUM(AB42:AB46),1)</f>
        <v>2288.6</v>
      </c>
      <c r="AC47" s="3254"/>
      <c r="AD47" s="3578"/>
      <c r="AE47" s="1500">
        <f>ROUND(SUM(AE42:AE46),1)</f>
        <v>1986.5</v>
      </c>
      <c r="AF47" s="3536"/>
      <c r="AG47" s="3536"/>
      <c r="AH47" s="1500">
        <f>ROUND(SUM(AH42:AH46),1)</f>
        <v>302.10000000000002</v>
      </c>
      <c r="AI47" s="3539"/>
      <c r="AJ47" s="2629">
        <f t="shared" si="6"/>
        <v>0.152</v>
      </c>
    </row>
    <row r="48" spans="1:36" ht="15">
      <c r="A48" s="2540" t="s">
        <v>1164</v>
      </c>
      <c r="B48" s="1480"/>
      <c r="C48" s="1480"/>
      <c r="D48" s="1480"/>
      <c r="E48" s="1480"/>
      <c r="F48" s="1480"/>
      <c r="G48" s="1480"/>
      <c r="H48" s="1480"/>
      <c r="I48" s="1480"/>
      <c r="J48" s="1480"/>
      <c r="K48" s="1480"/>
      <c r="L48" s="1480"/>
      <c r="M48" s="1480"/>
      <c r="N48" s="1480"/>
      <c r="O48" s="1480"/>
      <c r="P48" s="1480"/>
      <c r="Q48" s="1480"/>
      <c r="R48" s="1480"/>
      <c r="S48" s="1480"/>
      <c r="T48" s="1480"/>
      <c r="U48" s="1480"/>
      <c r="V48" s="1480"/>
      <c r="W48" s="1480"/>
      <c r="X48" s="1480"/>
      <c r="Y48" s="1480"/>
      <c r="Z48" s="1480"/>
      <c r="AA48" s="2888"/>
      <c r="AB48" s="3254"/>
      <c r="AC48" s="3254"/>
      <c r="AD48" s="3578"/>
      <c r="AE48" s="3296"/>
      <c r="AF48" s="3536"/>
      <c r="AG48" s="3536"/>
      <c r="AH48" s="3538"/>
      <c r="AI48" s="3254"/>
      <c r="AJ48" s="3538"/>
    </row>
    <row r="49" spans="1:36" ht="15">
      <c r="A49" s="2310" t="s">
        <v>1128</v>
      </c>
      <c r="B49" s="1480"/>
      <c r="C49" s="1479">
        <f>+'Exhibit F'!D44</f>
        <v>0</v>
      </c>
      <c r="D49" s="1479"/>
      <c r="E49" s="1479">
        <f>+'Exhibit F'!F44</f>
        <v>0</v>
      </c>
      <c r="F49" s="1479"/>
      <c r="G49" s="1479">
        <f>+'Exhibit F'!H44</f>
        <v>0</v>
      </c>
      <c r="H49" s="1479"/>
      <c r="I49" s="1479">
        <f>+'Exhibit F'!J44</f>
        <v>0</v>
      </c>
      <c r="J49" s="1479"/>
      <c r="K49" s="1479"/>
      <c r="L49" s="1480"/>
      <c r="M49" s="1479"/>
      <c r="N49" s="1480"/>
      <c r="O49" s="1479"/>
      <c r="P49" s="1480"/>
      <c r="Q49" s="1479"/>
      <c r="R49" s="1480"/>
      <c r="S49" s="1479"/>
      <c r="T49" s="1480"/>
      <c r="U49" s="1479"/>
      <c r="V49" s="1480"/>
      <c r="W49" s="1479"/>
      <c r="X49" s="1480"/>
      <c r="Y49" s="1479"/>
      <c r="Z49" s="1480"/>
      <c r="AA49" s="2888"/>
      <c r="AB49" s="3296">
        <f t="shared" ref="AB49:AB54" si="7">ROUND(SUM(C49:Y49),1)</f>
        <v>0</v>
      </c>
      <c r="AC49" s="3254"/>
      <c r="AD49" s="3578"/>
      <c r="AE49" s="3296">
        <f>+'Exhibit F'!AF44</f>
        <v>0</v>
      </c>
      <c r="AF49" s="3536"/>
      <c r="AG49" s="3536"/>
      <c r="AH49" s="2067">
        <f t="shared" si="5"/>
        <v>0</v>
      </c>
      <c r="AI49" s="3254"/>
      <c r="AJ49" s="1786">
        <f>ROUND(IF(AE49=0,0,AH49/ABS(AE49)),3)</f>
        <v>0</v>
      </c>
    </row>
    <row r="50" spans="1:36" ht="15">
      <c r="A50" s="2310" t="s">
        <v>1129</v>
      </c>
      <c r="B50" s="1480"/>
      <c r="C50" s="1479">
        <f>+'Exhibit F'!D45</f>
        <v>79.7</v>
      </c>
      <c r="D50" s="1479"/>
      <c r="E50" s="1479">
        <f>+'Exhibit F'!F45</f>
        <v>57.3</v>
      </c>
      <c r="F50" s="1479"/>
      <c r="G50" s="1479">
        <f>+'Exhibit F'!H45</f>
        <v>62.199999999999989</v>
      </c>
      <c r="H50" s="1479"/>
      <c r="I50" s="1479">
        <f>+'Exhibit F'!J45</f>
        <v>124.69999999999999</v>
      </c>
      <c r="J50" s="1479"/>
      <c r="K50" s="1479"/>
      <c r="L50" s="1480"/>
      <c r="M50" s="1479"/>
      <c r="N50" s="1480"/>
      <c r="O50" s="1479"/>
      <c r="P50" s="1480"/>
      <c r="Q50" s="1479"/>
      <c r="R50" s="1480"/>
      <c r="S50" s="1479"/>
      <c r="T50" s="1480"/>
      <c r="U50" s="1479"/>
      <c r="V50" s="1480"/>
      <c r="W50" s="1479"/>
      <c r="X50" s="1480"/>
      <c r="Y50" s="1479"/>
      <c r="Z50" s="1480"/>
      <c r="AA50" s="2888"/>
      <c r="AB50" s="3296">
        <f t="shared" si="7"/>
        <v>323.89999999999998</v>
      </c>
      <c r="AC50" s="3254"/>
      <c r="AD50" s="3578"/>
      <c r="AE50" s="3296">
        <f>+'Exhibit F'!AF45</f>
        <v>298.39999999999998</v>
      </c>
      <c r="AF50" s="3536"/>
      <c r="AG50" s="3536"/>
      <c r="AH50" s="2067">
        <f t="shared" si="5"/>
        <v>25.5</v>
      </c>
      <c r="AI50" s="3254"/>
      <c r="AJ50" s="1880">
        <f t="shared" ref="AJ50:AJ56" si="8">ROUND(SUM(+AH50/ABS(AE50)),3)</f>
        <v>8.5000000000000006E-2</v>
      </c>
    </row>
    <row r="51" spans="1:36" ht="15">
      <c r="A51" s="2310" t="s">
        <v>1130</v>
      </c>
      <c r="B51" s="1480"/>
      <c r="C51" s="1479">
        <f>+'Exhibit F'!D46</f>
        <v>0.9</v>
      </c>
      <c r="D51" s="1479"/>
      <c r="E51" s="1479">
        <f>+'Exhibit F'!F46</f>
        <v>1.1000000000000001</v>
      </c>
      <c r="F51" s="1479"/>
      <c r="G51" s="1479">
        <f>+'Exhibit F'!H46</f>
        <v>1.6</v>
      </c>
      <c r="H51" s="1479"/>
      <c r="I51" s="1479">
        <f>+'Exhibit F'!J46</f>
        <v>1.1999999999999997</v>
      </c>
      <c r="J51" s="1479"/>
      <c r="K51" s="1479"/>
      <c r="L51" s="1480"/>
      <c r="M51" s="1479"/>
      <c r="N51" s="1480"/>
      <c r="O51" s="1479"/>
      <c r="P51" s="1480"/>
      <c r="Q51" s="1479"/>
      <c r="R51" s="1480"/>
      <c r="S51" s="1479"/>
      <c r="T51" s="1480"/>
      <c r="U51" s="1479"/>
      <c r="V51" s="1480"/>
      <c r="W51" s="1479"/>
      <c r="X51" s="1480"/>
      <c r="Y51" s="1479"/>
      <c r="Z51" s="1480"/>
      <c r="AA51" s="2888"/>
      <c r="AB51" s="3296">
        <f t="shared" si="7"/>
        <v>4.8</v>
      </c>
      <c r="AC51" s="3254"/>
      <c r="AD51" s="3578"/>
      <c r="AE51" s="3296">
        <f>+'Exhibit F'!AF46</f>
        <v>5.2</v>
      </c>
      <c r="AF51" s="3536"/>
      <c r="AG51" s="3536"/>
      <c r="AH51" s="2067">
        <f t="shared" si="5"/>
        <v>-0.4</v>
      </c>
      <c r="AI51" s="3254"/>
      <c r="AJ51" s="1880">
        <f t="shared" si="8"/>
        <v>-7.6999999999999999E-2</v>
      </c>
    </row>
    <row r="52" spans="1:36" ht="15">
      <c r="A52" s="2310" t="s">
        <v>1131</v>
      </c>
      <c r="B52" s="1480"/>
      <c r="C52" s="1479">
        <f>+'Exhibit F'!D47+'Exhibit H'!B22</f>
        <v>82.9</v>
      </c>
      <c r="D52" s="1479"/>
      <c r="E52" s="1479">
        <f>+'Exhibit F'!F47+'Exhibit H'!D22</f>
        <v>86</v>
      </c>
      <c r="F52" s="1479"/>
      <c r="G52" s="1479">
        <f>+'Exhibit F'!H47+'Exhibit H'!F22</f>
        <v>86.699999999999989</v>
      </c>
      <c r="H52" s="1479"/>
      <c r="I52" s="1479">
        <f>+'Exhibit F'!J47+'Exhibit H'!H22</f>
        <v>118.90000000000003</v>
      </c>
      <c r="J52" s="1479"/>
      <c r="K52" s="1479"/>
      <c r="L52" s="1480"/>
      <c r="M52" s="1479"/>
      <c r="N52" s="1480"/>
      <c r="O52" s="1479"/>
      <c r="P52" s="1480"/>
      <c r="Q52" s="1479"/>
      <c r="R52" s="1480"/>
      <c r="S52" s="1479"/>
      <c r="T52" s="1480"/>
      <c r="U52" s="1479"/>
      <c r="V52" s="1480"/>
      <c r="W52" s="1479"/>
      <c r="X52" s="1480"/>
      <c r="Y52" s="1479"/>
      <c r="Z52" s="1480"/>
      <c r="AA52" s="2888"/>
      <c r="AB52" s="3296">
        <f t="shared" si="7"/>
        <v>374.5</v>
      </c>
      <c r="AC52" s="3254"/>
      <c r="AD52" s="3578"/>
      <c r="AE52" s="3296">
        <f>+'Exhibit F'!AF47+'Exhibit I State'!AG28+'Exhibit H'!AD22</f>
        <v>355.4</v>
      </c>
      <c r="AF52" s="3536"/>
      <c r="AG52" s="3536"/>
      <c r="AH52" s="2067">
        <f t="shared" si="5"/>
        <v>19.100000000000001</v>
      </c>
      <c r="AI52" s="3254"/>
      <c r="AJ52" s="1880">
        <f t="shared" si="8"/>
        <v>5.3999999999999999E-2</v>
      </c>
    </row>
    <row r="53" spans="1:36" ht="15">
      <c r="A53" s="2310" t="s">
        <v>1132</v>
      </c>
      <c r="B53" s="1480"/>
      <c r="C53" s="1479">
        <f>+'Exhibit F'!D48</f>
        <v>0.2</v>
      </c>
      <c r="D53" s="1479"/>
      <c r="E53" s="1479">
        <f>+'Exhibit F'!F48</f>
        <v>9.9999999999999978E-2</v>
      </c>
      <c r="F53" s="1479"/>
      <c r="G53" s="1479">
        <f>+'Exhibit F'!H48</f>
        <v>0.3</v>
      </c>
      <c r="H53" s="1479"/>
      <c r="I53" s="1479">
        <f>+'Exhibit F'!J48</f>
        <v>0.20000000000000012</v>
      </c>
      <c r="J53" s="1479"/>
      <c r="K53" s="1479"/>
      <c r="L53" s="1480"/>
      <c r="M53" s="1479"/>
      <c r="N53" s="1480"/>
      <c r="O53" s="1479"/>
      <c r="P53" s="1480"/>
      <c r="Q53" s="1479"/>
      <c r="R53" s="1480"/>
      <c r="S53" s="1479"/>
      <c r="T53" s="1480"/>
      <c r="U53" s="1479"/>
      <c r="V53" s="1480"/>
      <c r="W53" s="1479"/>
      <c r="X53" s="1480"/>
      <c r="Y53" s="1479"/>
      <c r="Z53" s="1480"/>
      <c r="AA53" s="2888"/>
      <c r="AB53" s="3296">
        <f t="shared" si="7"/>
        <v>0.8</v>
      </c>
      <c r="AC53" s="3254"/>
      <c r="AD53" s="3578"/>
      <c r="AE53" s="3296">
        <f>+'Exhibit F'!AF48</f>
        <v>0.8</v>
      </c>
      <c r="AF53" s="3536"/>
      <c r="AG53" s="3536"/>
      <c r="AH53" s="2067">
        <f t="shared" si="5"/>
        <v>0</v>
      </c>
      <c r="AI53" s="3254"/>
      <c r="AJ53" s="1880">
        <f>ROUND(IF(AE53=0,0,AH53/ABS(AE53)),3)</f>
        <v>0</v>
      </c>
    </row>
    <row r="54" spans="1:36" ht="15">
      <c r="A54" s="2556" t="s">
        <v>1133</v>
      </c>
      <c r="B54" s="1480"/>
      <c r="C54" s="1479">
        <f>+'Exhibit F'!D49</f>
        <v>0</v>
      </c>
      <c r="D54" s="1479"/>
      <c r="E54" s="1479">
        <f>+'Exhibit F'!F49</f>
        <v>0</v>
      </c>
      <c r="F54" s="1479"/>
      <c r="G54" s="1479">
        <f>+'Exhibit F'!H49</f>
        <v>0</v>
      </c>
      <c r="H54" s="1479"/>
      <c r="I54" s="1479">
        <f>+'Exhibit F'!J49</f>
        <v>0</v>
      </c>
      <c r="J54" s="1479"/>
      <c r="K54" s="1479"/>
      <c r="L54" s="1480"/>
      <c r="M54" s="1479"/>
      <c r="N54" s="1480"/>
      <c r="O54" s="1479"/>
      <c r="P54" s="1480"/>
      <c r="Q54" s="1479"/>
      <c r="R54" s="1480"/>
      <c r="S54" s="1479"/>
      <c r="T54" s="1480"/>
      <c r="U54" s="1479"/>
      <c r="V54" s="1480"/>
      <c r="W54" s="1479"/>
      <c r="X54" s="1480"/>
      <c r="Y54" s="1479"/>
      <c r="Z54" s="1480"/>
      <c r="AA54" s="2888"/>
      <c r="AB54" s="3296">
        <f t="shared" si="7"/>
        <v>0</v>
      </c>
      <c r="AC54" s="3254"/>
      <c r="AD54" s="3578"/>
      <c r="AE54" s="3298">
        <f>+'Exhibit F'!AF49</f>
        <v>0</v>
      </c>
      <c r="AF54" s="3536"/>
      <c r="AG54" s="3536"/>
      <c r="AH54" s="2067">
        <f t="shared" si="5"/>
        <v>0</v>
      </c>
      <c r="AI54" s="3254"/>
      <c r="AJ54" s="1880">
        <f>ROUND(IF(AE54=0,0,AH54/ABS(AE54)),3)</f>
        <v>0</v>
      </c>
    </row>
    <row r="55" spans="1:36" ht="15">
      <c r="A55" s="2890" t="s">
        <v>1445</v>
      </c>
      <c r="B55" s="1480"/>
      <c r="C55" s="1479">
        <f>+'Exhibit F'!D50</f>
        <v>0.1</v>
      </c>
      <c r="D55" s="1479"/>
      <c r="E55" s="1479">
        <f>+'Exhibit F'!F50+'Exhibit H'!D23</f>
        <v>0.1</v>
      </c>
      <c r="F55" s="1479"/>
      <c r="G55" s="1479">
        <f>+'Exhibit F'!H50</f>
        <v>0</v>
      </c>
      <c r="H55" s="1479"/>
      <c r="I55" s="1479">
        <f>+'Exhibit F'!J50+'Exhibit H'!H23</f>
        <v>0.2</v>
      </c>
      <c r="J55" s="1479"/>
      <c r="K55" s="1479"/>
      <c r="L55" s="1479"/>
      <c r="M55" s="1479"/>
      <c r="N55" s="1479"/>
      <c r="O55" s="1479"/>
      <c r="P55" s="1480"/>
      <c r="Q55" s="1479"/>
      <c r="R55" s="1480"/>
      <c r="S55" s="1479"/>
      <c r="T55" s="1480"/>
      <c r="U55" s="1479"/>
      <c r="V55" s="1480"/>
      <c r="W55" s="1479"/>
      <c r="X55" s="1480"/>
      <c r="Y55" s="1479"/>
      <c r="Z55" s="1480"/>
      <c r="AA55" s="2888"/>
      <c r="AB55" s="3296">
        <f t="shared" ref="AB55" si="9">ROUND(SUM(C55:Y55),1)</f>
        <v>0.4</v>
      </c>
      <c r="AC55" s="3254"/>
      <c r="AD55" s="3578"/>
      <c r="AE55" s="3298">
        <f>+'Exhibit F'!AF50</f>
        <v>0</v>
      </c>
      <c r="AF55" s="3536"/>
      <c r="AG55" s="3536"/>
      <c r="AH55" s="2067">
        <f t="shared" ref="AH55" si="10">ROUND(SUM(+AB55-AE55),1)</f>
        <v>0.4</v>
      </c>
      <c r="AI55" s="2545"/>
      <c r="AJ55" s="1786">
        <f>ROUND(IF(AE55=0,1,AH55/ABS(AE55)),3)</f>
        <v>1</v>
      </c>
    </row>
    <row r="56" spans="1:36" ht="15.75">
      <c r="A56" s="2550" t="s">
        <v>1126</v>
      </c>
      <c r="B56" s="1480"/>
      <c r="C56" s="1500">
        <f>ROUND(SUM(C49:C55),1)</f>
        <v>163.80000000000001</v>
      </c>
      <c r="D56" s="1480"/>
      <c r="E56" s="1500">
        <f>ROUND(SUM(E49:E55),1)</f>
        <v>144.6</v>
      </c>
      <c r="F56" s="1480"/>
      <c r="G56" s="1500">
        <f>ROUND(SUM(G49:G55),1)</f>
        <v>150.80000000000001</v>
      </c>
      <c r="H56" s="1480"/>
      <c r="I56" s="1500">
        <f>ROUND(SUM(I49:I55),1)</f>
        <v>245.2</v>
      </c>
      <c r="J56" s="1480"/>
      <c r="K56" s="1500">
        <f>ROUND(SUM(K49:K55),1)</f>
        <v>0</v>
      </c>
      <c r="L56" s="1480"/>
      <c r="M56" s="1500">
        <f>ROUND(SUM(M49:M55),1)</f>
        <v>0</v>
      </c>
      <c r="N56" s="1480"/>
      <c r="O56" s="1500">
        <f>ROUND(SUM(O49:O55),1)</f>
        <v>0</v>
      </c>
      <c r="P56" s="1480"/>
      <c r="Q56" s="1500">
        <f>ROUND(SUM(Q49:Q55),1)</f>
        <v>0</v>
      </c>
      <c r="R56" s="1480"/>
      <c r="S56" s="1500">
        <f>ROUND(SUM(S49:S55),1)</f>
        <v>0</v>
      </c>
      <c r="T56" s="1480"/>
      <c r="U56" s="1500">
        <f>ROUND(SUM(U49:U55),1)</f>
        <v>0</v>
      </c>
      <c r="V56" s="1480"/>
      <c r="W56" s="1500">
        <f>ROUND(SUM(W49:W55),1)</f>
        <v>0</v>
      </c>
      <c r="X56" s="1480"/>
      <c r="Y56" s="1500">
        <f>ROUND(SUM(Y49:Y55),1)</f>
        <v>0</v>
      </c>
      <c r="Z56" s="1480"/>
      <c r="AA56" s="2888"/>
      <c r="AB56" s="1500">
        <f>ROUND(SUM(AB49:AB55),1)</f>
        <v>704.4</v>
      </c>
      <c r="AC56" s="3254"/>
      <c r="AD56" s="3578"/>
      <c r="AE56" s="1500">
        <f>ROUND(SUM(AE49:AE55),1)</f>
        <v>659.8</v>
      </c>
      <c r="AF56" s="3536"/>
      <c r="AG56" s="3536"/>
      <c r="AH56" s="1500">
        <f>ROUND(SUM(AH49:AH55),1)</f>
        <v>44.6</v>
      </c>
      <c r="AI56" s="3539"/>
      <c r="AJ56" s="1882">
        <f t="shared" si="8"/>
        <v>6.8000000000000005E-2</v>
      </c>
    </row>
    <row r="57" spans="1:36" ht="15.75">
      <c r="A57" s="1480"/>
      <c r="B57" s="1480"/>
      <c r="C57" s="2891"/>
      <c r="D57" s="1479"/>
      <c r="E57" s="2891"/>
      <c r="F57" s="2891"/>
      <c r="G57" s="2891"/>
      <c r="H57" s="2891"/>
      <c r="I57" s="2891"/>
      <c r="J57" s="2891"/>
      <c r="K57" s="2891"/>
      <c r="L57" s="2891"/>
      <c r="M57" s="2891"/>
      <c r="N57" s="2891"/>
      <c r="O57" s="2891"/>
      <c r="P57" s="2891"/>
      <c r="Q57" s="2891"/>
      <c r="R57" s="2891"/>
      <c r="S57" s="2891"/>
      <c r="T57" s="2891"/>
      <c r="U57" s="2891"/>
      <c r="V57" s="2891"/>
      <c r="W57" s="2891"/>
      <c r="X57" s="2891"/>
      <c r="Y57" s="2891"/>
      <c r="Z57" s="1479"/>
      <c r="AA57" s="2892"/>
      <c r="AB57" s="3297"/>
      <c r="AC57" s="3296"/>
      <c r="AD57" s="3579"/>
      <c r="AE57" s="3298"/>
      <c r="AF57" s="3298"/>
      <c r="AG57" s="3298"/>
      <c r="AH57" s="3298"/>
      <c r="AI57" s="3254"/>
      <c r="AJ57" s="1883"/>
    </row>
    <row r="58" spans="1:36" ht="15.75">
      <c r="A58" s="2550" t="s">
        <v>1099</v>
      </c>
      <c r="B58" s="2089"/>
      <c r="C58" s="19">
        <f>ROUND(SUM(C56+C47+C40+C30),1)</f>
        <v>11447.7</v>
      </c>
      <c r="D58" s="2073"/>
      <c r="E58" s="19">
        <f>ROUND(SUM(E56+E47+E40+E30),1)</f>
        <v>3784.1</v>
      </c>
      <c r="F58" s="2073"/>
      <c r="G58" s="19">
        <f>ROUND(SUM(G56+G47+G40+G30),1)</f>
        <v>8506.4</v>
      </c>
      <c r="H58" s="2073"/>
      <c r="I58" s="19">
        <f>ROUND(SUM(I56+I47+I40+I30),1)</f>
        <v>5201.3</v>
      </c>
      <c r="J58" s="2073"/>
      <c r="K58" s="19">
        <f>ROUND(SUM(K56+K47+K40+K30),1)</f>
        <v>0</v>
      </c>
      <c r="L58" s="2073"/>
      <c r="M58" s="19">
        <f>ROUND(SUM(M56+M47+M40+M30),1)</f>
        <v>0</v>
      </c>
      <c r="N58" s="2073"/>
      <c r="O58" s="19">
        <f>ROUND(SUM(O56+O47+O40+O30),1)</f>
        <v>0</v>
      </c>
      <c r="P58" s="2073"/>
      <c r="Q58" s="19">
        <f>ROUND(SUM(Q56+Q47+Q40+Q30),1)</f>
        <v>0</v>
      </c>
      <c r="R58" s="2073"/>
      <c r="S58" s="19">
        <f>ROUND(SUM(S56+S47+S40+S30),1)</f>
        <v>0</v>
      </c>
      <c r="T58" s="2073"/>
      <c r="U58" s="19">
        <f>ROUND(SUM(U56+U47+U40+U30),1)</f>
        <v>0</v>
      </c>
      <c r="V58" s="2073"/>
      <c r="W58" s="19">
        <f>ROUND(SUM(W56+W47+W40+W30),1)</f>
        <v>0</v>
      </c>
      <c r="X58" s="1503"/>
      <c r="Y58" s="19">
        <f>ROUND(SUM(Y56+Y47+Y40+Y30),1)</f>
        <v>0</v>
      </c>
      <c r="Z58" s="1503"/>
      <c r="AA58" s="2110"/>
      <c r="AB58" s="3580">
        <f>ROUND(SUM(C58:Y58),1)</f>
        <v>28939.5</v>
      </c>
      <c r="AC58" s="2062"/>
      <c r="AD58" s="2106"/>
      <c r="AE58" s="2050">
        <f>ROUND(SUM(+AE30+AE40+AE47+AE56),1)</f>
        <v>24067.5</v>
      </c>
      <c r="AF58" s="2043"/>
      <c r="AG58" s="3310"/>
      <c r="AH58" s="2050">
        <f>ROUND(+AB58-AE58,1)</f>
        <v>4872</v>
      </c>
      <c r="AI58" s="2108"/>
      <c r="AJ58" s="3540">
        <f>ROUND(SUM(+AH58/ABS(AE58)),3)</f>
        <v>0.20200000000000001</v>
      </c>
    </row>
    <row r="59" spans="1:36" ht="15">
      <c r="A59" s="1480"/>
      <c r="B59" s="1480"/>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2892"/>
      <c r="AB59" s="3296"/>
      <c r="AC59" s="3296"/>
      <c r="AD59" s="3579"/>
      <c r="AE59" s="3296"/>
      <c r="AF59" s="3298"/>
      <c r="AG59" s="3298"/>
      <c r="AH59" s="3296"/>
      <c r="AI59" s="3254"/>
      <c r="AJ59" s="1880"/>
    </row>
    <row r="60" spans="1:36" ht="15.75">
      <c r="A60" s="2539" t="s">
        <v>1034</v>
      </c>
      <c r="B60" s="1480"/>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2893"/>
      <c r="AB60" s="3296"/>
      <c r="AC60" s="3296"/>
      <c r="AD60" s="3579"/>
      <c r="AE60" s="3296"/>
      <c r="AF60" s="3298"/>
      <c r="AG60" s="3298"/>
      <c r="AH60" s="3296"/>
      <c r="AI60" s="3254"/>
      <c r="AJ60" s="1786"/>
    </row>
    <row r="61" spans="1:36" ht="15">
      <c r="A61" s="2563" t="s">
        <v>1155</v>
      </c>
      <c r="B61" s="1480"/>
      <c r="C61" s="1479"/>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2893"/>
      <c r="AB61" s="3296"/>
      <c r="AC61" s="3296"/>
      <c r="AD61" s="3579"/>
      <c r="AE61" s="3296"/>
      <c r="AF61" s="3298"/>
      <c r="AG61" s="3298"/>
      <c r="AH61" s="3296"/>
      <c r="AI61" s="3254"/>
      <c r="AJ61" s="1786"/>
    </row>
    <row r="62" spans="1:36" ht="15">
      <c r="A62" s="2563" t="s">
        <v>1032</v>
      </c>
      <c r="B62" s="1480"/>
      <c r="C62" s="1479">
        <f>+'Exhibit F'!D57+'Exhibit G State'!D41</f>
        <v>2</v>
      </c>
      <c r="D62" s="1479"/>
      <c r="E62" s="1479">
        <f>+'Exhibit F'!F57+'Exhibit G State'!F41</f>
        <v>1.2000000000000002</v>
      </c>
      <c r="F62" s="1479"/>
      <c r="G62" s="1479">
        <f>+'Exhibit F'!H57+'Exhibit G State'!H41</f>
        <v>0.89999999999999991</v>
      </c>
      <c r="H62" s="1479"/>
      <c r="I62" s="1479">
        <f>+'Exhibit F'!J57+'Exhibit G State'!J41</f>
        <v>1.2</v>
      </c>
      <c r="J62" s="1479"/>
      <c r="K62" s="1479"/>
      <c r="L62" s="1479"/>
      <c r="M62" s="1479"/>
      <c r="N62" s="1479"/>
      <c r="O62" s="1479"/>
      <c r="P62" s="1479"/>
      <c r="Q62" s="1479"/>
      <c r="R62" s="1479"/>
      <c r="S62" s="1479"/>
      <c r="T62" s="1479"/>
      <c r="U62" s="1479"/>
      <c r="V62" s="1479"/>
      <c r="W62" s="1479"/>
      <c r="X62" s="1479"/>
      <c r="Y62" s="1479"/>
      <c r="Z62" s="1479"/>
      <c r="AA62" s="2893"/>
      <c r="AB62" s="3296">
        <f>ROUND(SUM(C62:Y62),1)</f>
        <v>5.3</v>
      </c>
      <c r="AC62" s="3296"/>
      <c r="AD62" s="3579"/>
      <c r="AE62" s="3296">
        <f>+'Exhibit F'!AF57+'Exhibit G State'!AG41</f>
        <v>4.5</v>
      </c>
      <c r="AF62" s="3298"/>
      <c r="AG62" s="3298"/>
      <c r="AH62" s="3296">
        <f t="shared" ref="AH62:AH102" si="11">ROUND(SUM(AB62-AE62),1)</f>
        <v>0.8</v>
      </c>
      <c r="AI62" s="3254"/>
      <c r="AJ62" s="1880">
        <f>ROUND(SUM(AH62/ABS(AE62)),3)</f>
        <v>0.17799999999999999</v>
      </c>
    </row>
    <row r="63" spans="1:36" ht="15">
      <c r="A63" s="2563" t="s">
        <v>1033</v>
      </c>
      <c r="B63" s="1480"/>
      <c r="C63" s="1479">
        <f>+'Exhibit F'!D58</f>
        <v>0.2</v>
      </c>
      <c r="D63" s="1479"/>
      <c r="E63" s="1479">
        <f>+'Exhibit F'!F58</f>
        <v>0.3</v>
      </c>
      <c r="F63" s="1479"/>
      <c r="G63" s="1479">
        <f>+'Exhibit F'!H58</f>
        <v>8.1999999999999993</v>
      </c>
      <c r="H63" s="1479"/>
      <c r="I63" s="1479">
        <f>+'Exhibit F'!J58</f>
        <v>0.30000000000000071</v>
      </c>
      <c r="J63" s="1479"/>
      <c r="K63" s="1479"/>
      <c r="L63" s="1479"/>
      <c r="M63" s="1479"/>
      <c r="N63" s="1479"/>
      <c r="O63" s="1479"/>
      <c r="P63" s="1479"/>
      <c r="Q63" s="1479"/>
      <c r="R63" s="1479"/>
      <c r="S63" s="1479"/>
      <c r="T63" s="1479"/>
      <c r="U63" s="1479"/>
      <c r="V63" s="1479"/>
      <c r="W63" s="1479"/>
      <c r="X63" s="1479"/>
      <c r="Y63" s="1479"/>
      <c r="Z63" s="1479"/>
      <c r="AA63" s="2893"/>
      <c r="AB63" s="3296">
        <f>ROUND(SUM(C63:Y63),1)</f>
        <v>9</v>
      </c>
      <c r="AC63" s="3296"/>
      <c r="AD63" s="3579"/>
      <c r="AE63" s="3296">
        <f>+'Exhibit F'!AF58</f>
        <v>15.1</v>
      </c>
      <c r="AF63" s="3298"/>
      <c r="AG63" s="3298"/>
      <c r="AH63" s="3296">
        <f t="shared" si="11"/>
        <v>-6.1</v>
      </c>
      <c r="AI63" s="3254"/>
      <c r="AJ63" s="1880">
        <f>ROUND(SUM(AH63/ABS(AE63)),3)</f>
        <v>-0.40400000000000003</v>
      </c>
    </row>
    <row r="64" spans="1:36" ht="15">
      <c r="A64" s="2563" t="s">
        <v>1156</v>
      </c>
      <c r="B64" s="1480"/>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2893"/>
      <c r="AB64" s="3296"/>
      <c r="AC64" s="3296"/>
      <c r="AD64" s="3579"/>
      <c r="AE64" s="3296"/>
      <c r="AF64" s="3298"/>
      <c r="AG64" s="3298"/>
      <c r="AH64" s="3296" t="s">
        <v>15</v>
      </c>
      <c r="AI64" s="3254" t="s">
        <v>15</v>
      </c>
      <c r="AJ64" s="1786" t="s">
        <v>15</v>
      </c>
    </row>
    <row r="65" spans="1:36" ht="15">
      <c r="A65" s="2563" t="s">
        <v>1037</v>
      </c>
      <c r="B65" s="1480"/>
      <c r="C65" s="1479">
        <f>+'Exhibit F'!D60+'Exhibit G State'!D43</f>
        <v>66.400000000000006</v>
      </c>
      <c r="D65" s="1479"/>
      <c r="E65" s="1479">
        <f>+'Exhibit F'!F60+'Exhibit G State'!F43</f>
        <v>33.599999999999994</v>
      </c>
      <c r="F65" s="1479"/>
      <c r="G65" s="1479">
        <f>+'Exhibit F'!H60+'Exhibit G State'!H43</f>
        <v>94.199999999999989</v>
      </c>
      <c r="H65" s="1479"/>
      <c r="I65" s="1479">
        <f>+'Exhibit F'!J60+'Exhibit G State'!J43</f>
        <v>49.200000000000017</v>
      </c>
      <c r="J65" s="1479"/>
      <c r="K65" s="1479"/>
      <c r="L65" s="1479"/>
      <c r="M65" s="1479"/>
      <c r="N65" s="1479"/>
      <c r="O65" s="1479"/>
      <c r="P65" s="1479"/>
      <c r="Q65" s="1479"/>
      <c r="R65" s="1479"/>
      <c r="S65" s="1479"/>
      <c r="T65" s="1479"/>
      <c r="U65" s="1479"/>
      <c r="V65" s="1479"/>
      <c r="W65" s="1479"/>
      <c r="X65" s="1479"/>
      <c r="Y65" s="1479"/>
      <c r="Z65" s="1479"/>
      <c r="AA65" s="2893"/>
      <c r="AB65" s="3296">
        <f>ROUND(SUM(C65:Y65),1)</f>
        <v>243.4</v>
      </c>
      <c r="AC65" s="3296"/>
      <c r="AD65" s="3579"/>
      <c r="AE65" s="3296">
        <f>+'Exhibit F'!AF60+'Exhibit G State'!AG43</f>
        <v>249.2</v>
      </c>
      <c r="AF65" s="3298"/>
      <c r="AG65" s="3298"/>
      <c r="AH65" s="3296">
        <f t="shared" si="11"/>
        <v>-5.8</v>
      </c>
      <c r="AI65" s="3254"/>
      <c r="AJ65" s="1880">
        <f>ROUND(SUM(AH65/ABS(AE65)),3)</f>
        <v>-2.3E-2</v>
      </c>
    </row>
    <row r="66" spans="1:36" ht="15">
      <c r="A66" s="2563" t="s">
        <v>1038</v>
      </c>
      <c r="B66" s="1480"/>
      <c r="C66" s="1479">
        <f>+'Exhibit F'!D61+'Exhibit G State'!D44</f>
        <v>625.70000000000005</v>
      </c>
      <c r="D66" s="1479"/>
      <c r="E66" s="1479">
        <f>+'Exhibit F'!F61+'Exhibit G State'!F44</f>
        <v>523.90000000000009</v>
      </c>
      <c r="F66" s="1479"/>
      <c r="G66" s="1479">
        <f>+'Exhibit F'!H61+'Exhibit G State'!H44</f>
        <v>508.99999999999983</v>
      </c>
      <c r="H66" s="1479"/>
      <c r="I66" s="1479">
        <f>+'Exhibit F'!J61+'Exhibit G State'!J44</f>
        <v>571.29999999999995</v>
      </c>
      <c r="J66" s="1479"/>
      <c r="K66" s="1479"/>
      <c r="L66" s="1479"/>
      <c r="M66" s="1479"/>
      <c r="N66" s="1479"/>
      <c r="O66" s="1479"/>
      <c r="P66" s="1479"/>
      <c r="Q66" s="1479"/>
      <c r="R66" s="1479"/>
      <c r="S66" s="1479"/>
      <c r="T66" s="1479"/>
      <c r="U66" s="1479"/>
      <c r="V66" s="1479"/>
      <c r="W66" s="1479"/>
      <c r="X66" s="1479"/>
      <c r="Y66" s="1479"/>
      <c r="Z66" s="1479"/>
      <c r="AA66" s="2893"/>
      <c r="AB66" s="3296">
        <f>ROUND(SUM(C66:Y66),1)</f>
        <v>2229.9</v>
      </c>
      <c r="AC66" s="3296"/>
      <c r="AD66" s="3579"/>
      <c r="AE66" s="3296">
        <f>+'Exhibit F'!AF61+'Exhibit G State'!AG44+'Exhibit H'!AD30</f>
        <v>2047.1000000000001</v>
      </c>
      <c r="AF66" s="3298"/>
      <c r="AG66" s="3298"/>
      <c r="AH66" s="3296">
        <f t="shared" si="11"/>
        <v>182.8</v>
      </c>
      <c r="AI66" s="3254"/>
      <c r="AJ66" s="1880">
        <f>ROUND(SUM(AH66/ABS(AE66)),3)</f>
        <v>8.8999999999999996E-2</v>
      </c>
    </row>
    <row r="67" spans="1:36" ht="15">
      <c r="A67" s="2563" t="s">
        <v>1039</v>
      </c>
      <c r="B67" s="1480"/>
      <c r="C67" s="1479">
        <f>+'Exhibit F'!D62+'Exhibit G State'!D45</f>
        <v>5.0999999999999996</v>
      </c>
      <c r="D67" s="1479"/>
      <c r="E67" s="1479">
        <f>+'Exhibit F'!F62+'Exhibit G State'!F45</f>
        <v>0</v>
      </c>
      <c r="F67" s="1479"/>
      <c r="G67" s="1479">
        <f>+'Exhibit F'!H62+'Exhibit G State'!H45</f>
        <v>0.70000000000000018</v>
      </c>
      <c r="H67" s="1479"/>
      <c r="I67" s="1479">
        <f>+'Exhibit F'!J62+'Exhibit G State'!J45</f>
        <v>0</v>
      </c>
      <c r="J67" s="1479"/>
      <c r="K67" s="1479"/>
      <c r="L67" s="1479"/>
      <c r="M67" s="1479"/>
      <c r="N67" s="1479"/>
      <c r="O67" s="1479"/>
      <c r="P67" s="1479"/>
      <c r="Q67" s="1479"/>
      <c r="R67" s="1479"/>
      <c r="S67" s="1479"/>
      <c r="T67" s="1479"/>
      <c r="U67" s="1479"/>
      <c r="V67" s="1479"/>
      <c r="W67" s="1479"/>
      <c r="X67" s="1479"/>
      <c r="Y67" s="1479"/>
      <c r="Z67" s="1479"/>
      <c r="AA67" s="2893"/>
      <c r="AB67" s="3296">
        <f>ROUND(SUM(C67:Y67),1)</f>
        <v>5.8</v>
      </c>
      <c r="AC67" s="3296"/>
      <c r="AD67" s="3579"/>
      <c r="AE67" s="3296">
        <f>+'Exhibit F'!AF62+'Exhibit G State'!AG45</f>
        <v>2.4</v>
      </c>
      <c r="AF67" s="3298"/>
      <c r="AG67" s="3298"/>
      <c r="AH67" s="3296">
        <f t="shared" si="11"/>
        <v>3.4</v>
      </c>
      <c r="AI67" s="3254"/>
      <c r="AJ67" s="1786">
        <f>ROUND(IF(AE67=0,0,AH67/ABS(AE67)),3)</f>
        <v>1.417</v>
      </c>
    </row>
    <row r="68" spans="1:36" ht="15">
      <c r="A68" s="2563" t="s">
        <v>1040</v>
      </c>
      <c r="B68" s="1480"/>
      <c r="C68" s="1479">
        <f>+'Exhibit F'!D63+'Exhibit G State'!D46</f>
        <v>0</v>
      </c>
      <c r="D68" s="1479"/>
      <c r="E68" s="1479">
        <f>+'Exhibit F'!F63+'Exhibit G State'!F46</f>
        <v>0.2</v>
      </c>
      <c r="F68" s="1479"/>
      <c r="G68" s="1479">
        <f>+'Exhibit F'!H63+'Exhibit G State'!H46</f>
        <v>0.1</v>
      </c>
      <c r="H68" s="1479"/>
      <c r="I68" s="1479">
        <f>+'Exhibit F'!J63+'Exhibit G State'!J46</f>
        <v>0</v>
      </c>
      <c r="J68" s="1479"/>
      <c r="K68" s="1479"/>
      <c r="L68" s="1479"/>
      <c r="M68" s="1479"/>
      <c r="N68" s="1479"/>
      <c r="O68" s="1479"/>
      <c r="P68" s="1479"/>
      <c r="Q68" s="1479"/>
      <c r="R68" s="1479"/>
      <c r="S68" s="1479"/>
      <c r="T68" s="1479"/>
      <c r="U68" s="1479"/>
      <c r="V68" s="1479"/>
      <c r="W68" s="1479"/>
      <c r="X68" s="1479"/>
      <c r="Y68" s="1479"/>
      <c r="Z68" s="1479"/>
      <c r="AA68" s="2893"/>
      <c r="AB68" s="3296">
        <f>ROUND(SUM(C68:Y68),1)</f>
        <v>0.3</v>
      </c>
      <c r="AC68" s="3296"/>
      <c r="AD68" s="3579"/>
      <c r="AE68" s="3296">
        <f>+'Exhibit F'!AF63+'Exhibit G State'!AG46</f>
        <v>1.1000000000000001</v>
      </c>
      <c r="AF68" s="3298"/>
      <c r="AG68" s="3298"/>
      <c r="AH68" s="3296">
        <f t="shared" si="11"/>
        <v>-0.8</v>
      </c>
      <c r="AI68" s="3254"/>
      <c r="AJ68" s="1786">
        <f>ROUND(IF(AE68=0,0,AH68/ABS(AE68)),3)</f>
        <v>-0.72699999999999998</v>
      </c>
    </row>
    <row r="69" spans="1:36" ht="15">
      <c r="A69" s="2563" t="s">
        <v>1161</v>
      </c>
      <c r="B69" s="1480"/>
      <c r="C69" s="1479"/>
      <c r="D69" s="1479"/>
      <c r="E69" s="1479"/>
      <c r="F69" s="1479"/>
      <c r="G69" s="1479"/>
      <c r="H69" s="1479"/>
      <c r="I69" s="1479"/>
      <c r="J69" s="1479"/>
      <c r="K69" s="1479"/>
      <c r="L69" s="1479"/>
      <c r="M69" s="1479"/>
      <c r="N69" s="1479"/>
      <c r="O69" s="1479"/>
      <c r="P69" s="1479"/>
      <c r="Q69" s="1479"/>
      <c r="R69" s="1479"/>
      <c r="S69" s="1479"/>
      <c r="T69" s="1479"/>
      <c r="U69" s="1479"/>
      <c r="V69" s="1479"/>
      <c r="W69" s="1479"/>
      <c r="X69" s="1479"/>
      <c r="Y69" s="1479"/>
      <c r="Z69" s="1479"/>
      <c r="AA69" s="2893"/>
      <c r="AB69" s="3296"/>
      <c r="AC69" s="3296"/>
      <c r="AD69" s="3579"/>
      <c r="AE69" s="3296"/>
      <c r="AF69" s="3298"/>
      <c r="AG69" s="3298"/>
      <c r="AH69" s="3296"/>
      <c r="AI69" s="3254"/>
      <c r="AJ69" s="1786"/>
    </row>
    <row r="70" spans="1:36" ht="15">
      <c r="A70" s="2563" t="s">
        <v>1041</v>
      </c>
      <c r="B70" s="1480"/>
      <c r="C70" s="1479">
        <f>+'Exhibit F'!D65+'Exhibit H'!B32</f>
        <v>5.7</v>
      </c>
      <c r="D70" s="1479"/>
      <c r="E70" s="1479">
        <f>+'Exhibit F'!F65+'Exhibit H'!D32</f>
        <v>5.9999999999999991</v>
      </c>
      <c r="F70" s="1479"/>
      <c r="G70" s="1479">
        <f>+'Exhibit F'!H65+'Exhibit H'!F32</f>
        <v>5.400000000000003</v>
      </c>
      <c r="H70" s="1479"/>
      <c r="I70" s="1479">
        <f>+'Exhibit F'!J65+'Exhibit H'!H32</f>
        <v>5.9999999999999991</v>
      </c>
      <c r="J70" s="1479"/>
      <c r="K70" s="1479"/>
      <c r="L70" s="1479"/>
      <c r="M70" s="1479"/>
      <c r="N70" s="1479"/>
      <c r="O70" s="1479"/>
      <c r="P70" s="1479"/>
      <c r="Q70" s="1479"/>
      <c r="R70" s="1479"/>
      <c r="S70" s="1479"/>
      <c r="T70" s="1479"/>
      <c r="U70" s="1479"/>
      <c r="V70" s="1479"/>
      <c r="W70" s="1479"/>
      <c r="X70" s="1479"/>
      <c r="Y70" s="1479"/>
      <c r="Z70" s="1479"/>
      <c r="AA70" s="2893"/>
      <c r="AB70" s="3296">
        <f t="shared" ref="AB70:AB77" si="12">ROUND(SUM(C70:Y70),1)</f>
        <v>23.1</v>
      </c>
      <c r="AC70" s="3296"/>
      <c r="AD70" s="3579"/>
      <c r="AE70" s="3296">
        <f>+'Exhibit F'!AF65+'Exhibit H'!AD32</f>
        <v>26.1</v>
      </c>
      <c r="AF70" s="3298"/>
      <c r="AG70" s="3298"/>
      <c r="AH70" s="3296">
        <f t="shared" si="11"/>
        <v>-3</v>
      </c>
      <c r="AI70" s="3254"/>
      <c r="AJ70" s="1880">
        <f>ROUND(SUM(AH70/ABS(AE70)),3)</f>
        <v>-0.115</v>
      </c>
    </row>
    <row r="71" spans="1:36" ht="15">
      <c r="A71" s="2563" t="s">
        <v>1259</v>
      </c>
      <c r="B71" s="1480"/>
      <c r="C71" s="1479">
        <f>'Exhibit G State'!D48</f>
        <v>0</v>
      </c>
      <c r="D71" s="1479" t="s">
        <v>15</v>
      </c>
      <c r="E71" s="1479">
        <f>'Exhibit G State'!F48</f>
        <v>0.8</v>
      </c>
      <c r="F71" s="1479"/>
      <c r="G71" s="1479">
        <f>'Exhibit G State'!H48</f>
        <v>1.4999999999999998</v>
      </c>
      <c r="H71" s="1479"/>
      <c r="I71" s="1479">
        <f>'Exhibit G State'!J48</f>
        <v>0</v>
      </c>
      <c r="J71" s="1479"/>
      <c r="K71" s="1479"/>
      <c r="L71" s="1479"/>
      <c r="M71" s="1479"/>
      <c r="N71" s="1479"/>
      <c r="O71" s="1479"/>
      <c r="P71" s="1479"/>
      <c r="Q71" s="1479"/>
      <c r="R71" s="1479"/>
      <c r="S71" s="1479"/>
      <c r="T71" s="1479"/>
      <c r="U71" s="1479"/>
      <c r="V71" s="1479"/>
      <c r="W71" s="1479"/>
      <c r="X71" s="1479"/>
      <c r="Y71" s="1479"/>
      <c r="Z71" s="1479"/>
      <c r="AA71" s="2892"/>
      <c r="AB71" s="3296">
        <f t="shared" si="12"/>
        <v>2.2999999999999998</v>
      </c>
      <c r="AC71" s="3296"/>
      <c r="AD71" s="3579"/>
      <c r="AE71" s="3296">
        <f>'Exhibit G State'!AG48</f>
        <v>2.1</v>
      </c>
      <c r="AF71" s="3298"/>
      <c r="AG71" s="3298"/>
      <c r="AH71" s="3296">
        <f t="shared" si="11"/>
        <v>0.2</v>
      </c>
      <c r="AI71" s="3254"/>
      <c r="AJ71" s="1786">
        <f>ROUND(IF(AE71=0,0,AH71/ABS(AE71)),3)</f>
        <v>9.5000000000000001E-2</v>
      </c>
    </row>
    <row r="72" spans="1:36" ht="15">
      <c r="A72" s="2563" t="s">
        <v>1042</v>
      </c>
      <c r="B72" s="1480"/>
      <c r="C72" s="1479">
        <f>+'Exhibit F'!D67+'Exhibit G State'!D49+'Exhibit H'!B33</f>
        <v>59.7</v>
      </c>
      <c r="D72" s="1479"/>
      <c r="E72" s="1479">
        <f>+'Exhibit F'!F67+'Exhibit G State'!F49+'Exhibit H'!D33</f>
        <v>55</v>
      </c>
      <c r="F72" s="1479"/>
      <c r="G72" s="1479">
        <f>+'Exhibit F'!H67+'Exhibit G State'!H49+'Exhibit H'!F33</f>
        <v>127.8</v>
      </c>
      <c r="H72" s="1479"/>
      <c r="I72" s="1479">
        <f>+'Exhibit F'!J67+'Exhibit G State'!J49+'Exhibit H'!H33</f>
        <v>62.5</v>
      </c>
      <c r="J72" s="1479"/>
      <c r="K72" s="1479"/>
      <c r="L72" s="1479"/>
      <c r="M72" s="1479"/>
      <c r="N72" s="1479"/>
      <c r="O72" s="1479"/>
      <c r="P72" s="1479"/>
      <c r="Q72" s="1479"/>
      <c r="R72" s="1479"/>
      <c r="S72" s="1479"/>
      <c r="T72" s="1479"/>
      <c r="U72" s="1479"/>
      <c r="V72" s="1479"/>
      <c r="W72" s="1479"/>
      <c r="X72" s="1479"/>
      <c r="Y72" s="1479"/>
      <c r="Z72" s="1479"/>
      <c r="AA72" s="2893"/>
      <c r="AB72" s="3296">
        <f t="shared" si="12"/>
        <v>305</v>
      </c>
      <c r="AC72" s="3296"/>
      <c r="AD72" s="3579"/>
      <c r="AE72" s="3296">
        <f>+'Exhibit F'!AF67+'Exhibit G State'!AG49+'Exhibit H'!AD33</f>
        <v>272.10000000000002</v>
      </c>
      <c r="AF72" s="3298"/>
      <c r="AG72" s="3298"/>
      <c r="AH72" s="3296">
        <f t="shared" si="11"/>
        <v>32.9</v>
      </c>
      <c r="AI72" s="3254"/>
      <c r="AJ72" s="1880">
        <f>ROUND(SUM(AH72/AE72),3)</f>
        <v>0.121</v>
      </c>
    </row>
    <row r="73" spans="1:36" ht="15">
      <c r="A73" s="2563" t="s">
        <v>1043</v>
      </c>
      <c r="B73" s="1480"/>
      <c r="C73" s="1479">
        <f>+'Exhibit F'!D68+'Exhibit G State'!D50+'Exhibit H'!B34</f>
        <v>28.6</v>
      </c>
      <c r="D73" s="1479"/>
      <c r="E73" s="1479">
        <f>+'Exhibit F'!F68+'Exhibit G State'!F50+'Exhibit H'!D34</f>
        <v>18</v>
      </c>
      <c r="F73" s="1479"/>
      <c r="G73" s="1479">
        <f>+'Exhibit F'!H68+'Exhibit G State'!H50+'Exhibit H'!F34</f>
        <v>22.900000000000006</v>
      </c>
      <c r="H73" s="1479"/>
      <c r="I73" s="1479">
        <f>+'Exhibit F'!J68+'Exhibit G State'!J50+'Exhibit H'!H34</f>
        <v>22.599999999999991</v>
      </c>
      <c r="J73" s="1479"/>
      <c r="K73" s="1479"/>
      <c r="L73" s="1479"/>
      <c r="M73" s="1479"/>
      <c r="N73" s="1479"/>
      <c r="O73" s="1479"/>
      <c r="P73" s="1479"/>
      <c r="Q73" s="1479"/>
      <c r="R73" s="1479"/>
      <c r="S73" s="1479"/>
      <c r="T73" s="1479"/>
      <c r="U73" s="1479"/>
      <c r="V73" s="1479"/>
      <c r="W73" s="1479"/>
      <c r="X73" s="1479"/>
      <c r="Y73" s="1479"/>
      <c r="Z73" s="1479"/>
      <c r="AA73" s="2893"/>
      <c r="AB73" s="3296">
        <f t="shared" si="12"/>
        <v>92.1</v>
      </c>
      <c r="AC73" s="3296"/>
      <c r="AD73" s="3579"/>
      <c r="AE73" s="3296">
        <f>+'Exhibit F'!AF68+'Exhibit G State'!AG50+'Exhibit H'!AD34</f>
        <v>93.1</v>
      </c>
      <c r="AF73" s="3298"/>
      <c r="AG73" s="3298"/>
      <c r="AH73" s="3296">
        <f t="shared" si="11"/>
        <v>-1</v>
      </c>
      <c r="AI73" s="3254"/>
      <c r="AJ73" s="1880">
        <f>ROUND(SUM(AH73/ABS(AE73)),3)</f>
        <v>-1.0999999999999999E-2</v>
      </c>
    </row>
    <row r="74" spans="1:36" ht="15">
      <c r="A74" s="2563" t="s">
        <v>1044</v>
      </c>
      <c r="B74" s="1480"/>
      <c r="C74" s="1479">
        <f>+'Exhibit F'!D69+'Exhibit G State'!D51+'Exhibit H'!B35</f>
        <v>0.5</v>
      </c>
      <c r="D74" s="1479"/>
      <c r="E74" s="1479">
        <f>+'Exhibit F'!F69+'Exhibit G State'!F51+'Exhibit H'!D35</f>
        <v>0.49999999999999994</v>
      </c>
      <c r="F74" s="1479"/>
      <c r="G74" s="1479">
        <f>+'Exhibit F'!H69+'Exhibit G State'!H51+'Exhibit H'!F35</f>
        <v>1.2000000000000002</v>
      </c>
      <c r="H74" s="1479"/>
      <c r="I74" s="1479">
        <f>+'Exhibit F'!J69+'Exhibit G State'!J51+'Exhibit H'!H35</f>
        <v>0.19999999999999996</v>
      </c>
      <c r="J74" s="1479"/>
      <c r="K74" s="1479"/>
      <c r="L74" s="1479"/>
      <c r="M74" s="1479"/>
      <c r="N74" s="1479"/>
      <c r="O74" s="1479"/>
      <c r="P74" s="1479"/>
      <c r="Q74" s="1479"/>
      <c r="R74" s="1479"/>
      <c r="S74" s="1479"/>
      <c r="T74" s="1479"/>
      <c r="U74" s="1479"/>
      <c r="V74" s="1479"/>
      <c r="W74" s="1479"/>
      <c r="X74" s="1479"/>
      <c r="Y74" s="1479"/>
      <c r="Z74" s="1479"/>
      <c r="AA74" s="2893"/>
      <c r="AB74" s="3296">
        <f t="shared" si="12"/>
        <v>2.4</v>
      </c>
      <c r="AC74" s="3296"/>
      <c r="AD74" s="3579"/>
      <c r="AE74" s="3296">
        <f>+'Exhibit F'!AF69+'Exhibit G State'!AG51+'Exhibit H'!AD35</f>
        <v>3.6</v>
      </c>
      <c r="AF74" s="3298"/>
      <c r="AG74" s="3298"/>
      <c r="AH74" s="3296">
        <f t="shared" si="11"/>
        <v>-1.2</v>
      </c>
      <c r="AI74" s="3254"/>
      <c r="AJ74" s="1880">
        <f>ROUND(SUM(AH74/ABS(AE74)),3)</f>
        <v>-0.33300000000000002</v>
      </c>
    </row>
    <row r="75" spans="1:36" ht="15">
      <c r="A75" s="2563" t="s">
        <v>1045</v>
      </c>
      <c r="B75" s="1480"/>
      <c r="C75" s="1479">
        <f>+'Exhibit F'!D70+'Exhibit G State'!D52+'Exhibit H'!B36</f>
        <v>59.2</v>
      </c>
      <c r="D75" s="1479"/>
      <c r="E75" s="1479">
        <f>+'Exhibit F'!F70+'Exhibit G State'!F52+'Exhibit H'!D36</f>
        <v>61.499999999999993</v>
      </c>
      <c r="F75" s="1479"/>
      <c r="G75" s="1479">
        <f>+'Exhibit F'!H70+'Exhibit G State'!H52+'Exhibit H'!F36</f>
        <v>40.300000000000004</v>
      </c>
      <c r="H75" s="1479"/>
      <c r="I75" s="1479">
        <f>+'Exhibit F'!J70+'Exhibit G State'!J52+'Exhibit H'!H36</f>
        <v>59</v>
      </c>
      <c r="J75" s="1479"/>
      <c r="K75" s="1479"/>
      <c r="L75" s="1479"/>
      <c r="M75" s="1479"/>
      <c r="N75" s="1479"/>
      <c r="O75" s="1479"/>
      <c r="P75" s="1479"/>
      <c r="Q75" s="1479"/>
      <c r="R75" s="1479"/>
      <c r="S75" s="1479"/>
      <c r="T75" s="1479"/>
      <c r="U75" s="1479"/>
      <c r="V75" s="1479"/>
      <c r="W75" s="1479"/>
      <c r="X75" s="1479"/>
      <c r="Y75" s="1479"/>
      <c r="Z75" s="1479"/>
      <c r="AA75" s="2893"/>
      <c r="AB75" s="3296">
        <f t="shared" si="12"/>
        <v>220</v>
      </c>
      <c r="AC75" s="3296"/>
      <c r="AD75" s="3579"/>
      <c r="AE75" s="3296">
        <f>+'Exhibit F'!AF70+'Exhibit G State'!AG52+'Exhibit H'!AD36</f>
        <v>246.2</v>
      </c>
      <c r="AF75" s="3298"/>
      <c r="AG75" s="3298"/>
      <c r="AH75" s="3296">
        <f t="shared" si="11"/>
        <v>-26.2</v>
      </c>
      <c r="AI75" s="3254"/>
      <c r="AJ75" s="1786">
        <f>ROUND(IF(AE75=0,0,AH75/ABS(AE75)),3)</f>
        <v>-0.106</v>
      </c>
    </row>
    <row r="76" spans="1:36" ht="15">
      <c r="A76" s="2563" t="s">
        <v>1046</v>
      </c>
      <c r="B76" s="1480"/>
      <c r="C76" s="1479">
        <f>+'Exhibit F'!D71+'Exhibit G State'!D53+'Exhibit H'!B37</f>
        <v>55.2</v>
      </c>
      <c r="D76" s="1479"/>
      <c r="E76" s="1479">
        <f>+'Exhibit F'!F71+'Exhibit G State'!F53+'Exhibit H'!D37</f>
        <v>47.099999999999994</v>
      </c>
      <c r="F76" s="1479"/>
      <c r="G76" s="1479">
        <f>+'Exhibit F'!H71+'Exhibit G State'!H53+'Exhibit H'!F37</f>
        <v>67.300000000000011</v>
      </c>
      <c r="H76" s="1479"/>
      <c r="I76" s="1479">
        <f>+'Exhibit F'!J71+'Exhibit G State'!J53+'Exhibit H'!H37</f>
        <v>67.5</v>
      </c>
      <c r="J76" s="1479"/>
      <c r="K76" s="1479"/>
      <c r="L76" s="1479"/>
      <c r="M76" s="1479"/>
      <c r="N76" s="1479"/>
      <c r="O76" s="1479"/>
      <c r="P76" s="1479"/>
      <c r="Q76" s="1479"/>
      <c r="R76" s="1479"/>
      <c r="S76" s="1479"/>
      <c r="T76" s="1479"/>
      <c r="U76" s="1479"/>
      <c r="V76" s="1479"/>
      <c r="W76" s="1479"/>
      <c r="X76" s="1479"/>
      <c r="Y76" s="1479"/>
      <c r="Z76" s="1479"/>
      <c r="AA76" s="2893"/>
      <c r="AB76" s="3296">
        <f t="shared" si="12"/>
        <v>237.1</v>
      </c>
      <c r="AC76" s="3296"/>
      <c r="AD76" s="3579"/>
      <c r="AE76" s="3296">
        <f>+'Exhibit F'!AF71+'Exhibit G State'!AG53+'Exhibit H'!AD37</f>
        <v>204.89999999999998</v>
      </c>
      <c r="AF76" s="3298"/>
      <c r="AG76" s="3298"/>
      <c r="AH76" s="3296">
        <f t="shared" si="11"/>
        <v>32.200000000000003</v>
      </c>
      <c r="AI76" s="3254"/>
      <c r="AJ76" s="1880">
        <f>ROUND(SUM(AH76/ABS(AE76)),3)</f>
        <v>0.157</v>
      </c>
    </row>
    <row r="77" spans="1:36" ht="15">
      <c r="A77" s="2563" t="s">
        <v>1035</v>
      </c>
      <c r="B77" s="1480"/>
      <c r="C77" s="1479">
        <f>+'Exhibit F'!D72+'Exhibit G State'!D54</f>
        <v>625.70000000000005</v>
      </c>
      <c r="D77" s="1479"/>
      <c r="E77" s="1479">
        <f>+'Exhibit F'!F72+'Exhibit G State'!F54</f>
        <v>221.8</v>
      </c>
      <c r="F77" s="1479"/>
      <c r="G77" s="1479">
        <f>+'Exhibit F'!H72+'Exhibit G State'!H54</f>
        <v>133.19999999999999</v>
      </c>
      <c r="H77" s="1479"/>
      <c r="I77" s="1479">
        <f>+'Exhibit F'!J72+'Exhibit G State'!J54</f>
        <v>48.699999999999989</v>
      </c>
      <c r="J77" s="1479"/>
      <c r="K77" s="1479"/>
      <c r="L77" s="1479"/>
      <c r="M77" s="1479"/>
      <c r="N77" s="1479"/>
      <c r="O77" s="1479"/>
      <c r="P77" s="1479"/>
      <c r="Q77" s="1479"/>
      <c r="R77" s="1479"/>
      <c r="S77" s="1479"/>
      <c r="T77" s="1479"/>
      <c r="U77" s="1479"/>
      <c r="V77" s="1479"/>
      <c r="W77" s="1479"/>
      <c r="X77" s="1479"/>
      <c r="Y77" s="1479"/>
      <c r="Z77" s="1479"/>
      <c r="AA77" s="2893"/>
      <c r="AB77" s="3296">
        <f t="shared" si="12"/>
        <v>1029.4000000000001</v>
      </c>
      <c r="AC77" s="3296"/>
      <c r="AD77" s="3579"/>
      <c r="AE77" s="3296">
        <f>+'Exhibit F'!AF72+'Exhibit G State'!AG54</f>
        <v>470.7</v>
      </c>
      <c r="AF77" s="3298"/>
      <c r="AG77" s="3298"/>
      <c r="AH77" s="3296">
        <f t="shared" si="11"/>
        <v>558.70000000000005</v>
      </c>
      <c r="AI77" s="3254"/>
      <c r="AJ77" s="1880">
        <f>ROUND(SUM(AH77/ABS(AE77)),3)</f>
        <v>1.1870000000000001</v>
      </c>
    </row>
    <row r="78" spans="1:36" ht="15">
      <c r="A78" s="2563" t="s">
        <v>1158</v>
      </c>
      <c r="B78" s="1480"/>
      <c r="C78" s="1479"/>
      <c r="D78" s="1479"/>
      <c r="E78" s="1479"/>
      <c r="F78" s="1479"/>
      <c r="G78" s="1479"/>
      <c r="H78" s="1479"/>
      <c r="I78" s="1479"/>
      <c r="J78" s="1479"/>
      <c r="K78" s="1479"/>
      <c r="L78" s="1479"/>
      <c r="M78" s="1479"/>
      <c r="N78" s="1479"/>
      <c r="O78" s="1479"/>
      <c r="P78" s="1479"/>
      <c r="Q78" s="1479"/>
      <c r="R78" s="1479"/>
      <c r="S78" s="1479"/>
      <c r="T78" s="1479"/>
      <c r="U78" s="1479"/>
      <c r="V78" s="1479"/>
      <c r="W78" s="1479"/>
      <c r="X78" s="1479"/>
      <c r="Y78" s="1479"/>
      <c r="Z78" s="1479"/>
      <c r="AA78" s="2893"/>
      <c r="AB78" s="3296"/>
      <c r="AC78" s="3296"/>
      <c r="AD78" s="3579"/>
      <c r="AE78" s="3296"/>
      <c r="AF78" s="3298"/>
      <c r="AG78" s="3298"/>
      <c r="AH78" s="3296"/>
      <c r="AI78" s="3254"/>
      <c r="AJ78" s="1880" t="s">
        <v>15</v>
      </c>
    </row>
    <row r="79" spans="1:36" ht="15">
      <c r="A79" s="2563" t="s">
        <v>1047</v>
      </c>
      <c r="B79" s="1480"/>
      <c r="C79" s="1479">
        <f>+'Exhibit G State'!D56</f>
        <v>31.4</v>
      </c>
      <c r="D79" s="1479"/>
      <c r="E79" s="1479">
        <f>+'Exhibit G State'!F56</f>
        <v>18.800000000000004</v>
      </c>
      <c r="F79" s="1479"/>
      <c r="G79" s="1479">
        <f>+'Exhibit G State'!H56</f>
        <v>19.700000000000003</v>
      </c>
      <c r="H79" s="1479"/>
      <c r="I79" s="1479">
        <f>+'Exhibit G State'!J56</f>
        <v>37.699999999999982</v>
      </c>
      <c r="J79" s="1479"/>
      <c r="K79" s="1479"/>
      <c r="L79" s="1479"/>
      <c r="M79" s="1479"/>
      <c r="N79" s="1479"/>
      <c r="O79" s="1479"/>
      <c r="P79" s="1479"/>
      <c r="Q79" s="1479"/>
      <c r="R79" s="1479"/>
      <c r="S79" s="1479"/>
      <c r="T79" s="1479"/>
      <c r="U79" s="1479"/>
      <c r="V79" s="1479"/>
      <c r="W79" s="1479"/>
      <c r="X79" s="1479"/>
      <c r="Y79" s="1479"/>
      <c r="Z79" s="1479"/>
      <c r="AA79" s="2893"/>
      <c r="AB79" s="3296">
        <f>ROUND(SUM(C79:Y79),1)</f>
        <v>107.6</v>
      </c>
      <c r="AC79" s="3296"/>
      <c r="AD79" s="3579"/>
      <c r="AE79" s="3296">
        <f>+'Exhibit G State'!AG56</f>
        <v>91.2</v>
      </c>
      <c r="AF79" s="3298"/>
      <c r="AG79" s="3298"/>
      <c r="AH79" s="3296">
        <f t="shared" si="11"/>
        <v>16.399999999999999</v>
      </c>
      <c r="AI79" s="3254"/>
      <c r="AJ79" s="1891">
        <f>ROUND(SUM(AH79/ABS(AE79)),3)</f>
        <v>0.18</v>
      </c>
    </row>
    <row r="80" spans="1:36" ht="15">
      <c r="A80" s="2563" t="s">
        <v>1048</v>
      </c>
      <c r="B80" s="1480"/>
      <c r="C80" s="1479">
        <f>+'Exhibit G State'!D57</f>
        <v>218.4</v>
      </c>
      <c r="D80" s="1479"/>
      <c r="E80" s="1479">
        <f>+'Exhibit G State'!F57</f>
        <v>262</v>
      </c>
      <c r="F80" s="1479"/>
      <c r="G80" s="1479">
        <f>+'Exhibit G State'!H57</f>
        <v>202.30000000000007</v>
      </c>
      <c r="H80" s="1479"/>
      <c r="I80" s="1479">
        <f>+'Exhibit G State'!J57</f>
        <v>225.69999999999993</v>
      </c>
      <c r="J80" s="1479"/>
      <c r="K80" s="1479"/>
      <c r="L80" s="1479"/>
      <c r="M80" s="1479"/>
      <c r="N80" s="1479"/>
      <c r="O80" s="1479"/>
      <c r="P80" s="1479"/>
      <c r="Q80" s="1479"/>
      <c r="R80" s="1479"/>
      <c r="S80" s="1479"/>
      <c r="T80" s="1479"/>
      <c r="U80" s="1479"/>
      <c r="V80" s="1479"/>
      <c r="W80" s="1479"/>
      <c r="X80" s="1479"/>
      <c r="Y80" s="1479"/>
      <c r="Z80" s="1479"/>
      <c r="AA80" s="2893"/>
      <c r="AB80" s="3296">
        <f>ROUND(SUM(C80:Y80),1)</f>
        <v>908.4</v>
      </c>
      <c r="AC80" s="3296"/>
      <c r="AD80" s="3579"/>
      <c r="AE80" s="3296">
        <f>+'Exhibit G State'!AG57</f>
        <v>804.8</v>
      </c>
      <c r="AF80" s="3298"/>
      <c r="AG80" s="3298"/>
      <c r="AH80" s="3296">
        <f t="shared" si="11"/>
        <v>103.6</v>
      </c>
      <c r="AI80" s="3254"/>
      <c r="AJ80" s="1891">
        <f>ROUND(SUM(AH80/ABS(AE80)),3)</f>
        <v>0.129</v>
      </c>
    </row>
    <row r="81" spans="1:36" ht="15">
      <c r="A81" s="2563" t="s">
        <v>1049</v>
      </c>
      <c r="B81" s="1480"/>
      <c r="C81" s="1479">
        <f>+'Exhibit G State'!D58</f>
        <v>76.599999999999994</v>
      </c>
      <c r="D81" s="1479"/>
      <c r="E81" s="1479">
        <f>+'Exhibit G State'!F58</f>
        <v>88.5</v>
      </c>
      <c r="F81" s="1479"/>
      <c r="G81" s="1479">
        <f>+'Exhibit G State'!H58</f>
        <v>63.200000000000017</v>
      </c>
      <c r="H81" s="1479"/>
      <c r="I81" s="1479">
        <f>+'Exhibit G State'!J58</f>
        <v>89.5</v>
      </c>
      <c r="J81" s="1479"/>
      <c r="K81" s="1479"/>
      <c r="L81" s="1479"/>
      <c r="M81" s="1479"/>
      <c r="N81" s="1479"/>
      <c r="O81" s="1479"/>
      <c r="P81" s="1479"/>
      <c r="Q81" s="1479"/>
      <c r="R81" s="1479"/>
      <c r="S81" s="1479"/>
      <c r="T81" s="1479"/>
      <c r="U81" s="1479"/>
      <c r="V81" s="1479"/>
      <c r="W81" s="1479"/>
      <c r="X81" s="1479"/>
      <c r="Y81" s="1479"/>
      <c r="Z81" s="1479"/>
      <c r="AA81" s="2893"/>
      <c r="AB81" s="3296">
        <f>ROUND(SUM(C81:Y81),1)</f>
        <v>317.8</v>
      </c>
      <c r="AC81" s="3296"/>
      <c r="AD81" s="3579"/>
      <c r="AE81" s="3296">
        <f>+'Exhibit G State'!AG58</f>
        <v>298</v>
      </c>
      <c r="AF81" s="3298"/>
      <c r="AG81" s="3298"/>
      <c r="AH81" s="3296">
        <f t="shared" si="11"/>
        <v>19.8</v>
      </c>
      <c r="AI81" s="3254"/>
      <c r="AJ81" s="1891">
        <f>ROUND(SUM(AH81/ABS(AE81)),3)</f>
        <v>6.6000000000000003E-2</v>
      </c>
    </row>
    <row r="82" spans="1:36" ht="15">
      <c r="A82" s="2563" t="s">
        <v>1036</v>
      </c>
      <c r="B82" s="1480"/>
      <c r="C82" s="1479">
        <f>+'Exhibit F'!D73+'Exhibit H'!B38+'Exhibit G State'!D59</f>
        <v>41.4</v>
      </c>
      <c r="D82" s="1479"/>
      <c r="E82" s="1479">
        <f>+'Exhibit F'!F73+'Exhibit H'!D38+'Exhibit G State'!F59</f>
        <v>35</v>
      </c>
      <c r="F82" s="1479"/>
      <c r="G82" s="1479">
        <f>+'Exhibit F'!H73+'Exhibit H'!F38+'Exhibit G State'!H59</f>
        <v>41.599999999999994</v>
      </c>
      <c r="H82" s="1479"/>
      <c r="I82" s="1479">
        <f>+'Exhibit F'!J73+'Exhibit H'!H38+'Exhibit G State'!J59</f>
        <v>32.900000000000006</v>
      </c>
      <c r="J82" s="1479"/>
      <c r="K82" s="1479"/>
      <c r="L82" s="1479"/>
      <c r="M82" s="1479"/>
      <c r="N82" s="1479"/>
      <c r="O82" s="1479"/>
      <c r="P82" s="1479"/>
      <c r="Q82" s="1479"/>
      <c r="R82" s="1479"/>
      <c r="S82" s="1479"/>
      <c r="T82" s="1479"/>
      <c r="U82" s="1479"/>
      <c r="V82" s="1479"/>
      <c r="W82" s="1479"/>
      <c r="X82" s="1479"/>
      <c r="Y82" s="1479"/>
      <c r="Z82" s="1479"/>
      <c r="AA82" s="2893"/>
      <c r="AB82" s="3296">
        <f>ROUND(SUM(C82:Y82),1)</f>
        <v>150.9</v>
      </c>
      <c r="AC82" s="3296"/>
      <c r="AD82" s="3579"/>
      <c r="AE82" s="3296">
        <f>+'Exhibit F'!AF73+'Exhibit H'!AD38+'Exhibit G State'!AG59</f>
        <v>91.2</v>
      </c>
      <c r="AF82" s="3298"/>
      <c r="AG82" s="3298"/>
      <c r="AH82" s="3296">
        <f t="shared" si="11"/>
        <v>59.7</v>
      </c>
      <c r="AI82" s="3254"/>
      <c r="AJ82" s="1891">
        <f>ROUND(SUM(AH82/ABS(AE82)),3)</f>
        <v>0.65500000000000003</v>
      </c>
    </row>
    <row r="83" spans="1:36" ht="15">
      <c r="A83" s="2563" t="s">
        <v>1159</v>
      </c>
      <c r="B83" s="1480"/>
      <c r="C83" s="1479"/>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2893"/>
      <c r="AB83" s="3296"/>
      <c r="AC83" s="3296"/>
      <c r="AD83" s="3579"/>
      <c r="AE83" s="3296"/>
      <c r="AF83" s="3298"/>
      <c r="AG83" s="3298"/>
      <c r="AH83" s="3296"/>
      <c r="AI83" s="3254"/>
      <c r="AJ83" s="1786"/>
    </row>
    <row r="84" spans="1:36" ht="15">
      <c r="A84" s="2563" t="s">
        <v>1050</v>
      </c>
      <c r="B84" s="1480"/>
      <c r="C84" s="1479">
        <f>+'Exhibit G State'!D61</f>
        <v>0</v>
      </c>
      <c r="D84" s="1479"/>
      <c r="E84" s="1479">
        <f>+'Exhibit G State'!F61</f>
        <v>0</v>
      </c>
      <c r="F84" s="1479"/>
      <c r="G84" s="1479">
        <f>+'Exhibit G State'!H61</f>
        <v>0</v>
      </c>
      <c r="H84" s="1479"/>
      <c r="I84" s="1479">
        <f>+'Exhibit G State'!J61</f>
        <v>0</v>
      </c>
      <c r="J84" s="1479"/>
      <c r="K84" s="1479"/>
      <c r="L84" s="1479"/>
      <c r="M84" s="1479"/>
      <c r="N84" s="1479"/>
      <c r="O84" s="1479"/>
      <c r="P84" s="1479"/>
      <c r="Q84" s="1479"/>
      <c r="R84" s="1479"/>
      <c r="S84" s="1479"/>
      <c r="T84" s="1479"/>
      <c r="U84" s="1479"/>
      <c r="V84" s="1479"/>
      <c r="W84" s="1479"/>
      <c r="X84" s="1479"/>
      <c r="Y84" s="1479"/>
      <c r="Z84" s="1479"/>
      <c r="AA84" s="2893"/>
      <c r="AB84" s="3296">
        <f t="shared" ref="AB84:AB89" si="13">ROUND(SUM(C84:Y84),1)</f>
        <v>0</v>
      </c>
      <c r="AC84" s="3296"/>
      <c r="AD84" s="3579"/>
      <c r="AE84" s="3296">
        <f>+'Exhibit G State'!AG61</f>
        <v>0</v>
      </c>
      <c r="AF84" s="3298"/>
      <c r="AG84" s="3298"/>
      <c r="AH84" s="3296">
        <f t="shared" si="11"/>
        <v>0</v>
      </c>
      <c r="AI84" s="3254"/>
      <c r="AJ84" s="1786">
        <f>ROUND(IF(AE84=0,0,AH84/ABS(AE84)),3)</f>
        <v>0</v>
      </c>
    </row>
    <row r="85" spans="1:36" ht="15">
      <c r="A85" s="2563" t="s">
        <v>1051</v>
      </c>
      <c r="B85" s="1480"/>
      <c r="C85" s="1479">
        <f>+'Exhibit F'!D75+'Exhibit G State'!D62</f>
        <v>0</v>
      </c>
      <c r="D85" s="1479"/>
      <c r="E85" s="1479">
        <f>+'Exhibit F'!F75+'Exhibit G State'!F62</f>
        <v>0</v>
      </c>
      <c r="F85" s="1479"/>
      <c r="G85" s="1479">
        <f>+'Exhibit F'!H75+'Exhibit G State'!H62</f>
        <v>0</v>
      </c>
      <c r="H85" s="1479"/>
      <c r="I85" s="1479">
        <f>+'Exhibit F'!J75+'Exhibit G State'!J62</f>
        <v>0</v>
      </c>
      <c r="J85" s="1479"/>
      <c r="K85" s="1479"/>
      <c r="L85" s="1479"/>
      <c r="M85" s="1479"/>
      <c r="N85" s="1479"/>
      <c r="O85" s="1479"/>
      <c r="P85" s="1479"/>
      <c r="Q85" s="1479"/>
      <c r="R85" s="1479"/>
      <c r="S85" s="1479"/>
      <c r="T85" s="1479"/>
      <c r="U85" s="1479"/>
      <c r="V85" s="1479"/>
      <c r="W85" s="1479"/>
      <c r="X85" s="1479"/>
      <c r="Y85" s="1479"/>
      <c r="Z85" s="1479"/>
      <c r="AA85" s="2893"/>
      <c r="AB85" s="3296">
        <f t="shared" si="13"/>
        <v>0</v>
      </c>
      <c r="AC85" s="3296"/>
      <c r="AD85" s="3579"/>
      <c r="AE85" s="3296">
        <f>+'Exhibit F'!AF75+'Exhibit G State'!AG62</f>
        <v>27.7</v>
      </c>
      <c r="AF85" s="3298"/>
      <c r="AG85" s="3298"/>
      <c r="AH85" s="3296">
        <f t="shared" si="11"/>
        <v>-27.7</v>
      </c>
      <c r="AI85" s="3254"/>
      <c r="AJ85" s="1880">
        <f>ROUND(IF(AE85=0,0,AH85/ABS(AE85)),3)</f>
        <v>-1</v>
      </c>
    </row>
    <row r="86" spans="1:36" ht="15">
      <c r="A86" s="2563" t="s">
        <v>1052</v>
      </c>
      <c r="B86" s="1480"/>
      <c r="C86" s="1479">
        <f>+'Exhibit F'!D76+'Exhibit G State'!D63</f>
        <v>2</v>
      </c>
      <c r="D86" s="1479"/>
      <c r="E86" s="1479">
        <f>+'Exhibit F'!F76+'Exhibit G State'!F63</f>
        <v>1</v>
      </c>
      <c r="F86" s="1479"/>
      <c r="G86" s="1479">
        <f>+'Exhibit F'!H76+'Exhibit G State'!H63</f>
        <v>15.100000000000001</v>
      </c>
      <c r="H86" s="1479"/>
      <c r="I86" s="1479">
        <f>+'Exhibit F'!J76+'Exhibit G State'!J63</f>
        <v>6.9999999999999982</v>
      </c>
      <c r="J86" s="1479"/>
      <c r="K86" s="1479"/>
      <c r="L86" s="1479"/>
      <c r="M86" s="1479"/>
      <c r="N86" s="1479"/>
      <c r="O86" s="1479"/>
      <c r="P86" s="1479"/>
      <c r="Q86" s="1479"/>
      <c r="R86" s="1479"/>
      <c r="S86" s="1479"/>
      <c r="T86" s="1479"/>
      <c r="U86" s="1479"/>
      <c r="V86" s="1479"/>
      <c r="W86" s="1479"/>
      <c r="X86" s="1479"/>
      <c r="Y86" s="1479"/>
      <c r="Z86" s="1479"/>
      <c r="AA86" s="2893"/>
      <c r="AB86" s="3296">
        <f t="shared" si="13"/>
        <v>25.1</v>
      </c>
      <c r="AC86" s="3296"/>
      <c r="AD86" s="3579"/>
      <c r="AE86" s="3296">
        <f>+'Exhibit F'!AF76+'Exhibit G State'!AG63</f>
        <v>36.5</v>
      </c>
      <c r="AF86" s="3298"/>
      <c r="AG86" s="3298"/>
      <c r="AH86" s="3296">
        <f t="shared" si="11"/>
        <v>-11.4</v>
      </c>
      <c r="AI86" s="3254"/>
      <c r="AJ86" s="1891">
        <f>ROUND(SUM(AH86/ABS(AE86)),3)</f>
        <v>-0.312</v>
      </c>
    </row>
    <row r="87" spans="1:36" ht="15">
      <c r="A87" s="2563" t="s">
        <v>1053</v>
      </c>
      <c r="B87" s="1480"/>
      <c r="C87" s="1479">
        <f>+'Exhibit F'!D77+'Exhibit G State'!D64</f>
        <v>0.7</v>
      </c>
      <c r="D87" s="1479"/>
      <c r="E87" s="1479">
        <f>+'Exhibit F'!F77+'Exhibit G State'!F64</f>
        <v>4.7</v>
      </c>
      <c r="F87" s="1479"/>
      <c r="G87" s="1479">
        <f>+'Exhibit F'!H77+'Exhibit G State'!H64</f>
        <v>4.3</v>
      </c>
      <c r="H87" s="1479"/>
      <c r="I87" s="1479">
        <f>+'Exhibit F'!J77+'Exhibit G State'!J64</f>
        <v>13.5</v>
      </c>
      <c r="J87" s="1479"/>
      <c r="K87" s="1479"/>
      <c r="L87" s="1479"/>
      <c r="M87" s="1479"/>
      <c r="N87" s="1479"/>
      <c r="O87" s="1479"/>
      <c r="P87" s="1479"/>
      <c r="Q87" s="1479"/>
      <c r="R87" s="1479"/>
      <c r="S87" s="1479"/>
      <c r="T87" s="1479"/>
      <c r="U87" s="1479"/>
      <c r="V87" s="1479"/>
      <c r="W87" s="1479"/>
      <c r="X87" s="1479"/>
      <c r="Y87" s="1479"/>
      <c r="Z87" s="1479"/>
      <c r="AA87" s="2893"/>
      <c r="AB87" s="3296">
        <f t="shared" si="13"/>
        <v>23.2</v>
      </c>
      <c r="AC87" s="3296"/>
      <c r="AD87" s="3579"/>
      <c r="AE87" s="3296">
        <f>+'Exhibit F'!AF77+'Exhibit G State'!AG64</f>
        <v>22.4</v>
      </c>
      <c r="AF87" s="3298"/>
      <c r="AG87" s="3298"/>
      <c r="AH87" s="3296">
        <f t="shared" si="11"/>
        <v>0.8</v>
      </c>
      <c r="AI87" s="3254"/>
      <c r="AJ87" s="1891">
        <f>ROUND(SUM(AH87/ABS(AE87)),3)</f>
        <v>3.5999999999999997E-2</v>
      </c>
    </row>
    <row r="88" spans="1:36" ht="15">
      <c r="A88" s="2563" t="s">
        <v>1054</v>
      </c>
      <c r="B88" s="1480"/>
      <c r="C88" s="1479">
        <f>+'Exhibit F'!D78+'Exhibit H'!B39+'Exhibit G State'!D65</f>
        <v>26.1</v>
      </c>
      <c r="D88" s="1479"/>
      <c r="E88" s="1479">
        <f>+'Exhibit F'!F78+'Exhibit H'!D39+'Exhibit G State'!F65</f>
        <v>3.1999999999999993</v>
      </c>
      <c r="F88" s="1479"/>
      <c r="G88" s="1479">
        <f>+'Exhibit F'!H78+'Exhibit H'!F39+'Exhibit G State'!H65</f>
        <v>6.2999999999999989</v>
      </c>
      <c r="H88" s="1479"/>
      <c r="I88" s="1479">
        <f>+'Exhibit F'!J78+'Exhibit H'!H39+'Exhibit G State'!J65</f>
        <v>4.4000000000000012</v>
      </c>
      <c r="J88" s="1479"/>
      <c r="K88" s="1479"/>
      <c r="L88" s="1479"/>
      <c r="M88" s="1479"/>
      <c r="N88" s="1479"/>
      <c r="O88" s="1479"/>
      <c r="P88" s="1479"/>
      <c r="Q88" s="1479"/>
      <c r="R88" s="1479"/>
      <c r="S88" s="1479"/>
      <c r="T88" s="1479"/>
      <c r="U88" s="1479"/>
      <c r="V88" s="1479"/>
      <c r="W88" s="1479"/>
      <c r="X88" s="1479"/>
      <c r="Y88" s="1479"/>
      <c r="Z88" s="1479"/>
      <c r="AA88" s="2893"/>
      <c r="AB88" s="3296">
        <f t="shared" si="13"/>
        <v>40</v>
      </c>
      <c r="AC88" s="3296"/>
      <c r="AD88" s="3579"/>
      <c r="AE88" s="3296">
        <f>+'Exhibit F'!AF78+'Exhibit H'!AD39+'Exhibit G State'!AG65</f>
        <v>96.8</v>
      </c>
      <c r="AF88" s="3298"/>
      <c r="AG88" s="3298"/>
      <c r="AH88" s="3296">
        <f t="shared" si="11"/>
        <v>-56.8</v>
      </c>
      <c r="AI88" s="3254"/>
      <c r="AJ88" s="1891">
        <f>ROUND(SUM(AH88/ABS(AE88)),3)</f>
        <v>-0.58699999999999997</v>
      </c>
    </row>
    <row r="89" spans="1:36" ht="15">
      <c r="A89" s="2563" t="s">
        <v>1055</v>
      </c>
      <c r="B89" s="1480"/>
      <c r="C89" s="1479">
        <f>+'Exhibit F'!D79+'Exhibit H'!B40+'Exhibit G State'!D66</f>
        <v>39.299999999999997</v>
      </c>
      <c r="D89" s="1479"/>
      <c r="E89" s="1479">
        <f>+'Exhibit F'!F79+'Exhibit H'!D40+'Exhibit G State'!F66</f>
        <v>28.300000000000004</v>
      </c>
      <c r="F89" s="1479"/>
      <c r="G89" s="1479">
        <f>+'Exhibit F'!H79+'Exhibit H'!F40+'Exhibit G State'!H66</f>
        <v>8.5999999999999908</v>
      </c>
      <c r="H89" s="1479"/>
      <c r="I89" s="1479">
        <f>+'Exhibit F'!J79+'Exhibit H'!H40+'Exhibit G State'!J66</f>
        <v>29.600000000000012</v>
      </c>
      <c r="J89" s="1479"/>
      <c r="K89" s="1479"/>
      <c r="L89" s="1479"/>
      <c r="M89" s="1479"/>
      <c r="N89" s="1479"/>
      <c r="O89" s="1479"/>
      <c r="P89" s="1479"/>
      <c r="Q89" s="1479"/>
      <c r="R89" s="1479"/>
      <c r="S89" s="1479"/>
      <c r="T89" s="1479"/>
      <c r="U89" s="1479"/>
      <c r="V89" s="1479"/>
      <c r="W89" s="1479"/>
      <c r="X89" s="1479"/>
      <c r="Y89" s="1479"/>
      <c r="Z89" s="1479"/>
      <c r="AA89" s="2893"/>
      <c r="AB89" s="3296">
        <f t="shared" si="13"/>
        <v>105.8</v>
      </c>
      <c r="AC89" s="3296"/>
      <c r="AD89" s="3579"/>
      <c r="AE89" s="3296">
        <f>+'Exhibit F'!AF79+'Exhibit H'!AD40+'Exhibit G State'!AG66</f>
        <v>122.6</v>
      </c>
      <c r="AF89" s="3298"/>
      <c r="AG89" s="3298"/>
      <c r="AH89" s="3296">
        <f t="shared" si="11"/>
        <v>-16.8</v>
      </c>
      <c r="AI89" s="3254"/>
      <c r="AJ89" s="1891">
        <f>ROUND(SUM(AH89/ABS(AE89)),3)</f>
        <v>-0.13700000000000001</v>
      </c>
    </row>
    <row r="90" spans="1:36" ht="15">
      <c r="A90" s="2563" t="s">
        <v>1160</v>
      </c>
      <c r="B90" s="1480"/>
      <c r="C90" s="1479"/>
      <c r="D90" s="1479"/>
      <c r="E90" s="1479"/>
      <c r="F90" s="1479"/>
      <c r="G90" s="1479"/>
      <c r="H90" s="1479"/>
      <c r="I90" s="1479"/>
      <c r="J90" s="1479"/>
      <c r="K90" s="1479"/>
      <c r="L90" s="1479"/>
      <c r="M90" s="1479"/>
      <c r="N90" s="1479"/>
      <c r="O90" s="1479"/>
      <c r="P90" s="1479"/>
      <c r="Q90" s="1479"/>
      <c r="R90" s="1479"/>
      <c r="S90" s="1479"/>
      <c r="T90" s="1479"/>
      <c r="U90" s="1479"/>
      <c r="V90" s="1479"/>
      <c r="W90" s="1479"/>
      <c r="X90" s="1479"/>
      <c r="Y90" s="1479"/>
      <c r="Z90" s="1479"/>
      <c r="AA90" s="2893"/>
      <c r="AB90" s="3296"/>
      <c r="AC90" s="3296"/>
      <c r="AD90" s="3579"/>
      <c r="AE90" s="3296"/>
      <c r="AF90" s="3298"/>
      <c r="AG90" s="3298"/>
      <c r="AH90" s="3296"/>
      <c r="AI90" s="3254"/>
      <c r="AJ90" s="1786"/>
    </row>
    <row r="91" spans="1:36" ht="15">
      <c r="A91" s="2563" t="s">
        <v>1056</v>
      </c>
      <c r="B91" s="1480"/>
      <c r="C91" s="1479">
        <f>+'Exhibit F'!D81+'Exhibit G State'!D68</f>
        <v>1.9</v>
      </c>
      <c r="D91" s="1479"/>
      <c r="E91" s="1479">
        <f>+'Exhibit F'!F81+'Exhibit G State'!F68</f>
        <v>2.8000000000000003</v>
      </c>
      <c r="F91" s="1479"/>
      <c r="G91" s="1479">
        <f>+'Exhibit F'!H81+'Exhibit G State'!H68</f>
        <v>24.700000000000003</v>
      </c>
      <c r="H91" s="1479"/>
      <c r="I91" s="1479">
        <f>+'Exhibit F'!J81+'Exhibit G State'!J68</f>
        <v>17.7</v>
      </c>
      <c r="J91" s="1479"/>
      <c r="K91" s="1479"/>
      <c r="L91" s="1479"/>
      <c r="M91" s="1479"/>
      <c r="N91" s="1479"/>
      <c r="O91" s="1479"/>
      <c r="P91" s="1479"/>
      <c r="Q91" s="1479"/>
      <c r="R91" s="1479"/>
      <c r="S91" s="1479"/>
      <c r="T91" s="1479"/>
      <c r="U91" s="1479"/>
      <c r="V91" s="1479"/>
      <c r="W91" s="1479"/>
      <c r="X91" s="1479"/>
      <c r="Y91" s="1479"/>
      <c r="Z91" s="1479"/>
      <c r="AA91" s="2893"/>
      <c r="AB91" s="3296">
        <f t="shared" ref="AB91:AB102" si="14">ROUND(SUM(C91:Y91),1)</f>
        <v>47.1</v>
      </c>
      <c r="AC91" s="3296"/>
      <c r="AD91" s="3579"/>
      <c r="AE91" s="3296">
        <f>+'Exhibit F'!AF81+'Exhibit G State'!AG68</f>
        <v>46</v>
      </c>
      <c r="AF91" s="3298"/>
      <c r="AG91" s="3298"/>
      <c r="AH91" s="3296">
        <f t="shared" si="11"/>
        <v>1.1000000000000001</v>
      </c>
      <c r="AI91" s="3254"/>
      <c r="AJ91" s="1880">
        <f>ROUND(SUM(AH91/ABS(AE91)),3)</f>
        <v>2.4E-2</v>
      </c>
    </row>
    <row r="92" spans="1:36" ht="15">
      <c r="A92" s="2563" t="s">
        <v>1057</v>
      </c>
      <c r="B92" s="1480"/>
      <c r="C92" s="1479">
        <f>+'Exhibit G State'!D69+'Exhibit F'!D82</f>
        <v>0.6</v>
      </c>
      <c r="D92" s="1479"/>
      <c r="E92" s="1479">
        <f>+'Exhibit G State'!F69+'Exhibit F'!F82</f>
        <v>0.6</v>
      </c>
      <c r="F92" s="1479"/>
      <c r="G92" s="1479">
        <f>+'Exhibit G State'!H69+'Exhibit F'!H82</f>
        <v>0.6</v>
      </c>
      <c r="H92" s="1479"/>
      <c r="I92" s="1479">
        <f>+'Exhibit G State'!J69+'Exhibit F'!J82</f>
        <v>0.60000000000000586</v>
      </c>
      <c r="J92" s="1479"/>
      <c r="K92" s="1479"/>
      <c r="L92" s="1479"/>
      <c r="M92" s="1479"/>
      <c r="N92" s="1479"/>
      <c r="O92" s="1479"/>
      <c r="P92" s="1479"/>
      <c r="Q92" s="1479"/>
      <c r="R92" s="1479"/>
      <c r="S92" s="1479"/>
      <c r="T92" s="1479"/>
      <c r="U92" s="1479"/>
      <c r="V92" s="1479"/>
      <c r="W92" s="1479"/>
      <c r="X92" s="1479"/>
      <c r="Y92" s="1479"/>
      <c r="Z92" s="1479"/>
      <c r="AA92" s="2893"/>
      <c r="AB92" s="3296">
        <f t="shared" si="14"/>
        <v>2.4</v>
      </c>
      <c r="AC92" s="3296"/>
      <c r="AD92" s="3579"/>
      <c r="AE92" s="3296">
        <f>+'Exhibit G State'!AG69+'Exhibit F'!AF82</f>
        <v>1.7</v>
      </c>
      <c r="AF92" s="3298"/>
      <c r="AG92" s="3298"/>
      <c r="AH92" s="3296">
        <f t="shared" si="11"/>
        <v>0.7</v>
      </c>
      <c r="AI92" s="3254"/>
      <c r="AJ92" s="3179">
        <f>ROUND(IF(AE92=0,1,AH92/ABS(AE92)),3)</f>
        <v>0.41199999999999998</v>
      </c>
    </row>
    <row r="93" spans="1:36" ht="15">
      <c r="A93" s="911" t="s">
        <v>1448</v>
      </c>
      <c r="B93" s="1480"/>
      <c r="C93" s="1479">
        <v>0</v>
      </c>
      <c r="D93" s="1479"/>
      <c r="E93" s="1479">
        <v>0</v>
      </c>
      <c r="F93" s="1479"/>
      <c r="G93" s="1479">
        <v>0</v>
      </c>
      <c r="H93" s="1479"/>
      <c r="I93" s="1479">
        <v>0</v>
      </c>
      <c r="J93" s="1479"/>
      <c r="K93" s="1479"/>
      <c r="L93" s="1479"/>
      <c r="M93" s="1479"/>
      <c r="N93" s="1479"/>
      <c r="O93" s="1479"/>
      <c r="P93" s="1479"/>
      <c r="Q93" s="1479"/>
      <c r="R93" s="1479"/>
      <c r="S93" s="1479"/>
      <c r="T93" s="1479"/>
      <c r="U93" s="1479"/>
      <c r="V93" s="1479"/>
      <c r="W93" s="1479"/>
      <c r="X93" s="1479"/>
      <c r="Y93" s="1479"/>
      <c r="Z93" s="1479"/>
      <c r="AA93" s="2893"/>
      <c r="AB93" s="3296">
        <f t="shared" si="14"/>
        <v>0</v>
      </c>
      <c r="AC93" s="3296"/>
      <c r="AD93" s="3579"/>
      <c r="AE93" s="3296">
        <f>+'Exhibit G State'!AG70</f>
        <v>1000</v>
      </c>
      <c r="AF93" s="3298"/>
      <c r="AG93" s="3298"/>
      <c r="AH93" s="3296">
        <f t="shared" ref="AH93" si="15">ROUND(SUM(AB93-AE93),1)</f>
        <v>-1000</v>
      </c>
      <c r="AI93" s="3254"/>
      <c r="AJ93" s="1786">
        <f>ROUND(IF(AE93=0,0,AH93/ABS(AE93)),3)</f>
        <v>-1</v>
      </c>
    </row>
    <row r="94" spans="1:36" ht="15">
      <c r="A94" s="2563" t="s">
        <v>1058</v>
      </c>
      <c r="B94" s="1480"/>
      <c r="C94" s="1479">
        <f>+'Exhibit F'!D83+'Exhibit G State'!D71</f>
        <v>0.8</v>
      </c>
      <c r="D94" s="1479"/>
      <c r="E94" s="1479">
        <f>+'Exhibit F'!F83+'Exhibit G State'!F71</f>
        <v>1</v>
      </c>
      <c r="F94" s="1479"/>
      <c r="G94" s="1479">
        <f>+'Exhibit F'!H83+'Exhibit G State'!H71</f>
        <v>2.8</v>
      </c>
      <c r="H94" s="1479"/>
      <c r="I94" s="1479">
        <f>+'Exhibit F'!J83+'Exhibit G State'!J71</f>
        <v>0.30000000000000071</v>
      </c>
      <c r="J94" s="1479"/>
      <c r="K94" s="1479"/>
      <c r="L94" s="1479"/>
      <c r="M94" s="1479"/>
      <c r="N94" s="1479"/>
      <c r="O94" s="1479"/>
      <c r="P94" s="1479"/>
      <c r="Q94" s="1479"/>
      <c r="R94" s="1479"/>
      <c r="S94" s="1479"/>
      <c r="T94" s="1479"/>
      <c r="U94" s="1479"/>
      <c r="V94" s="1479"/>
      <c r="W94" s="1479"/>
      <c r="X94" s="1479"/>
      <c r="Y94" s="1479"/>
      <c r="Z94" s="1479"/>
      <c r="AA94" s="2893"/>
      <c r="AB94" s="3296">
        <f t="shared" si="14"/>
        <v>4.9000000000000004</v>
      </c>
      <c r="AC94" s="3296"/>
      <c r="AD94" s="3579"/>
      <c r="AE94" s="3296">
        <f>+'Exhibit F'!AF83+'Exhibit G State'!AG71</f>
        <v>8</v>
      </c>
      <c r="AF94" s="3298"/>
      <c r="AG94" s="3298"/>
      <c r="AH94" s="3296">
        <f t="shared" si="11"/>
        <v>-3.1</v>
      </c>
      <c r="AI94" s="3254"/>
      <c r="AJ94" s="1891">
        <f t="shared" ref="AJ94:AJ101" si="16">ROUND(SUM(AH94/ABS(AE94)),3)</f>
        <v>-0.38800000000000001</v>
      </c>
    </row>
    <row r="95" spans="1:36" ht="15">
      <c r="A95" s="2563" t="s">
        <v>1059</v>
      </c>
      <c r="B95" s="1480"/>
      <c r="C95" s="1479">
        <f>+'Exhibit F'!D84+'Exhibit G State'!D72</f>
        <v>6.5</v>
      </c>
      <c r="D95" s="1479"/>
      <c r="E95" s="1479">
        <f>+'Exhibit F'!F84+'Exhibit G State'!F72</f>
        <v>5.2000000000000011</v>
      </c>
      <c r="F95" s="1479"/>
      <c r="G95" s="1479">
        <f>+'Exhibit F'!H84+'Exhibit G State'!H72</f>
        <v>8.6999999999999993</v>
      </c>
      <c r="H95" s="1479"/>
      <c r="I95" s="1479">
        <f>+'Exhibit F'!J84+'Exhibit G State'!J72</f>
        <v>8.3000000000000007</v>
      </c>
      <c r="J95" s="1479"/>
      <c r="K95" s="1479"/>
      <c r="L95" s="1479"/>
      <c r="M95" s="1479"/>
      <c r="N95" s="1479"/>
      <c r="O95" s="1479"/>
      <c r="P95" s="1479"/>
      <c r="Q95" s="1479"/>
      <c r="R95" s="1479"/>
      <c r="S95" s="1479"/>
      <c r="T95" s="1479"/>
      <c r="U95" s="1479"/>
      <c r="V95" s="1479"/>
      <c r="W95" s="1479"/>
      <c r="X95" s="1479"/>
      <c r="Y95" s="1479"/>
      <c r="Z95" s="1479"/>
      <c r="AA95" s="2893"/>
      <c r="AB95" s="3296">
        <f t="shared" si="14"/>
        <v>28.7</v>
      </c>
      <c r="AC95" s="3296"/>
      <c r="AD95" s="3579"/>
      <c r="AE95" s="3296">
        <f>+'Exhibit F'!AF84+'Exhibit G State'!AG72</f>
        <v>22.700000000000003</v>
      </c>
      <c r="AF95" s="3298"/>
      <c r="AG95" s="3298"/>
      <c r="AH95" s="3296">
        <f t="shared" si="11"/>
        <v>6</v>
      </c>
      <c r="AI95" s="3254"/>
      <c r="AJ95" s="1880">
        <f t="shared" si="16"/>
        <v>0.26400000000000001</v>
      </c>
    </row>
    <row r="96" spans="1:36" ht="15">
      <c r="A96" s="2563" t="s">
        <v>1060</v>
      </c>
      <c r="B96" s="1480"/>
      <c r="C96" s="1479">
        <f>+'Exhibit F'!D85+'Exhibit H'!B42+'Exhibit G State'!D73</f>
        <v>239.4</v>
      </c>
      <c r="D96" s="1479"/>
      <c r="E96" s="1479">
        <f>+'Exhibit F'!F85+'Exhibit H'!D42+'Exhibit G State'!F73</f>
        <v>194.9</v>
      </c>
      <c r="F96" s="1479"/>
      <c r="G96" s="1479">
        <f>+'Exhibit F'!H85+'Exhibit H'!F42+'Exhibit G State'!H73</f>
        <v>198.09999999999997</v>
      </c>
      <c r="H96" s="1479"/>
      <c r="I96" s="1479">
        <f>+'Exhibit F'!J85+'Exhibit H'!H42+'Exhibit G State'!J73</f>
        <v>240.80000000000013</v>
      </c>
      <c r="J96" s="1479"/>
      <c r="K96" s="1479"/>
      <c r="L96" s="1479"/>
      <c r="M96" s="1479"/>
      <c r="N96" s="1479"/>
      <c r="O96" s="1479"/>
      <c r="P96" s="1479"/>
      <c r="Q96" s="1479"/>
      <c r="R96" s="1479"/>
      <c r="S96" s="1479"/>
      <c r="T96" s="1479"/>
      <c r="U96" s="1479"/>
      <c r="V96" s="1479"/>
      <c r="W96" s="1479"/>
      <c r="X96" s="1479"/>
      <c r="Y96" s="1479"/>
      <c r="Z96" s="1479"/>
      <c r="AA96" s="2893"/>
      <c r="AB96" s="3296">
        <f t="shared" si="14"/>
        <v>873.2</v>
      </c>
      <c r="AC96" s="3296"/>
      <c r="AD96" s="3579"/>
      <c r="AE96" s="3296">
        <f>+'Exhibit F'!AF85+'Exhibit H'!AD42+'Exhibit G State'!AG73</f>
        <v>909.1</v>
      </c>
      <c r="AF96" s="3298"/>
      <c r="AG96" s="3298"/>
      <c r="AH96" s="3296">
        <f t="shared" si="11"/>
        <v>-35.9</v>
      </c>
      <c r="AI96" s="3254"/>
      <c r="AJ96" s="1880">
        <f t="shared" si="16"/>
        <v>-3.9E-2</v>
      </c>
    </row>
    <row r="97" spans="1:45" ht="15">
      <c r="A97" s="2563" t="s">
        <v>1061</v>
      </c>
      <c r="B97" s="1480"/>
      <c r="C97" s="1479">
        <f>+'Exhibit G State'!D74+'Exhibit F'!D86</f>
        <v>4.6000000000000005</v>
      </c>
      <c r="D97" s="1479"/>
      <c r="E97" s="1479">
        <f>+'Exhibit G State'!F74+'Exhibit F'!F86</f>
        <v>2.7</v>
      </c>
      <c r="F97" s="1479"/>
      <c r="G97" s="1479">
        <f>+'Exhibit G State'!H74+'Exhibit F'!H86</f>
        <v>6.1</v>
      </c>
      <c r="H97" s="1479"/>
      <c r="I97" s="1479">
        <f>+'Exhibit G State'!J74+'Exhibit F'!J86</f>
        <v>13.400000000000002</v>
      </c>
      <c r="J97" s="1479"/>
      <c r="K97" s="1479"/>
      <c r="L97" s="1479"/>
      <c r="M97" s="1479"/>
      <c r="N97" s="1479"/>
      <c r="O97" s="1479"/>
      <c r="P97" s="1479"/>
      <c r="Q97" s="1479"/>
      <c r="R97" s="1479"/>
      <c r="S97" s="1479"/>
      <c r="T97" s="1479"/>
      <c r="U97" s="1479"/>
      <c r="V97" s="1479"/>
      <c r="W97" s="1479"/>
      <c r="X97" s="1479"/>
      <c r="Y97" s="1479"/>
      <c r="Z97" s="1479"/>
      <c r="AA97" s="2893"/>
      <c r="AB97" s="3296">
        <f t="shared" si="14"/>
        <v>26.8</v>
      </c>
      <c r="AC97" s="3296"/>
      <c r="AD97" s="3579"/>
      <c r="AE97" s="3296">
        <f>+'Exhibit G State'!AG74+'Exhibit F'!AF86</f>
        <v>14.5</v>
      </c>
      <c r="AF97" s="3298"/>
      <c r="AG97" s="3298"/>
      <c r="AH97" s="3296">
        <f t="shared" si="11"/>
        <v>12.3</v>
      </c>
      <c r="AI97" s="3254"/>
      <c r="AJ97" s="1880">
        <f t="shared" si="16"/>
        <v>0.84799999999999998</v>
      </c>
    </row>
    <row r="98" spans="1:45" ht="15">
      <c r="A98" s="2563" t="s">
        <v>1062</v>
      </c>
      <c r="B98" s="1480"/>
      <c r="C98" s="1479">
        <f>+'Exhibit F'!D87+'Exhibit G State'!D75</f>
        <v>7.6</v>
      </c>
      <c r="D98" s="1479"/>
      <c r="E98" s="1479">
        <f>+'Exhibit F'!F87+'Exhibit G State'!F75</f>
        <v>1.2000000000000011</v>
      </c>
      <c r="F98" s="1479"/>
      <c r="G98" s="1479">
        <f>+'Exhibit F'!H87+'Exhibit G State'!H75</f>
        <v>0.99999999999999889</v>
      </c>
      <c r="H98" s="1479"/>
      <c r="I98" s="1479">
        <f>+'Exhibit F'!J87+'Exhibit G State'!J75</f>
        <v>1</v>
      </c>
      <c r="J98" s="1479"/>
      <c r="K98" s="1479"/>
      <c r="L98" s="1479"/>
      <c r="M98" s="1479"/>
      <c r="N98" s="1479"/>
      <c r="O98" s="1479"/>
      <c r="P98" s="1479"/>
      <c r="Q98" s="1479"/>
      <c r="R98" s="1479"/>
      <c r="S98" s="1479"/>
      <c r="T98" s="1479"/>
      <c r="U98" s="1479"/>
      <c r="V98" s="1479"/>
      <c r="W98" s="1479"/>
      <c r="X98" s="1479"/>
      <c r="Y98" s="1479"/>
      <c r="Z98" s="1479"/>
      <c r="AA98" s="2893"/>
      <c r="AB98" s="3296">
        <f t="shared" si="14"/>
        <v>10.8</v>
      </c>
      <c r="AC98" s="3296"/>
      <c r="AD98" s="3579"/>
      <c r="AE98" s="3296">
        <f>+'Exhibit F'!AF87+'Exhibit G State'!AG75</f>
        <v>165.8</v>
      </c>
      <c r="AF98" s="3298"/>
      <c r="AG98" s="3298"/>
      <c r="AH98" s="3296">
        <f t="shared" si="11"/>
        <v>-155</v>
      </c>
      <c r="AI98" s="3254"/>
      <c r="AJ98" s="1891">
        <f t="shared" si="16"/>
        <v>-0.93500000000000005</v>
      </c>
    </row>
    <row r="99" spans="1:45" ht="15">
      <c r="A99" s="2563" t="s">
        <v>1063</v>
      </c>
      <c r="B99" s="1480"/>
      <c r="C99" s="1479">
        <f>+'Exhibit F'!D88+'Exhibit G State'!D76</f>
        <v>7.5</v>
      </c>
      <c r="D99" s="1479"/>
      <c r="E99" s="1479">
        <f>+'Exhibit F'!F88+'Exhibit G State'!F76</f>
        <v>3.0999999999999996</v>
      </c>
      <c r="F99" s="1479"/>
      <c r="G99" s="1479">
        <f>+'Exhibit F'!H88+'Exhibit G State'!H76</f>
        <v>8.5000000000000018</v>
      </c>
      <c r="H99" s="1479"/>
      <c r="I99" s="1479">
        <f>+'Exhibit F'!J88+'Exhibit G State'!J76</f>
        <v>7.4999999999999982</v>
      </c>
      <c r="J99" s="1479"/>
      <c r="K99" s="1479"/>
      <c r="L99" s="1479"/>
      <c r="M99" s="1479"/>
      <c r="N99" s="1479"/>
      <c r="O99" s="1479"/>
      <c r="P99" s="1479"/>
      <c r="Q99" s="1479"/>
      <c r="R99" s="1479"/>
      <c r="S99" s="1479"/>
      <c r="T99" s="1479"/>
      <c r="U99" s="1479"/>
      <c r="V99" s="1479"/>
      <c r="W99" s="1479"/>
      <c r="X99" s="1479"/>
      <c r="Y99" s="1479"/>
      <c r="Z99" s="1479"/>
      <c r="AA99" s="2893"/>
      <c r="AB99" s="3296">
        <f t="shared" si="14"/>
        <v>26.6</v>
      </c>
      <c r="AC99" s="3296"/>
      <c r="AD99" s="3579"/>
      <c r="AE99" s="3296">
        <f>+'Exhibit F'!AF88+'Exhibit G State'!AG76</f>
        <v>38.299999999999997</v>
      </c>
      <c r="AF99" s="3298"/>
      <c r="AG99" s="3298"/>
      <c r="AH99" s="3296">
        <f t="shared" si="11"/>
        <v>-11.7</v>
      </c>
      <c r="AI99" s="3254"/>
      <c r="AJ99" s="1880">
        <f t="shared" si="16"/>
        <v>-0.30499999999999999</v>
      </c>
    </row>
    <row r="100" spans="1:45" ht="15">
      <c r="A100" s="2563" t="s">
        <v>1064</v>
      </c>
      <c r="B100" s="1480"/>
      <c r="C100" s="1479">
        <f>+'Exhibit F'!D89+'Exhibit G State'!D77+'Exhibit H'!B43</f>
        <v>49</v>
      </c>
      <c r="D100" s="1479"/>
      <c r="E100" s="1479">
        <f>+'Exhibit F'!F89+'Exhibit G State'!F77+'Exhibit H'!D43</f>
        <v>55.199999999999996</v>
      </c>
      <c r="F100" s="1479"/>
      <c r="G100" s="1479">
        <f>+'Exhibit F'!H89+'Exhibit G State'!H77+'Exhibit H'!F43</f>
        <v>45.79999999999999</v>
      </c>
      <c r="H100" s="1479"/>
      <c r="I100" s="1479">
        <f>+'Exhibit F'!J89+'Exhibit G State'!J77+'Exhibit H'!H43</f>
        <v>43.300000000000011</v>
      </c>
      <c r="J100" s="1479"/>
      <c r="K100" s="1479"/>
      <c r="L100" s="1479"/>
      <c r="M100" s="1479"/>
      <c r="N100" s="1479"/>
      <c r="O100" s="1479"/>
      <c r="P100" s="1479"/>
      <c r="Q100" s="1479"/>
      <c r="R100" s="1479"/>
      <c r="S100" s="1479"/>
      <c r="T100" s="1479"/>
      <c r="U100" s="1479"/>
      <c r="V100" s="1479"/>
      <c r="W100" s="1479"/>
      <c r="X100" s="1479"/>
      <c r="Y100" s="1479"/>
      <c r="Z100" s="1479"/>
      <c r="AA100" s="2893"/>
      <c r="AB100" s="3296">
        <f t="shared" si="14"/>
        <v>193.3</v>
      </c>
      <c r="AC100" s="3296"/>
      <c r="AD100" s="3579"/>
      <c r="AE100" s="3296">
        <f>+'Exhibit F'!AF89+'Exhibit G State'!AG77+'Exhibit H'!AD43</f>
        <v>173.89999999999998</v>
      </c>
      <c r="AF100" s="3298"/>
      <c r="AG100" s="3298"/>
      <c r="AH100" s="3296">
        <f t="shared" si="11"/>
        <v>19.399999999999999</v>
      </c>
      <c r="AI100" s="3254"/>
      <c r="AJ100" s="1880">
        <f t="shared" si="16"/>
        <v>0.112</v>
      </c>
    </row>
    <row r="101" spans="1:45" ht="15">
      <c r="A101" s="2563" t="s">
        <v>1065</v>
      </c>
      <c r="B101" s="1480"/>
      <c r="C101" s="1479">
        <f>+'Exhibit F'!D90+'Exhibit G State'!D78+'Exhibit H'!B44</f>
        <v>1</v>
      </c>
      <c r="D101" s="1479"/>
      <c r="E101" s="1479">
        <f>+'Exhibit F'!F90+'Exhibit G State'!F78+'Exhibit H'!D44</f>
        <v>0.79999999999999993</v>
      </c>
      <c r="F101" s="1479"/>
      <c r="G101" s="1479">
        <f>+'Exhibit F'!H90+'Exhibit G State'!H78+'Exhibit H'!F44</f>
        <v>1.2000000000000004</v>
      </c>
      <c r="H101" s="1479"/>
      <c r="I101" s="1479">
        <f>+'Exhibit F'!J90+'Exhibit G State'!J78+'Exhibit H'!H44</f>
        <v>2.6999999999999997</v>
      </c>
      <c r="J101" s="1479"/>
      <c r="K101" s="1479"/>
      <c r="L101" s="1479"/>
      <c r="M101" s="1479"/>
      <c r="N101" s="1479"/>
      <c r="O101" s="1479"/>
      <c r="P101" s="1479"/>
      <c r="Q101" s="1479"/>
      <c r="R101" s="1479"/>
      <c r="S101" s="1479"/>
      <c r="T101" s="1479"/>
      <c r="U101" s="1479"/>
      <c r="V101" s="1479"/>
      <c r="W101" s="1479"/>
      <c r="X101" s="1479"/>
      <c r="Y101" s="1479"/>
      <c r="Z101" s="1479"/>
      <c r="AA101" s="2893"/>
      <c r="AB101" s="3296">
        <f t="shared" si="14"/>
        <v>5.7</v>
      </c>
      <c r="AC101" s="3296"/>
      <c r="AD101" s="3579"/>
      <c r="AE101" s="3296">
        <f>+'Exhibit F'!AF90+'Exhibit G State'!AG78+'Exhibit H'!AD44</f>
        <v>7.8999999999999542</v>
      </c>
      <c r="AF101" s="3298"/>
      <c r="AG101" s="3298"/>
      <c r="AH101" s="3296">
        <f t="shared" si="11"/>
        <v>-2.2000000000000002</v>
      </c>
      <c r="AI101" s="3254"/>
      <c r="AJ101" s="1880">
        <f t="shared" si="16"/>
        <v>-0.27800000000000002</v>
      </c>
    </row>
    <row r="102" spans="1:45" ht="15">
      <c r="A102" s="2563" t="s">
        <v>1066</v>
      </c>
      <c r="B102" s="1480"/>
      <c r="C102" s="1479">
        <f>+'Exhibit G State'!D79</f>
        <v>52</v>
      </c>
      <c r="D102" s="1479"/>
      <c r="E102" s="1479">
        <f>+'Exhibit G State'!F79</f>
        <v>48.099999999999994</v>
      </c>
      <c r="F102" s="1479"/>
      <c r="G102" s="1479">
        <f>+'Exhibit G State'!H79</f>
        <v>34.900000000000006</v>
      </c>
      <c r="H102" s="1479"/>
      <c r="I102" s="1479">
        <f>+'Exhibit G State'!J79</f>
        <v>45</v>
      </c>
      <c r="J102" s="1479"/>
      <c r="K102" s="1479"/>
      <c r="L102" s="1479"/>
      <c r="M102" s="1479"/>
      <c r="N102" s="1479"/>
      <c r="O102" s="1479"/>
      <c r="P102" s="1479"/>
      <c r="Q102" s="1479"/>
      <c r="R102" s="1479"/>
      <c r="S102" s="1479"/>
      <c r="T102" s="1479"/>
      <c r="U102" s="1479"/>
      <c r="V102" s="1479"/>
      <c r="W102" s="1479"/>
      <c r="X102" s="1479"/>
      <c r="Y102" s="1479"/>
      <c r="Z102" s="1479"/>
      <c r="AA102" s="2893"/>
      <c r="AB102" s="3296">
        <f t="shared" si="14"/>
        <v>180</v>
      </c>
      <c r="AC102" s="3296"/>
      <c r="AD102" s="3579"/>
      <c r="AE102" s="3296">
        <f>+'Exhibit G State'!AG79</f>
        <v>218.7</v>
      </c>
      <c r="AF102" s="3298"/>
      <c r="AG102" s="3298"/>
      <c r="AH102" s="3296">
        <f t="shared" si="11"/>
        <v>-38.700000000000003</v>
      </c>
      <c r="AI102" s="3254"/>
      <c r="AJ102" s="1880">
        <f>ROUND(SUM(AH102/ABS(AE102)),3)</f>
        <v>-0.17699999999999999</v>
      </c>
    </row>
    <row r="103" spans="1:45" ht="15.75">
      <c r="A103" s="2550" t="s">
        <v>1100</v>
      </c>
      <c r="B103" s="2505"/>
      <c r="C103" s="2109">
        <f>ROUND(SUM(C62:C102),1)</f>
        <v>2340.8000000000002</v>
      </c>
      <c r="D103" s="2567"/>
      <c r="E103" s="2109">
        <f>ROUND(SUM(E62:E102),1)</f>
        <v>1727</v>
      </c>
      <c r="F103" s="2567"/>
      <c r="G103" s="2109">
        <f>ROUND(SUM(G62:G102),1)</f>
        <v>1706.2</v>
      </c>
      <c r="H103" s="1501"/>
      <c r="I103" s="2109">
        <f>ROUND(SUM(I62:I102),1)</f>
        <v>1709.4</v>
      </c>
      <c r="J103" s="1501"/>
      <c r="K103" s="2109">
        <f>ROUND(SUM(K62:K102),1)</f>
        <v>0</v>
      </c>
      <c r="L103" s="1501"/>
      <c r="M103" s="2109">
        <f>ROUND(SUM(M62:M102),1)</f>
        <v>0</v>
      </c>
      <c r="N103" s="1501"/>
      <c r="O103" s="2109">
        <f>ROUND(SUM(O62:O102),1)</f>
        <v>0</v>
      </c>
      <c r="P103" s="1501"/>
      <c r="Q103" s="2109">
        <f>ROUND(SUM(Q62:Q102),1)</f>
        <v>0</v>
      </c>
      <c r="R103" s="1501"/>
      <c r="S103" s="2109">
        <f>ROUND(SUM(S62:S102),1)</f>
        <v>0</v>
      </c>
      <c r="T103" s="1501"/>
      <c r="U103" s="2109">
        <f>ROUND(SUM(U62:U102),1)</f>
        <v>0</v>
      </c>
      <c r="V103" s="1501"/>
      <c r="W103" s="2109">
        <f>ROUND(SUM(W62:W102),1)</f>
        <v>0</v>
      </c>
      <c r="X103" s="2077"/>
      <c r="Y103" s="2109">
        <f>ROUND(SUM(Y62:Y102),1)</f>
        <v>0</v>
      </c>
      <c r="Z103" s="2077"/>
      <c r="AA103" s="2112"/>
      <c r="AB103" s="1500">
        <f>ROUND(SUM(AB62:AB102),1)</f>
        <v>7483.4</v>
      </c>
      <c r="AC103" s="2117"/>
      <c r="AD103" s="2634"/>
      <c r="AE103" s="1500">
        <f>ROUND(SUM(AE62:AE102),1)</f>
        <v>7836</v>
      </c>
      <c r="AF103" s="1502"/>
      <c r="AG103" s="3541"/>
      <c r="AH103" s="1500">
        <f>ROUND(SUM(AH62:AH102),1)</f>
        <v>-352.6</v>
      </c>
      <c r="AI103" s="1502"/>
      <c r="AJ103" s="1882">
        <f>ROUND(SUM(+AH103/ABS(AE103)),3)</f>
        <v>-4.4999999999999998E-2</v>
      </c>
    </row>
    <row r="104" spans="1:45" ht="15">
      <c r="A104" s="1480"/>
      <c r="B104" s="1480"/>
      <c r="C104" s="1479"/>
      <c r="D104" s="1479"/>
      <c r="E104" s="1479"/>
      <c r="F104" s="1479"/>
      <c r="G104" s="1479"/>
      <c r="H104" s="1479"/>
      <c r="I104" s="1479"/>
      <c r="J104" s="1479"/>
      <c r="K104" s="1479"/>
      <c r="L104" s="1479"/>
      <c r="M104" s="1479"/>
      <c r="N104" s="1479"/>
      <c r="O104" s="1479"/>
      <c r="P104" s="1479"/>
      <c r="Q104" s="1479"/>
      <c r="R104" s="1479"/>
      <c r="S104" s="1479"/>
      <c r="T104" s="1479"/>
      <c r="U104" s="1479"/>
      <c r="V104" s="1479"/>
      <c r="W104" s="1479"/>
      <c r="X104" s="1479"/>
      <c r="Y104" s="1479"/>
      <c r="Z104" s="1479"/>
      <c r="AA104" s="2892"/>
      <c r="AB104" s="3296"/>
      <c r="AC104" s="3298"/>
      <c r="AD104" s="3581"/>
      <c r="AE104" s="3296"/>
      <c r="AF104" s="3298"/>
      <c r="AG104" s="3298"/>
      <c r="AH104" s="3296"/>
      <c r="AI104" s="3254"/>
      <c r="AJ104" s="1880"/>
    </row>
    <row r="105" spans="1:45" ht="15">
      <c r="A105" s="1480" t="s">
        <v>21</v>
      </c>
      <c r="B105" s="1480"/>
      <c r="C105" s="2894">
        <f>+'Exhibit F'!D93+'Exhibit G State'!D82+'Exhibit H'!B47</f>
        <v>0</v>
      </c>
      <c r="D105" s="1479"/>
      <c r="E105" s="2894">
        <f>+'Exhibit F'!F93+'Exhibit G State'!F82+'Exhibit H'!D47</f>
        <v>0</v>
      </c>
      <c r="F105" s="1479"/>
      <c r="G105" s="2894">
        <f>+'Exhibit F'!H93+'Exhibit G State'!H82+'Exhibit H'!F47</f>
        <v>-0.9</v>
      </c>
      <c r="H105" s="1479"/>
      <c r="I105" s="2894">
        <f>+'Exhibit F'!J93+'Exhibit G State'!J82+'Exhibit H'!H47</f>
        <v>1.7000000000000002</v>
      </c>
      <c r="J105" s="1479"/>
      <c r="K105" s="2894"/>
      <c r="L105" s="1479"/>
      <c r="M105" s="2894"/>
      <c r="N105" s="1479"/>
      <c r="O105" s="2894"/>
      <c r="P105" s="1479"/>
      <c r="Q105" s="2894"/>
      <c r="R105" s="1479"/>
      <c r="S105" s="2894"/>
      <c r="T105" s="1479"/>
      <c r="U105" s="2894"/>
      <c r="V105" s="1479"/>
      <c r="W105" s="2894"/>
      <c r="X105" s="1479"/>
      <c r="Y105" s="2894"/>
      <c r="Z105" s="1479"/>
      <c r="AA105" s="2893"/>
      <c r="AB105" s="3299">
        <f>ROUND(SUM(C105:Y105),1)</f>
        <v>0.8</v>
      </c>
      <c r="AC105" s="3296"/>
      <c r="AD105" s="3579"/>
      <c r="AE105" s="3299">
        <f>'Exhibit F'!AF93+'Exhibit G State'!AG82+'Exhibit H'!AD47</f>
        <v>-1</v>
      </c>
      <c r="AF105" s="3298"/>
      <c r="AG105" s="3298"/>
      <c r="AH105" s="3299">
        <f>ROUND(SUM(AB105-AE105),1)</f>
        <v>1.8</v>
      </c>
      <c r="AI105" s="3254"/>
      <c r="AJ105" s="3542">
        <f>ROUND(IF(AE105=0,1,AH105/ABS(AE105)),3)</f>
        <v>1.8</v>
      </c>
    </row>
    <row r="106" spans="1:45" ht="15">
      <c r="A106" s="1480"/>
      <c r="B106" s="1480"/>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1479"/>
      <c r="Y106" s="1479"/>
      <c r="Z106" s="1479"/>
      <c r="AA106" s="2893"/>
      <c r="AB106" s="3296"/>
      <c r="AC106" s="3296"/>
      <c r="AD106" s="3579"/>
      <c r="AE106" s="3296"/>
      <c r="AF106" s="3298"/>
      <c r="AG106" s="3298"/>
      <c r="AH106" s="3296"/>
      <c r="AI106" s="3254"/>
      <c r="AJ106" s="3543"/>
    </row>
    <row r="107" spans="1:45" ht="15.75">
      <c r="A107" s="2504" t="s">
        <v>151</v>
      </c>
      <c r="B107" s="2089"/>
      <c r="C107" s="2087">
        <f>ROUND(SUM(C105+C103+C58),1)</f>
        <v>13788.5</v>
      </c>
      <c r="D107" s="1501"/>
      <c r="E107" s="2087">
        <f>ROUND(SUM(E105+E103+E58),1)</f>
        <v>5511.1</v>
      </c>
      <c r="F107" s="1501"/>
      <c r="G107" s="2087">
        <f>ROUND(SUM(G105+G103+G58),1)</f>
        <v>10211.700000000001</v>
      </c>
      <c r="H107" s="1501"/>
      <c r="I107" s="2087">
        <f>ROUND(SUM(I105+I103+I58),1)</f>
        <v>6912.4</v>
      </c>
      <c r="J107" s="1501"/>
      <c r="K107" s="2087">
        <f>ROUND(SUM(K105+K103+K58),1)</f>
        <v>0</v>
      </c>
      <c r="L107" s="1501"/>
      <c r="M107" s="2087">
        <f>ROUND(SUM(M105+M103+M58),1)</f>
        <v>0</v>
      </c>
      <c r="N107" s="1501"/>
      <c r="O107" s="2087">
        <f>ROUND(SUM(O105+O103+O58),1)</f>
        <v>0</v>
      </c>
      <c r="P107" s="1501"/>
      <c r="Q107" s="2087">
        <f>ROUND(SUM(Q105+Q103+Q58),1)</f>
        <v>0</v>
      </c>
      <c r="R107" s="1501"/>
      <c r="S107" s="2087">
        <f>ROUND(SUM(S105+S103+S58),1)</f>
        <v>0</v>
      </c>
      <c r="T107" s="1501"/>
      <c r="U107" s="2087">
        <f>ROUND(SUM(U105+U103+U58),1)</f>
        <v>0</v>
      </c>
      <c r="V107" s="1501"/>
      <c r="W107" s="2087">
        <f>ROUND(SUM(W105+W103+W58),1)</f>
        <v>0</v>
      </c>
      <c r="X107" s="2077"/>
      <c r="Y107" s="2087">
        <f>ROUND(SUM(Y105+Y103+Y58),1)</f>
        <v>0</v>
      </c>
      <c r="Z107" s="2895"/>
      <c r="AA107" s="2513"/>
      <c r="AB107" s="1613">
        <f>ROUND(SUM(AB105+AB103+AB58),1)</f>
        <v>36423.699999999997</v>
      </c>
      <c r="AC107" s="2117"/>
      <c r="AD107" s="2634"/>
      <c r="AE107" s="1613">
        <f>ROUND(SUM(AE105+AE103+AE58),1)</f>
        <v>31902.5</v>
      </c>
      <c r="AF107" s="1502"/>
      <c r="AG107" s="3541"/>
      <c r="AH107" s="1613">
        <f>ROUND(SUM(AH105+AH103+AH58),1)</f>
        <v>4521.2</v>
      </c>
      <c r="AI107" s="1502"/>
      <c r="AJ107" s="3540">
        <f>ROUND(SUM(+AH107/ABS(AE107)),3)</f>
        <v>0.14199999999999999</v>
      </c>
      <c r="AK107" s="2887"/>
      <c r="AL107" s="2887"/>
      <c r="AM107" s="2887"/>
      <c r="AN107" s="2887"/>
      <c r="AO107" s="2887"/>
      <c r="AP107" s="2887"/>
      <c r="AQ107" s="2887"/>
      <c r="AR107" s="2887"/>
      <c r="AS107" s="2887"/>
    </row>
    <row r="108" spans="1:45" ht="15.75">
      <c r="A108" s="2077"/>
      <c r="B108" s="1480"/>
      <c r="C108" s="2896"/>
      <c r="D108" s="1479"/>
      <c r="E108" s="2896"/>
      <c r="F108" s="1479"/>
      <c r="G108" s="2896"/>
      <c r="H108" s="1479"/>
      <c r="I108" s="2896"/>
      <c r="J108" s="1479"/>
      <c r="K108" s="2896"/>
      <c r="L108" s="1479"/>
      <c r="M108" s="2896"/>
      <c r="N108" s="1479"/>
      <c r="O108" s="2896"/>
      <c r="P108" s="1479"/>
      <c r="Q108" s="2896"/>
      <c r="R108" s="1479"/>
      <c r="S108" s="2896"/>
      <c r="T108" s="1479"/>
      <c r="U108" s="2896"/>
      <c r="V108" s="1479"/>
      <c r="W108" s="2896"/>
      <c r="X108" s="1479"/>
      <c r="Y108" s="2896"/>
      <c r="Z108" s="1479"/>
      <c r="AA108" s="2893"/>
      <c r="AB108" s="2640"/>
      <c r="AC108" s="3296"/>
      <c r="AD108" s="3579"/>
      <c r="AE108" s="2640"/>
      <c r="AF108" s="3298"/>
      <c r="AG108" s="3298"/>
      <c r="AH108" s="2067"/>
      <c r="AI108" s="3254"/>
      <c r="AJ108" s="3538"/>
    </row>
    <row r="109" spans="1:45" ht="15.75">
      <c r="A109" s="2077" t="s">
        <v>23</v>
      </c>
      <c r="B109" s="1480"/>
      <c r="C109" s="2891"/>
      <c r="D109" s="1479"/>
      <c r="E109" s="2891"/>
      <c r="F109" s="1479"/>
      <c r="G109" s="2891"/>
      <c r="H109" s="1479"/>
      <c r="I109" s="2891"/>
      <c r="J109" s="1479"/>
      <c r="K109" s="2891"/>
      <c r="L109" s="1479"/>
      <c r="M109" s="2891"/>
      <c r="N109" s="1479"/>
      <c r="O109" s="2891"/>
      <c r="P109" s="1479"/>
      <c r="Q109" s="2891"/>
      <c r="R109" s="1479"/>
      <c r="S109" s="2891"/>
      <c r="T109" s="1479"/>
      <c r="U109" s="2891"/>
      <c r="V109" s="1479"/>
      <c r="W109" s="2891"/>
      <c r="X109" s="1479"/>
      <c r="Y109" s="2891"/>
      <c r="Z109" s="1479"/>
      <c r="AA109" s="2893"/>
      <c r="AB109" s="3298"/>
      <c r="AC109" s="3296"/>
      <c r="AD109" s="3579"/>
      <c r="AE109" s="3298"/>
      <c r="AF109" s="3298"/>
      <c r="AG109" s="3298"/>
      <c r="AH109" s="2067"/>
      <c r="AI109" s="3254"/>
      <c r="AJ109" s="3538"/>
    </row>
    <row r="110" spans="1:45" ht="15">
      <c r="A110" s="1480" t="s">
        <v>138</v>
      </c>
      <c r="B110" s="1480"/>
      <c r="C110" s="1479"/>
      <c r="D110" s="1479"/>
      <c r="E110" s="1479"/>
      <c r="F110" s="1479"/>
      <c r="G110" s="1479"/>
      <c r="H110" s="1479"/>
      <c r="I110" s="1479"/>
      <c r="J110" s="1479"/>
      <c r="K110" s="1479"/>
      <c r="L110" s="1479"/>
      <c r="M110" s="1479"/>
      <c r="N110" s="1479"/>
      <c r="O110" s="1479"/>
      <c r="P110" s="1479"/>
      <c r="Q110" s="1479"/>
      <c r="R110" s="1479"/>
      <c r="S110" s="1479"/>
      <c r="T110" s="1479"/>
      <c r="U110" s="1479"/>
      <c r="V110" s="1479"/>
      <c r="W110" s="1479"/>
      <c r="X110" s="1479"/>
      <c r="Y110" s="1479"/>
      <c r="Z110" s="1479"/>
      <c r="AA110" s="2893"/>
      <c r="AB110" s="3296"/>
      <c r="AC110" s="3296"/>
      <c r="AD110" s="3579"/>
      <c r="AE110" s="2067"/>
      <c r="AF110" s="3298"/>
      <c r="AG110" s="3298"/>
      <c r="AH110" s="3296"/>
      <c r="AI110" s="3254"/>
      <c r="AJ110" s="1880"/>
    </row>
    <row r="111" spans="1:45" ht="15">
      <c r="A111" s="2897" t="s">
        <v>25</v>
      </c>
      <c r="B111" s="1480"/>
      <c r="C111" s="1479">
        <f>+'Exhibit F'!D99+'Exhibit G State'!D88</f>
        <v>917.2</v>
      </c>
      <c r="D111" s="1479"/>
      <c r="E111" s="1479">
        <f>+'Exhibit F'!F99+'Exhibit G State'!F88</f>
        <v>3980.2</v>
      </c>
      <c r="F111" s="1479"/>
      <c r="G111" s="1479">
        <f>+'Exhibit F'!H99+'Exhibit G State'!H88</f>
        <v>2539.1000000000004</v>
      </c>
      <c r="H111" s="1479"/>
      <c r="I111" s="1479">
        <f>+'Exhibit F'!J99+'Exhibit G State'!J88</f>
        <v>1611.5999999999997</v>
      </c>
      <c r="J111" s="1479"/>
      <c r="K111" s="1479"/>
      <c r="L111" s="1479"/>
      <c r="M111" s="1479"/>
      <c r="N111" s="1479"/>
      <c r="O111" s="1479"/>
      <c r="P111" s="1479"/>
      <c r="Q111" s="1479"/>
      <c r="R111" s="1479"/>
      <c r="S111" s="1479"/>
      <c r="T111" s="1479"/>
      <c r="U111" s="1479"/>
      <c r="V111" s="1479"/>
      <c r="W111" s="1479"/>
      <c r="X111" s="1479"/>
      <c r="Y111" s="1479"/>
      <c r="Z111" s="1479"/>
      <c r="AA111" s="2893"/>
      <c r="AB111" s="2067">
        <f>ROUND(SUM(C111:Y111),1)</f>
        <v>9048.1</v>
      </c>
      <c r="AC111" s="3296"/>
      <c r="AD111" s="3579"/>
      <c r="AE111" s="2067">
        <f>+'Exhibit F'!AF99+'Exhibit G State'!AG88</f>
        <v>8801.6</v>
      </c>
      <c r="AF111" s="3298"/>
      <c r="AG111" s="3298"/>
      <c r="AH111" s="3296">
        <f>ROUND(SUM(AB111-AE111),1)</f>
        <v>246.5</v>
      </c>
      <c r="AI111" s="3254"/>
      <c r="AJ111" s="1880">
        <f>ROUND(SUM(AH111/ABS(AE111)),3)</f>
        <v>2.8000000000000001E-2</v>
      </c>
    </row>
    <row r="112" spans="1:45" ht="15">
      <c r="A112" s="2897" t="s">
        <v>26</v>
      </c>
      <c r="B112" s="1480"/>
      <c r="C112" s="1479">
        <f>+'Exhibit F'!D100+'Exhibit G State'!D89</f>
        <v>0.2</v>
      </c>
      <c r="D112" s="1479"/>
      <c r="E112" s="1479">
        <f>+'Exhibit F'!F100+'Exhibit G State'!F89</f>
        <v>0.1</v>
      </c>
      <c r="F112" s="1479"/>
      <c r="G112" s="1479">
        <f>+'Exhibit F'!H100+'Exhibit G State'!H89</f>
        <v>0.6</v>
      </c>
      <c r="H112" s="1479"/>
      <c r="I112" s="1479">
        <f>+'Exhibit F'!J100+'Exhibit G State'!J89</f>
        <v>-9.9999999999999978E-2</v>
      </c>
      <c r="J112" s="1479"/>
      <c r="K112" s="1479"/>
      <c r="L112" s="1479"/>
      <c r="M112" s="1479"/>
      <c r="N112" s="1479"/>
      <c r="O112" s="1479"/>
      <c r="P112" s="1479"/>
      <c r="Q112" s="1479"/>
      <c r="R112" s="1479"/>
      <c r="S112" s="1479"/>
      <c r="T112" s="1479"/>
      <c r="U112" s="1479"/>
      <c r="V112" s="1479"/>
      <c r="W112" s="1479"/>
      <c r="X112" s="1479"/>
      <c r="Y112" s="1479"/>
      <c r="Z112" s="1479"/>
      <c r="AA112" s="2893"/>
      <c r="AB112" s="2067">
        <f t="shared" ref="AB112:AB119" si="17">ROUND(SUM(C112:Y112),1)</f>
        <v>0.8</v>
      </c>
      <c r="AC112" s="3296"/>
      <c r="AD112" s="3579"/>
      <c r="AE112" s="2067">
        <f>+'Exhibit F'!AF100+'Exhibit G State'!AG89</f>
        <v>1.3</v>
      </c>
      <c r="AF112" s="3298"/>
      <c r="AG112" s="3298"/>
      <c r="AH112" s="3296">
        <f t="shared" ref="AH112:AH119" si="18">ROUND(SUM(AB112-AE112),1)</f>
        <v>-0.5</v>
      </c>
      <c r="AI112" s="3254"/>
      <c r="AJ112" s="1880">
        <f>ROUND(IF(AE112=0,1,AH112/ABS(AE112)),3)</f>
        <v>-0.38500000000000001</v>
      </c>
    </row>
    <row r="113" spans="1:38" ht="15">
      <c r="A113" s="2897" t="s">
        <v>27</v>
      </c>
      <c r="B113" s="1480"/>
      <c r="C113" s="1479">
        <f>+'Exhibit F'!D101+'Exhibit G State'!D90</f>
        <v>27.099999999999998</v>
      </c>
      <c r="D113" s="1479"/>
      <c r="E113" s="1479">
        <f>+'Exhibit F'!F101+'Exhibit G State'!F90</f>
        <v>34.400000000000006</v>
      </c>
      <c r="F113" s="1479"/>
      <c r="G113" s="1479">
        <f>+'Exhibit F'!H101+'Exhibit G State'!H90</f>
        <v>576.69999999999982</v>
      </c>
      <c r="H113" s="1479"/>
      <c r="I113" s="1479">
        <f>+'Exhibit F'!J101+'Exhibit G State'!J90</f>
        <v>22.400000000000041</v>
      </c>
      <c r="J113" s="1479"/>
      <c r="K113" s="1479"/>
      <c r="L113" s="1479"/>
      <c r="M113" s="1479"/>
      <c r="N113" s="1479"/>
      <c r="O113" s="1479"/>
      <c r="P113" s="1479"/>
      <c r="Q113" s="1479"/>
      <c r="R113" s="1479"/>
      <c r="S113" s="1479"/>
      <c r="T113" s="1479"/>
      <c r="U113" s="1479"/>
      <c r="V113" s="1479"/>
      <c r="W113" s="1479"/>
      <c r="X113" s="1479"/>
      <c r="Y113" s="1479"/>
      <c r="Z113" s="1479"/>
      <c r="AA113" s="2893"/>
      <c r="AB113" s="2067">
        <f t="shared" si="17"/>
        <v>660.6</v>
      </c>
      <c r="AC113" s="3296"/>
      <c r="AD113" s="3579"/>
      <c r="AE113" s="2067">
        <f>+'Exhibit F'!AF101+'Exhibit G State'!AG90</f>
        <v>633.5</v>
      </c>
      <c r="AF113" s="3298"/>
      <c r="AG113" s="3298"/>
      <c r="AH113" s="3296">
        <f t="shared" si="18"/>
        <v>27.1</v>
      </c>
      <c r="AI113" s="3254"/>
      <c r="AJ113" s="1880">
        <f>ROUND(SUM(AH113/ABS(AE113)),3)</f>
        <v>4.2999999999999997E-2</v>
      </c>
    </row>
    <row r="114" spans="1:38" ht="15">
      <c r="A114" s="2897" t="s">
        <v>28</v>
      </c>
      <c r="B114" s="1480"/>
      <c r="C114" s="1479"/>
      <c r="D114" s="1479"/>
      <c r="E114" s="1479"/>
      <c r="F114" s="1479"/>
      <c r="G114" s="1479"/>
      <c r="H114" s="1479"/>
      <c r="I114" s="1479"/>
      <c r="J114" s="1479"/>
      <c r="K114" s="1479"/>
      <c r="L114" s="1479"/>
      <c r="M114" s="1479"/>
      <c r="N114" s="1479"/>
      <c r="O114" s="1479"/>
      <c r="P114" s="1479"/>
      <c r="Q114" s="1479"/>
      <c r="R114" s="1479"/>
      <c r="S114" s="1479"/>
      <c r="T114" s="1479"/>
      <c r="U114" s="1479"/>
      <c r="V114" s="1479"/>
      <c r="W114" s="1479"/>
      <c r="X114" s="1479"/>
      <c r="Y114" s="1479"/>
      <c r="Z114" s="1479"/>
      <c r="AA114" s="2893"/>
      <c r="AB114" s="2067"/>
      <c r="AC114" s="3296"/>
      <c r="AD114" s="3579"/>
      <c r="AE114" s="2710"/>
      <c r="AF114" s="3298"/>
      <c r="AG114" s="3298"/>
      <c r="AH114" s="3296" t="s">
        <v>15</v>
      </c>
      <c r="AI114" s="3254"/>
      <c r="AJ114" s="1880"/>
    </row>
    <row r="115" spans="1:38" ht="15">
      <c r="A115" s="2898" t="s">
        <v>29</v>
      </c>
      <c r="B115" s="1480"/>
      <c r="C115" s="1479">
        <f>+'Exhibit F'!D103+'Exhibit G State'!D92</f>
        <v>3295.5</v>
      </c>
      <c r="D115" s="1479"/>
      <c r="E115" s="1479">
        <f>+'Exhibit F'!F103+'Exhibit G State'!F92</f>
        <v>2470.5</v>
      </c>
      <c r="F115" s="1479"/>
      <c r="G115" s="1479">
        <f>+'Exhibit F'!H103+'Exhibit G State'!H92</f>
        <v>1759.2000000000003</v>
      </c>
      <c r="H115" s="1479"/>
      <c r="I115" s="1479">
        <f>+'Exhibit F'!J103+'Exhibit G State'!J92</f>
        <v>1903.0000000000005</v>
      </c>
      <c r="J115" s="1479"/>
      <c r="K115" s="1479"/>
      <c r="L115" s="1479"/>
      <c r="M115" s="1479"/>
      <c r="N115" s="1479"/>
      <c r="O115" s="1479"/>
      <c r="P115" s="1479"/>
      <c r="Q115" s="1479"/>
      <c r="R115" s="1479"/>
      <c r="S115" s="1479"/>
      <c r="T115" s="1479"/>
      <c r="U115" s="1479"/>
      <c r="V115" s="1479"/>
      <c r="W115" s="1479"/>
      <c r="X115" s="1479"/>
      <c r="Y115" s="1479"/>
      <c r="Z115" s="1479"/>
      <c r="AA115" s="2893"/>
      <c r="AB115" s="2067">
        <f t="shared" si="17"/>
        <v>9428.2000000000007</v>
      </c>
      <c r="AC115" s="3296"/>
      <c r="AD115" s="3579"/>
      <c r="AE115" s="2067">
        <f>+'Exhibit F'!AF103+'Exhibit G State'!AG92</f>
        <v>7535.6</v>
      </c>
      <c r="AF115" s="3298"/>
      <c r="AG115" s="3298"/>
      <c r="AH115" s="3296">
        <f t="shared" si="18"/>
        <v>1892.6</v>
      </c>
      <c r="AI115" s="3254"/>
      <c r="AJ115" s="1880">
        <f t="shared" ref="AJ115:AJ121" si="19">ROUND(SUM(AH115/ABS(AE115)),3)</f>
        <v>0.251</v>
      </c>
      <c r="AK115" s="2899"/>
    </row>
    <row r="116" spans="1:38" ht="15">
      <c r="A116" s="2897" t="s">
        <v>30</v>
      </c>
      <c r="B116" s="1480"/>
      <c r="C116" s="1479">
        <f>+'Exhibit F'!D104+'Exhibit G State'!D93</f>
        <v>210.3</v>
      </c>
      <c r="D116" s="1479"/>
      <c r="E116" s="1479">
        <f>+'Exhibit F'!F104+'Exhibit G State'!F93</f>
        <v>152.99999999999997</v>
      </c>
      <c r="F116" s="1479"/>
      <c r="G116" s="1479">
        <f>+'Exhibit F'!H104+'Exhibit G State'!H93</f>
        <v>440.70000000000005</v>
      </c>
      <c r="H116" s="1479"/>
      <c r="I116" s="1479">
        <f>+'Exhibit F'!J104+'Exhibit G State'!J93</f>
        <v>261.20000000000016</v>
      </c>
      <c r="J116" s="1479"/>
      <c r="K116" s="1479"/>
      <c r="L116" s="1479"/>
      <c r="M116" s="1479"/>
      <c r="N116" s="1479"/>
      <c r="O116" s="1479"/>
      <c r="P116" s="1479"/>
      <c r="Q116" s="1479"/>
      <c r="R116" s="1479"/>
      <c r="S116" s="1479"/>
      <c r="T116" s="1479"/>
      <c r="U116" s="1479"/>
      <c r="V116" s="1479"/>
      <c r="W116" s="1479"/>
      <c r="X116" s="1479"/>
      <c r="Y116" s="1479"/>
      <c r="Z116" s="1479"/>
      <c r="AA116" s="2893"/>
      <c r="AB116" s="2067">
        <f t="shared" si="17"/>
        <v>1065.2</v>
      </c>
      <c r="AC116" s="3582"/>
      <c r="AD116" s="3296"/>
      <c r="AE116" s="2067">
        <f>+'Exhibit F'!AF104+'Exhibit G State'!AG93</f>
        <v>1316</v>
      </c>
      <c r="AF116" s="3298"/>
      <c r="AG116" s="3298"/>
      <c r="AH116" s="3296">
        <f t="shared" si="18"/>
        <v>-250.8</v>
      </c>
      <c r="AI116" s="3254"/>
      <c r="AJ116" s="1880">
        <f t="shared" si="19"/>
        <v>-0.191</v>
      </c>
    </row>
    <row r="117" spans="1:38" ht="15">
      <c r="A117" s="2897" t="s">
        <v>31</v>
      </c>
      <c r="B117" s="1480"/>
      <c r="C117" s="1479">
        <f>+'Exhibit F'!D105+'Exhibit G State'!D94</f>
        <v>30.700000000000003</v>
      </c>
      <c r="D117" s="1479"/>
      <c r="E117" s="1479">
        <f>+'Exhibit F'!F105+'Exhibit G State'!F94</f>
        <v>27.799999999999997</v>
      </c>
      <c r="F117" s="1479"/>
      <c r="G117" s="1479">
        <f>+'Exhibit F'!H105+'Exhibit G State'!H94</f>
        <v>28.6</v>
      </c>
      <c r="H117" s="1479"/>
      <c r="I117" s="1479">
        <f>+'Exhibit F'!J105+'Exhibit G State'!J94</f>
        <v>28</v>
      </c>
      <c r="J117" s="1479"/>
      <c r="K117" s="1479"/>
      <c r="L117" s="1479"/>
      <c r="M117" s="1479"/>
      <c r="N117" s="1479"/>
      <c r="O117" s="1479"/>
      <c r="P117" s="1479"/>
      <c r="Q117" s="1479"/>
      <c r="R117" s="1479"/>
      <c r="S117" s="1479"/>
      <c r="T117" s="1479"/>
      <c r="U117" s="1479"/>
      <c r="V117" s="1479"/>
      <c r="W117" s="1479"/>
      <c r="X117" s="1479"/>
      <c r="Y117" s="1479"/>
      <c r="Z117" s="1479"/>
      <c r="AA117" s="2893"/>
      <c r="AB117" s="2067">
        <f t="shared" si="17"/>
        <v>115.1</v>
      </c>
      <c r="AC117" s="3583"/>
      <c r="AD117" s="3579"/>
      <c r="AE117" s="2067">
        <f>+'Exhibit F'!AF105+'Exhibit G State'!AG94</f>
        <v>122.5</v>
      </c>
      <c r="AF117" s="3298"/>
      <c r="AG117" s="3298"/>
      <c r="AH117" s="3296">
        <f t="shared" si="18"/>
        <v>-7.4</v>
      </c>
      <c r="AI117" s="3254"/>
      <c r="AJ117" s="1880">
        <f t="shared" si="19"/>
        <v>-0.06</v>
      </c>
    </row>
    <row r="118" spans="1:38" ht="15">
      <c r="A118" s="2897" t="s">
        <v>32</v>
      </c>
      <c r="B118" s="1480"/>
      <c r="C118" s="1479">
        <f>+'Exhibit F'!D106+'Exhibit G State'!D95</f>
        <v>88.700000000000017</v>
      </c>
      <c r="D118" s="1479"/>
      <c r="E118" s="1479">
        <f>+'Exhibit F'!F106+'Exhibit G State'!F95</f>
        <v>85.699999999999974</v>
      </c>
      <c r="F118" s="1479"/>
      <c r="G118" s="1479">
        <f>+'Exhibit F'!H106+'Exhibit G State'!H95</f>
        <v>181</v>
      </c>
      <c r="H118" s="1479"/>
      <c r="I118" s="1479">
        <f>+'Exhibit F'!J106+'Exhibit G State'!J95</f>
        <v>128.90000000000003</v>
      </c>
      <c r="J118" s="1479"/>
      <c r="K118" s="1479"/>
      <c r="L118" s="1479"/>
      <c r="M118" s="1479"/>
      <c r="N118" s="1479"/>
      <c r="O118" s="1479"/>
      <c r="P118" s="1479"/>
      <c r="Q118" s="1479"/>
      <c r="R118" s="1479"/>
      <c r="S118" s="1479"/>
      <c r="T118" s="1479"/>
      <c r="U118" s="1479"/>
      <c r="V118" s="1479"/>
      <c r="W118" s="1479"/>
      <c r="X118" s="1479"/>
      <c r="Y118" s="1479"/>
      <c r="Z118" s="1479"/>
      <c r="AA118" s="2893"/>
      <c r="AB118" s="2067">
        <f t="shared" si="17"/>
        <v>484.3</v>
      </c>
      <c r="AC118" s="3583"/>
      <c r="AD118" s="3579"/>
      <c r="AE118" s="2067">
        <f>+'Exhibit F'!AF106+'Exhibit G State'!AG95</f>
        <v>558.9</v>
      </c>
      <c r="AF118" s="3298"/>
      <c r="AG118" s="3298"/>
      <c r="AH118" s="3296">
        <f t="shared" si="18"/>
        <v>-74.599999999999994</v>
      </c>
      <c r="AI118" s="3254"/>
      <c r="AJ118" s="1880">
        <f t="shared" si="19"/>
        <v>-0.13300000000000001</v>
      </c>
    </row>
    <row r="119" spans="1:38" ht="15">
      <c r="A119" s="2897" t="s">
        <v>33</v>
      </c>
      <c r="B119" s="1480"/>
      <c r="C119" s="1479">
        <f>+'Exhibit F'!D107+'Exhibit G State'!D96</f>
        <v>7.1</v>
      </c>
      <c r="D119" s="1479"/>
      <c r="E119" s="1479">
        <f>+'Exhibit F'!F107+'Exhibit G State'!F96</f>
        <v>14.399999999999999</v>
      </c>
      <c r="F119" s="1479"/>
      <c r="G119" s="1479">
        <f>+'Exhibit F'!H107+'Exhibit G State'!H96</f>
        <v>7</v>
      </c>
      <c r="H119" s="1479"/>
      <c r="I119" s="1479">
        <f>+'Exhibit F'!J107+'Exhibit G State'!J96</f>
        <v>27.8</v>
      </c>
      <c r="J119" s="1479"/>
      <c r="K119" s="1479"/>
      <c r="L119" s="1479"/>
      <c r="M119" s="1479"/>
      <c r="N119" s="1479"/>
      <c r="O119" s="1479"/>
      <c r="P119" s="1479"/>
      <c r="Q119" s="1479"/>
      <c r="R119" s="1479"/>
      <c r="S119" s="1479"/>
      <c r="T119" s="1479"/>
      <c r="U119" s="1479"/>
      <c r="V119" s="1479"/>
      <c r="W119" s="1479"/>
      <c r="X119" s="1479"/>
      <c r="Y119" s="1479"/>
      <c r="Z119" s="1479"/>
      <c r="AA119" s="2893"/>
      <c r="AB119" s="2067">
        <f t="shared" si="17"/>
        <v>56.3</v>
      </c>
      <c r="AC119" s="3583"/>
      <c r="AD119" s="3579"/>
      <c r="AE119" s="2067">
        <f>+'Exhibit F'!AF107+'Exhibit G State'!AG96</f>
        <v>37.5</v>
      </c>
      <c r="AF119" s="3298"/>
      <c r="AG119" s="3298"/>
      <c r="AH119" s="3296">
        <f t="shared" si="18"/>
        <v>18.8</v>
      </c>
      <c r="AI119" s="3254"/>
      <c r="AJ119" s="1880">
        <f t="shared" si="19"/>
        <v>0.501</v>
      </c>
    </row>
    <row r="120" spans="1:38" ht="15">
      <c r="A120" s="2897" t="s">
        <v>34</v>
      </c>
      <c r="B120" s="1480"/>
      <c r="C120" s="1479">
        <f>+'Exhibit F'!D108+'Exhibit G State'!D97</f>
        <v>68.3</v>
      </c>
      <c r="D120" s="1479"/>
      <c r="E120" s="1479">
        <f>+'Exhibit F'!F108+'Exhibit G State'!F97</f>
        <v>426.59999999999997</v>
      </c>
      <c r="F120" s="1479"/>
      <c r="G120" s="1479">
        <f>+'Exhibit F'!H108+'Exhibit G State'!H97</f>
        <v>279.40000000000003</v>
      </c>
      <c r="H120" s="1479"/>
      <c r="I120" s="1479">
        <f>+'Exhibit F'!J108+'Exhibit G State'!J97</f>
        <v>274.30000000000007</v>
      </c>
      <c r="J120" s="1479"/>
      <c r="K120" s="1479"/>
      <c r="L120" s="1479"/>
      <c r="M120" s="1479"/>
      <c r="N120" s="1479"/>
      <c r="O120" s="1479"/>
      <c r="P120" s="1479"/>
      <c r="Q120" s="1479"/>
      <c r="R120" s="1479"/>
      <c r="S120" s="1479"/>
      <c r="T120" s="1479"/>
      <c r="U120" s="1479"/>
      <c r="V120" s="1479"/>
      <c r="W120" s="1479"/>
      <c r="X120" s="1479"/>
      <c r="Y120" s="1479"/>
      <c r="Z120" s="1479"/>
      <c r="AA120" s="2893"/>
      <c r="AB120" s="3296">
        <f>ROUND(SUM(C120:Y120),1)</f>
        <v>1048.5999999999999</v>
      </c>
      <c r="AC120" s="3583"/>
      <c r="AD120" s="3579"/>
      <c r="AE120" s="2067">
        <f>+'Exhibit F'!AF108+'Exhibit G State'!AG97</f>
        <v>1381.1</v>
      </c>
      <c r="AF120" s="3298"/>
      <c r="AG120" s="3298"/>
      <c r="AH120" s="3296">
        <f>ROUND(SUM(AB120-AE120),1)</f>
        <v>-332.5</v>
      </c>
      <c r="AI120" s="3254"/>
      <c r="AJ120" s="1488">
        <f t="shared" si="19"/>
        <v>-0.24099999999999999</v>
      </c>
    </row>
    <row r="121" spans="1:38" ht="15.75">
      <c r="A121" s="1480" t="s">
        <v>35</v>
      </c>
      <c r="B121" s="1480"/>
      <c r="C121" s="2900">
        <f>ROUND(SUM(C111:C120),1)</f>
        <v>4645.1000000000004</v>
      </c>
      <c r="D121" s="2901"/>
      <c r="E121" s="2900">
        <f>ROUND(SUM(E111:E120),1)</f>
        <v>7192.7</v>
      </c>
      <c r="F121" s="2901"/>
      <c r="G121" s="2900">
        <f>ROUND(SUM(G111:G120),1)</f>
        <v>5812.3</v>
      </c>
      <c r="H121" s="2901"/>
      <c r="I121" s="2900">
        <f>ROUND(SUM(I111:I120),1)</f>
        <v>4257.1000000000004</v>
      </c>
      <c r="J121" s="2901"/>
      <c r="K121" s="2900">
        <f>ROUND(SUM(K111:K120),1)</f>
        <v>0</v>
      </c>
      <c r="L121" s="2901"/>
      <c r="M121" s="2900">
        <f>ROUND(SUM(M111:M120),1)</f>
        <v>0</v>
      </c>
      <c r="N121" s="2901"/>
      <c r="O121" s="2900">
        <f>ROUND(SUM(O111:O120),1)</f>
        <v>0</v>
      </c>
      <c r="P121" s="2901"/>
      <c r="Q121" s="2900">
        <f>ROUND(SUM(Q111:Q120),1)</f>
        <v>0</v>
      </c>
      <c r="R121" s="2901"/>
      <c r="S121" s="2900">
        <f>ROUND(SUM(S111:S120),1)</f>
        <v>0</v>
      </c>
      <c r="T121" s="2901"/>
      <c r="U121" s="2900">
        <f>ROUND(SUM(U111:U120),1)</f>
        <v>0</v>
      </c>
      <c r="V121" s="2901"/>
      <c r="W121" s="2900">
        <f>ROUND(SUM(W111:W120),1)</f>
        <v>0</v>
      </c>
      <c r="X121" s="2901"/>
      <c r="Y121" s="2900">
        <f>ROUND(SUM(Y111:Y120),1)</f>
        <v>0</v>
      </c>
      <c r="Z121" s="2901"/>
      <c r="AA121" s="2902"/>
      <c r="AB121" s="3584">
        <f>ROUND(SUM(AB111:AB120),1)</f>
        <v>21907.200000000001</v>
      </c>
      <c r="AC121" s="3585"/>
      <c r="AD121" s="3586"/>
      <c r="AE121" s="1500">
        <f>ROUND(SUM(AE111:AE120),1)</f>
        <v>20388</v>
      </c>
      <c r="AF121" s="3297"/>
      <c r="AG121" s="3297"/>
      <c r="AH121" s="1500">
        <f>ROUND(SUM(AH111:AH120),1)</f>
        <v>1519.2</v>
      </c>
      <c r="AI121" s="3237"/>
      <c r="AJ121" s="2629">
        <f t="shared" si="19"/>
        <v>7.4999999999999997E-2</v>
      </c>
      <c r="AK121" s="2887"/>
      <c r="AL121" s="2887"/>
    </row>
    <row r="122" spans="1:38" ht="15">
      <c r="A122" s="1480" t="s">
        <v>36</v>
      </c>
      <c r="B122" s="1480"/>
      <c r="C122" s="2891"/>
      <c r="D122" s="1479"/>
      <c r="E122" s="2891"/>
      <c r="F122" s="1479"/>
      <c r="G122" s="2891"/>
      <c r="H122" s="1479"/>
      <c r="I122" s="2891"/>
      <c r="J122" s="1479"/>
      <c r="K122" s="2891"/>
      <c r="L122" s="1479"/>
      <c r="M122" s="2891"/>
      <c r="N122" s="1479"/>
      <c r="O122" s="2891"/>
      <c r="P122" s="1479"/>
      <c r="Q122" s="2891"/>
      <c r="R122" s="1479"/>
      <c r="S122" s="2891"/>
      <c r="T122" s="1479"/>
      <c r="U122" s="2891"/>
      <c r="V122" s="1479"/>
      <c r="W122" s="2891"/>
      <c r="X122" s="1479"/>
      <c r="Y122" s="2891"/>
      <c r="Z122" s="1479"/>
      <c r="AA122" s="2893"/>
      <c r="AB122" s="3298"/>
      <c r="AC122" s="3296"/>
      <c r="AD122" s="3579"/>
      <c r="AE122" s="2108"/>
      <c r="AF122" s="3298"/>
      <c r="AG122" s="3298"/>
      <c r="AH122" s="2067"/>
      <c r="AI122" s="3254"/>
      <c r="AJ122" s="3538"/>
    </row>
    <row r="123" spans="1:38" ht="15">
      <c r="A123" s="1480" t="s">
        <v>139</v>
      </c>
      <c r="B123" s="1480"/>
      <c r="C123" s="1479">
        <f>+'Exhibit F'!D111+'Exhibit G State'!D100</f>
        <v>1090.5</v>
      </c>
      <c r="D123" s="1479"/>
      <c r="E123" s="1479">
        <f>+'Exhibit F'!F111+'Exhibit G State'!F100</f>
        <v>1651.8</v>
      </c>
      <c r="F123" s="1479"/>
      <c r="G123" s="1479">
        <f>+'Exhibit F'!H111+'Exhibit G State'!H100</f>
        <v>1072.5999999999999</v>
      </c>
      <c r="H123" s="1479"/>
      <c r="I123" s="1479">
        <f>+'Exhibit F'!J111+'Exhibit G State'!J100</f>
        <v>1146.7000000000005</v>
      </c>
      <c r="J123" s="1479"/>
      <c r="K123" s="1479"/>
      <c r="L123" s="1479"/>
      <c r="M123" s="1479"/>
      <c r="N123" s="1479"/>
      <c r="O123" s="1479"/>
      <c r="P123" s="1479"/>
      <c r="Q123" s="1479"/>
      <c r="R123" s="1479"/>
      <c r="S123" s="1479"/>
      <c r="T123" s="1479"/>
      <c r="U123" s="1479"/>
      <c r="V123" s="1479"/>
      <c r="W123" s="1479"/>
      <c r="X123" s="1479"/>
      <c r="Y123" s="1479"/>
      <c r="Z123" s="1479"/>
      <c r="AA123" s="2893"/>
      <c r="AB123" s="3296">
        <f>ROUND(SUM(C123:Y123),1)</f>
        <v>4961.6000000000004</v>
      </c>
      <c r="AC123" s="3296"/>
      <c r="AD123" s="3579"/>
      <c r="AE123" s="2067">
        <f>+'Exhibit F'!AF111+'Exhibit G State'!AG100</f>
        <v>4572.7</v>
      </c>
      <c r="AF123" s="3298"/>
      <c r="AG123" s="3298"/>
      <c r="AH123" s="3296">
        <f>ROUND(SUM(AB123-AE123),1)</f>
        <v>388.9</v>
      </c>
      <c r="AI123" s="3254"/>
      <c r="AJ123" s="1880">
        <f>ROUND(SUM(AH123/ABS(AE123)),3)</f>
        <v>8.5000000000000006E-2</v>
      </c>
    </row>
    <row r="124" spans="1:38" ht="15">
      <c r="A124" s="1480" t="s">
        <v>140</v>
      </c>
      <c r="B124" s="1480"/>
      <c r="C124" s="1479">
        <f>+'Exhibit F'!D112+'Exhibit G State'!D101+'Exhibit H'!B53</f>
        <v>404</v>
      </c>
      <c r="D124" s="1479"/>
      <c r="E124" s="1479">
        <f>+'Exhibit F'!F112+'Exhibit G State'!F101+'Exhibit H'!D53</f>
        <v>500</v>
      </c>
      <c r="F124" s="1479"/>
      <c r="G124" s="1479">
        <f>+'Exhibit F'!H112+'Exhibit G State'!H101+'Exhibit H'!F53</f>
        <v>419.5</v>
      </c>
      <c r="H124" s="1479"/>
      <c r="I124" s="1479">
        <f>+'Exhibit F'!J112+'Exhibit G State'!J101+'Exhibit H'!H53</f>
        <v>437.90000000000015</v>
      </c>
      <c r="J124" s="1479"/>
      <c r="K124" s="1479"/>
      <c r="L124" s="1479"/>
      <c r="M124" s="1479"/>
      <c r="N124" s="1479"/>
      <c r="O124" s="1479"/>
      <c r="P124" s="1479"/>
      <c r="Q124" s="1479"/>
      <c r="R124" s="1479"/>
      <c r="S124" s="1479"/>
      <c r="T124" s="1479"/>
      <c r="U124" s="1479"/>
      <c r="V124" s="1479"/>
      <c r="W124" s="1479"/>
      <c r="X124" s="1479"/>
      <c r="Y124" s="1479"/>
      <c r="Z124" s="1479"/>
      <c r="AA124" s="2893"/>
      <c r="AB124" s="3296">
        <f>ROUND(SUM(C124:Y124),1)</f>
        <v>1761.4</v>
      </c>
      <c r="AC124" s="3296"/>
      <c r="AD124" s="3579"/>
      <c r="AE124" s="2067">
        <f>+'Exhibit F'!AF112+'Exhibit G State'!AG101+'Exhibit H'!AD53</f>
        <v>1719.8</v>
      </c>
      <c r="AF124" s="3298"/>
      <c r="AG124" s="3298"/>
      <c r="AH124" s="3296">
        <f>ROUND(SUM(AB124-AE124),1)</f>
        <v>41.6</v>
      </c>
      <c r="AI124" s="3254"/>
      <c r="AJ124" s="1880">
        <f>ROUND(SUM(AH124/ABS(AE124)),3)</f>
        <v>2.4E-2</v>
      </c>
    </row>
    <row r="125" spans="1:38" ht="15">
      <c r="A125" s="1480" t="s">
        <v>39</v>
      </c>
      <c r="B125" s="1480"/>
      <c r="C125" s="1479">
        <f>+'Exhibit F'!D113+'Exhibit G State'!D102</f>
        <v>792.2</v>
      </c>
      <c r="D125" s="1479"/>
      <c r="E125" s="1479">
        <f>+'Exhibit F'!F113+'Exhibit G State'!F102</f>
        <v>2436.5</v>
      </c>
      <c r="F125" s="1479"/>
      <c r="G125" s="1479">
        <f>+'Exhibit F'!H113+'Exhibit G State'!H102</f>
        <v>420.59999999999968</v>
      </c>
      <c r="H125" s="1479"/>
      <c r="I125" s="1479">
        <f>+'Exhibit F'!J113+'Exhibit G State'!J102</f>
        <v>463.4000000000002</v>
      </c>
      <c r="J125" s="1479"/>
      <c r="K125" s="1479"/>
      <c r="L125" s="1479"/>
      <c r="M125" s="1479"/>
      <c r="N125" s="1479"/>
      <c r="O125" s="1479"/>
      <c r="P125" s="1479"/>
      <c r="Q125" s="1479"/>
      <c r="R125" s="1479"/>
      <c r="S125" s="1479"/>
      <c r="T125" s="1479"/>
      <c r="U125" s="1479"/>
      <c r="V125" s="1479"/>
      <c r="W125" s="1479"/>
      <c r="X125" s="1479"/>
      <c r="Y125" s="1479"/>
      <c r="Z125" s="1479"/>
      <c r="AA125" s="2893"/>
      <c r="AB125" s="3296">
        <f>ROUND(SUM(C125:Y125),1)</f>
        <v>4112.7</v>
      </c>
      <c r="AC125" s="3296"/>
      <c r="AD125" s="3579"/>
      <c r="AE125" s="2067">
        <f>+'Exhibit F'!AF113+'Exhibit G State'!AG102</f>
        <v>4177</v>
      </c>
      <c r="AF125" s="3298"/>
      <c r="AG125" s="3298"/>
      <c r="AH125" s="3296">
        <f>ROUND(SUM(AB125-AE125),1)</f>
        <v>-64.3</v>
      </c>
      <c r="AI125" s="3254"/>
      <c r="AJ125" s="1880">
        <f>ROUND(SUM(AH125/ABS(AE125)),3)</f>
        <v>-1.4999999999999999E-2</v>
      </c>
    </row>
    <row r="126" spans="1:38" ht="15">
      <c r="A126" s="1480" t="s">
        <v>40</v>
      </c>
      <c r="B126" s="1480"/>
      <c r="C126" s="2891"/>
      <c r="D126" s="1479"/>
      <c r="E126" s="2891"/>
      <c r="F126" s="1479"/>
      <c r="G126" s="2891"/>
      <c r="H126" s="1479"/>
      <c r="I126" s="2891"/>
      <c r="J126" s="1479"/>
      <c r="K126" s="2891"/>
      <c r="L126" s="1479"/>
      <c r="M126" s="2891"/>
      <c r="N126" s="1479"/>
      <c r="O126" s="2891"/>
      <c r="P126" s="1479"/>
      <c r="Q126" s="2891"/>
      <c r="R126" s="1479"/>
      <c r="S126" s="2891"/>
      <c r="T126" s="1479"/>
      <c r="U126" s="2891"/>
      <c r="V126" s="1479"/>
      <c r="W126" s="2891"/>
      <c r="X126" s="1479"/>
      <c r="Y126" s="2891"/>
      <c r="Z126" s="1479"/>
      <c r="AA126" s="2893"/>
      <c r="AB126" s="3296"/>
      <c r="AC126" s="3296"/>
      <c r="AD126" s="3579"/>
      <c r="AE126" s="3298"/>
      <c r="AF126" s="3298"/>
      <c r="AG126" s="3298"/>
      <c r="AH126" s="3296"/>
      <c r="AI126" s="3254"/>
      <c r="AJ126" s="1880"/>
    </row>
    <row r="127" spans="1:38" ht="15">
      <c r="A127" s="1480" t="s">
        <v>41</v>
      </c>
      <c r="B127" s="1480"/>
      <c r="C127" s="1479">
        <f>+'Exhibit H'!B55</f>
        <v>72.400000000000006</v>
      </c>
      <c r="D127" s="1479"/>
      <c r="E127" s="1479">
        <f>+'Exhibit H'!D55</f>
        <v>121.1</v>
      </c>
      <c r="F127" s="1479"/>
      <c r="G127" s="1479">
        <f>+'Exhibit H'!F55</f>
        <v>230.29999999999998</v>
      </c>
      <c r="H127" s="1479"/>
      <c r="I127" s="1479">
        <f>+'Exhibit H'!H55</f>
        <v>45.099999999999994</v>
      </c>
      <c r="J127" s="1479"/>
      <c r="K127" s="1479"/>
      <c r="L127" s="1479"/>
      <c r="M127" s="1479"/>
      <c r="N127" s="1479"/>
      <c r="O127" s="1479"/>
      <c r="P127" s="1479"/>
      <c r="Q127" s="1479"/>
      <c r="R127" s="1479"/>
      <c r="S127" s="1479"/>
      <c r="T127" s="1479"/>
      <c r="U127" s="1479"/>
      <c r="V127" s="1479"/>
      <c r="W127" s="1479"/>
      <c r="X127" s="1479"/>
      <c r="Y127" s="1479"/>
      <c r="Z127" s="1479"/>
      <c r="AA127" s="2893"/>
      <c r="AB127" s="3296">
        <f>ROUND(SUM(C127:Y127),1)</f>
        <v>468.9</v>
      </c>
      <c r="AC127" s="3296"/>
      <c r="AD127" s="3579"/>
      <c r="AE127" s="2108">
        <f>+'Exhibit H'!AD55</f>
        <v>381.8</v>
      </c>
      <c r="AF127" s="3298"/>
      <c r="AG127" s="3298"/>
      <c r="AH127" s="3296">
        <f>ROUND(SUM(AB127-AE127),1)</f>
        <v>87.1</v>
      </c>
      <c r="AI127" s="3254"/>
      <c r="AJ127" s="1880">
        <f>ROUND(SUM(AH127/ABS(AE127)),3)</f>
        <v>0.22800000000000001</v>
      </c>
    </row>
    <row r="128" spans="1:38" ht="15">
      <c r="A128" s="1480" t="s">
        <v>141</v>
      </c>
      <c r="B128" s="1480"/>
      <c r="C128" s="1479">
        <f>'Exhibit G State'!D103</f>
        <v>0</v>
      </c>
      <c r="D128" s="1479"/>
      <c r="E128" s="1479">
        <f>'Exhibit G State'!F103</f>
        <v>0</v>
      </c>
      <c r="F128" s="1479"/>
      <c r="G128" s="1479">
        <f>'Exhibit G State'!H103</f>
        <v>0.1</v>
      </c>
      <c r="H128" s="1479"/>
      <c r="I128" s="1479">
        <f>'Exhibit G State'!J103</f>
        <v>0</v>
      </c>
      <c r="J128" s="1479"/>
      <c r="K128" s="1479"/>
      <c r="L128" s="1479"/>
      <c r="M128" s="1479"/>
      <c r="N128" s="1479"/>
      <c r="O128" s="1479"/>
      <c r="P128" s="1479"/>
      <c r="Q128" s="1479"/>
      <c r="R128" s="1479"/>
      <c r="S128" s="1479"/>
      <c r="T128" s="1479"/>
      <c r="U128" s="1479"/>
      <c r="V128" s="1479"/>
      <c r="W128" s="1479"/>
      <c r="X128" s="1479"/>
      <c r="Y128" s="1479"/>
      <c r="Z128" s="1479"/>
      <c r="AA128" s="2892"/>
      <c r="AB128" s="3296">
        <f>ROUND(SUM(C128:Y128),1)</f>
        <v>0.1</v>
      </c>
      <c r="AC128" s="3296"/>
      <c r="AD128" s="3579"/>
      <c r="AE128" s="2108">
        <f>+'Exhibit H'!AD56</f>
        <v>0</v>
      </c>
      <c r="AF128" s="3298"/>
      <c r="AG128" s="3298"/>
      <c r="AH128" s="3296">
        <f>ROUND(SUM(AB128-AE128),1)</f>
        <v>0.1</v>
      </c>
      <c r="AI128" s="3254"/>
      <c r="AJ128" s="1786">
        <f>ROUND(IF(AE128=0,1,AH128/ABS(AE128)),3)</f>
        <v>1</v>
      </c>
    </row>
    <row r="129" spans="1:59" ht="16.5" customHeight="1">
      <c r="A129" s="1480"/>
      <c r="B129" s="1480"/>
      <c r="C129" s="3734"/>
      <c r="D129" s="1479"/>
      <c r="E129" s="3734"/>
      <c r="F129" s="1479"/>
      <c r="G129" s="3734"/>
      <c r="H129" s="1479"/>
      <c r="I129" s="3734"/>
      <c r="J129" s="1479"/>
      <c r="K129" s="3734"/>
      <c r="L129" s="1479"/>
      <c r="M129" s="3734"/>
      <c r="N129" s="1479"/>
      <c r="O129" s="3734"/>
      <c r="P129" s="1479"/>
      <c r="Q129" s="3734"/>
      <c r="R129" s="1479"/>
      <c r="S129" s="3734"/>
      <c r="T129" s="1479"/>
      <c r="U129" s="3734"/>
      <c r="V129" s="1479"/>
      <c r="W129" s="3734"/>
      <c r="X129" s="1479"/>
      <c r="Y129" s="3734"/>
      <c r="Z129" s="1479"/>
      <c r="AA129" s="2893"/>
      <c r="AB129" s="3735"/>
      <c r="AC129" s="3296"/>
      <c r="AD129" s="3579"/>
      <c r="AE129" s="3735"/>
      <c r="AF129" s="3298"/>
      <c r="AG129" s="3298"/>
      <c r="AH129" s="3735"/>
      <c r="AI129" s="3254"/>
      <c r="AJ129" s="3736"/>
    </row>
    <row r="130" spans="1:59" ht="16.5" customHeight="1">
      <c r="A130" s="2077" t="s">
        <v>58</v>
      </c>
      <c r="B130" s="1480"/>
      <c r="C130" s="2903">
        <f>ROUND(SUM(C121:C128),1)</f>
        <v>7004.2</v>
      </c>
      <c r="D130" s="2901"/>
      <c r="E130" s="2903">
        <f>ROUND(SUM(E121:E128),1)</f>
        <v>11902.1</v>
      </c>
      <c r="F130" s="2901"/>
      <c r="G130" s="2903">
        <f>ROUND(SUM(G121:G128),1)</f>
        <v>7955.4</v>
      </c>
      <c r="H130" s="2901"/>
      <c r="I130" s="2903">
        <f>ROUND(SUM(I121:I128),1)</f>
        <v>6350.2</v>
      </c>
      <c r="J130" s="2901"/>
      <c r="K130" s="2903">
        <f>ROUND(SUM(K121:K128),1)</f>
        <v>0</v>
      </c>
      <c r="L130" s="2901"/>
      <c r="M130" s="2903">
        <f>ROUND(SUM(M121:M128),1)</f>
        <v>0</v>
      </c>
      <c r="N130" s="2901"/>
      <c r="O130" s="2903">
        <f>ROUND(SUM(O121:O128),1)</f>
        <v>0</v>
      </c>
      <c r="P130" s="2901"/>
      <c r="Q130" s="2903">
        <f>ROUND(SUM(Q121:Q128),1)</f>
        <v>0</v>
      </c>
      <c r="R130" s="2901"/>
      <c r="S130" s="2903">
        <f>ROUND(SUM(S121:S128),1)</f>
        <v>0</v>
      </c>
      <c r="T130" s="2901"/>
      <c r="U130" s="2903">
        <f>ROUND(SUM(U121:U128),1)</f>
        <v>0</v>
      </c>
      <c r="V130" s="2901"/>
      <c r="W130" s="2903">
        <f>ROUND(SUM(W121:W128),1)</f>
        <v>0</v>
      </c>
      <c r="X130" s="2901"/>
      <c r="Y130" s="2903">
        <f>ROUND(SUM(Y121:Y128),1)</f>
        <v>0</v>
      </c>
      <c r="Z130" s="2901"/>
      <c r="AA130" s="2902"/>
      <c r="AB130" s="3300">
        <f>ROUND(SUM(AB121:AB128),1)</f>
        <v>33211.9</v>
      </c>
      <c r="AC130" s="3587"/>
      <c r="AD130" s="3586"/>
      <c r="AE130" s="1613">
        <f>ROUND(SUM(AE121:AE129),1)</f>
        <v>31239.3</v>
      </c>
      <c r="AF130" s="3297"/>
      <c r="AG130" s="3297"/>
      <c r="AH130" s="1613">
        <f>ROUND(SUM(AH121:AH129),1)</f>
        <v>1972.6</v>
      </c>
      <c r="AI130" s="3237"/>
      <c r="AJ130" s="2653">
        <f>ROUND(SUM(AH130/ABS(AE130)),3)</f>
        <v>6.3E-2</v>
      </c>
      <c r="AK130" s="2887"/>
      <c r="AL130" s="2887"/>
      <c r="AM130" s="2887"/>
      <c r="AN130" s="2887"/>
      <c r="AO130" s="2887"/>
      <c r="AP130" s="2887"/>
      <c r="AQ130" s="2887"/>
      <c r="AR130" s="2887"/>
    </row>
    <row r="131" spans="1:59" ht="16.5" customHeight="1">
      <c r="A131" s="2077"/>
      <c r="B131" s="1480"/>
      <c r="C131" s="1479"/>
      <c r="D131" s="1479"/>
      <c r="E131" s="1479"/>
      <c r="F131" s="1479"/>
      <c r="G131" s="1479"/>
      <c r="H131" s="1479"/>
      <c r="I131" s="1479"/>
      <c r="J131" s="1479"/>
      <c r="K131" s="1479"/>
      <c r="L131" s="1479"/>
      <c r="M131" s="1479"/>
      <c r="N131" s="1479"/>
      <c r="O131" s="1479"/>
      <c r="P131" s="1479"/>
      <c r="Q131" s="1479"/>
      <c r="R131" s="1479"/>
      <c r="S131" s="1479"/>
      <c r="T131" s="1479"/>
      <c r="U131" s="1479"/>
      <c r="V131" s="1479"/>
      <c r="W131" s="1479"/>
      <c r="X131" s="1479"/>
      <c r="Y131" s="1479"/>
      <c r="Z131" s="1479"/>
      <c r="AA131" s="2893"/>
      <c r="AB131" s="3296"/>
      <c r="AC131" s="3296"/>
      <c r="AD131" s="3579"/>
      <c r="AE131" s="3296"/>
      <c r="AF131" s="3298"/>
      <c r="AG131" s="3298"/>
      <c r="AH131" s="2067"/>
      <c r="AI131" s="3254"/>
      <c r="AJ131" s="3538"/>
    </row>
    <row r="132" spans="1:59" ht="16.5" customHeight="1">
      <c r="A132" s="2077" t="s">
        <v>44</v>
      </c>
      <c r="B132" s="1480"/>
      <c r="C132" s="1479"/>
      <c r="D132" s="1479"/>
      <c r="E132" s="1479"/>
      <c r="F132" s="1479"/>
      <c r="G132" s="1479"/>
      <c r="H132" s="1479"/>
      <c r="I132" s="1479"/>
      <c r="J132" s="1479"/>
      <c r="K132" s="1479"/>
      <c r="L132" s="1479"/>
      <c r="M132" s="1479"/>
      <c r="N132" s="1479"/>
      <c r="O132" s="1479"/>
      <c r="P132" s="1479"/>
      <c r="Q132" s="1479"/>
      <c r="R132" s="1479"/>
      <c r="S132" s="1479"/>
      <c r="T132" s="1479"/>
      <c r="U132" s="1479"/>
      <c r="V132" s="1479"/>
      <c r="W132" s="1479"/>
      <c r="X132" s="1479"/>
      <c r="Y132" s="1479"/>
      <c r="Z132" s="1479"/>
      <c r="AA132" s="2893"/>
      <c r="AB132" s="3296"/>
      <c r="AC132" s="3296"/>
      <c r="AD132" s="3579"/>
      <c r="AE132" s="3296"/>
      <c r="AF132" s="3298"/>
      <c r="AG132" s="3298"/>
      <c r="AH132" s="2067"/>
      <c r="AI132" s="3254"/>
      <c r="AJ132" s="3538"/>
    </row>
    <row r="133" spans="1:59" ht="16.5" customHeight="1">
      <c r="A133" s="2077" t="s">
        <v>45</v>
      </c>
      <c r="B133" s="1480"/>
      <c r="C133" s="2903">
        <f>ROUND(SUM(C107-C130),1)</f>
        <v>6784.3</v>
      </c>
      <c r="D133" s="2901"/>
      <c r="E133" s="2903">
        <f>ROUND(SUM(E107-E130),1)</f>
        <v>-6391</v>
      </c>
      <c r="F133" s="2901"/>
      <c r="G133" s="2903">
        <f>ROUND(SUM(G107-G130),1)</f>
        <v>2256.3000000000002</v>
      </c>
      <c r="H133" s="2901"/>
      <c r="I133" s="2903">
        <f>ROUND(SUM(I107-I130),1)</f>
        <v>562.20000000000005</v>
      </c>
      <c r="J133" s="2901"/>
      <c r="K133" s="2903">
        <f>ROUND(SUM(K107-K130),1)</f>
        <v>0</v>
      </c>
      <c r="L133" s="2901"/>
      <c r="M133" s="2903">
        <f>ROUND(SUM(M107-M130),1)</f>
        <v>0</v>
      </c>
      <c r="N133" s="2901"/>
      <c r="O133" s="2903">
        <f>ROUND(SUM(O107-O130),1)</f>
        <v>0</v>
      </c>
      <c r="P133" s="2901"/>
      <c r="Q133" s="2903">
        <f>ROUND(SUM(Q107-Q130),1)</f>
        <v>0</v>
      </c>
      <c r="R133" s="2901"/>
      <c r="S133" s="2903">
        <f>ROUND(SUM(S107-S130),1)</f>
        <v>0</v>
      </c>
      <c r="T133" s="2901"/>
      <c r="U133" s="2903">
        <f>ROUND(SUM(U107-U130),1)</f>
        <v>0</v>
      </c>
      <c r="V133" s="2901"/>
      <c r="W133" s="2903">
        <f>ROUND(SUM(W107-W130),1)</f>
        <v>0</v>
      </c>
      <c r="X133" s="2901"/>
      <c r="Y133" s="2903">
        <f>ROUND(SUM(Y107-Y130),1)</f>
        <v>0</v>
      </c>
      <c r="Z133" s="2901"/>
      <c r="AA133" s="2902"/>
      <c r="AB133" s="3300">
        <f>ROUND(SUM(AB107-AB130),1)</f>
        <v>3211.8</v>
      </c>
      <c r="AC133" s="3587"/>
      <c r="AD133" s="3586"/>
      <c r="AE133" s="3300">
        <f>ROUND(SUM(AE107-AE130),1)</f>
        <v>663.2</v>
      </c>
      <c r="AF133" s="3297"/>
      <c r="AG133" s="3297"/>
      <c r="AH133" s="3544">
        <f>ROUND(SUM(AB133-AE133),1)</f>
        <v>2548.6</v>
      </c>
      <c r="AI133" s="3237"/>
      <c r="AJ133" s="2258">
        <f>ROUND(SUM(AH133/ABS(AE133)),3)</f>
        <v>3.843</v>
      </c>
      <c r="AK133" s="2887"/>
      <c r="AL133" s="2887"/>
    </row>
    <row r="134" spans="1:59" ht="16.5" customHeight="1">
      <c r="A134" s="1906"/>
      <c r="B134" s="1480"/>
      <c r="C134" s="2896"/>
      <c r="D134" s="1479"/>
      <c r="E134" s="2896"/>
      <c r="F134" s="1479"/>
      <c r="G134" s="2896"/>
      <c r="H134" s="1479"/>
      <c r="I134" s="2896"/>
      <c r="J134" s="1479"/>
      <c r="K134" s="2896"/>
      <c r="L134" s="1479"/>
      <c r="M134" s="2896"/>
      <c r="N134" s="1479"/>
      <c r="O134" s="2896"/>
      <c r="P134" s="1479"/>
      <c r="Q134" s="2896"/>
      <c r="R134" s="1479"/>
      <c r="S134" s="2896"/>
      <c r="T134" s="1479"/>
      <c r="U134" s="2896"/>
      <c r="V134" s="1479"/>
      <c r="W134" s="2896"/>
      <c r="X134" s="1479"/>
      <c r="Y134" s="2896"/>
      <c r="Z134" s="2904"/>
      <c r="AA134" s="2893"/>
      <c r="AB134" s="2640"/>
      <c r="AC134" s="3296"/>
      <c r="AD134" s="3579"/>
      <c r="AE134" s="2640"/>
      <c r="AF134" s="3298"/>
      <c r="AG134" s="3298"/>
      <c r="AH134" s="2067"/>
      <c r="AI134" s="3254"/>
      <c r="AJ134" s="3538"/>
    </row>
    <row r="135" spans="1:59" ht="16.5" customHeight="1">
      <c r="A135" s="2077" t="s">
        <v>46</v>
      </c>
      <c r="B135" s="1480"/>
      <c r="C135" s="2891"/>
      <c r="D135" s="1479"/>
      <c r="E135" s="2891"/>
      <c r="F135" s="2905"/>
      <c r="G135" s="2891"/>
      <c r="H135" s="2905"/>
      <c r="I135" s="2906"/>
      <c r="J135" s="2905"/>
      <c r="K135" s="2906"/>
      <c r="L135" s="2905"/>
      <c r="M135" s="2906"/>
      <c r="N135" s="2905"/>
      <c r="O135" s="2906"/>
      <c r="P135" s="2905"/>
      <c r="Q135" s="2906"/>
      <c r="R135" s="2905"/>
      <c r="S135" s="2906"/>
      <c r="T135" s="2905"/>
      <c r="U135" s="2906"/>
      <c r="V135" s="1479"/>
      <c r="W135" s="2906"/>
      <c r="X135" s="1479"/>
      <c r="Y135" s="2906"/>
      <c r="Z135" s="2907"/>
      <c r="AA135" s="2893"/>
      <c r="AB135" s="3298"/>
      <c r="AC135" s="3588"/>
      <c r="AD135" s="3296"/>
      <c r="AE135" s="3298"/>
      <c r="AF135" s="3298"/>
      <c r="AG135" s="3298"/>
      <c r="AH135" s="2067"/>
      <c r="AI135" s="3254"/>
      <c r="AJ135" s="3538"/>
    </row>
    <row r="136" spans="1:59" ht="16.5" customHeight="1">
      <c r="A136" s="1480" t="s">
        <v>1197</v>
      </c>
      <c r="B136" s="1480"/>
      <c r="C136" s="2908">
        <f>+'Exhibit F'!D122+'Exhibit F'!D123+'Exhibit F'!D124+'Exhibit F'!D125+'Exhibit G State'!D111+'Exhibit H'!B64</f>
        <v>5706.6000000000013</v>
      </c>
      <c r="D136" s="1479"/>
      <c r="E136" s="2908">
        <f>+'Exhibit F'!F122+'Exhibit F'!F123+'Exhibit F'!F124+'Exhibit F'!F125+'Exhibit G State'!F111+'Exhibit H'!D64</f>
        <v>2416.9999999999995</v>
      </c>
      <c r="F136" s="1479"/>
      <c r="G136" s="2908">
        <f>+'Exhibit F'!H122+'Exhibit F'!H123+'Exhibit F'!H124+'Exhibit F'!H125+'Exhibit G State'!H111+'Exhibit H'!F64</f>
        <v>4298.6000000000004</v>
      </c>
      <c r="H136" s="1479"/>
      <c r="I136" s="2908">
        <f>+'Exhibit F'!J122+'Exhibit F'!J123+'Exhibit F'!J124+'Exhibit F'!J125+'Exhibit G State'!J111+'Exhibit H'!H64</f>
        <v>3019.8000000000011</v>
      </c>
      <c r="J136" s="1479"/>
      <c r="K136" s="2908"/>
      <c r="L136" s="1479"/>
      <c r="M136" s="2908"/>
      <c r="N136" s="1479"/>
      <c r="O136" s="2908"/>
      <c r="P136" s="1479"/>
      <c r="Q136" s="2908"/>
      <c r="R136" s="1479"/>
      <c r="S136" s="2908"/>
      <c r="T136" s="1479"/>
      <c r="U136" s="3644"/>
      <c r="V136" s="1479"/>
      <c r="W136" s="2908"/>
      <c r="X136" s="1479"/>
      <c r="Y136" s="2908"/>
      <c r="Z136" s="1479"/>
      <c r="AA136" s="2893"/>
      <c r="AB136" s="3296">
        <f>ROUND(SUM(C136:Y136),1)</f>
        <v>15442</v>
      </c>
      <c r="AC136" s="3296"/>
      <c r="AD136" s="3581"/>
      <c r="AE136" s="3296">
        <f>'Exhibit F'!AF122+'Exhibit F'!AF123+'Exhibit F'!AF124+'Exhibit F'!AF125+'Exhibit G State'!AG111+'Exhibit H'!AD64</f>
        <v>12937.9</v>
      </c>
      <c r="AF136" s="3298"/>
      <c r="AG136" s="3298"/>
      <c r="AH136" s="3296">
        <f>ROUND(SUM(AB136-AE136),1)</f>
        <v>2504.1</v>
      </c>
      <c r="AI136" s="3254"/>
      <c r="AJ136" s="1880">
        <f>ROUND(SUM(AH136/ABS(AE136)),3)</f>
        <v>0.19400000000000001</v>
      </c>
    </row>
    <row r="137" spans="1:59" ht="16.5" customHeight="1">
      <c r="A137" s="1480" t="s">
        <v>1198</v>
      </c>
      <c r="C137" s="2909">
        <f>+'Exhibit F'!D126+'Exhibit F'!D127+'Exhibit F'!D128+'Exhibit F'!D129+'Exhibit G State'!D112+'Exhibit H'!B65</f>
        <v>-6134</v>
      </c>
      <c r="D137" s="2622"/>
      <c r="E137" s="2909">
        <f>+'Exhibit F'!F126+'Exhibit F'!F127+'Exhibit F'!F128+'Exhibit F'!F129+'Exhibit G State'!F112+'Exhibit H'!D65</f>
        <v>-2500.7000000000003</v>
      </c>
      <c r="F137" s="2622"/>
      <c r="G137" s="2909">
        <f>+'Exhibit F'!H126+'Exhibit F'!H127+'Exhibit F'!H128+'Exhibit F'!H129+'Exhibit G State'!H112+'Exhibit H'!F65</f>
        <v>-4748.7</v>
      </c>
      <c r="H137" s="2622"/>
      <c r="I137" s="2909">
        <f>+'Exhibit F'!J126+'Exhibit F'!J127+'Exhibit F'!J128+'Exhibit F'!J129+'Exhibit G State'!J112+'Exhibit H'!H65</f>
        <v>-3125.5999999999995</v>
      </c>
      <c r="J137" s="2622"/>
      <c r="K137" s="2909"/>
      <c r="L137" s="2622"/>
      <c r="M137" s="2909"/>
      <c r="N137" s="2622"/>
      <c r="O137" s="2909"/>
      <c r="P137" s="2622"/>
      <c r="Q137" s="2909"/>
      <c r="R137" s="2622"/>
      <c r="S137" s="2909"/>
      <c r="T137" s="2622"/>
      <c r="U137" s="3645"/>
      <c r="V137" s="2622"/>
      <c r="W137" s="2909"/>
      <c r="X137" s="2622"/>
      <c r="Y137" s="2909"/>
      <c r="Z137" s="2622"/>
      <c r="AA137" s="2910"/>
      <c r="AB137" s="3299">
        <f>ROUND(SUM(C137:Y137),1)</f>
        <v>-16509</v>
      </c>
      <c r="AC137" s="2630"/>
      <c r="AD137" s="3589"/>
      <c r="AE137" s="3299">
        <f>'Exhibit F'!AF126+'Exhibit F'!AF127+'Exhibit F'!AF128+'Exhibit F'!AF129+'Exhibit G State'!AG112+'Exhibit H'!AD65</f>
        <v>-13951.1</v>
      </c>
      <c r="AF137" s="2640"/>
      <c r="AG137" s="2640"/>
      <c r="AH137" s="3299">
        <f>ROUND(SUM(-AB137+AE137),1)</f>
        <v>2557.9</v>
      </c>
      <c r="AI137" s="3538"/>
      <c r="AJ137" s="3545">
        <f>ROUND(SUM(AH137/ABS(AE137)),3)</f>
        <v>0.183</v>
      </c>
    </row>
    <row r="138" spans="1:59" ht="16.5" customHeight="1">
      <c r="A138" s="1480"/>
      <c r="C138" s="2891"/>
      <c r="D138" s="2622"/>
      <c r="E138" s="2891"/>
      <c r="F138" s="2622"/>
      <c r="G138" s="2891"/>
      <c r="H138" s="2622"/>
      <c r="I138" s="2891"/>
      <c r="J138" s="2622"/>
      <c r="K138" s="2891"/>
      <c r="L138" s="2622"/>
      <c r="M138" s="2891"/>
      <c r="N138" s="2622"/>
      <c r="O138" s="2891"/>
      <c r="P138" s="2622"/>
      <c r="Q138" s="2891"/>
      <c r="R138" s="2622"/>
      <c r="S138" s="2891"/>
      <c r="T138" s="2622"/>
      <c r="U138" s="2891"/>
      <c r="V138" s="2622"/>
      <c r="W138" s="2891"/>
      <c r="X138" s="2622"/>
      <c r="Y138" s="2891"/>
      <c r="Z138" s="2622"/>
      <c r="AA138" s="2910"/>
      <c r="AB138" s="3298"/>
      <c r="AC138" s="2630"/>
      <c r="AD138" s="3589"/>
      <c r="AE138" s="3298"/>
      <c r="AF138" s="2640"/>
      <c r="AG138" s="2640"/>
      <c r="AH138" s="3298"/>
      <c r="AI138" s="3538"/>
      <c r="AJ138" s="1488"/>
    </row>
    <row r="139" spans="1:59" ht="16.5" customHeight="1">
      <c r="A139" s="2077" t="s">
        <v>50</v>
      </c>
      <c r="C139" s="2903">
        <f>ROUND(SUM(C136:C137),1)</f>
        <v>-427.4</v>
      </c>
      <c r="D139" s="2911"/>
      <c r="E139" s="2903">
        <f>ROUND(SUM(E136:E137),1)</f>
        <v>-83.7</v>
      </c>
      <c r="F139" s="2911"/>
      <c r="G139" s="2903">
        <f>ROUND(SUM(G136:G137),1)</f>
        <v>-450.1</v>
      </c>
      <c r="H139" s="2911"/>
      <c r="I139" s="2903">
        <f>ROUND(SUM(I136:I137),1)</f>
        <v>-105.8</v>
      </c>
      <c r="J139" s="2911"/>
      <c r="K139" s="2903">
        <f>ROUND(SUM(K136:K137),1)</f>
        <v>0</v>
      </c>
      <c r="L139" s="2911"/>
      <c r="M139" s="2903">
        <f>ROUND(SUM(M136:M137),1)</f>
        <v>0</v>
      </c>
      <c r="N139" s="2911"/>
      <c r="O139" s="2903">
        <f>ROUND(SUM(O136:O137),1)</f>
        <v>0</v>
      </c>
      <c r="P139" s="2911"/>
      <c r="Q139" s="2903">
        <f>ROUND(SUM(Q136:Q137),1)</f>
        <v>0</v>
      </c>
      <c r="R139" s="2911"/>
      <c r="S139" s="2903">
        <f>ROUND(SUM(S136:S137),1)</f>
        <v>0</v>
      </c>
      <c r="T139" s="2911"/>
      <c r="U139" s="2903">
        <f>ROUND(SUM(U136:U137),1)</f>
        <v>0</v>
      </c>
      <c r="V139" s="2911"/>
      <c r="W139" s="2903">
        <f>ROUND(SUM(W136:W137),1)</f>
        <v>0</v>
      </c>
      <c r="X139" s="2911"/>
      <c r="Y139" s="2903">
        <f>ROUND(SUM(Y136:Y137),1)</f>
        <v>0</v>
      </c>
      <c r="Z139" s="2911"/>
      <c r="AA139" s="2912"/>
      <c r="AB139" s="3300">
        <f>ROUND(SUM(AB136:AB137),1)</f>
        <v>-1067</v>
      </c>
      <c r="AC139" s="2635"/>
      <c r="AD139" s="3590"/>
      <c r="AE139" s="3300">
        <f>ROUND(SUM(AE136:AE137),1)</f>
        <v>-1013.2</v>
      </c>
      <c r="AF139" s="3546"/>
      <c r="AG139" s="2640"/>
      <c r="AH139" s="3300">
        <f>ROUND(SUM(AH136-AH137),1)</f>
        <v>-53.8</v>
      </c>
      <c r="AI139" s="2247"/>
      <c r="AJ139" s="2258">
        <f>-ROUND(SUM(-AH139/ABS(AE139)),3)</f>
        <v>-5.2999999999999999E-2</v>
      </c>
      <c r="AK139" s="2887"/>
      <c r="AL139" s="2887"/>
    </row>
    <row r="140" spans="1:59" ht="16.5" customHeight="1">
      <c r="A140" s="1906"/>
      <c r="C140" s="2622"/>
      <c r="D140" s="2622"/>
      <c r="E140" s="2622"/>
      <c r="F140" s="2622"/>
      <c r="G140" s="2622"/>
      <c r="H140" s="2622"/>
      <c r="I140" s="2622"/>
      <c r="J140" s="2622"/>
      <c r="K140" s="2622"/>
      <c r="L140" s="2622"/>
      <c r="M140" s="2622"/>
      <c r="N140" s="2622"/>
      <c r="O140" s="2622"/>
      <c r="P140" s="2622"/>
      <c r="Q140" s="2622"/>
      <c r="R140" s="2622"/>
      <c r="S140" s="2622"/>
      <c r="T140" s="2622"/>
      <c r="U140" s="2622"/>
      <c r="V140" s="2622"/>
      <c r="W140" s="2622"/>
      <c r="X140" s="2622"/>
      <c r="Y140" s="2622"/>
      <c r="Z140" s="2622"/>
      <c r="AA140" s="2910"/>
      <c r="AB140" s="2630"/>
      <c r="AC140" s="2630"/>
      <c r="AD140" s="3589"/>
      <c r="AE140" s="2630"/>
      <c r="AF140" s="2640"/>
      <c r="AG140" s="3547"/>
      <c r="AH140" s="2067"/>
      <c r="AI140" s="3538"/>
      <c r="AJ140" s="3538"/>
    </row>
    <row r="141" spans="1:59" ht="16.5" customHeight="1">
      <c r="A141" s="2247" t="s">
        <v>44</v>
      </c>
      <c r="C141" s="2891"/>
      <c r="D141" s="2622"/>
      <c r="E141" s="2891"/>
      <c r="F141" s="2622"/>
      <c r="G141" s="2891"/>
      <c r="H141" s="2622"/>
      <c r="I141" s="2891"/>
      <c r="J141" s="2622"/>
      <c r="K141" s="2891"/>
      <c r="L141" s="2622"/>
      <c r="M141" s="2891"/>
      <c r="N141" s="2622"/>
      <c r="O141" s="2891"/>
      <c r="P141" s="2622"/>
      <c r="Q141" s="2891"/>
      <c r="R141" s="2622"/>
      <c r="S141" s="2891"/>
      <c r="T141" s="2622"/>
      <c r="U141" s="2891"/>
      <c r="V141" s="2622"/>
      <c r="W141" s="2891"/>
      <c r="X141" s="2622"/>
      <c r="Y141" s="2891"/>
      <c r="Z141" s="2622"/>
      <c r="AA141" s="2910"/>
      <c r="AB141" s="3298"/>
      <c r="AC141" s="2630"/>
      <c r="AD141" s="3589"/>
      <c r="AE141" s="3298"/>
      <c r="AF141" s="2640"/>
      <c r="AG141" s="3548"/>
      <c r="AH141" s="2067"/>
      <c r="AI141" s="3538"/>
      <c r="AJ141" s="3538"/>
    </row>
    <row r="142" spans="1:59" ht="16.5" customHeight="1">
      <c r="A142" s="2247" t="s">
        <v>51</v>
      </c>
      <c r="C142" s="2901"/>
      <c r="D142" s="2911"/>
      <c r="E142" s="2901"/>
      <c r="F142" s="2911"/>
      <c r="G142" s="2901"/>
      <c r="H142" s="2911"/>
      <c r="I142" s="2901"/>
      <c r="J142" s="2911"/>
      <c r="K142" s="2901"/>
      <c r="L142" s="2911"/>
      <c r="M142" s="2901"/>
      <c r="N142" s="2911"/>
      <c r="O142" s="2901"/>
      <c r="P142" s="2911"/>
      <c r="Q142" s="2901"/>
      <c r="R142" s="2911"/>
      <c r="S142" s="2901"/>
      <c r="T142" s="2911"/>
      <c r="U142" s="2901"/>
      <c r="V142" s="2911"/>
      <c r="W142" s="2901"/>
      <c r="X142" s="2911"/>
      <c r="Y142" s="2901"/>
      <c r="Z142" s="2911"/>
      <c r="AA142" s="2912"/>
      <c r="AB142" s="3587"/>
      <c r="AC142" s="2635"/>
      <c r="AD142" s="3590"/>
      <c r="AE142" s="3587"/>
      <c r="AF142" s="2640"/>
      <c r="AG142" s="3547"/>
      <c r="AH142" s="2117"/>
      <c r="AI142" s="2247"/>
      <c r="AJ142" s="2247"/>
      <c r="AK142" s="2887"/>
      <c r="AL142" s="2887"/>
      <c r="AM142" s="2887"/>
      <c r="AN142" s="2887"/>
      <c r="AO142" s="2887"/>
      <c r="AP142" s="2887"/>
      <c r="AQ142" s="2887"/>
      <c r="AR142" s="2887"/>
      <c r="AS142" s="2887"/>
      <c r="AT142" s="2887"/>
      <c r="AU142" s="2887"/>
      <c r="AV142" s="2887"/>
      <c r="AW142" s="2887"/>
      <c r="AX142" s="2887"/>
      <c r="AY142" s="2887"/>
      <c r="AZ142" s="2887"/>
      <c r="BA142" s="2887"/>
      <c r="BB142" s="2887"/>
      <c r="BC142" s="2887"/>
      <c r="BD142" s="2887"/>
      <c r="BE142" s="2887"/>
      <c r="BF142" s="2887"/>
      <c r="BG142" s="2887"/>
    </row>
    <row r="143" spans="1:59" ht="16.5" customHeight="1">
      <c r="A143" s="2247" t="s">
        <v>52</v>
      </c>
      <c r="C143" s="2913">
        <f>ROUND(SUM(C133+C139),1)</f>
        <v>6356.9</v>
      </c>
      <c r="D143" s="2911"/>
      <c r="E143" s="2913">
        <f>ROUND(SUM(E133+E139),1)</f>
        <v>-6474.7</v>
      </c>
      <c r="F143" s="2911"/>
      <c r="G143" s="2913">
        <f>ROUND(SUM(G133+G139),1)</f>
        <v>1806.2</v>
      </c>
      <c r="H143" s="2911"/>
      <c r="I143" s="2913">
        <f>ROUND(SUM(I133+I139),1)</f>
        <v>456.4</v>
      </c>
      <c r="J143" s="2911"/>
      <c r="K143" s="2913">
        <f>ROUND(SUM(K133+K139),1)</f>
        <v>0</v>
      </c>
      <c r="L143" s="2911"/>
      <c r="M143" s="2913">
        <f>ROUND(SUM(M133+M139),1)</f>
        <v>0</v>
      </c>
      <c r="N143" s="2911"/>
      <c r="O143" s="2913">
        <f>ROUND(SUM(O133+O139),1)</f>
        <v>0</v>
      </c>
      <c r="P143" s="2911"/>
      <c r="Q143" s="2913">
        <f>ROUND(SUM(Q133+Q139),1)</f>
        <v>0</v>
      </c>
      <c r="R143" s="2911"/>
      <c r="S143" s="2913">
        <f>ROUND(SUM(S133+S139),1)</f>
        <v>0</v>
      </c>
      <c r="T143" s="2911"/>
      <c r="U143" s="2913">
        <f>ROUND(SUM(U133+U139),1)</f>
        <v>0</v>
      </c>
      <c r="V143" s="2911"/>
      <c r="W143" s="2913">
        <f>ROUND(SUM(W133+W139),1)</f>
        <v>0</v>
      </c>
      <c r="X143" s="2911"/>
      <c r="Y143" s="2913">
        <f>ROUND(SUM(Y133+Y139),1)</f>
        <v>0</v>
      </c>
      <c r="Z143" s="2911"/>
      <c r="AA143" s="2912"/>
      <c r="AB143" s="3591">
        <f>ROUND(SUM(AB133+AB139),1)</f>
        <v>2144.8000000000002</v>
      </c>
      <c r="AC143" s="2635"/>
      <c r="AD143" s="3590"/>
      <c r="AE143" s="3591">
        <f>ROUND(SUM(AE133+AE139),1)</f>
        <v>-350</v>
      </c>
      <c r="AF143" s="2640"/>
      <c r="AG143" s="3549"/>
      <c r="AH143" s="3544">
        <f>ROUND(SUM(AB143-AE143),1)</f>
        <v>2494.8000000000002</v>
      </c>
      <c r="AI143" s="2247"/>
      <c r="AJ143" s="2258">
        <f>ROUND(SUM(AH143/ABS(AE143)),3)</f>
        <v>7.1280000000000001</v>
      </c>
      <c r="AK143" s="2887"/>
      <c r="AL143" s="2887"/>
      <c r="AM143" s="2887"/>
      <c r="AN143" s="2887"/>
      <c r="AO143" s="2887"/>
      <c r="AP143" s="2887"/>
      <c r="AQ143" s="2887"/>
      <c r="AR143" s="2887"/>
      <c r="AS143" s="2887"/>
      <c r="AT143" s="2887"/>
      <c r="AU143" s="2887"/>
      <c r="AV143" s="2887"/>
      <c r="AW143" s="2887"/>
      <c r="AX143" s="2887"/>
      <c r="AY143" s="2887"/>
      <c r="AZ143" s="2887"/>
      <c r="BA143" s="2887"/>
      <c r="BB143" s="2887"/>
      <c r="BC143" s="2887"/>
      <c r="BD143" s="2887"/>
      <c r="BE143" s="2887"/>
      <c r="BF143" s="2887"/>
      <c r="BG143" s="2887"/>
    </row>
    <row r="144" spans="1:59" ht="15.75">
      <c r="A144" s="2077"/>
      <c r="C144" s="2881"/>
      <c r="E144" s="2881"/>
      <c r="G144" s="2881"/>
      <c r="I144" s="2881"/>
      <c r="K144" s="2881"/>
      <c r="M144" s="2881"/>
      <c r="O144" s="2881"/>
      <c r="Q144" s="2881"/>
      <c r="S144" s="2881"/>
      <c r="U144" s="2881"/>
      <c r="W144" s="2881"/>
      <c r="Y144" s="2881"/>
      <c r="AA144" s="2915"/>
      <c r="AB144" s="3576"/>
      <c r="AD144" s="3592"/>
      <c r="AE144" s="3611"/>
      <c r="AF144" s="2640"/>
      <c r="AG144" s="3549"/>
      <c r="AH144" s="3538"/>
      <c r="AI144" s="3538"/>
      <c r="AJ144" s="3538"/>
    </row>
    <row r="145" spans="1:37" thickBot="1">
      <c r="A145" s="2916" t="s">
        <v>142</v>
      </c>
      <c r="C145" s="2917">
        <f>ROUND(SUM(C16+C143),1)</f>
        <v>18718.2</v>
      </c>
      <c r="D145" s="2918"/>
      <c r="E145" s="2917">
        <f>ROUND(SUM(E16+E143),1)</f>
        <v>12243.5</v>
      </c>
      <c r="F145" s="2918"/>
      <c r="G145" s="2917">
        <f>ROUND(SUM(G16+G143),1)</f>
        <v>14049.7</v>
      </c>
      <c r="H145" s="2918"/>
      <c r="I145" s="2917">
        <f>ROUND(SUM(I16+I143),1)</f>
        <v>14506.1</v>
      </c>
      <c r="J145" s="2919"/>
      <c r="K145" s="2917">
        <f>ROUND(SUM(K16+K143),1)</f>
        <v>0</v>
      </c>
      <c r="L145" s="2919"/>
      <c r="M145" s="2917">
        <f>ROUND(SUM(M16+M143),1)</f>
        <v>0</v>
      </c>
      <c r="N145" s="2919"/>
      <c r="O145" s="2917">
        <f>ROUND(SUM(O16+O143),1)</f>
        <v>0</v>
      </c>
      <c r="P145" s="2919"/>
      <c r="Q145" s="2917">
        <f>ROUND(SUM(Q16+Q143),1)</f>
        <v>0</v>
      </c>
      <c r="R145" s="2919"/>
      <c r="S145" s="2917">
        <f>ROUND(SUM(S16+S143),1)</f>
        <v>0</v>
      </c>
      <c r="T145" s="2919"/>
      <c r="U145" s="2917">
        <f>ROUND(SUM(U16+U143),1)</f>
        <v>0</v>
      </c>
      <c r="V145" s="2919"/>
      <c r="W145" s="2917">
        <f>ROUND(SUM(W16+W143),1)</f>
        <v>0</v>
      </c>
      <c r="X145" s="2919"/>
      <c r="Y145" s="2917">
        <f>ROUND(SUM(Y16+Y143),1)</f>
        <v>0</v>
      </c>
      <c r="Z145" s="2918"/>
      <c r="AA145" s="2914"/>
      <c r="AB145" s="3301">
        <f>ROUND(SUM(AB16+AB143),1)</f>
        <v>14506.1</v>
      </c>
      <c r="AC145" s="3593"/>
      <c r="AD145" s="3549"/>
      <c r="AE145" s="3301">
        <f>ROUND(SUM(AE16+AE143),1)</f>
        <v>13256.6</v>
      </c>
      <c r="AF145" s="2640"/>
      <c r="AG145" s="3549"/>
      <c r="AH145" s="3301">
        <f>ROUND(SUM(AB145-AE145),1)</f>
        <v>1249.5</v>
      </c>
      <c r="AI145" s="2247"/>
      <c r="AJ145" s="3550">
        <f>ROUND(SUM(AH145/ABS(AE145)),3)</f>
        <v>9.4E-2</v>
      </c>
      <c r="AK145" s="2887"/>
    </row>
    <row r="146" spans="1:37" thickTop="1">
      <c r="A146" s="2920"/>
      <c r="C146" s="2899"/>
      <c r="AH146" s="3538"/>
      <c r="AI146" s="3538"/>
      <c r="AJ146" s="3538"/>
    </row>
    <row r="147" spans="1:37" ht="15">
      <c r="A147" s="2333" t="s">
        <v>1185</v>
      </c>
      <c r="AH147" s="3538"/>
      <c r="AI147" s="3538"/>
      <c r="AJ147" s="3538"/>
    </row>
    <row r="148" spans="1:37" ht="15">
      <c r="A148" s="2333" t="s">
        <v>1145</v>
      </c>
      <c r="AH148" s="3538"/>
      <c r="AI148" s="3538"/>
      <c r="AJ148" s="3538"/>
    </row>
    <row r="149" spans="1:37" ht="15">
      <c r="A149" s="2921" t="s">
        <v>1219</v>
      </c>
      <c r="AH149" s="3538"/>
      <c r="AI149" s="3538"/>
      <c r="AJ149" s="3538"/>
    </row>
    <row r="150" spans="1:37" ht="16.5" customHeight="1">
      <c r="AH150" s="3538"/>
      <c r="AI150" s="3538"/>
      <c r="AJ150" s="3538"/>
    </row>
    <row r="151" spans="1:37" ht="16.5" customHeight="1">
      <c r="AH151" s="3538"/>
      <c r="AI151" s="3538"/>
      <c r="AJ151" s="3538"/>
    </row>
    <row r="152" spans="1:37" ht="16.5" customHeight="1">
      <c r="AH152" s="3538"/>
      <c r="AI152" s="3538"/>
      <c r="AJ152" s="3538"/>
    </row>
    <row r="153" spans="1:37" ht="16.5" customHeight="1">
      <c r="AH153" s="3538"/>
      <c r="AI153" s="3538"/>
      <c r="AJ153" s="3538"/>
    </row>
    <row r="154" spans="1:37" ht="16.5" customHeight="1">
      <c r="AH154" s="3538"/>
      <c r="AI154" s="3538"/>
      <c r="AJ154" s="3538"/>
    </row>
    <row r="155" spans="1:37" ht="16.5" customHeight="1">
      <c r="AH155" s="3538"/>
      <c r="AI155" s="3538"/>
      <c r="AJ155" s="3538"/>
    </row>
    <row r="156" spans="1:37" ht="16.5" customHeight="1">
      <c r="AH156" s="3538"/>
      <c r="AI156" s="3538"/>
      <c r="AJ156" s="3538"/>
    </row>
    <row r="157" spans="1:37" ht="16.5" customHeight="1">
      <c r="AH157" s="3538"/>
      <c r="AI157" s="3538"/>
      <c r="AJ157" s="3538"/>
    </row>
    <row r="158" spans="1:37" ht="16.5" customHeight="1">
      <c r="AH158" s="3538"/>
      <c r="AI158" s="3538"/>
      <c r="AJ158" s="3538"/>
    </row>
    <row r="159" spans="1:37" ht="16.5" customHeight="1">
      <c r="AH159" s="3538"/>
      <c r="AI159" s="3538"/>
      <c r="AJ159" s="3538"/>
    </row>
    <row r="160" spans="1:37" ht="16.5" customHeight="1">
      <c r="AH160" s="3538"/>
      <c r="AI160" s="3538"/>
      <c r="AJ160" s="3538"/>
    </row>
    <row r="161" spans="34:36" ht="16.5" customHeight="1">
      <c r="AH161" s="3538"/>
      <c r="AI161" s="3538"/>
      <c r="AJ161" s="3538"/>
    </row>
    <row r="162" spans="34:36" ht="16.5" customHeight="1">
      <c r="AH162" s="3538"/>
      <c r="AI162" s="3538"/>
      <c r="AJ162" s="3538"/>
    </row>
    <row r="163" spans="34:36" ht="16.5" customHeight="1">
      <c r="AH163" s="3538"/>
      <c r="AI163" s="3538"/>
      <c r="AJ163" s="3538"/>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4" max="35" man="1"/>
  </rowBreaks>
  <ignoredErrors>
    <ignoredError sqref="AJ27:AJ34" unlockedFormula="1"/>
    <ignoredError sqref="AH24 AH35:AI35 AJ53 AJ35 AJ38 AJ92 AH93:AJ93 AB26" formula="1"/>
    <ignoredError sqref="AJ83 AJ73:AJ75 AJ70 AJ67 AJ69 AJ72 AJ112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workbookViewId="0"/>
  </sheetViews>
  <sheetFormatPr defaultColWidth="8.77734375" defaultRowHeight="12.75"/>
  <cols>
    <col min="1" max="1" width="2.5546875" style="2494" customWidth="1"/>
    <col min="2" max="2" width="48.5546875" style="2494" customWidth="1"/>
    <col min="3" max="3" width="1.109375" style="2494" customWidth="1"/>
    <col min="4" max="4" width="12.44140625" style="2494" bestFit="1" customWidth="1"/>
    <col min="5" max="5" width="1.77734375" style="2494" customWidth="1"/>
    <col min="6" max="6" width="12" style="2494" customWidth="1"/>
    <col min="7" max="7" width="1.77734375" style="2494" customWidth="1"/>
    <col min="8" max="8" width="12.21875" style="2494" customWidth="1"/>
    <col min="9" max="9" width="1.77734375" style="2494" customWidth="1"/>
    <col min="10" max="10" width="13.77734375" style="2495" customWidth="1"/>
    <col min="11" max="11" width="1.77734375" style="2494" customWidth="1"/>
    <col min="12" max="12" width="12.21875" style="2494" bestFit="1" customWidth="1"/>
    <col min="13" max="13" width="1.77734375" style="2494" customWidth="1"/>
    <col min="14" max="14" width="13.77734375" style="2494" customWidth="1"/>
    <col min="15" max="15" width="1.77734375" style="2494" customWidth="1"/>
    <col min="16" max="16" width="12.21875" style="2496" customWidth="1"/>
    <col min="17" max="17" width="1.77734375" style="2494" customWidth="1"/>
    <col min="18" max="18" width="12.21875" style="2494" customWidth="1"/>
    <col min="19" max="19" width="1.77734375" style="2494" customWidth="1"/>
    <col min="20" max="20" width="11.77734375" style="2494" customWidth="1"/>
    <col min="21" max="21" width="1.77734375" style="2494" customWidth="1"/>
    <col min="22" max="22" width="12.21875" style="2494" customWidth="1"/>
    <col min="23" max="23" width="1.77734375" style="2494" customWidth="1"/>
    <col min="24" max="24" width="12.77734375" style="2494" customWidth="1"/>
    <col min="25" max="25" width="1.77734375" style="2494" customWidth="1"/>
    <col min="26" max="26" width="10.77734375" style="2494" customWidth="1"/>
    <col min="27" max="27" width="1.5546875" style="2494" customWidth="1"/>
    <col min="28" max="28" width="1.77734375" style="2494" customWidth="1"/>
    <col min="29" max="29" width="12.21875" style="2496" bestFit="1" customWidth="1"/>
    <col min="30" max="30" width="1.44140625" style="2496" customWidth="1"/>
    <col min="31" max="31" width="1.21875" style="2496" customWidth="1"/>
    <col min="32" max="32" width="12.21875" style="2496" bestFit="1" customWidth="1"/>
    <col min="33" max="33" width="1" style="2494" customWidth="1"/>
    <col min="34" max="34" width="1.109375" style="2494" customWidth="1"/>
    <col min="35" max="35" width="13.109375" style="2494" bestFit="1" customWidth="1"/>
    <col min="36" max="36" width="1" style="2497" customWidth="1"/>
    <col min="37" max="37" width="13.77734375" style="2498" bestFit="1" customWidth="1"/>
    <col min="38" max="38" width="10.21875" style="2494" customWidth="1"/>
    <col min="39" max="16384" width="8.77734375" style="2494"/>
  </cols>
  <sheetData>
    <row r="1" spans="1:37" ht="15">
      <c r="B1" s="2310" t="s">
        <v>980</v>
      </c>
    </row>
    <row r="2" spans="1:37">
      <c r="A2" s="2499"/>
      <c r="B2" s="2092"/>
      <c r="C2" s="2092"/>
      <c r="D2" s="2092"/>
      <c r="E2" s="2092"/>
      <c r="F2" s="2092"/>
      <c r="G2" s="2092"/>
      <c r="H2" s="2092"/>
      <c r="I2" s="2092"/>
      <c r="J2" s="2500"/>
      <c r="K2" s="2092"/>
      <c r="L2" s="2092"/>
      <c r="M2" s="2092"/>
      <c r="N2" s="2092"/>
      <c r="O2" s="2092"/>
      <c r="P2" s="2267"/>
      <c r="Q2" s="2092"/>
      <c r="R2" s="2092"/>
      <c r="S2" s="2092"/>
      <c r="T2" s="2092"/>
      <c r="U2" s="2092"/>
      <c r="V2" s="2092"/>
      <c r="W2" s="2092"/>
      <c r="X2" s="2092"/>
      <c r="Y2" s="2092"/>
      <c r="Z2" s="2092"/>
      <c r="AA2" s="2092"/>
      <c r="AB2" s="2092"/>
      <c r="AC2" s="2267"/>
      <c r="AD2" s="2267"/>
      <c r="AE2" s="2267"/>
      <c r="AF2" s="2267"/>
      <c r="AG2" s="2092"/>
      <c r="AH2" s="2501"/>
    </row>
    <row r="3" spans="1:37" ht="18">
      <c r="A3" s="2499"/>
      <c r="B3" s="2502" t="s">
        <v>0</v>
      </c>
      <c r="C3" s="2092"/>
      <c r="D3" s="2092"/>
      <c r="E3" s="2092"/>
      <c r="F3" s="2503"/>
      <c r="G3" s="2092"/>
      <c r="H3" s="2092"/>
      <c r="I3" s="2092"/>
      <c r="J3" s="2500"/>
      <c r="K3" s="2092"/>
      <c r="L3" s="2092"/>
      <c r="M3" s="2504"/>
      <c r="N3" s="2505"/>
      <c r="O3" s="2092"/>
      <c r="P3" s="2267"/>
      <c r="Q3" s="2092"/>
      <c r="R3" s="2092"/>
      <c r="S3" s="2092"/>
      <c r="T3" s="2092"/>
      <c r="U3" s="2092"/>
      <c r="V3" s="2092"/>
      <c r="W3" s="2092"/>
      <c r="X3" s="2092"/>
      <c r="Y3" s="2092"/>
      <c r="Z3" s="2092"/>
      <c r="AA3" s="2092"/>
      <c r="AB3" s="2092"/>
      <c r="AC3" s="2267"/>
      <c r="AD3" s="2267"/>
      <c r="AE3" s="2267"/>
      <c r="AF3" s="2267"/>
      <c r="AG3" s="2092"/>
      <c r="AH3" s="2501"/>
      <c r="AK3" s="2506" t="s">
        <v>148</v>
      </c>
    </row>
    <row r="4" spans="1:37" ht="18">
      <c r="A4" s="2499"/>
      <c r="B4" s="2507" t="s">
        <v>147</v>
      </c>
      <c r="C4" s="2092"/>
      <c r="D4" s="2092"/>
      <c r="E4" s="2092"/>
      <c r="F4" s="2503"/>
      <c r="G4" s="2092"/>
      <c r="H4" s="2092" t="s">
        <v>15</v>
      </c>
      <c r="I4" s="2092"/>
      <c r="J4" s="2500"/>
      <c r="K4" s="2092"/>
      <c r="L4" s="2092"/>
      <c r="M4" s="2504"/>
      <c r="N4" s="2505"/>
      <c r="O4" s="2092"/>
      <c r="P4" s="2267"/>
      <c r="Q4" s="2092"/>
      <c r="R4" s="2092"/>
      <c r="S4" s="2092"/>
      <c r="T4" s="2092"/>
      <c r="U4" s="2092"/>
      <c r="V4" s="2092"/>
      <c r="W4" s="2092"/>
      <c r="X4" s="2092"/>
      <c r="Y4" s="2092"/>
      <c r="Z4" s="2092"/>
      <c r="AA4" s="2092"/>
      <c r="AB4" s="2092"/>
      <c r="AC4" s="3302"/>
      <c r="AD4" s="3302"/>
      <c r="AE4" s="3302"/>
      <c r="AF4" s="3683"/>
      <c r="AG4" s="2508"/>
      <c r="AH4" s="2501"/>
    </row>
    <row r="5" spans="1:37" ht="18">
      <c r="A5" s="2499"/>
      <c r="B5" s="2507" t="s">
        <v>149</v>
      </c>
      <c r="C5" s="2092"/>
      <c r="D5" s="2092"/>
      <c r="E5" s="2092"/>
      <c r="F5" s="2503"/>
      <c r="G5" s="2092"/>
      <c r="H5" s="2092"/>
      <c r="I5" s="2092"/>
      <c r="J5" s="2500"/>
      <c r="K5" s="2092"/>
      <c r="L5" s="2092"/>
      <c r="M5" s="2504"/>
      <c r="N5" s="2505"/>
      <c r="O5" s="2092"/>
      <c r="P5" s="2267"/>
      <c r="Q5" s="2092"/>
      <c r="R5" s="2092"/>
      <c r="S5" s="2092"/>
      <c r="T5" s="2092"/>
      <c r="U5" s="2092"/>
      <c r="V5" s="2092"/>
      <c r="W5" s="2092"/>
      <c r="X5" s="2092"/>
      <c r="Y5" s="2092"/>
      <c r="Z5" s="2092"/>
      <c r="AA5" s="2092"/>
      <c r="AB5" s="2092"/>
      <c r="AD5" s="3303"/>
      <c r="AE5" s="3303"/>
      <c r="AH5" s="2501"/>
    </row>
    <row r="6" spans="1:37" ht="18" customHeight="1">
      <c r="A6" s="2499"/>
      <c r="B6" s="2509" t="str">
        <f>'Cashflow Governmental'!A6</f>
        <v>FISCAL YEAR 2019-2020</v>
      </c>
      <c r="C6" s="2092"/>
      <c r="D6" s="2092"/>
      <c r="E6" s="2092"/>
      <c r="F6" s="2503"/>
      <c r="G6" s="2092"/>
      <c r="H6" s="2092"/>
      <c r="I6" s="2092"/>
      <c r="J6" s="2500"/>
      <c r="K6" s="2092"/>
      <c r="L6" s="2092"/>
      <c r="M6" s="2504"/>
      <c r="N6" s="2505"/>
      <c r="O6" s="2092"/>
      <c r="P6" s="2267"/>
      <c r="Q6" s="2092"/>
      <c r="R6" s="2092"/>
      <c r="S6" s="2092"/>
      <c r="T6" s="2092"/>
      <c r="U6" s="2092"/>
      <c r="V6" s="2092"/>
      <c r="W6" s="2092"/>
      <c r="X6" s="2092"/>
      <c r="Y6" s="2092"/>
      <c r="Z6" s="2092"/>
      <c r="AA6" s="2092"/>
      <c r="AB6" s="2092"/>
      <c r="AC6" s="2267"/>
      <c r="AD6" s="2267"/>
      <c r="AE6" s="2267"/>
      <c r="AF6" s="2267"/>
      <c r="AG6" s="2092"/>
      <c r="AH6" s="2501"/>
    </row>
    <row r="7" spans="1:37" ht="15" customHeight="1">
      <c r="A7" s="2499"/>
      <c r="B7" s="2507" t="s">
        <v>1433</v>
      </c>
      <c r="C7" s="2092"/>
      <c r="D7" s="2092"/>
      <c r="E7" s="2092"/>
      <c r="F7" s="2503"/>
      <c r="G7" s="2092"/>
      <c r="H7" s="2092"/>
      <c r="I7" s="2092"/>
      <c r="J7" s="2500"/>
      <c r="K7" s="2092"/>
      <c r="L7" s="2505"/>
      <c r="M7" s="2504"/>
      <c r="N7" s="2092"/>
      <c r="O7" s="2092"/>
      <c r="P7" s="3236"/>
      <c r="Q7" s="2092"/>
      <c r="R7" s="2092"/>
      <c r="S7" s="2092"/>
      <c r="T7" s="2092"/>
      <c r="U7" s="2092"/>
      <c r="V7" s="2092"/>
      <c r="W7" s="2092"/>
      <c r="X7" s="2092"/>
      <c r="Y7" s="2092"/>
      <c r="Z7" s="2092"/>
      <c r="AA7" s="2092"/>
      <c r="AB7" s="2092"/>
      <c r="AC7" s="2267"/>
      <c r="AD7" s="2267"/>
      <c r="AE7" s="2267"/>
      <c r="AF7" s="2267"/>
      <c r="AG7" s="2092"/>
      <c r="AH7" s="2501"/>
    </row>
    <row r="8" spans="1:37" ht="15.75">
      <c r="A8" s="2499"/>
      <c r="B8" s="2092"/>
      <c r="C8" s="2092"/>
      <c r="D8" s="2092"/>
      <c r="E8" s="2092"/>
      <c r="F8" s="2503"/>
      <c r="G8" s="2092"/>
      <c r="H8" s="2092"/>
      <c r="I8" s="2092"/>
      <c r="J8" s="2500"/>
      <c r="K8" s="2092"/>
      <c r="L8" s="2092"/>
      <c r="M8" s="2092"/>
      <c r="N8" s="2092"/>
      <c r="O8" s="2092"/>
      <c r="P8" s="2267"/>
      <c r="Q8" s="2092"/>
      <c r="R8" s="2092"/>
      <c r="S8" s="2092"/>
      <c r="T8" s="2092"/>
      <c r="U8" s="2092"/>
      <c r="V8" s="2092"/>
      <c r="W8" s="2092"/>
      <c r="X8" s="2092"/>
      <c r="Y8" s="2092"/>
      <c r="Z8" s="2092"/>
      <c r="AA8" s="2092"/>
      <c r="AB8" s="3809" t="str">
        <f>+'Cashflow Governmental'!AB12:AJ12</f>
        <v>4 Months Ended July 31</v>
      </c>
      <c r="AC8" s="3809"/>
      <c r="AD8" s="3809"/>
      <c r="AE8" s="3809"/>
      <c r="AF8" s="3809"/>
      <c r="AG8" s="3809"/>
      <c r="AH8" s="3809"/>
      <c r="AI8" s="3809"/>
      <c r="AJ8" s="3809"/>
      <c r="AK8" s="3809"/>
    </row>
    <row r="9" spans="1:37" ht="15" customHeight="1">
      <c r="A9" s="2499"/>
      <c r="B9" s="2089"/>
      <c r="C9" s="2089"/>
      <c r="D9" s="2510" t="str">
        <f>'Cashflow Governmental'!C13</f>
        <v>2019</v>
      </c>
      <c r="E9" s="2511"/>
      <c r="F9" s="2511"/>
      <c r="G9" s="2511"/>
      <c r="H9" s="2511"/>
      <c r="I9" s="2511"/>
      <c r="J9" s="2511"/>
      <c r="K9" s="2511"/>
      <c r="L9" s="2511"/>
      <c r="M9" s="2511"/>
      <c r="N9" s="2511"/>
      <c r="O9" s="2511"/>
      <c r="P9" s="3237"/>
      <c r="Q9" s="2511"/>
      <c r="R9" s="2511"/>
      <c r="S9" s="2511"/>
      <c r="T9" s="2511"/>
      <c r="U9" s="2511"/>
      <c r="V9" s="2510" t="str">
        <f>'Cashflow Governmental'!U13</f>
        <v>2020</v>
      </c>
      <c r="W9" s="2511"/>
      <c r="X9" s="2511"/>
      <c r="Y9" s="2511"/>
      <c r="Z9" s="2511"/>
      <c r="AA9" s="2505"/>
      <c r="AB9" s="2504"/>
      <c r="AC9" s="2514"/>
      <c r="AD9" s="1915"/>
      <c r="AE9" s="1915"/>
      <c r="AF9" s="2514"/>
      <c r="AG9" s="2512"/>
      <c r="AH9" s="2515"/>
      <c r="AI9" s="2516" t="s">
        <v>8</v>
      </c>
      <c r="AJ9" s="2512"/>
      <c r="AK9" s="2517" t="s">
        <v>9</v>
      </c>
    </row>
    <row r="10" spans="1:37" ht="15" customHeight="1">
      <c r="A10" s="2499"/>
      <c r="B10" s="2089"/>
      <c r="C10" s="2089"/>
      <c r="D10" s="2518" t="s">
        <v>125</v>
      </c>
      <c r="E10" s="2504"/>
      <c r="F10" s="2519" t="s">
        <v>126</v>
      </c>
      <c r="G10" s="2504"/>
      <c r="H10" s="2519" t="s">
        <v>127</v>
      </c>
      <c r="I10" s="2504"/>
      <c r="J10" s="2520" t="s">
        <v>128</v>
      </c>
      <c r="K10" s="2504"/>
      <c r="L10" s="2521" t="s">
        <v>129</v>
      </c>
      <c r="M10" s="2504"/>
      <c r="N10" s="2521" t="s">
        <v>144</v>
      </c>
      <c r="O10" s="2504"/>
      <c r="P10" s="2679" t="s">
        <v>145</v>
      </c>
      <c r="Q10" s="2504"/>
      <c r="R10" s="2521" t="s">
        <v>132</v>
      </c>
      <c r="S10" s="2504"/>
      <c r="T10" s="2521" t="s">
        <v>133</v>
      </c>
      <c r="U10" s="2504"/>
      <c r="V10" s="2521" t="s">
        <v>134</v>
      </c>
      <c r="W10" s="2504"/>
      <c r="X10" s="2521" t="s">
        <v>135</v>
      </c>
      <c r="Y10" s="2504"/>
      <c r="Z10" s="2521" t="s">
        <v>186</v>
      </c>
      <c r="AA10" s="2517"/>
      <c r="AB10" s="2504"/>
      <c r="AC10" s="3304" t="str">
        <f>'Cashflow Governmental'!AB14</f>
        <v>2019</v>
      </c>
      <c r="AD10" s="2633" t="s">
        <v>15</v>
      </c>
      <c r="AE10" s="2633"/>
      <c r="AF10" s="3304" t="str">
        <f>'Cashflow Governmental'!AE14</f>
        <v>2018</v>
      </c>
      <c r="AG10" s="2522"/>
      <c r="AH10" s="2515"/>
      <c r="AI10" s="2523" t="s">
        <v>12</v>
      </c>
      <c r="AJ10" s="2505"/>
      <c r="AK10" s="2524" t="s">
        <v>13</v>
      </c>
    </row>
    <row r="11" spans="1:37" ht="5.25" customHeight="1">
      <c r="A11" s="2499"/>
      <c r="B11" s="2089"/>
      <c r="C11" s="2089"/>
      <c r="D11" s="2525" t="s">
        <v>15</v>
      </c>
      <c r="E11" s="2089"/>
      <c r="F11" s="2526"/>
      <c r="G11" s="2089"/>
      <c r="H11" s="2525"/>
      <c r="I11" s="2089"/>
      <c r="J11" s="2118"/>
      <c r="K11" s="2089"/>
      <c r="L11" s="2525"/>
      <c r="M11" s="2089"/>
      <c r="N11" s="2525"/>
      <c r="O11" s="2089"/>
      <c r="P11" s="3200"/>
      <c r="Q11" s="2089"/>
      <c r="R11" s="2525"/>
      <c r="S11" s="2089"/>
      <c r="T11" s="2525"/>
      <c r="U11" s="2089"/>
      <c r="V11" s="2525"/>
      <c r="W11" s="2089"/>
      <c r="X11" s="2525"/>
      <c r="Y11" s="2089"/>
      <c r="Z11" s="2525"/>
      <c r="AA11" s="2088"/>
      <c r="AB11" s="2089"/>
      <c r="AC11" s="2259"/>
      <c r="AD11" s="2260"/>
      <c r="AE11" s="2260"/>
      <c r="AF11" s="2259"/>
      <c r="AG11" s="2088"/>
      <c r="AH11" s="2527"/>
    </row>
    <row r="12" spans="1:37" ht="15" customHeight="1">
      <c r="A12" s="2528"/>
      <c r="B12" s="2529" t="s">
        <v>137</v>
      </c>
      <c r="C12" s="2111"/>
      <c r="D12" s="2530">
        <v>7205.7</v>
      </c>
      <c r="E12" s="2531"/>
      <c r="F12" s="2532">
        <f>D138</f>
        <v>11968.7</v>
      </c>
      <c r="G12" s="2531"/>
      <c r="H12" s="2532">
        <f>F138</f>
        <v>5221.6000000000004</v>
      </c>
      <c r="I12" s="2531"/>
      <c r="J12" s="2532">
        <f>H138</f>
        <v>6593</v>
      </c>
      <c r="K12" s="2531"/>
      <c r="L12" s="2532"/>
      <c r="M12" s="2531"/>
      <c r="N12" s="2532"/>
      <c r="O12" s="2531"/>
      <c r="P12" s="2096"/>
      <c r="Q12" s="2531"/>
      <c r="R12" s="2096"/>
      <c r="S12" s="2531"/>
      <c r="T12" s="2532"/>
      <c r="U12" s="2531"/>
      <c r="V12" s="2532"/>
      <c r="W12" s="2532"/>
      <c r="X12" s="2532"/>
      <c r="Y12" s="2531"/>
      <c r="Z12" s="2532"/>
      <c r="AA12" s="2531"/>
      <c r="AB12" s="2533"/>
      <c r="AC12" s="2096">
        <f>D12</f>
        <v>7205.7</v>
      </c>
      <c r="AD12" s="2534"/>
      <c r="AE12" s="3305"/>
      <c r="AF12" s="3667">
        <v>9445</v>
      </c>
      <c r="AG12" s="2531"/>
      <c r="AH12" s="2535"/>
      <c r="AI12" s="2532">
        <f>ROUND(SUM(+AC12-AF12),1)</f>
        <v>-2239.3000000000002</v>
      </c>
      <c r="AJ12" s="2536"/>
      <c r="AK12" s="1470">
        <f>ROUND(IF(AF12=0,0,AI12/ABS(AF12)),3)</f>
        <v>-0.23699999999999999</v>
      </c>
    </row>
    <row r="13" spans="1:37" ht="15" customHeight="1">
      <c r="A13" s="2528"/>
      <c r="B13" s="2111"/>
      <c r="C13" s="2111"/>
      <c r="D13" s="2111"/>
      <c r="E13" s="2111"/>
      <c r="F13" s="2537"/>
      <c r="G13" s="2111"/>
      <c r="H13" s="2537"/>
      <c r="I13" s="2111"/>
      <c r="J13" s="2062"/>
      <c r="K13" s="2111"/>
      <c r="L13" s="2537"/>
      <c r="M13" s="2111"/>
      <c r="N13" s="2089"/>
      <c r="O13" s="2111"/>
      <c r="P13" s="2260"/>
      <c r="Q13" s="2111"/>
      <c r="R13" s="2089"/>
      <c r="S13" s="2111"/>
      <c r="T13" s="2089"/>
      <c r="U13" s="2111"/>
      <c r="V13" s="2089"/>
      <c r="W13" s="2111"/>
      <c r="X13" s="2089"/>
      <c r="Y13" s="2111"/>
      <c r="Z13" s="2089"/>
      <c r="AA13" s="2089"/>
      <c r="AB13" s="2110"/>
      <c r="AC13" s="2260"/>
      <c r="AD13" s="2542"/>
      <c r="AE13" s="3306"/>
      <c r="AF13" s="2260"/>
      <c r="AG13" s="2089"/>
      <c r="AH13" s="2527"/>
      <c r="AI13" s="2092"/>
      <c r="AJ13" s="2538"/>
      <c r="AK13" s="1489"/>
    </row>
    <row r="14" spans="1:37" ht="15" customHeight="1">
      <c r="A14" s="2528"/>
      <c r="B14" s="2504" t="s">
        <v>14</v>
      </c>
      <c r="C14" s="2111"/>
      <c r="D14" s="2111"/>
      <c r="E14" s="2111"/>
      <c r="F14" s="2089"/>
      <c r="G14" s="2111"/>
      <c r="H14" s="2089"/>
      <c r="I14" s="2111"/>
      <c r="J14" s="2062"/>
      <c r="K14" s="2111"/>
      <c r="L14" s="2089"/>
      <c r="M14" s="2111"/>
      <c r="N14" s="2089"/>
      <c r="O14" s="2111"/>
      <c r="P14" s="2260"/>
      <c r="Q14" s="2111"/>
      <c r="R14" s="2089"/>
      <c r="S14" s="2111"/>
      <c r="T14" s="2089"/>
      <c r="U14" s="2111"/>
      <c r="V14" s="2089"/>
      <c r="W14" s="2111"/>
      <c r="X14" s="2089"/>
      <c r="Y14" s="2111"/>
      <c r="Z14" s="2089"/>
      <c r="AA14" s="2089"/>
      <c r="AB14" s="2110"/>
      <c r="AC14" s="2260"/>
      <c r="AD14" s="2542"/>
      <c r="AE14" s="3306"/>
      <c r="AF14" s="2260"/>
      <c r="AG14" s="2089"/>
      <c r="AH14" s="2527"/>
      <c r="AI14" s="2092"/>
      <c r="AJ14" s="2538"/>
      <c r="AK14" s="1489"/>
    </row>
    <row r="15" spans="1:37" ht="15" customHeight="1">
      <c r="A15" s="2528"/>
      <c r="B15" s="2539" t="s">
        <v>1098</v>
      </c>
      <c r="C15" s="2111"/>
      <c r="D15" s="2111"/>
      <c r="E15" s="2111"/>
      <c r="F15" s="2089"/>
      <c r="G15" s="2111"/>
      <c r="H15" s="2089"/>
      <c r="I15" s="2111"/>
      <c r="J15" s="2062"/>
      <c r="K15" s="2111"/>
      <c r="L15" s="2089"/>
      <c r="M15" s="2111"/>
      <c r="N15" s="2089"/>
      <c r="O15" s="2111"/>
      <c r="P15" s="2260"/>
      <c r="Q15" s="2111"/>
      <c r="R15" s="2089"/>
      <c r="S15" s="2111"/>
      <c r="T15" s="2089"/>
      <c r="U15" s="2111"/>
      <c r="V15" s="2089"/>
      <c r="W15" s="2111"/>
      <c r="X15" s="2089"/>
      <c r="Y15" s="2111"/>
      <c r="Z15" s="2089"/>
      <c r="AA15" s="2089"/>
      <c r="AB15" s="2110"/>
      <c r="AC15" s="2260"/>
      <c r="AD15" s="2542"/>
      <c r="AE15" s="3306"/>
      <c r="AF15" s="2260"/>
      <c r="AG15" s="2089"/>
      <c r="AH15" s="2527"/>
      <c r="AI15" s="2092"/>
      <c r="AJ15" s="2538"/>
      <c r="AK15" s="1489"/>
    </row>
    <row r="16" spans="1:37" ht="15" customHeight="1">
      <c r="A16" s="2528"/>
      <c r="B16" s="2540" t="s">
        <v>1165</v>
      </c>
      <c r="C16" s="2111"/>
      <c r="D16" s="2111"/>
      <c r="E16" s="2111"/>
      <c r="F16" s="2089"/>
      <c r="G16" s="2111"/>
      <c r="H16" s="2089"/>
      <c r="I16" s="2111"/>
      <c r="J16" s="2062"/>
      <c r="K16" s="2111"/>
      <c r="L16" s="2089"/>
      <c r="M16" s="2111"/>
      <c r="N16" s="2089"/>
      <c r="O16" s="2111"/>
      <c r="P16" s="2260"/>
      <c r="Q16" s="2111"/>
      <c r="R16" s="2089"/>
      <c r="S16" s="2111"/>
      <c r="T16" s="2089"/>
      <c r="U16" s="2111"/>
      <c r="V16" s="2089"/>
      <c r="W16" s="2111"/>
      <c r="X16" s="2089"/>
      <c r="Y16" s="2111"/>
      <c r="Z16" s="2089"/>
      <c r="AA16" s="2089"/>
      <c r="AB16" s="2110"/>
      <c r="AC16" s="2260"/>
      <c r="AD16" s="2542"/>
      <c r="AE16" s="3306"/>
      <c r="AF16" s="2260"/>
      <c r="AG16" s="2089"/>
      <c r="AH16" s="2527"/>
      <c r="AI16" s="2092"/>
      <c r="AJ16" s="2538"/>
      <c r="AK16" s="1489"/>
    </row>
    <row r="17" spans="1:38" s="2496" customFormat="1" ht="15" customHeight="1">
      <c r="A17" s="2541"/>
      <c r="B17" s="2411" t="s">
        <v>1104</v>
      </c>
      <c r="C17" s="2542"/>
      <c r="D17" s="1851">
        <v>3237.1</v>
      </c>
      <c r="E17" s="1532"/>
      <c r="F17" s="1851">
        <v>3220.1</v>
      </c>
      <c r="G17" s="1532"/>
      <c r="H17" s="1851">
        <v>2922.2999999999997</v>
      </c>
      <c r="I17" s="2543"/>
      <c r="J17" s="1851">
        <f>$AC17-$D17-$F17-$H17</f>
        <v>3365.7999999999988</v>
      </c>
      <c r="K17" s="2065"/>
      <c r="L17" s="1851"/>
      <c r="M17" s="2065"/>
      <c r="N17" s="1851"/>
      <c r="O17" s="2065"/>
      <c r="P17" s="1851"/>
      <c r="Q17" s="2065"/>
      <c r="R17" s="1851"/>
      <c r="S17" s="2065"/>
      <c r="T17" s="1851"/>
      <c r="U17" s="2065"/>
      <c r="V17" s="1851"/>
      <c r="W17" s="2065"/>
      <c r="X17" s="1851"/>
      <c r="Y17" s="2065"/>
      <c r="Z17" s="1851"/>
      <c r="AA17" s="2066"/>
      <c r="AB17" s="2069"/>
      <c r="AC17" s="1867">
        <v>12745.3</v>
      </c>
      <c r="AD17" s="2108"/>
      <c r="AE17" s="2069" t="s">
        <v>15</v>
      </c>
      <c r="AF17" s="1867">
        <v>11807.3</v>
      </c>
      <c r="AG17" s="2260"/>
      <c r="AH17" s="2544"/>
      <c r="AI17" s="2067">
        <f>ROUND(SUM(+AC17-AF17),1)</f>
        <v>938</v>
      </c>
      <c r="AJ17" s="2545"/>
      <c r="AK17" s="1786">
        <f t="shared" ref="AK17:AK21" si="0">ROUND(IF(AF17=0,0,AI17/ABS(AF17)),3)</f>
        <v>7.9000000000000001E-2</v>
      </c>
      <c r="AL17" s="2494"/>
    </row>
    <row r="18" spans="1:38" s="2496" customFormat="1" ht="15" customHeight="1">
      <c r="A18" s="2541"/>
      <c r="B18" s="2411" t="s">
        <v>1401</v>
      </c>
      <c r="C18" s="2542"/>
      <c r="D18" s="1851">
        <v>6843.2</v>
      </c>
      <c r="E18" s="1460"/>
      <c r="F18" s="1851">
        <v>112.60000000000036</v>
      </c>
      <c r="G18" s="1460"/>
      <c r="H18" s="1851">
        <v>2396.4000000000005</v>
      </c>
      <c r="I18" s="2546"/>
      <c r="J18" s="1851">
        <f t="shared" ref="J18:J25" si="1">$AC18-$D18-$F18-$H18</f>
        <v>118.69999999999891</v>
      </c>
      <c r="K18" s="2065"/>
      <c r="L18" s="1851"/>
      <c r="M18" s="2065"/>
      <c r="N18" s="1851"/>
      <c r="O18" s="2065"/>
      <c r="P18" s="1851"/>
      <c r="Q18" s="2065"/>
      <c r="R18" s="1851"/>
      <c r="S18" s="2065"/>
      <c r="T18" s="1851"/>
      <c r="U18" s="2065"/>
      <c r="V18" s="1851"/>
      <c r="W18" s="2065"/>
      <c r="X18" s="1851"/>
      <c r="Y18" s="2065"/>
      <c r="Z18" s="1851"/>
      <c r="AA18" s="2066"/>
      <c r="AB18" s="2069"/>
      <c r="AC18" s="1867">
        <v>9470.9</v>
      </c>
      <c r="AD18" s="2108"/>
      <c r="AE18" s="2069" t="s">
        <v>15</v>
      </c>
      <c r="AF18" s="1867">
        <v>6793.8</v>
      </c>
      <c r="AG18" s="2260"/>
      <c r="AH18" s="2544"/>
      <c r="AI18" s="2067">
        <f>ROUND(SUM(+AC18-AF18),1)</f>
        <v>2677.1</v>
      </c>
      <c r="AJ18" s="2545"/>
      <c r="AK18" s="1786">
        <f t="shared" si="0"/>
        <v>0.39400000000000002</v>
      </c>
      <c r="AL18" s="2494"/>
    </row>
    <row r="19" spans="1:38" s="2496" customFormat="1" ht="15" customHeight="1">
      <c r="A19" s="2541"/>
      <c r="B19" s="2411" t="s">
        <v>1105</v>
      </c>
      <c r="C19" s="2542"/>
      <c r="D19" s="1851">
        <v>2286.9</v>
      </c>
      <c r="E19" s="1460"/>
      <c r="F19" s="1851">
        <v>75.099999999999994</v>
      </c>
      <c r="G19" s="1460"/>
      <c r="H19" s="1851">
        <v>54.1</v>
      </c>
      <c r="I19" s="2546"/>
      <c r="J19" s="1851">
        <f t="shared" si="1"/>
        <v>40.800000000000004</v>
      </c>
      <c r="K19" s="2065"/>
      <c r="L19" s="1851"/>
      <c r="M19" s="2065"/>
      <c r="N19" s="1851"/>
      <c r="O19" s="2065"/>
      <c r="P19" s="1851"/>
      <c r="Q19" s="2065"/>
      <c r="R19" s="1851"/>
      <c r="S19" s="2065"/>
      <c r="T19" s="1851"/>
      <c r="U19" s="2065"/>
      <c r="V19" s="1851"/>
      <c r="W19" s="2065"/>
      <c r="X19" s="1851"/>
      <c r="Y19" s="2065"/>
      <c r="Z19" s="1851"/>
      <c r="AA19" s="2066"/>
      <c r="AB19" s="2069"/>
      <c r="AC19" s="1867">
        <v>2456.9</v>
      </c>
      <c r="AD19" s="2108"/>
      <c r="AE19" s="2069" t="s">
        <v>15</v>
      </c>
      <c r="AF19" s="1867">
        <v>1786.6</v>
      </c>
      <c r="AG19" s="2260"/>
      <c r="AH19" s="2544"/>
      <c r="AI19" s="2067">
        <f>ROUND(SUM(+AC19-AF19),1)</f>
        <v>670.3</v>
      </c>
      <c r="AJ19" s="2545"/>
      <c r="AK19" s="1786">
        <f t="shared" si="0"/>
        <v>0.375</v>
      </c>
      <c r="AL19" s="2494"/>
    </row>
    <row r="20" spans="1:38" s="2496" customFormat="1" ht="15" customHeight="1">
      <c r="A20" s="2541"/>
      <c r="B20" s="2547" t="s">
        <v>1106</v>
      </c>
      <c r="C20" s="2542"/>
      <c r="D20" s="1851">
        <v>-296.89999999999998</v>
      </c>
      <c r="E20" s="1460"/>
      <c r="F20" s="1851">
        <v>-31.100000000000023</v>
      </c>
      <c r="G20" s="1460"/>
      <c r="H20" s="1851">
        <v>-25.899999999999977</v>
      </c>
      <c r="I20" s="2546"/>
      <c r="J20" s="1851">
        <f t="shared" si="1"/>
        <v>-21</v>
      </c>
      <c r="K20" s="2065"/>
      <c r="L20" s="1851"/>
      <c r="M20" s="2065"/>
      <c r="N20" s="1851"/>
      <c r="O20" s="2065"/>
      <c r="P20" s="1851"/>
      <c r="Q20" s="2065"/>
      <c r="R20" s="1851"/>
      <c r="S20" s="2065"/>
      <c r="T20" s="1851"/>
      <c r="U20" s="2065"/>
      <c r="V20" s="1851"/>
      <c r="W20" s="2065"/>
      <c r="X20" s="1851"/>
      <c r="Y20" s="2065"/>
      <c r="Z20" s="1851"/>
      <c r="AA20" s="2066"/>
      <c r="AB20" s="2069"/>
      <c r="AC20" s="1867">
        <v>-374.9</v>
      </c>
      <c r="AD20" s="2108"/>
      <c r="AE20" s="2069" t="s">
        <v>15</v>
      </c>
      <c r="AF20" s="1867">
        <v>-354.7</v>
      </c>
      <c r="AG20" s="2260"/>
      <c r="AH20" s="2544"/>
      <c r="AI20" s="2067">
        <f>-ROUND(SUM(+AC20-AF20),1)</f>
        <v>20.2</v>
      </c>
      <c r="AJ20" s="2545"/>
      <c r="AK20" s="1786">
        <f t="shared" si="0"/>
        <v>5.7000000000000002E-2</v>
      </c>
      <c r="AL20" s="2494"/>
    </row>
    <row r="21" spans="1:38" s="2496" customFormat="1" ht="15" customHeight="1">
      <c r="A21" s="2541"/>
      <c r="B21" s="2547" t="s">
        <v>1399</v>
      </c>
      <c r="C21" s="2542"/>
      <c r="D21" s="1851">
        <v>170.3</v>
      </c>
      <c r="E21" s="1460"/>
      <c r="F21" s="1851">
        <v>105.19999999999999</v>
      </c>
      <c r="G21" s="1460"/>
      <c r="H21" s="1851">
        <v>96.199999999999989</v>
      </c>
      <c r="I21" s="2546"/>
      <c r="J21" s="1851">
        <f t="shared" si="1"/>
        <v>89.300000000000011</v>
      </c>
      <c r="K21" s="2065"/>
      <c r="L21" s="1851"/>
      <c r="M21" s="2065"/>
      <c r="N21" s="1851"/>
      <c r="O21" s="2065"/>
      <c r="P21" s="1851"/>
      <c r="Q21" s="2065"/>
      <c r="R21" s="1851"/>
      <c r="S21" s="2065"/>
      <c r="T21" s="1851"/>
      <c r="U21" s="2065"/>
      <c r="V21" s="1851"/>
      <c r="W21" s="2065"/>
      <c r="X21" s="1851"/>
      <c r="Y21" s="2065"/>
      <c r="Z21" s="1851"/>
      <c r="AA21" s="2066"/>
      <c r="AB21" s="2069"/>
      <c r="AC21" s="1867">
        <v>461</v>
      </c>
      <c r="AD21" s="2108"/>
      <c r="AE21" s="2069" t="s">
        <v>15</v>
      </c>
      <c r="AF21" s="1867">
        <v>439.6</v>
      </c>
      <c r="AG21" s="2260"/>
      <c r="AH21" s="2544"/>
      <c r="AI21" s="2067">
        <f>ROUND(SUM(+AC21-AF21),1)</f>
        <v>21.4</v>
      </c>
      <c r="AJ21" s="2545"/>
      <c r="AK21" s="1786">
        <f t="shared" si="0"/>
        <v>4.9000000000000002E-2</v>
      </c>
      <c r="AL21" s="2494"/>
    </row>
    <row r="22" spans="1:38" ht="15" customHeight="1">
      <c r="A22" s="2528"/>
      <c r="B22" s="2392" t="s">
        <v>1107</v>
      </c>
      <c r="C22" s="2111"/>
      <c r="D22" s="2548">
        <f>ROUND(SUM(D17:D21),1)</f>
        <v>12240.6</v>
      </c>
      <c r="E22" s="2546"/>
      <c r="F22" s="2549">
        <f>ROUND(SUM(F17:F21),1)</f>
        <v>3481.9</v>
      </c>
      <c r="G22" s="2546"/>
      <c r="H22" s="2548">
        <f>ROUND(SUM(H17:H21),1)</f>
        <v>5443.1</v>
      </c>
      <c r="I22" s="2546"/>
      <c r="J22" s="2549">
        <f>ROUND(SUM(J17:J21),1)</f>
        <v>3593.6</v>
      </c>
      <c r="K22" s="2111"/>
      <c r="L22" s="2109">
        <f>ROUND(SUM(L17:L21),1)</f>
        <v>0</v>
      </c>
      <c r="M22" s="2111"/>
      <c r="N22" s="2109">
        <f>ROUND(SUM(N17:N21),1)</f>
        <v>0</v>
      </c>
      <c r="O22" s="2073"/>
      <c r="P22" s="1500">
        <f>ROUND(SUM(P17:P21),1)</f>
        <v>0</v>
      </c>
      <c r="Q22" s="2073"/>
      <c r="R22" s="2109">
        <f>ROUND(SUM(R17:R21),1)</f>
        <v>0</v>
      </c>
      <c r="S22" s="2073"/>
      <c r="T22" s="2109">
        <f>ROUND(SUM(T17:T21),1)</f>
        <v>0</v>
      </c>
      <c r="U22" s="2073"/>
      <c r="V22" s="2109">
        <f>ROUND(SUM(V17:V21),1)</f>
        <v>0</v>
      </c>
      <c r="W22" s="2073"/>
      <c r="X22" s="2109">
        <f>ROUND(SUM(X17:X21),1)</f>
        <v>0</v>
      </c>
      <c r="Y22" s="2073"/>
      <c r="Z22" s="2109">
        <f>ROUND(SUM(Z17:Z21),1)</f>
        <v>0</v>
      </c>
      <c r="AA22" s="2089"/>
      <c r="AB22" s="2110"/>
      <c r="AC22" s="3307">
        <f>ROUND(SUM(AC17:AC21),1)</f>
        <v>24759.200000000001</v>
      </c>
      <c r="AD22" s="2542"/>
      <c r="AE22" s="3308" t="s">
        <v>15</v>
      </c>
      <c r="AF22" s="1500">
        <f>ROUND(SUM(AF17:AF21),1)</f>
        <v>20472.599999999999</v>
      </c>
      <c r="AG22" s="2089"/>
      <c r="AH22" s="2527"/>
      <c r="AI22" s="2109">
        <f>ROUND(SUM(AC22-AF22),1)</f>
        <v>4286.6000000000004</v>
      </c>
      <c r="AJ22" s="2538"/>
      <c r="AK22" s="1485">
        <f>ROUND(SUM(+AI22/AF22),3)</f>
        <v>0.20899999999999999</v>
      </c>
    </row>
    <row r="23" spans="1:38" s="2496" customFormat="1" ht="15" customHeight="1">
      <c r="A23" s="2541"/>
      <c r="B23" s="2547" t="s">
        <v>1109</v>
      </c>
      <c r="C23" s="2542"/>
      <c r="D23" s="1851">
        <v>0</v>
      </c>
      <c r="E23" s="1460"/>
      <c r="F23" s="1851">
        <v>0</v>
      </c>
      <c r="G23" s="1460"/>
      <c r="H23" s="1851">
        <v>0</v>
      </c>
      <c r="I23" s="2546"/>
      <c r="J23" s="1851">
        <f t="shared" si="1"/>
        <v>0</v>
      </c>
      <c r="K23" s="2065"/>
      <c r="L23" s="1851"/>
      <c r="M23" s="2065"/>
      <c r="N23" s="1851"/>
      <c r="O23" s="2065"/>
      <c r="P23" s="1851"/>
      <c r="Q23" s="2065"/>
      <c r="R23" s="1851"/>
      <c r="S23" s="2065"/>
      <c r="T23" s="1851"/>
      <c r="U23" s="2065"/>
      <c r="V23" s="1851"/>
      <c r="W23" s="2065"/>
      <c r="X23" s="1851"/>
      <c r="Y23" s="2065"/>
      <c r="Z23" s="1851"/>
      <c r="AA23" s="2066"/>
      <c r="AB23" s="2069"/>
      <c r="AC23" s="1867">
        <v>0</v>
      </c>
      <c r="AD23" s="2108"/>
      <c r="AE23" s="2069" t="s">
        <v>15</v>
      </c>
      <c r="AF23" s="1867">
        <v>0</v>
      </c>
      <c r="AG23" s="2260"/>
      <c r="AH23" s="2544"/>
      <c r="AI23" s="2067">
        <f>-ROUND(SUM(+AC23-AF23),1)</f>
        <v>0</v>
      </c>
      <c r="AJ23" s="2545"/>
      <c r="AK23" s="1786">
        <f>ROUND(IF(AF23=0,0,AI23/ABS(AF23)),3)</f>
        <v>0</v>
      </c>
      <c r="AL23" s="2494"/>
    </row>
    <row r="24" spans="1:38" s="2496" customFormat="1" ht="15" customHeight="1">
      <c r="A24" s="2541"/>
      <c r="B24" s="2547" t="s">
        <v>1110</v>
      </c>
      <c r="C24" s="2542"/>
      <c r="D24" s="1851">
        <v>-4607.7</v>
      </c>
      <c r="E24" s="1460"/>
      <c r="F24" s="1851">
        <v>-1242.3000000000002</v>
      </c>
      <c r="G24" s="1460"/>
      <c r="H24" s="1851">
        <v>-2604.8999999999996</v>
      </c>
      <c r="I24" s="2546"/>
      <c r="J24" s="1851">
        <f t="shared" si="1"/>
        <v>-1665.7999999999993</v>
      </c>
      <c r="K24" s="2065"/>
      <c r="L24" s="1851"/>
      <c r="M24" s="2065"/>
      <c r="N24" s="1851"/>
      <c r="O24" s="2065"/>
      <c r="P24" s="1851"/>
      <c r="Q24" s="2065"/>
      <c r="R24" s="1851"/>
      <c r="S24" s="2065"/>
      <c r="T24" s="1851"/>
      <c r="U24" s="2065"/>
      <c r="V24" s="1851"/>
      <c r="W24" s="2065"/>
      <c r="X24" s="1851"/>
      <c r="Y24" s="2065"/>
      <c r="Z24" s="1851"/>
      <c r="AA24" s="2066"/>
      <c r="AB24" s="2069"/>
      <c r="AC24" s="1867">
        <v>-10120.699999999999</v>
      </c>
      <c r="AD24" s="2108"/>
      <c r="AE24" s="2069" t="s">
        <v>15</v>
      </c>
      <c r="AF24" s="1867">
        <v>-7945.4</v>
      </c>
      <c r="AG24" s="2260"/>
      <c r="AH24" s="2544"/>
      <c r="AI24" s="2067">
        <f>-ROUND(SUM(+AC24-AF24),1)</f>
        <v>2175.3000000000002</v>
      </c>
      <c r="AJ24" s="2545"/>
      <c r="AK24" s="1786">
        <f>ROUND(IF(AF24=0,0,AI24/ABS(AF24)),3)</f>
        <v>0.27400000000000002</v>
      </c>
      <c r="AL24" s="2494"/>
    </row>
    <row r="25" spans="1:38" s="2496" customFormat="1" ht="15" customHeight="1">
      <c r="A25" s="2541"/>
      <c r="B25" s="2411" t="s">
        <v>1402</v>
      </c>
      <c r="C25" s="2542"/>
      <c r="D25" s="1851">
        <v>-3025.2</v>
      </c>
      <c r="E25" s="1460"/>
      <c r="F25" s="1851">
        <v>-997.30000000000018</v>
      </c>
      <c r="G25" s="1460"/>
      <c r="H25" s="1851">
        <v>-233.19999999999982</v>
      </c>
      <c r="I25" s="2546"/>
      <c r="J25" s="1851">
        <f t="shared" si="1"/>
        <v>-262</v>
      </c>
      <c r="K25" s="2065"/>
      <c r="L25" s="1851"/>
      <c r="M25" s="2065"/>
      <c r="N25" s="1851"/>
      <c r="O25" s="2065"/>
      <c r="P25" s="1851"/>
      <c r="Q25" s="2065"/>
      <c r="R25" s="1851"/>
      <c r="S25" s="2065"/>
      <c r="T25" s="1851"/>
      <c r="U25" s="2065"/>
      <c r="V25" s="1851"/>
      <c r="W25" s="2065"/>
      <c r="X25" s="1851"/>
      <c r="Y25" s="2065"/>
      <c r="Z25" s="1851"/>
      <c r="AA25" s="2066"/>
      <c r="AB25" s="2069"/>
      <c r="AC25" s="1867">
        <v>-4517.7</v>
      </c>
      <c r="AD25" s="2108"/>
      <c r="AE25" s="2069" t="s">
        <v>15</v>
      </c>
      <c r="AF25" s="1867">
        <v>-4581.8999999999996</v>
      </c>
      <c r="AG25" s="2260"/>
      <c r="AH25" s="2544"/>
      <c r="AI25" s="2067">
        <f>-ROUND(SUM(+AC25-AF25),1)</f>
        <v>-64.2</v>
      </c>
      <c r="AJ25" s="2545"/>
      <c r="AK25" s="1786">
        <f>ROUND(IF(AF25=0,0,AI25/ABS(AF25)),3)</f>
        <v>-1.4E-2</v>
      </c>
      <c r="AL25" s="2494"/>
    </row>
    <row r="26" spans="1:38" ht="15" customHeight="1">
      <c r="A26" s="2528"/>
      <c r="B26" s="2550" t="s">
        <v>1108</v>
      </c>
      <c r="C26" s="2089"/>
      <c r="D26" s="2551">
        <f>ROUND(SUM(D22:D25),1)</f>
        <v>4607.7</v>
      </c>
      <c r="E26" s="1483"/>
      <c r="F26" s="2552">
        <f>ROUND(SUM(F22+F23+F24+F25),1)</f>
        <v>1242.3</v>
      </c>
      <c r="G26" s="1483"/>
      <c r="H26" s="2551">
        <f>ROUND(SUM(H22+H23+H24+H25),1)</f>
        <v>2605</v>
      </c>
      <c r="I26" s="1483"/>
      <c r="J26" s="2552">
        <f>ROUND(SUM(J22+J23+J24+J25),1)</f>
        <v>1665.8</v>
      </c>
      <c r="K26" s="2073"/>
      <c r="L26" s="2109">
        <f>ROUND(SUM(L22+L23+L24+L25),1)</f>
        <v>0</v>
      </c>
      <c r="M26" s="2073"/>
      <c r="N26" s="2109">
        <f>ROUND(SUM(N22+N23+N24+N25),1)</f>
        <v>0</v>
      </c>
      <c r="O26" s="2073"/>
      <c r="P26" s="1500">
        <f>ROUND(SUM(P22+P23+P24+P25),1)</f>
        <v>0</v>
      </c>
      <c r="Q26" s="2073"/>
      <c r="R26" s="2109">
        <f>ROUND(SUM(R22+R23+R24+R25),1)</f>
        <v>0</v>
      </c>
      <c r="S26" s="2073"/>
      <c r="T26" s="2109">
        <f>ROUND(SUM(T22+T23+T24+T25),1)</f>
        <v>0</v>
      </c>
      <c r="U26" s="2073"/>
      <c r="V26" s="2109">
        <f>ROUND(SUM(V22+V23+V24+V25),1)</f>
        <v>0</v>
      </c>
      <c r="W26" s="2073"/>
      <c r="X26" s="2109">
        <f>ROUND(SUM(X22+X23+X24+X25),1)</f>
        <v>0</v>
      </c>
      <c r="Y26" s="2073"/>
      <c r="Z26" s="2109">
        <f>ROUND(SUM(Z22+Z23+Z24+Z25),1)</f>
        <v>0</v>
      </c>
      <c r="AA26" s="1503"/>
      <c r="AB26" s="2110"/>
      <c r="AC26" s="3307">
        <f>ROUND(SUM(AC22+AC23+AC24+AC25),1)</f>
        <v>10120.799999999999</v>
      </c>
      <c r="AD26" s="2062"/>
      <c r="AE26" s="2068" t="s">
        <v>15</v>
      </c>
      <c r="AF26" s="1500">
        <f>ROUND(SUM(AF22+AF23+AF24+AF25),1)</f>
        <v>7945.3</v>
      </c>
      <c r="AG26" s="2073"/>
      <c r="AH26" s="2553"/>
      <c r="AI26" s="2109">
        <f>ROUND(SUM(AI22-AI23-AI24-AI25),1)</f>
        <v>2175.5</v>
      </c>
      <c r="AJ26" s="2554"/>
      <c r="AK26" s="1485">
        <f>ROUND(SUM(+AI26/AF26),3)</f>
        <v>0.27400000000000002</v>
      </c>
    </row>
    <row r="27" spans="1:38" ht="15" customHeight="1">
      <c r="A27" s="2528"/>
      <c r="B27" s="2540" t="s">
        <v>1162</v>
      </c>
      <c r="C27" s="2089"/>
      <c r="D27" s="1484"/>
      <c r="E27" s="1483"/>
      <c r="F27" s="1502"/>
      <c r="G27" s="1483"/>
      <c r="H27" s="1484"/>
      <c r="I27" s="1483"/>
      <c r="J27" s="1502"/>
      <c r="K27" s="2073"/>
      <c r="L27" s="1484"/>
      <c r="M27" s="2073"/>
      <c r="N27" s="1484"/>
      <c r="O27" s="2073"/>
      <c r="P27" s="1502"/>
      <c r="Q27" s="2073"/>
      <c r="R27" s="1484"/>
      <c r="S27" s="2073"/>
      <c r="T27" s="1484"/>
      <c r="U27" s="2073"/>
      <c r="V27" s="1484"/>
      <c r="W27" s="2073"/>
      <c r="X27" s="1484"/>
      <c r="Y27" s="2073"/>
      <c r="Z27" s="1484"/>
      <c r="AA27" s="1503"/>
      <c r="AB27" s="2110"/>
      <c r="AC27" s="1502"/>
      <c r="AD27" s="2062"/>
      <c r="AE27" s="2068" t="s">
        <v>15</v>
      </c>
      <c r="AF27" s="1502"/>
      <c r="AG27" s="2073"/>
      <c r="AH27" s="2553"/>
      <c r="AI27" s="1484"/>
      <c r="AJ27" s="2554"/>
      <c r="AK27" s="2555"/>
    </row>
    <row r="28" spans="1:38" ht="15" customHeight="1">
      <c r="A28" s="2528"/>
      <c r="B28" s="2310" t="s">
        <v>1113</v>
      </c>
      <c r="C28" s="2089"/>
      <c r="D28" s="1851">
        <v>539.29999999999995</v>
      </c>
      <c r="E28" s="1460"/>
      <c r="F28" s="1851">
        <v>551.40000000000009</v>
      </c>
      <c r="G28" s="1460"/>
      <c r="H28" s="1851">
        <v>743.5</v>
      </c>
      <c r="I28" s="1483"/>
      <c r="J28" s="1851">
        <f t="shared" ref="J28:J34" si="2">$AC28-$D28-$F28-$H28</f>
        <v>579.79999999999995</v>
      </c>
      <c r="K28" s="2065"/>
      <c r="L28" s="1851"/>
      <c r="M28" s="2065"/>
      <c r="N28" s="1851"/>
      <c r="O28" s="2065"/>
      <c r="P28" s="1851"/>
      <c r="Q28" s="2065"/>
      <c r="R28" s="1851"/>
      <c r="S28" s="2065"/>
      <c r="T28" s="1851"/>
      <c r="U28" s="2065"/>
      <c r="V28" s="1851"/>
      <c r="W28" s="2065"/>
      <c r="X28" s="1851"/>
      <c r="Y28" s="2065"/>
      <c r="Z28" s="1851"/>
      <c r="AA28" s="2066"/>
      <c r="AB28" s="2069"/>
      <c r="AC28" s="1867">
        <v>2414</v>
      </c>
      <c r="AD28" s="2108"/>
      <c r="AE28" s="2069" t="s">
        <v>15</v>
      </c>
      <c r="AF28" s="1867">
        <v>2313.8000000000002</v>
      </c>
      <c r="AG28" s="2073"/>
      <c r="AH28" s="2553"/>
      <c r="AI28" s="1483">
        <f t="shared" ref="AI28:AI34" si="3">ROUND(SUM(+AC28-AF28),1)</f>
        <v>100.2</v>
      </c>
      <c r="AJ28" s="2554"/>
      <c r="AK28" s="1478">
        <f t="shared" ref="AK28:AK34" si="4">ROUND(IF(AF28=0,0,AI28/ABS(AF28)),3)</f>
        <v>4.2999999999999997E-2</v>
      </c>
    </row>
    <row r="29" spans="1:38" ht="15" customHeight="1">
      <c r="A29" s="2528"/>
      <c r="B29" s="2310" t="s">
        <v>1114</v>
      </c>
      <c r="C29" s="2089"/>
      <c r="D29" s="1851">
        <v>0</v>
      </c>
      <c r="E29" s="1460"/>
      <c r="F29" s="1851">
        <v>0</v>
      </c>
      <c r="G29" s="1460"/>
      <c r="H29" s="1851">
        <v>0</v>
      </c>
      <c r="I29" s="1483"/>
      <c r="J29" s="1851">
        <f t="shared" si="2"/>
        <v>0</v>
      </c>
      <c r="K29" s="2065"/>
      <c r="L29" s="1851"/>
      <c r="M29" s="2065"/>
      <c r="N29" s="1851"/>
      <c r="O29" s="2065"/>
      <c r="P29" s="1851"/>
      <c r="Q29" s="2065"/>
      <c r="R29" s="1851"/>
      <c r="S29" s="2065"/>
      <c r="T29" s="1851"/>
      <c r="U29" s="2065"/>
      <c r="V29" s="1851"/>
      <c r="W29" s="2065"/>
      <c r="X29" s="1851"/>
      <c r="Y29" s="2065"/>
      <c r="Z29" s="1851"/>
      <c r="AA29" s="2066"/>
      <c r="AB29" s="2069"/>
      <c r="AC29" s="1867">
        <v>0</v>
      </c>
      <c r="AD29" s="2108"/>
      <c r="AE29" s="2069" t="s">
        <v>15</v>
      </c>
      <c r="AF29" s="1867">
        <v>0</v>
      </c>
      <c r="AG29" s="2073"/>
      <c r="AH29" s="2553"/>
      <c r="AI29" s="1483">
        <f t="shared" si="3"/>
        <v>0</v>
      </c>
      <c r="AJ29" s="2554"/>
      <c r="AK29" s="1478">
        <f t="shared" si="4"/>
        <v>0</v>
      </c>
    </row>
    <row r="30" spans="1:38" ht="15" customHeight="1">
      <c r="A30" s="2528"/>
      <c r="B30" s="2310" t="s">
        <v>1115</v>
      </c>
      <c r="C30" s="2089"/>
      <c r="D30" s="1851">
        <v>26</v>
      </c>
      <c r="E30" s="1460"/>
      <c r="F30" s="1851">
        <v>25.799999999999997</v>
      </c>
      <c r="G30" s="1460"/>
      <c r="H30" s="1851">
        <v>26.5</v>
      </c>
      <c r="I30" s="1483"/>
      <c r="J30" s="1851">
        <f t="shared" si="2"/>
        <v>31.400000000000006</v>
      </c>
      <c r="K30" s="2065"/>
      <c r="L30" s="1851"/>
      <c r="M30" s="2065"/>
      <c r="N30" s="1851"/>
      <c r="O30" s="2065"/>
      <c r="P30" s="1851"/>
      <c r="Q30" s="2065"/>
      <c r="R30" s="1851"/>
      <c r="S30" s="2065"/>
      <c r="T30" s="1851"/>
      <c r="U30" s="2065"/>
      <c r="V30" s="1851"/>
      <c r="W30" s="2065"/>
      <c r="X30" s="1851"/>
      <c r="Y30" s="2065"/>
      <c r="Z30" s="1851"/>
      <c r="AA30" s="2066"/>
      <c r="AB30" s="2069"/>
      <c r="AC30" s="1867">
        <v>109.7</v>
      </c>
      <c r="AD30" s="2108"/>
      <c r="AE30" s="2069" t="s">
        <v>15</v>
      </c>
      <c r="AF30" s="1867">
        <v>114.8</v>
      </c>
      <c r="AG30" s="2073"/>
      <c r="AH30" s="2553"/>
      <c r="AI30" s="1483">
        <f t="shared" si="3"/>
        <v>-5.0999999999999996</v>
      </c>
      <c r="AJ30" s="2554"/>
      <c r="AK30" s="1478">
        <f t="shared" si="4"/>
        <v>-4.3999999999999997E-2</v>
      </c>
    </row>
    <row r="31" spans="1:38" ht="15" customHeight="1">
      <c r="A31" s="2528"/>
      <c r="B31" s="2310" t="s">
        <v>1116</v>
      </c>
      <c r="C31" s="2089"/>
      <c r="D31" s="1851">
        <v>0</v>
      </c>
      <c r="E31" s="1460"/>
      <c r="F31" s="1851">
        <v>0</v>
      </c>
      <c r="G31" s="1460"/>
      <c r="H31" s="1851">
        <v>0</v>
      </c>
      <c r="I31" s="1483"/>
      <c r="J31" s="1851">
        <f t="shared" si="2"/>
        <v>0</v>
      </c>
      <c r="K31" s="2065"/>
      <c r="L31" s="1851"/>
      <c r="M31" s="2065"/>
      <c r="N31" s="1851"/>
      <c r="O31" s="2065"/>
      <c r="P31" s="1851"/>
      <c r="Q31" s="2065"/>
      <c r="R31" s="1851"/>
      <c r="S31" s="2065"/>
      <c r="T31" s="1851"/>
      <c r="U31" s="2065"/>
      <c r="V31" s="1851"/>
      <c r="W31" s="2065"/>
      <c r="X31" s="1851"/>
      <c r="Y31" s="2065"/>
      <c r="Z31" s="1851"/>
      <c r="AA31" s="2066"/>
      <c r="AB31" s="2069"/>
      <c r="AC31" s="1867">
        <v>0</v>
      </c>
      <c r="AD31" s="2108"/>
      <c r="AE31" s="2069" t="s">
        <v>15</v>
      </c>
      <c r="AF31" s="1867">
        <v>0</v>
      </c>
      <c r="AG31" s="2073"/>
      <c r="AH31" s="2553"/>
      <c r="AI31" s="1483">
        <f t="shared" si="3"/>
        <v>0</v>
      </c>
      <c r="AJ31" s="2554"/>
      <c r="AK31" s="1478">
        <f>ROUND(IF(AF31=0,0,AI31/ABS(AF31)),3)</f>
        <v>0</v>
      </c>
    </row>
    <row r="32" spans="1:38" ht="15" customHeight="1">
      <c r="A32" s="2528"/>
      <c r="B32" s="2310" t="s">
        <v>1117</v>
      </c>
      <c r="C32" s="2089"/>
      <c r="D32" s="1851">
        <v>20</v>
      </c>
      <c r="E32" s="1460"/>
      <c r="F32" s="1851">
        <v>20.9</v>
      </c>
      <c r="G32" s="1460"/>
      <c r="H32" s="1851">
        <v>26.000000000000007</v>
      </c>
      <c r="I32" s="1483"/>
      <c r="J32" s="1851">
        <f t="shared" si="2"/>
        <v>25.599999999999994</v>
      </c>
      <c r="K32" s="2065"/>
      <c r="L32" s="1851"/>
      <c r="M32" s="2065"/>
      <c r="N32" s="1851"/>
      <c r="O32" s="2065"/>
      <c r="P32" s="1851"/>
      <c r="Q32" s="2065"/>
      <c r="R32" s="1851"/>
      <c r="S32" s="2065"/>
      <c r="T32" s="1851"/>
      <c r="U32" s="2065"/>
      <c r="V32" s="1851"/>
      <c r="W32" s="2065"/>
      <c r="X32" s="1851"/>
      <c r="Y32" s="2065"/>
      <c r="Z32" s="1851"/>
      <c r="AA32" s="2066"/>
      <c r="AB32" s="2069"/>
      <c r="AC32" s="1867">
        <v>92.5</v>
      </c>
      <c r="AD32" s="2108"/>
      <c r="AE32" s="2069" t="s">
        <v>15</v>
      </c>
      <c r="AF32" s="1867">
        <v>92.2</v>
      </c>
      <c r="AG32" s="2073"/>
      <c r="AH32" s="2553"/>
      <c r="AI32" s="1483">
        <f t="shared" si="3"/>
        <v>0.3</v>
      </c>
      <c r="AJ32" s="2554"/>
      <c r="AK32" s="1478">
        <f t="shared" si="4"/>
        <v>3.0000000000000001E-3</v>
      </c>
    </row>
    <row r="33" spans="1:38" ht="15" customHeight="1">
      <c r="A33" s="2528"/>
      <c r="B33" s="2310" t="s">
        <v>1118</v>
      </c>
      <c r="C33" s="2089"/>
      <c r="D33" s="1851">
        <v>0</v>
      </c>
      <c r="E33" s="1460"/>
      <c r="F33" s="1851">
        <v>0</v>
      </c>
      <c r="G33" s="1460"/>
      <c r="H33" s="1851">
        <v>0</v>
      </c>
      <c r="I33" s="1483"/>
      <c r="J33" s="1851">
        <f t="shared" si="2"/>
        <v>0</v>
      </c>
      <c r="K33" s="2065"/>
      <c r="L33" s="1851"/>
      <c r="M33" s="2065"/>
      <c r="N33" s="1851"/>
      <c r="O33" s="2065"/>
      <c r="P33" s="1851"/>
      <c r="Q33" s="2065"/>
      <c r="R33" s="1851"/>
      <c r="S33" s="2065"/>
      <c r="T33" s="1851"/>
      <c r="U33" s="2065"/>
      <c r="V33" s="1851"/>
      <c r="W33" s="2065"/>
      <c r="X33" s="1851"/>
      <c r="Y33" s="2065"/>
      <c r="Z33" s="1851"/>
      <c r="AA33" s="2066"/>
      <c r="AB33" s="2069"/>
      <c r="AC33" s="1867">
        <v>0</v>
      </c>
      <c r="AD33" s="2108"/>
      <c r="AE33" s="2069" t="s">
        <v>15</v>
      </c>
      <c r="AF33" s="1867">
        <v>0</v>
      </c>
      <c r="AG33" s="2073"/>
      <c r="AH33" s="2553"/>
      <c r="AI33" s="1483">
        <f t="shared" si="3"/>
        <v>0</v>
      </c>
      <c r="AJ33" s="2554"/>
      <c r="AK33" s="1478">
        <f t="shared" si="4"/>
        <v>0</v>
      </c>
    </row>
    <row r="34" spans="1:38" ht="15" customHeight="1">
      <c r="A34" s="2528"/>
      <c r="B34" s="2556" t="s">
        <v>1119</v>
      </c>
      <c r="C34" s="2089"/>
      <c r="D34" s="1851">
        <v>0</v>
      </c>
      <c r="E34" s="1460"/>
      <c r="F34" s="1851">
        <v>0</v>
      </c>
      <c r="G34" s="1460"/>
      <c r="H34" s="1851">
        <v>0</v>
      </c>
      <c r="I34" s="1483"/>
      <c r="J34" s="1851">
        <f t="shared" si="2"/>
        <v>0</v>
      </c>
      <c r="K34" s="2065"/>
      <c r="L34" s="1851"/>
      <c r="M34" s="2065"/>
      <c r="N34" s="1851"/>
      <c r="O34" s="2065"/>
      <c r="P34" s="1851"/>
      <c r="Q34" s="2065"/>
      <c r="R34" s="1851"/>
      <c r="S34" s="2065"/>
      <c r="T34" s="1851"/>
      <c r="U34" s="2065"/>
      <c r="V34" s="1851"/>
      <c r="W34" s="2065"/>
      <c r="X34" s="1851"/>
      <c r="Y34" s="2065"/>
      <c r="Z34" s="1851"/>
      <c r="AA34" s="2066"/>
      <c r="AB34" s="2069"/>
      <c r="AC34" s="1867">
        <v>0</v>
      </c>
      <c r="AD34" s="2108"/>
      <c r="AE34" s="2069" t="s">
        <v>15</v>
      </c>
      <c r="AF34" s="1867">
        <v>0</v>
      </c>
      <c r="AG34" s="2073"/>
      <c r="AH34" s="2553"/>
      <c r="AI34" s="1483">
        <f t="shared" si="3"/>
        <v>0</v>
      </c>
      <c r="AJ34" s="2554"/>
      <c r="AK34" s="1478">
        <f t="shared" si="4"/>
        <v>0</v>
      </c>
    </row>
    <row r="35" spans="1:38" s="2559" customFormat="1" ht="15" customHeight="1">
      <c r="A35" s="2557"/>
      <c r="B35" s="2550" t="s">
        <v>1112</v>
      </c>
      <c r="C35" s="2505"/>
      <c r="D35" s="2551">
        <f>ROUND(SUM(D28:D34),1)</f>
        <v>585.29999999999995</v>
      </c>
      <c r="E35" s="1501"/>
      <c r="F35" s="2552">
        <f>ROUND(SUM(F28:F34),1)</f>
        <v>598.1</v>
      </c>
      <c r="G35" s="1501"/>
      <c r="H35" s="2551">
        <f>ROUND(SUM(H28:H34),1)</f>
        <v>796</v>
      </c>
      <c r="I35" s="1501"/>
      <c r="J35" s="2552">
        <f>ROUND(SUM(J28:J34),1)</f>
        <v>636.79999999999995</v>
      </c>
      <c r="K35" s="1501"/>
      <c r="L35" s="2109">
        <f>ROUND(SUM(L28:L34),1)</f>
        <v>0</v>
      </c>
      <c r="M35" s="1501"/>
      <c r="N35" s="2109">
        <f>ROUND(SUM(N28:N34),1)</f>
        <v>0</v>
      </c>
      <c r="O35" s="1501"/>
      <c r="P35" s="1500">
        <f>ROUND(SUM(P28:P34),1)</f>
        <v>0</v>
      </c>
      <c r="Q35" s="1501"/>
      <c r="R35" s="2109">
        <f>ROUND(SUM(R28:R34),1)</f>
        <v>0</v>
      </c>
      <c r="S35" s="1501"/>
      <c r="T35" s="2109">
        <f>ROUND(SUM(T28:T34),1)</f>
        <v>0</v>
      </c>
      <c r="U35" s="1501"/>
      <c r="V35" s="2109">
        <f>ROUND(SUM(V28:V34),1)</f>
        <v>0</v>
      </c>
      <c r="W35" s="1501"/>
      <c r="X35" s="2109">
        <f>ROUND(SUM(X28:X34),1)</f>
        <v>0</v>
      </c>
      <c r="Y35" s="1501"/>
      <c r="Z35" s="2109">
        <f>ROUND(SUM(Z28:Z34),1)</f>
        <v>0</v>
      </c>
      <c r="AA35" s="2077"/>
      <c r="AB35" s="2112"/>
      <c r="AC35" s="3307">
        <f>ROUND(SUM(AC28:AC34),1)</f>
        <v>2616.1999999999998</v>
      </c>
      <c r="AD35" s="2117"/>
      <c r="AE35" s="2634"/>
      <c r="AF35" s="1500">
        <f>ROUND(SUM(AF28:AF34),1)</f>
        <v>2520.8000000000002</v>
      </c>
      <c r="AG35" s="1501"/>
      <c r="AH35" s="2558"/>
      <c r="AI35" s="2109">
        <f>ROUND(SUM(AI28:AI34),1)</f>
        <v>95.4</v>
      </c>
      <c r="AJ35" s="1484"/>
      <c r="AK35" s="1485">
        <f>ROUND(SUM(+AI35/AF35),3)</f>
        <v>3.7999999999999999E-2</v>
      </c>
      <c r="AL35" s="2494"/>
    </row>
    <row r="36" spans="1:38" s="2559" customFormat="1" ht="15" customHeight="1">
      <c r="A36" s="2557"/>
      <c r="B36" s="2540" t="s">
        <v>1163</v>
      </c>
      <c r="C36" s="2505"/>
      <c r="D36" s="1484"/>
      <c r="E36" s="1501"/>
      <c r="F36" s="1502"/>
      <c r="G36" s="1501"/>
      <c r="H36" s="1484"/>
      <c r="I36" s="1501"/>
      <c r="J36" s="2108"/>
      <c r="K36" s="1501"/>
      <c r="L36" s="1484"/>
      <c r="M36" s="1501"/>
      <c r="N36" s="1484"/>
      <c r="O36" s="1501"/>
      <c r="P36" s="1502"/>
      <c r="Q36" s="1501"/>
      <c r="R36" s="1484"/>
      <c r="S36" s="1501"/>
      <c r="T36" s="1484"/>
      <c r="U36" s="1501"/>
      <c r="V36" s="1484"/>
      <c r="W36" s="1501"/>
      <c r="X36" s="1484"/>
      <c r="Y36" s="1501"/>
      <c r="Z36" s="1484"/>
      <c r="AA36" s="2077"/>
      <c r="AB36" s="2112"/>
      <c r="AC36" s="1502"/>
      <c r="AD36" s="2117"/>
      <c r="AE36" s="2634" t="s">
        <v>15</v>
      </c>
      <c r="AF36" s="1502"/>
      <c r="AG36" s="1501"/>
      <c r="AH36" s="2558"/>
      <c r="AI36" s="1484"/>
      <c r="AJ36" s="1484"/>
      <c r="AK36" s="2555"/>
      <c r="AL36" s="2494"/>
    </row>
    <row r="37" spans="1:38" s="2559" customFormat="1" ht="15" customHeight="1">
      <c r="A37" s="2557"/>
      <c r="B37" s="2310" t="s">
        <v>1121</v>
      </c>
      <c r="C37" s="2505"/>
      <c r="D37" s="1851">
        <v>274.10000000000002</v>
      </c>
      <c r="E37" s="1460"/>
      <c r="F37" s="1851">
        <v>-75.000000000000028</v>
      </c>
      <c r="G37" s="1460"/>
      <c r="H37" s="1851">
        <v>725.8</v>
      </c>
      <c r="I37" s="1501"/>
      <c r="J37" s="1851">
        <f t="shared" ref="J37:J41" si="5">$AC37-$D37-$F37-$H37</f>
        <v>109.39999999999998</v>
      </c>
      <c r="K37" s="2065"/>
      <c r="L37" s="1851"/>
      <c r="M37" s="2065"/>
      <c r="N37" s="1851"/>
      <c r="O37" s="2065"/>
      <c r="P37" s="1851"/>
      <c r="Q37" s="2065"/>
      <c r="R37" s="1851"/>
      <c r="S37" s="2065"/>
      <c r="T37" s="1851"/>
      <c r="U37" s="2065"/>
      <c r="V37" s="1851"/>
      <c r="W37" s="2065"/>
      <c r="X37" s="1851"/>
      <c r="Y37" s="2065"/>
      <c r="Z37" s="1851"/>
      <c r="AA37" s="2066"/>
      <c r="AB37" s="2069"/>
      <c r="AC37" s="1867">
        <v>1034.3</v>
      </c>
      <c r="AD37" s="2108"/>
      <c r="AE37" s="2069" t="s">
        <v>15</v>
      </c>
      <c r="AF37" s="1867">
        <v>960.4</v>
      </c>
      <c r="AG37" s="1501"/>
      <c r="AH37" s="2558"/>
      <c r="AI37" s="1483">
        <f>ROUND(SUM(+AC37-AF37),1)</f>
        <v>73.900000000000006</v>
      </c>
      <c r="AJ37" s="1484"/>
      <c r="AK37" s="1478">
        <f>ROUND(IF(AF37=0,0,AI37/ABS(AF37)),3)</f>
        <v>7.6999999999999999E-2</v>
      </c>
      <c r="AL37" s="2494"/>
    </row>
    <row r="38" spans="1:38" s="2559" customFormat="1" ht="15" customHeight="1">
      <c r="A38" s="2557"/>
      <c r="B38" s="2310" t="s">
        <v>1122</v>
      </c>
      <c r="C38" s="2505"/>
      <c r="D38" s="1851">
        <v>16.3</v>
      </c>
      <c r="E38" s="1460"/>
      <c r="F38" s="1851">
        <v>1.8000000000000007</v>
      </c>
      <c r="G38" s="1460"/>
      <c r="H38" s="1851">
        <v>84.100000000000009</v>
      </c>
      <c r="I38" s="1501"/>
      <c r="J38" s="1851">
        <f t="shared" si="5"/>
        <v>0.20000000000000284</v>
      </c>
      <c r="K38" s="2065"/>
      <c r="L38" s="1851"/>
      <c r="M38" s="2065"/>
      <c r="N38" s="1851"/>
      <c r="O38" s="2065"/>
      <c r="P38" s="1851"/>
      <c r="Q38" s="2065"/>
      <c r="R38" s="1851"/>
      <c r="S38" s="2065"/>
      <c r="T38" s="1851"/>
      <c r="U38" s="2065"/>
      <c r="V38" s="1851"/>
      <c r="W38" s="2065"/>
      <c r="X38" s="1851"/>
      <c r="Y38" s="2065"/>
      <c r="Z38" s="1851"/>
      <c r="AA38" s="2066"/>
      <c r="AB38" s="2069"/>
      <c r="AC38" s="1867">
        <v>102.4</v>
      </c>
      <c r="AD38" s="2108"/>
      <c r="AE38" s="2069" t="s">
        <v>15</v>
      </c>
      <c r="AF38" s="1867">
        <v>96.3</v>
      </c>
      <c r="AG38" s="1501"/>
      <c r="AH38" s="2558"/>
      <c r="AI38" s="1483">
        <f>ROUND(SUM(+AC38-AF38),1)</f>
        <v>6.1</v>
      </c>
      <c r="AJ38" s="1484"/>
      <c r="AK38" s="1521">
        <f>ROUND(IF(AF38=0,0,AI38/ABS(AF38)),3)</f>
        <v>6.3E-2</v>
      </c>
      <c r="AL38" s="2494"/>
    </row>
    <row r="39" spans="1:38" s="2559" customFormat="1" ht="15" customHeight="1">
      <c r="A39" s="2557"/>
      <c r="B39" s="2310" t="s">
        <v>1123</v>
      </c>
      <c r="C39" s="2505"/>
      <c r="D39" s="1851">
        <v>127.4</v>
      </c>
      <c r="E39" s="1460"/>
      <c r="F39" s="1851">
        <v>-3.6000000000000085</v>
      </c>
      <c r="G39" s="1460"/>
      <c r="H39" s="1851">
        <v>354.70000000000005</v>
      </c>
      <c r="I39" s="1501"/>
      <c r="J39" s="1851">
        <f t="shared" si="5"/>
        <v>50.899999999999977</v>
      </c>
      <c r="K39" s="2065"/>
      <c r="L39" s="1851"/>
      <c r="M39" s="2065"/>
      <c r="N39" s="1851"/>
      <c r="O39" s="2065"/>
      <c r="P39" s="1851"/>
      <c r="Q39" s="2065"/>
      <c r="R39" s="1851"/>
      <c r="S39" s="2065"/>
      <c r="T39" s="1851"/>
      <c r="U39" s="2065"/>
      <c r="V39" s="1851"/>
      <c r="W39" s="2065"/>
      <c r="X39" s="1851"/>
      <c r="Y39" s="2065"/>
      <c r="Z39" s="1851"/>
      <c r="AA39" s="2066"/>
      <c r="AB39" s="2069"/>
      <c r="AC39" s="1867">
        <v>529.4</v>
      </c>
      <c r="AD39" s="2108"/>
      <c r="AE39" s="2069" t="s">
        <v>15</v>
      </c>
      <c r="AF39" s="1867">
        <v>329.4</v>
      </c>
      <c r="AG39" s="1501"/>
      <c r="AH39" s="2558"/>
      <c r="AI39" s="1483">
        <f>ROUND(SUM(+AC39-AF39),1)</f>
        <v>200</v>
      </c>
      <c r="AJ39" s="1484"/>
      <c r="AK39" s="1478">
        <f>ROUND(IF(AF39=0,0,AI39/ABS(AF39)),3)</f>
        <v>0.60699999999999998</v>
      </c>
      <c r="AL39" s="2494"/>
    </row>
    <row r="40" spans="1:38" s="2559" customFormat="1" ht="15" customHeight="1">
      <c r="A40" s="2557"/>
      <c r="B40" s="2310" t="s">
        <v>1124</v>
      </c>
      <c r="C40" s="2505"/>
      <c r="D40" s="1851">
        <v>125.4</v>
      </c>
      <c r="E40" s="1460"/>
      <c r="F40" s="1851">
        <v>-104.7</v>
      </c>
      <c r="G40" s="1460"/>
      <c r="H40" s="1851">
        <v>-21.5</v>
      </c>
      <c r="I40" s="1501"/>
      <c r="J40" s="1851">
        <f t="shared" si="5"/>
        <v>-0.29999999999999716</v>
      </c>
      <c r="K40" s="2065"/>
      <c r="L40" s="1851"/>
      <c r="M40" s="2065"/>
      <c r="N40" s="1851"/>
      <c r="O40" s="2065"/>
      <c r="P40" s="1851"/>
      <c r="Q40" s="2065"/>
      <c r="R40" s="1851"/>
      <c r="S40" s="2065"/>
      <c r="T40" s="1851"/>
      <c r="U40" s="2065"/>
      <c r="V40" s="1851"/>
      <c r="W40" s="2065"/>
      <c r="X40" s="1851"/>
      <c r="Y40" s="2065"/>
      <c r="Z40" s="1851"/>
      <c r="AA40" s="2066"/>
      <c r="AB40" s="2069"/>
      <c r="AC40" s="1867">
        <v>-1.1000000000000001</v>
      </c>
      <c r="AD40" s="2108"/>
      <c r="AE40" s="2069" t="s">
        <v>15</v>
      </c>
      <c r="AF40" s="1867">
        <v>28</v>
      </c>
      <c r="AG40" s="1501"/>
      <c r="AH40" s="2558"/>
      <c r="AI40" s="1483">
        <f>ROUND(SUM(+AC40-AF40),1)</f>
        <v>-29.1</v>
      </c>
      <c r="AJ40" s="1484"/>
      <c r="AK40" s="1521">
        <f>ROUND(IF(AF40=0,0,AI40/ABS(AF40)),3)</f>
        <v>-1.0389999999999999</v>
      </c>
      <c r="AL40" s="2494"/>
    </row>
    <row r="41" spans="1:38" s="2559" customFormat="1" ht="15" customHeight="1">
      <c r="A41" s="2557"/>
      <c r="B41" s="2310" t="s">
        <v>1125</v>
      </c>
      <c r="C41" s="2505"/>
      <c r="D41" s="1851">
        <v>0</v>
      </c>
      <c r="E41" s="1460"/>
      <c r="F41" s="1851">
        <v>0</v>
      </c>
      <c r="G41" s="1460"/>
      <c r="H41" s="1851">
        <v>0</v>
      </c>
      <c r="I41" s="1501"/>
      <c r="J41" s="1851">
        <f t="shared" si="5"/>
        <v>0</v>
      </c>
      <c r="K41" s="2065"/>
      <c r="L41" s="1851"/>
      <c r="M41" s="2065"/>
      <c r="N41" s="1851"/>
      <c r="O41" s="2065"/>
      <c r="P41" s="1851"/>
      <c r="Q41" s="2065"/>
      <c r="R41" s="1851"/>
      <c r="S41" s="2065"/>
      <c r="T41" s="1851"/>
      <c r="U41" s="2065"/>
      <c r="V41" s="1851"/>
      <c r="W41" s="2065"/>
      <c r="X41" s="1851"/>
      <c r="Y41" s="2065"/>
      <c r="Z41" s="1851"/>
      <c r="AA41" s="2066"/>
      <c r="AB41" s="2069"/>
      <c r="AC41" s="1867">
        <v>0</v>
      </c>
      <c r="AD41" s="2108"/>
      <c r="AE41" s="2069" t="s">
        <v>15</v>
      </c>
      <c r="AF41" s="1867">
        <v>0</v>
      </c>
      <c r="AG41" s="1501"/>
      <c r="AH41" s="2558"/>
      <c r="AI41" s="1483">
        <f>ROUND(SUM(+AC41-AF41),1)</f>
        <v>0</v>
      </c>
      <c r="AJ41" s="1484"/>
      <c r="AK41" s="1478">
        <f>ROUND(IF(AF41=0,0,AI41/ABS(AF41)),3)</f>
        <v>0</v>
      </c>
      <c r="AL41" s="2494"/>
    </row>
    <row r="42" spans="1:38" s="2559" customFormat="1" ht="15" customHeight="1">
      <c r="A42" s="2557"/>
      <c r="B42" s="2550" t="s">
        <v>1120</v>
      </c>
      <c r="C42" s="2505"/>
      <c r="D42" s="2552">
        <f>ROUND(SUM(D37:D41),1)</f>
        <v>543.20000000000005</v>
      </c>
      <c r="E42" s="1501"/>
      <c r="F42" s="2552">
        <f>ROUND(SUM(F37:F41),1)</f>
        <v>-181.5</v>
      </c>
      <c r="G42" s="1501"/>
      <c r="H42" s="2552">
        <f>ROUND(SUM(H37:H41),1)</f>
        <v>1143.0999999999999</v>
      </c>
      <c r="I42" s="1501"/>
      <c r="J42" s="2552">
        <f>ROUND(SUM(J37:J41),1)</f>
        <v>160.19999999999999</v>
      </c>
      <c r="K42" s="1501"/>
      <c r="L42" s="1500">
        <f>ROUND(SUM(L37:L41),1)</f>
        <v>0</v>
      </c>
      <c r="M42" s="1501"/>
      <c r="N42" s="1500">
        <f>ROUND(SUM(N37:N41),1)</f>
        <v>0</v>
      </c>
      <c r="O42" s="1501"/>
      <c r="P42" s="1500">
        <f>ROUND(SUM(P37:P41),1)</f>
        <v>0</v>
      </c>
      <c r="Q42" s="1501"/>
      <c r="R42" s="1500">
        <f>ROUND(SUM(R37:R41),1)</f>
        <v>0</v>
      </c>
      <c r="S42" s="1501"/>
      <c r="T42" s="1500">
        <f>ROUND(SUM(T37:T41),1)</f>
        <v>0</v>
      </c>
      <c r="U42" s="1501"/>
      <c r="V42" s="1500">
        <f>ROUND(SUM(V37:V41),1)</f>
        <v>0</v>
      </c>
      <c r="W42" s="1501"/>
      <c r="X42" s="1500">
        <f>ROUND(SUM(X37:X41),1)</f>
        <v>0</v>
      </c>
      <c r="Y42" s="1501"/>
      <c r="Z42" s="1500">
        <f>ROUND(SUM(Z37:Z41),1)</f>
        <v>0</v>
      </c>
      <c r="AA42" s="2077"/>
      <c r="AB42" s="2112"/>
      <c r="AC42" s="3307">
        <f>ROUND(SUM(AC37:AC41),1)</f>
        <v>1665</v>
      </c>
      <c r="AD42" s="2117"/>
      <c r="AE42" s="2634"/>
      <c r="AF42" s="1500">
        <f>ROUND(SUM(AF37:AF41),1)</f>
        <v>1414.1</v>
      </c>
      <c r="AG42" s="1501"/>
      <c r="AH42" s="2558"/>
      <c r="AI42" s="1500">
        <f>ROUND(SUM(AI37:AI41),1)</f>
        <v>250.9</v>
      </c>
      <c r="AJ42" s="1484"/>
      <c r="AK42" s="1485">
        <f>ROUND(SUM(+AI42/AF42),3)</f>
        <v>0.17699999999999999</v>
      </c>
      <c r="AL42" s="2494"/>
    </row>
    <row r="43" spans="1:38" s="2559" customFormat="1" ht="15" customHeight="1">
      <c r="A43" s="2557"/>
      <c r="B43" s="2540" t="s">
        <v>1164</v>
      </c>
      <c r="C43" s="2505"/>
      <c r="D43" s="1484"/>
      <c r="E43" s="1501"/>
      <c r="F43" s="1484"/>
      <c r="G43" s="1501"/>
      <c r="H43" s="1484"/>
      <c r="I43" s="1501"/>
      <c r="J43" s="1502"/>
      <c r="K43" s="1501"/>
      <c r="L43" s="1484"/>
      <c r="M43" s="1501"/>
      <c r="N43" s="1484"/>
      <c r="O43" s="1501"/>
      <c r="P43" s="1502"/>
      <c r="Q43" s="1501"/>
      <c r="R43" s="1484"/>
      <c r="S43" s="1501"/>
      <c r="T43" s="1484"/>
      <c r="U43" s="1501"/>
      <c r="V43" s="1484"/>
      <c r="W43" s="1501"/>
      <c r="X43" s="1484"/>
      <c r="Y43" s="1501"/>
      <c r="Z43" s="1484"/>
      <c r="AA43" s="2077"/>
      <c r="AB43" s="2112"/>
      <c r="AC43" s="1502"/>
      <c r="AD43" s="2117"/>
      <c r="AE43" s="2634"/>
      <c r="AF43" s="1502"/>
      <c r="AG43" s="1501"/>
      <c r="AH43" s="2558"/>
      <c r="AI43" s="1484"/>
      <c r="AJ43" s="1484"/>
      <c r="AK43" s="2555"/>
      <c r="AL43" s="2494"/>
    </row>
    <row r="44" spans="1:38" s="2559" customFormat="1" ht="15" customHeight="1">
      <c r="A44" s="2557"/>
      <c r="B44" s="2310" t="s">
        <v>1128</v>
      </c>
      <c r="C44" s="2505"/>
      <c r="D44" s="1851">
        <v>0</v>
      </c>
      <c r="E44" s="1460"/>
      <c r="F44" s="1851">
        <v>0</v>
      </c>
      <c r="G44" s="1460"/>
      <c r="H44" s="1851">
        <v>0</v>
      </c>
      <c r="I44" s="1501"/>
      <c r="J44" s="1851">
        <f t="shared" ref="J44:J49" si="6">$AC44-$D44-$F44-$H44</f>
        <v>0</v>
      </c>
      <c r="K44" s="2065"/>
      <c r="L44" s="1851"/>
      <c r="M44" s="2065"/>
      <c r="N44" s="1851"/>
      <c r="O44" s="2065"/>
      <c r="P44" s="1851"/>
      <c r="Q44" s="2065"/>
      <c r="R44" s="1851"/>
      <c r="S44" s="2065"/>
      <c r="T44" s="1851"/>
      <c r="U44" s="2065"/>
      <c r="V44" s="1851"/>
      <c r="W44" s="2065"/>
      <c r="X44" s="1851"/>
      <c r="Y44" s="2065"/>
      <c r="Z44" s="1851"/>
      <c r="AA44" s="2066"/>
      <c r="AB44" s="2069"/>
      <c r="AC44" s="1867">
        <v>0</v>
      </c>
      <c r="AD44" s="2108"/>
      <c r="AE44" s="2069" t="s">
        <v>15</v>
      </c>
      <c r="AF44" s="1867">
        <v>0</v>
      </c>
      <c r="AG44" s="1501"/>
      <c r="AH44" s="2558"/>
      <c r="AI44" s="1483">
        <f t="shared" ref="AI44:AI49" si="7">ROUND(SUM(+AC44-AF44),1)</f>
        <v>0</v>
      </c>
      <c r="AJ44" s="1484"/>
      <c r="AK44" s="1478">
        <f t="shared" ref="AK44:AK49" si="8">ROUND(IF(AF44=0,0,AI44/ABS(AF44)),3)</f>
        <v>0</v>
      </c>
      <c r="AL44" s="2494"/>
    </row>
    <row r="45" spans="1:38" s="2559" customFormat="1" ht="15" customHeight="1">
      <c r="A45" s="2557"/>
      <c r="B45" s="2310" t="s">
        <v>1129</v>
      </c>
      <c r="C45" s="2505"/>
      <c r="D45" s="1851">
        <v>79.7</v>
      </c>
      <c r="E45" s="1460"/>
      <c r="F45" s="1851">
        <v>57.3</v>
      </c>
      <c r="G45" s="1460"/>
      <c r="H45" s="1851">
        <v>62.199999999999989</v>
      </c>
      <c r="I45" s="1501"/>
      <c r="J45" s="1851">
        <f t="shared" si="6"/>
        <v>124.69999999999999</v>
      </c>
      <c r="K45" s="2065"/>
      <c r="L45" s="1851"/>
      <c r="M45" s="2065"/>
      <c r="N45" s="1851"/>
      <c r="O45" s="2065"/>
      <c r="P45" s="1851"/>
      <c r="Q45" s="2065"/>
      <c r="R45" s="1851"/>
      <c r="S45" s="2065"/>
      <c r="T45" s="1851"/>
      <c r="U45" s="2065"/>
      <c r="V45" s="1851"/>
      <c r="W45" s="2065"/>
      <c r="X45" s="1851"/>
      <c r="Y45" s="2065"/>
      <c r="Z45" s="1851"/>
      <c r="AA45" s="2066"/>
      <c r="AB45" s="2069"/>
      <c r="AC45" s="1867">
        <v>323.89999999999998</v>
      </c>
      <c r="AD45" s="2108"/>
      <c r="AE45" s="2069" t="s">
        <v>15</v>
      </c>
      <c r="AF45" s="1867">
        <v>298.39999999999998</v>
      </c>
      <c r="AG45" s="1501"/>
      <c r="AH45" s="2558"/>
      <c r="AI45" s="1483">
        <f t="shared" si="7"/>
        <v>25.5</v>
      </c>
      <c r="AJ45" s="1484"/>
      <c r="AK45" s="1478">
        <f t="shared" si="8"/>
        <v>8.5000000000000006E-2</v>
      </c>
      <c r="AL45" s="2494"/>
    </row>
    <row r="46" spans="1:38" s="2559" customFormat="1" ht="15" customHeight="1">
      <c r="A46" s="2557"/>
      <c r="B46" s="2310" t="s">
        <v>1130</v>
      </c>
      <c r="C46" s="2505"/>
      <c r="D46" s="1851">
        <v>0.9</v>
      </c>
      <c r="E46" s="1460"/>
      <c r="F46" s="1851">
        <v>1.1000000000000001</v>
      </c>
      <c r="G46" s="1460"/>
      <c r="H46" s="1851">
        <v>1.6</v>
      </c>
      <c r="I46" s="1501"/>
      <c r="J46" s="1851">
        <f t="shared" si="6"/>
        <v>1.1999999999999997</v>
      </c>
      <c r="K46" s="2065"/>
      <c r="L46" s="1851"/>
      <c r="M46" s="2065"/>
      <c r="N46" s="1851"/>
      <c r="O46" s="2065"/>
      <c r="P46" s="1851"/>
      <c r="Q46" s="2065"/>
      <c r="R46" s="1851"/>
      <c r="S46" s="2065"/>
      <c r="T46" s="1851"/>
      <c r="U46" s="2065"/>
      <c r="V46" s="1851"/>
      <c r="W46" s="2065"/>
      <c r="X46" s="1851"/>
      <c r="Y46" s="2065"/>
      <c r="Z46" s="1851"/>
      <c r="AA46" s="2066"/>
      <c r="AB46" s="2069"/>
      <c r="AC46" s="1867">
        <v>4.8</v>
      </c>
      <c r="AD46" s="2108"/>
      <c r="AE46" s="2069" t="s">
        <v>15</v>
      </c>
      <c r="AF46" s="1867">
        <v>5.2</v>
      </c>
      <c r="AG46" s="1501"/>
      <c r="AH46" s="2558"/>
      <c r="AI46" s="1483">
        <f t="shared" si="7"/>
        <v>-0.4</v>
      </c>
      <c r="AJ46" s="1484"/>
      <c r="AK46" s="1478">
        <f t="shared" si="8"/>
        <v>-7.6999999999999999E-2</v>
      </c>
      <c r="AL46" s="2494"/>
    </row>
    <row r="47" spans="1:38" s="2559" customFormat="1" ht="15" customHeight="1">
      <c r="A47" s="2557"/>
      <c r="B47" s="2310" t="s">
        <v>1131</v>
      </c>
      <c r="C47" s="2505"/>
      <c r="D47" s="1851">
        <v>0</v>
      </c>
      <c r="E47" s="1460"/>
      <c r="F47" s="1851">
        <v>0</v>
      </c>
      <c r="G47" s="1460"/>
      <c r="H47" s="1851">
        <v>0</v>
      </c>
      <c r="I47" s="1501"/>
      <c r="J47" s="1851">
        <f t="shared" si="6"/>
        <v>0</v>
      </c>
      <c r="K47" s="2065"/>
      <c r="L47" s="1851"/>
      <c r="M47" s="2065"/>
      <c r="N47" s="1851"/>
      <c r="O47" s="2065"/>
      <c r="P47" s="1851"/>
      <c r="Q47" s="2065"/>
      <c r="R47" s="1851"/>
      <c r="S47" s="2065"/>
      <c r="T47" s="1851"/>
      <c r="U47" s="2065"/>
      <c r="V47" s="1851"/>
      <c r="W47" s="2065"/>
      <c r="X47" s="1851"/>
      <c r="Y47" s="2065"/>
      <c r="Z47" s="1851"/>
      <c r="AA47" s="2066"/>
      <c r="AB47" s="2069"/>
      <c r="AC47" s="1867">
        <v>0</v>
      </c>
      <c r="AD47" s="2108">
        <f>'Exhibit F'!AF1210</f>
        <v>0</v>
      </c>
      <c r="AE47" s="2069" t="s">
        <v>15</v>
      </c>
      <c r="AF47" s="1867">
        <v>0</v>
      </c>
      <c r="AG47" s="1501"/>
      <c r="AH47" s="2558"/>
      <c r="AI47" s="1483">
        <f t="shared" si="7"/>
        <v>0</v>
      </c>
      <c r="AJ47" s="1484"/>
      <c r="AK47" s="1478">
        <f t="shared" si="8"/>
        <v>0</v>
      </c>
      <c r="AL47" s="2494"/>
    </row>
    <row r="48" spans="1:38" s="2559" customFormat="1" ht="15" customHeight="1">
      <c r="A48" s="2557"/>
      <c r="B48" s="2310" t="s">
        <v>1132</v>
      </c>
      <c r="C48" s="2505"/>
      <c r="D48" s="1851">
        <v>0.2</v>
      </c>
      <c r="E48" s="1460"/>
      <c r="F48" s="1851">
        <v>9.9999999999999978E-2</v>
      </c>
      <c r="G48" s="1460"/>
      <c r="H48" s="1851">
        <v>0.3</v>
      </c>
      <c r="I48" s="1501"/>
      <c r="J48" s="1851">
        <f t="shared" si="6"/>
        <v>0.20000000000000012</v>
      </c>
      <c r="K48" s="2065"/>
      <c r="L48" s="1851"/>
      <c r="M48" s="2065"/>
      <c r="N48" s="1851"/>
      <c r="O48" s="2065"/>
      <c r="P48" s="1851"/>
      <c r="Q48" s="2065"/>
      <c r="R48" s="1851"/>
      <c r="S48" s="2065"/>
      <c r="T48" s="1851"/>
      <c r="U48" s="2065"/>
      <c r="V48" s="1851"/>
      <c r="W48" s="2065"/>
      <c r="X48" s="1851"/>
      <c r="Y48" s="2065"/>
      <c r="Z48" s="1851"/>
      <c r="AA48" s="2066"/>
      <c r="AB48" s="2069"/>
      <c r="AC48" s="1867">
        <v>0.8</v>
      </c>
      <c r="AD48" s="2108"/>
      <c r="AE48" s="2069" t="s">
        <v>15</v>
      </c>
      <c r="AF48" s="1867">
        <v>0.8</v>
      </c>
      <c r="AG48" s="1501"/>
      <c r="AH48" s="2558"/>
      <c r="AI48" s="1483">
        <f t="shared" si="7"/>
        <v>0</v>
      </c>
      <c r="AJ48" s="1484"/>
      <c r="AK48" s="1478">
        <f>ROUND(IF(AF48=0,1,AI48/ABS(AF48)),3)</f>
        <v>0</v>
      </c>
      <c r="AL48" s="2494"/>
    </row>
    <row r="49" spans="1:38" s="2559" customFormat="1" ht="15" customHeight="1">
      <c r="A49" s="2557"/>
      <c r="B49" s="2556" t="s">
        <v>1222</v>
      </c>
      <c r="C49" s="2505"/>
      <c r="D49" s="1851">
        <v>0</v>
      </c>
      <c r="E49" s="1460"/>
      <c r="F49" s="1851">
        <v>0</v>
      </c>
      <c r="G49" s="1460"/>
      <c r="H49" s="1851">
        <v>0</v>
      </c>
      <c r="I49" s="1501"/>
      <c r="J49" s="1851">
        <f t="shared" si="6"/>
        <v>0</v>
      </c>
      <c r="K49" s="2065"/>
      <c r="L49" s="1851"/>
      <c r="M49" s="2065"/>
      <c r="N49" s="1851"/>
      <c r="O49" s="2065"/>
      <c r="P49" s="1851"/>
      <c r="Q49" s="2065"/>
      <c r="R49" s="1851"/>
      <c r="S49" s="2065"/>
      <c r="T49" s="1851"/>
      <c r="U49" s="2065"/>
      <c r="V49" s="1851"/>
      <c r="W49" s="2065"/>
      <c r="X49" s="1851"/>
      <c r="Y49" s="2065"/>
      <c r="Z49" s="1851"/>
      <c r="AA49" s="2066"/>
      <c r="AB49" s="2069"/>
      <c r="AC49" s="1867">
        <v>0</v>
      </c>
      <c r="AD49" s="2108"/>
      <c r="AE49" s="2069" t="s">
        <v>15</v>
      </c>
      <c r="AF49" s="1867">
        <v>0</v>
      </c>
      <c r="AG49" s="1501"/>
      <c r="AH49" s="2558"/>
      <c r="AI49" s="1483">
        <f t="shared" si="7"/>
        <v>0</v>
      </c>
      <c r="AJ49" s="1484"/>
      <c r="AK49" s="1478">
        <f t="shared" si="8"/>
        <v>0</v>
      </c>
      <c r="AL49" s="2494"/>
    </row>
    <row r="50" spans="1:38" s="2559" customFormat="1" ht="15" customHeight="1">
      <c r="A50" s="2557"/>
      <c r="B50" s="2547" t="s">
        <v>1445</v>
      </c>
      <c r="C50" s="2542"/>
      <c r="D50" s="1851">
        <v>0.1</v>
      </c>
      <c r="E50" s="1460"/>
      <c r="F50" s="1851">
        <v>0</v>
      </c>
      <c r="G50" s="1460"/>
      <c r="H50" s="1851">
        <v>0</v>
      </c>
      <c r="I50" s="2546"/>
      <c r="J50" s="1851">
        <f>$AC50-$D50-$F50-$H50</f>
        <v>0.1</v>
      </c>
      <c r="K50" s="2065"/>
      <c r="L50" s="1851"/>
      <c r="M50" s="2065"/>
      <c r="N50" s="1851"/>
      <c r="O50" s="2065"/>
      <c r="P50" s="1851"/>
      <c r="Q50" s="2065"/>
      <c r="R50" s="1851"/>
      <c r="S50" s="2065"/>
      <c r="T50" s="1851"/>
      <c r="U50" s="2065"/>
      <c r="V50" s="1851"/>
      <c r="W50" s="2065"/>
      <c r="X50" s="1851"/>
      <c r="Y50" s="2065"/>
      <c r="Z50" s="1851"/>
      <c r="AA50" s="2066"/>
      <c r="AB50" s="2069"/>
      <c r="AC50" s="1867">
        <v>0.2</v>
      </c>
      <c r="AD50" s="2108"/>
      <c r="AE50" s="2069" t="s">
        <v>15</v>
      </c>
      <c r="AF50" s="1867">
        <v>0</v>
      </c>
      <c r="AG50" s="2260"/>
      <c r="AH50" s="2544"/>
      <c r="AI50" s="2067">
        <f>ROUND(SUM(+AC50-AF50),1)</f>
        <v>0.2</v>
      </c>
      <c r="AJ50" s="2545"/>
      <c r="AK50" s="1786">
        <f>ROUND(IF(AF50=0,1,AI50/ABS(AF50)),3)</f>
        <v>1</v>
      </c>
      <c r="AL50" s="2494"/>
    </row>
    <row r="51" spans="1:38" s="2559" customFormat="1" ht="15" customHeight="1">
      <c r="A51" s="2557"/>
      <c r="B51" s="2550" t="s">
        <v>1126</v>
      </c>
      <c r="C51" s="2505"/>
      <c r="D51" s="2552">
        <f>ROUND(SUM(D44:D50),1)</f>
        <v>80.900000000000006</v>
      </c>
      <c r="E51" s="1501"/>
      <c r="F51" s="2552">
        <f>ROUND(SUM(F44:F50),1)</f>
        <v>58.5</v>
      </c>
      <c r="G51" s="1501"/>
      <c r="H51" s="2552">
        <f>ROUND(SUM(H44:H50),1)</f>
        <v>64.099999999999994</v>
      </c>
      <c r="I51" s="1501"/>
      <c r="J51" s="2552">
        <f>ROUND(SUM(J44:J50),1)</f>
        <v>126.2</v>
      </c>
      <c r="K51" s="1501"/>
      <c r="L51" s="1500">
        <f>ROUND(SUM(L44:L50),1)</f>
        <v>0</v>
      </c>
      <c r="M51" s="1501"/>
      <c r="N51" s="1500">
        <f>ROUND(SUM(N44:N50),1)</f>
        <v>0</v>
      </c>
      <c r="O51" s="1501"/>
      <c r="P51" s="1500">
        <f>ROUND(SUM(P44:P50),1)</f>
        <v>0</v>
      </c>
      <c r="Q51" s="1501"/>
      <c r="R51" s="1500">
        <f>ROUND(SUM(R44:R50),1)</f>
        <v>0</v>
      </c>
      <c r="S51" s="1501"/>
      <c r="T51" s="1500">
        <f>ROUND(SUM(T44:T50),1)</f>
        <v>0</v>
      </c>
      <c r="U51" s="1501"/>
      <c r="V51" s="1500">
        <f>ROUND(SUM(V44:V50),1)</f>
        <v>0</v>
      </c>
      <c r="W51" s="1501"/>
      <c r="X51" s="1500">
        <f>ROUND(SUM(X44:X50),1)</f>
        <v>0</v>
      </c>
      <c r="Y51" s="1501"/>
      <c r="Z51" s="1500">
        <f>ROUND(SUM(Z44:Z50),1)</f>
        <v>0</v>
      </c>
      <c r="AA51" s="2077"/>
      <c r="AB51" s="2112"/>
      <c r="AC51" s="3307">
        <f>ROUND(SUM(AC44:AC50),1)</f>
        <v>329.7</v>
      </c>
      <c r="AD51" s="2117"/>
      <c r="AE51" s="2634"/>
      <c r="AF51" s="1500">
        <f>ROUND(SUM(AF44:AF50),1)</f>
        <v>304.39999999999998</v>
      </c>
      <c r="AG51" s="1501"/>
      <c r="AH51" s="2558"/>
      <c r="AI51" s="1500">
        <f>ROUND(SUM(AI44:AI50),1)</f>
        <v>25.3</v>
      </c>
      <c r="AJ51" s="1484"/>
      <c r="AK51" s="1485">
        <f>ROUND(SUM(+AI51/AF51),3)</f>
        <v>8.3000000000000004E-2</v>
      </c>
      <c r="AL51" s="2494"/>
    </row>
    <row r="52" spans="1:38" s="2559" customFormat="1" ht="15" customHeight="1">
      <c r="A52" s="2557"/>
      <c r="B52" s="2550"/>
      <c r="C52" s="2505"/>
      <c r="D52" s="1484"/>
      <c r="E52" s="1501"/>
      <c r="F52" s="1484"/>
      <c r="G52" s="1484"/>
      <c r="H52" s="1484"/>
      <c r="I52" s="1484"/>
      <c r="J52" s="1502"/>
      <c r="K52" s="1484"/>
      <c r="L52" s="1484"/>
      <c r="M52" s="1484"/>
      <c r="N52" s="1484"/>
      <c r="O52" s="1484"/>
      <c r="P52" s="1502"/>
      <c r="Q52" s="1484"/>
      <c r="R52" s="1484"/>
      <c r="S52" s="1484"/>
      <c r="T52" s="1484"/>
      <c r="U52" s="1484"/>
      <c r="V52" s="1484"/>
      <c r="W52" s="1484"/>
      <c r="X52" s="1502"/>
      <c r="Y52" s="1484"/>
      <c r="Z52" s="1502"/>
      <c r="AA52" s="2077"/>
      <c r="AB52" s="2112"/>
      <c r="AC52" s="1502"/>
      <c r="AD52" s="2117"/>
      <c r="AE52" s="2634"/>
      <c r="AF52" s="1502"/>
      <c r="AG52" s="1501"/>
      <c r="AH52" s="2558"/>
      <c r="AI52" s="1484"/>
      <c r="AJ52" s="1484"/>
      <c r="AK52" s="2555"/>
      <c r="AL52" s="2494"/>
    </row>
    <row r="53" spans="1:38" ht="15" customHeight="1">
      <c r="A53" s="2528"/>
      <c r="B53" s="2550" t="s">
        <v>1127</v>
      </c>
      <c r="C53" s="2089"/>
      <c r="D53" s="2560">
        <f>ROUND(SUM(D26+D35+D42+D51),1)</f>
        <v>5817.1</v>
      </c>
      <c r="E53" s="1483"/>
      <c r="F53" s="2560">
        <f>ROUND(SUM(F26+F35+F42+F51),1)</f>
        <v>1717.4</v>
      </c>
      <c r="G53" s="1483"/>
      <c r="H53" s="2560">
        <f>ROUND(SUM(H26+H35+H42+H51),1)</f>
        <v>4608.2</v>
      </c>
      <c r="I53" s="1483"/>
      <c r="J53" s="2560">
        <f>ROUND(SUM(J26+J35+J42+J51),1)</f>
        <v>2589</v>
      </c>
      <c r="K53" s="2073"/>
      <c r="L53" s="2050">
        <f>ROUND(SUM(L26+L35+L42+L51),1)</f>
        <v>0</v>
      </c>
      <c r="M53" s="2073"/>
      <c r="N53" s="2050">
        <f>ROUND(SUM(N26+N35+N42+N51),1)</f>
        <v>0</v>
      </c>
      <c r="O53" s="2073"/>
      <c r="P53" s="2050">
        <f>ROUND(SUM(P26+P35+P42+P51),1)</f>
        <v>0</v>
      </c>
      <c r="Q53" s="2073"/>
      <c r="R53" s="2050">
        <f>ROUND(SUM(R26+R35+R42+R51),1)</f>
        <v>0</v>
      </c>
      <c r="S53" s="2073"/>
      <c r="T53" s="2050">
        <f>ROUND(SUM(T26+T35+T42+T51),1)</f>
        <v>0</v>
      </c>
      <c r="U53" s="2073"/>
      <c r="V53" s="2050">
        <f>ROUND(SUM(V26+V35+V42+V51),1)</f>
        <v>0</v>
      </c>
      <c r="W53" s="2073"/>
      <c r="X53" s="2050">
        <f>ROUND(SUM(X26+X35+X42+X51),1)</f>
        <v>0</v>
      </c>
      <c r="Y53" s="2073"/>
      <c r="Z53" s="2050">
        <f>ROUND(SUM(Z26+Z35+Z42+Z51),1)</f>
        <v>0</v>
      </c>
      <c r="AA53" s="1503"/>
      <c r="AB53" s="2110"/>
      <c r="AC53" s="3309">
        <f>ROUND(SUM(AC26+AC35+AC42+AC51),1)</f>
        <v>14731.7</v>
      </c>
      <c r="AD53" s="2062"/>
      <c r="AE53" s="2106"/>
      <c r="AF53" s="2050">
        <f>ROUND(SUM(AF26+AF35+AF42+AF51),1)</f>
        <v>12184.6</v>
      </c>
      <c r="AG53" s="2073"/>
      <c r="AH53" s="2553"/>
      <c r="AI53" s="2050">
        <f>ROUND(SUM(AI26+AI35+AI42+AI51),1)</f>
        <v>2547.1</v>
      </c>
      <c r="AJ53" s="2554"/>
      <c r="AK53" s="1475">
        <f>ROUND(SUM(+AI53/AF53),3)</f>
        <v>0.20899999999999999</v>
      </c>
    </row>
    <row r="54" spans="1:38" ht="8.25" customHeight="1">
      <c r="A54" s="2528"/>
      <c r="B54" s="2546"/>
      <c r="C54" s="2089"/>
      <c r="D54" s="1483"/>
      <c r="E54" s="1483"/>
      <c r="F54" s="1483"/>
      <c r="G54" s="1483"/>
      <c r="H54" s="1483"/>
      <c r="I54" s="1483"/>
      <c r="J54" s="2067"/>
      <c r="K54" s="2073"/>
      <c r="L54" s="2073"/>
      <c r="M54" s="2073"/>
      <c r="N54" s="2073"/>
      <c r="O54" s="2073"/>
      <c r="P54" s="2062"/>
      <c r="Q54" s="2073"/>
      <c r="R54" s="2073"/>
      <c r="S54" s="2073"/>
      <c r="T54" s="2073"/>
      <c r="U54" s="2073"/>
      <c r="V54" s="2073"/>
      <c r="W54" s="2073"/>
      <c r="X54" s="2073"/>
      <c r="Y54" s="2073"/>
      <c r="Z54" s="2073"/>
      <c r="AA54" s="1503"/>
      <c r="AB54" s="2110"/>
      <c r="AC54" s="2067"/>
      <c r="AD54" s="2062"/>
      <c r="AE54" s="2106"/>
      <c r="AF54" s="2062"/>
      <c r="AG54" s="2073"/>
      <c r="AH54" s="2553"/>
      <c r="AI54" s="1483"/>
      <c r="AJ54" s="2554"/>
      <c r="AK54" s="1471"/>
    </row>
    <row r="55" spans="1:38" ht="15" customHeight="1">
      <c r="A55" s="2528"/>
      <c r="B55" s="2539" t="s">
        <v>1034</v>
      </c>
      <c r="C55" s="2561"/>
      <c r="D55" s="1483"/>
      <c r="E55" s="2562"/>
      <c r="F55" s="1483"/>
      <c r="G55" s="2562"/>
      <c r="H55" s="1483"/>
      <c r="I55" s="1483"/>
      <c r="J55" s="2067"/>
      <c r="K55" s="2073"/>
      <c r="L55" s="2073"/>
      <c r="M55" s="2073"/>
      <c r="N55" s="2073"/>
      <c r="O55" s="2073"/>
      <c r="P55" s="2062"/>
      <c r="Q55" s="2073"/>
      <c r="R55" s="2073"/>
      <c r="S55" s="2073"/>
      <c r="T55" s="2073"/>
      <c r="U55" s="2073"/>
      <c r="V55" s="2073"/>
      <c r="W55" s="2073"/>
      <c r="X55" s="2073"/>
      <c r="Y55" s="2073"/>
      <c r="Z55" s="2073"/>
      <c r="AA55" s="1503"/>
      <c r="AB55" s="2110"/>
      <c r="AC55" s="2067"/>
      <c r="AD55" s="2062"/>
      <c r="AE55" s="2106"/>
      <c r="AF55" s="2062"/>
      <c r="AG55" s="2073"/>
      <c r="AH55" s="2553"/>
      <c r="AI55" s="1483"/>
      <c r="AJ55" s="2554"/>
      <c r="AK55" s="1471"/>
    </row>
    <row r="56" spans="1:38" ht="15" customHeight="1">
      <c r="A56" s="2528"/>
      <c r="B56" s="2563" t="s">
        <v>1155</v>
      </c>
      <c r="C56" s="2561"/>
      <c r="D56" s="1483"/>
      <c r="E56" s="2562"/>
      <c r="F56" s="1483"/>
      <c r="G56" s="2562"/>
      <c r="H56" s="1483"/>
      <c r="I56" s="1483"/>
      <c r="J56" s="2067"/>
      <c r="K56" s="2073"/>
      <c r="L56" s="2073"/>
      <c r="M56" s="2073"/>
      <c r="N56" s="2073"/>
      <c r="O56" s="2073"/>
      <c r="P56" s="2062"/>
      <c r="Q56" s="2073"/>
      <c r="R56" s="2073"/>
      <c r="S56" s="2073"/>
      <c r="T56" s="2073"/>
      <c r="U56" s="2073"/>
      <c r="V56" s="2073"/>
      <c r="W56" s="2073"/>
      <c r="X56" s="2073"/>
      <c r="Y56" s="2073"/>
      <c r="Z56" s="2073"/>
      <c r="AA56" s="1503"/>
      <c r="AB56" s="2113"/>
      <c r="AC56" s="2067"/>
      <c r="AD56" s="2062"/>
      <c r="AE56" s="2106"/>
      <c r="AF56" s="2067"/>
      <c r="AG56" s="2073"/>
      <c r="AH56" s="2553"/>
      <c r="AI56" s="1483"/>
      <c r="AJ56" s="2554"/>
      <c r="AK56" s="1471"/>
    </row>
    <row r="57" spans="1:38" ht="15" customHeight="1">
      <c r="A57" s="2528"/>
      <c r="B57" s="2563" t="s">
        <v>1032</v>
      </c>
      <c r="C57" s="2563"/>
      <c r="D57" s="1851">
        <v>0.9</v>
      </c>
      <c r="E57" s="2562"/>
      <c r="F57" s="1851">
        <v>9.9999999999999978E-2</v>
      </c>
      <c r="G57" s="2562"/>
      <c r="H57" s="1851">
        <v>0</v>
      </c>
      <c r="I57" s="1483"/>
      <c r="J57" s="1851">
        <f t="shared" ref="J57:J90" si="9">$AC57-$D57-$F57-$H57</f>
        <v>0.30000000000000004</v>
      </c>
      <c r="K57" s="2065"/>
      <c r="L57" s="1851"/>
      <c r="M57" s="2065"/>
      <c r="N57" s="1851"/>
      <c r="O57" s="2065"/>
      <c r="P57" s="1851"/>
      <c r="Q57" s="2065"/>
      <c r="R57" s="1851"/>
      <c r="S57" s="2065"/>
      <c r="T57" s="1851"/>
      <c r="U57" s="2065"/>
      <c r="V57" s="1851"/>
      <c r="W57" s="2065"/>
      <c r="X57" s="1851"/>
      <c r="Y57" s="2065"/>
      <c r="Z57" s="1851"/>
      <c r="AA57" s="2066"/>
      <c r="AB57" s="2069"/>
      <c r="AC57" s="1867">
        <v>1.3</v>
      </c>
      <c r="AD57" s="2108"/>
      <c r="AE57" s="2069" t="s">
        <v>15</v>
      </c>
      <c r="AF57" s="1867">
        <v>1.1000000000000001</v>
      </c>
      <c r="AG57" s="2564"/>
      <c r="AH57" s="2565"/>
      <c r="AI57" s="1483">
        <f>ROUND(SUM(+AC57-AF57),1)</f>
        <v>0.2</v>
      </c>
      <c r="AJ57" s="2554"/>
      <c r="AK57" s="1478">
        <f>ROUND(IF(AF57=0,1,AI57/ABS(AF57)),3)</f>
        <v>0.182</v>
      </c>
    </row>
    <row r="58" spans="1:38" ht="15" customHeight="1">
      <c r="A58" s="2528"/>
      <c r="B58" s="2563" t="s">
        <v>1033</v>
      </c>
      <c r="C58" s="2563"/>
      <c r="D58" s="1851">
        <v>0.2</v>
      </c>
      <c r="E58" s="2562"/>
      <c r="F58" s="1851">
        <v>0.3</v>
      </c>
      <c r="G58" s="2562"/>
      <c r="H58" s="1851">
        <v>8.1999999999999993</v>
      </c>
      <c r="I58" s="1483"/>
      <c r="J58" s="1851">
        <f t="shared" si="9"/>
        <v>0.30000000000000071</v>
      </c>
      <c r="K58" s="2065"/>
      <c r="L58" s="1851"/>
      <c r="M58" s="2065"/>
      <c r="N58" s="1851"/>
      <c r="O58" s="2065"/>
      <c r="P58" s="1851"/>
      <c r="Q58" s="2065"/>
      <c r="R58" s="1851"/>
      <c r="S58" s="2065"/>
      <c r="T58" s="1851"/>
      <c r="U58" s="2065"/>
      <c r="V58" s="1851"/>
      <c r="W58" s="2065"/>
      <c r="X58" s="1851"/>
      <c r="Y58" s="2065"/>
      <c r="Z58" s="1851"/>
      <c r="AA58" s="2066"/>
      <c r="AB58" s="2069"/>
      <c r="AC58" s="1867">
        <v>9</v>
      </c>
      <c r="AD58" s="2108"/>
      <c r="AE58" s="2069" t="s">
        <v>15</v>
      </c>
      <c r="AF58" s="1867">
        <v>15.1</v>
      </c>
      <c r="AG58" s="2074"/>
      <c r="AH58" s="2553"/>
      <c r="AI58" s="1483">
        <f>ROUND(SUM(+AC58-AF58),1)</f>
        <v>-6.1</v>
      </c>
      <c r="AJ58" s="2554"/>
      <c r="AK58" s="1478">
        <f>ROUND(IF(AF58=0,0,AI58/ABS(AF58)),3)</f>
        <v>-0.40400000000000003</v>
      </c>
    </row>
    <row r="59" spans="1:38" ht="15" customHeight="1">
      <c r="A59" s="2528"/>
      <c r="B59" s="2563" t="s">
        <v>1156</v>
      </c>
      <c r="C59" s="2563"/>
      <c r="D59" s="1851" t="s">
        <v>15</v>
      </c>
      <c r="E59" s="2562"/>
      <c r="F59" s="1851"/>
      <c r="G59" s="2562"/>
      <c r="H59" s="1851"/>
      <c r="I59" s="1483"/>
      <c r="J59" s="1851"/>
      <c r="K59" s="2062"/>
      <c r="L59" s="1851"/>
      <c r="M59" s="2062"/>
      <c r="N59" s="1851"/>
      <c r="O59" s="2062"/>
      <c r="P59" s="1851"/>
      <c r="Q59" s="2062"/>
      <c r="R59" s="1851"/>
      <c r="S59" s="2062"/>
      <c r="T59" s="1851"/>
      <c r="U59" s="2062"/>
      <c r="V59" s="1851"/>
      <c r="W59" s="2062"/>
      <c r="X59" s="1851"/>
      <c r="Y59" s="2062"/>
      <c r="Z59" s="1851"/>
      <c r="AA59" s="2058"/>
      <c r="AB59" s="2114"/>
      <c r="AC59" s="3310"/>
      <c r="AD59" s="2043"/>
      <c r="AE59" s="2064"/>
      <c r="AF59" s="3310"/>
      <c r="AG59" s="2074"/>
      <c r="AH59" s="2553"/>
      <c r="AI59" s="1483"/>
      <c r="AJ59" s="2554"/>
      <c r="AK59" s="1471"/>
    </row>
    <row r="60" spans="1:38" ht="15" customHeight="1">
      <c r="A60" s="2528"/>
      <c r="B60" s="2563" t="s">
        <v>1037</v>
      </c>
      <c r="C60" s="2563"/>
      <c r="D60" s="1851">
        <v>0</v>
      </c>
      <c r="E60" s="2562"/>
      <c r="F60" s="1851">
        <v>0</v>
      </c>
      <c r="G60" s="2562"/>
      <c r="H60" s="1851">
        <v>0</v>
      </c>
      <c r="I60" s="1483"/>
      <c r="J60" s="1851">
        <f t="shared" si="9"/>
        <v>0</v>
      </c>
      <c r="K60" s="2065"/>
      <c r="L60" s="1851"/>
      <c r="M60" s="2065"/>
      <c r="N60" s="1851"/>
      <c r="O60" s="2065"/>
      <c r="P60" s="1851"/>
      <c r="Q60" s="2065"/>
      <c r="R60" s="1851"/>
      <c r="S60" s="2065"/>
      <c r="T60" s="1851"/>
      <c r="U60" s="2065"/>
      <c r="V60" s="1851"/>
      <c r="W60" s="2065"/>
      <c r="X60" s="1851"/>
      <c r="Y60" s="2065"/>
      <c r="Z60" s="1851"/>
      <c r="AA60" s="2066"/>
      <c r="AB60" s="2069"/>
      <c r="AC60" s="1867">
        <v>0</v>
      </c>
      <c r="AD60" s="2108"/>
      <c r="AE60" s="2069" t="s">
        <v>15</v>
      </c>
      <c r="AF60" s="1867">
        <v>0</v>
      </c>
      <c r="AG60" s="2564"/>
      <c r="AH60" s="2565"/>
      <c r="AI60" s="1483">
        <f>ROUND(SUM(+AC60-AF60),1)</f>
        <v>0</v>
      </c>
      <c r="AJ60" s="2554"/>
      <c r="AK60" s="1478">
        <f>ROUND(IF(AF60=0,0,AI60/ABS(AF60)),3)</f>
        <v>0</v>
      </c>
    </row>
    <row r="61" spans="1:38" ht="15" customHeight="1">
      <c r="A61" s="2528"/>
      <c r="B61" s="2563" t="s">
        <v>1038</v>
      </c>
      <c r="C61" s="2563"/>
      <c r="D61" s="1851">
        <v>0</v>
      </c>
      <c r="E61" s="2562"/>
      <c r="F61" s="1851">
        <v>4.2</v>
      </c>
      <c r="G61" s="2562"/>
      <c r="H61" s="1851">
        <v>4.3</v>
      </c>
      <c r="I61" s="1483"/>
      <c r="J61" s="1851">
        <f t="shared" si="9"/>
        <v>3.8000000000000016</v>
      </c>
      <c r="K61" s="2065"/>
      <c r="L61" s="1851"/>
      <c r="M61" s="2065"/>
      <c r="N61" s="1851"/>
      <c r="O61" s="2065"/>
      <c r="P61" s="1851"/>
      <c r="Q61" s="2065"/>
      <c r="R61" s="1851"/>
      <c r="S61" s="2065"/>
      <c r="T61" s="1851"/>
      <c r="U61" s="2065"/>
      <c r="V61" s="1851"/>
      <c r="W61" s="2065"/>
      <c r="X61" s="1851"/>
      <c r="Y61" s="2065"/>
      <c r="Z61" s="1851"/>
      <c r="AA61" s="2066"/>
      <c r="AB61" s="2069"/>
      <c r="AC61" s="1867">
        <v>12.3</v>
      </c>
      <c r="AD61" s="2108"/>
      <c r="AE61" s="2069" t="s">
        <v>15</v>
      </c>
      <c r="AF61" s="1867">
        <v>10.7</v>
      </c>
      <c r="AG61" s="2564"/>
      <c r="AH61" s="2565"/>
      <c r="AI61" s="1483">
        <f>ROUND(SUM(+AC61-AF61),1)</f>
        <v>1.6</v>
      </c>
      <c r="AJ61" s="2554"/>
      <c r="AK61" s="1478">
        <f>ROUND(IF(AF61=0,0,AI61/ABS(AF61)),3)</f>
        <v>0.15</v>
      </c>
    </row>
    <row r="62" spans="1:38" ht="15" customHeight="1">
      <c r="A62" s="2528"/>
      <c r="B62" s="2563" t="s">
        <v>1039</v>
      </c>
      <c r="C62" s="2563"/>
      <c r="D62" s="1851">
        <v>0</v>
      </c>
      <c r="E62" s="2562"/>
      <c r="F62" s="1851">
        <v>0</v>
      </c>
      <c r="G62" s="2562"/>
      <c r="H62" s="1851">
        <v>0</v>
      </c>
      <c r="I62" s="1483"/>
      <c r="J62" s="1851">
        <f t="shared" si="9"/>
        <v>0</v>
      </c>
      <c r="K62" s="2065"/>
      <c r="L62" s="1851"/>
      <c r="M62" s="2065"/>
      <c r="N62" s="1851"/>
      <c r="O62" s="2065"/>
      <c r="P62" s="1851"/>
      <c r="Q62" s="2065"/>
      <c r="R62" s="1851"/>
      <c r="S62" s="2065"/>
      <c r="T62" s="1851"/>
      <c r="U62" s="2065"/>
      <c r="V62" s="1851"/>
      <c r="W62" s="2065"/>
      <c r="X62" s="1851"/>
      <c r="Y62" s="2065"/>
      <c r="Z62" s="1851"/>
      <c r="AA62" s="2066"/>
      <c r="AB62" s="2069"/>
      <c r="AC62" s="1867">
        <v>0</v>
      </c>
      <c r="AD62" s="2108"/>
      <c r="AE62" s="2069" t="s">
        <v>15</v>
      </c>
      <c r="AF62" s="1867">
        <v>0</v>
      </c>
      <c r="AG62" s="2564"/>
      <c r="AH62" s="2565"/>
      <c r="AI62" s="1483">
        <f>ROUND(SUM(+AC62-AF62),1)</f>
        <v>0</v>
      </c>
      <c r="AJ62" s="2554"/>
      <c r="AK62" s="1478">
        <f>ROUND(IF(AF62=0,0,AI62/ABS(AF62)),3)</f>
        <v>0</v>
      </c>
    </row>
    <row r="63" spans="1:38" ht="15">
      <c r="A63" s="2528"/>
      <c r="B63" s="2563" t="s">
        <v>1040</v>
      </c>
      <c r="C63" s="2563"/>
      <c r="D63" s="1851">
        <v>0</v>
      </c>
      <c r="E63" s="2562"/>
      <c r="F63" s="1851">
        <v>0.1</v>
      </c>
      <c r="G63" s="2562"/>
      <c r="H63" s="1851">
        <v>0.1</v>
      </c>
      <c r="I63" s="1483"/>
      <c r="J63" s="1851">
        <f t="shared" si="9"/>
        <v>0</v>
      </c>
      <c r="K63" s="2065"/>
      <c r="L63" s="1851"/>
      <c r="M63" s="2065"/>
      <c r="N63" s="1851"/>
      <c r="O63" s="2065"/>
      <c r="P63" s="1851"/>
      <c r="Q63" s="2065"/>
      <c r="R63" s="1851"/>
      <c r="S63" s="2065"/>
      <c r="T63" s="1851"/>
      <c r="U63" s="2065"/>
      <c r="V63" s="1851"/>
      <c r="W63" s="2065"/>
      <c r="X63" s="1851"/>
      <c r="Y63" s="2065"/>
      <c r="Z63" s="1851"/>
      <c r="AA63" s="2066"/>
      <c r="AB63" s="2069"/>
      <c r="AC63" s="1867">
        <v>0.2</v>
      </c>
      <c r="AD63" s="2108"/>
      <c r="AE63" s="2069" t="s">
        <v>15</v>
      </c>
      <c r="AF63" s="1867">
        <v>0.2</v>
      </c>
      <c r="AG63" s="2564"/>
      <c r="AH63" s="2565"/>
      <c r="AI63" s="1483">
        <f>ROUND(SUM(+AC63-AF63),1)</f>
        <v>0</v>
      </c>
      <c r="AJ63" s="2554"/>
      <c r="AK63" s="1478">
        <f>ROUND(IF(AF63=0,0,AI63/ABS(AF63)),3)</f>
        <v>0</v>
      </c>
    </row>
    <row r="64" spans="1:38" ht="15" customHeight="1">
      <c r="A64" s="2528"/>
      <c r="B64" s="2563" t="s">
        <v>1161</v>
      </c>
      <c r="C64" s="2563"/>
      <c r="D64" s="1851" t="s">
        <v>15</v>
      </c>
      <c r="E64" s="2562"/>
      <c r="F64" s="1851"/>
      <c r="G64" s="2562"/>
      <c r="H64" s="1851"/>
      <c r="I64" s="1483"/>
      <c r="J64" s="1851"/>
      <c r="K64" s="2062"/>
      <c r="L64" s="1851"/>
      <c r="M64" s="2062"/>
      <c r="N64" s="1851"/>
      <c r="O64" s="2062"/>
      <c r="P64" s="1851"/>
      <c r="Q64" s="2062"/>
      <c r="R64" s="1851"/>
      <c r="S64" s="2062"/>
      <c r="T64" s="1851"/>
      <c r="U64" s="2062"/>
      <c r="V64" s="1851"/>
      <c r="W64" s="2062"/>
      <c r="X64" s="1851"/>
      <c r="Y64" s="2062"/>
      <c r="Z64" s="1851"/>
      <c r="AA64" s="2058"/>
      <c r="AB64" s="2114"/>
      <c r="AC64" s="3310"/>
      <c r="AD64" s="2043"/>
      <c r="AE64" s="2064"/>
      <c r="AF64" s="3310"/>
      <c r="AG64" s="2074"/>
      <c r="AH64" s="2553"/>
      <c r="AI64" s="1483"/>
      <c r="AJ64" s="2554"/>
      <c r="AK64" s="1471"/>
    </row>
    <row r="65" spans="1:37" ht="15" customHeight="1">
      <c r="A65" s="2528"/>
      <c r="B65" s="2563" t="s">
        <v>1041</v>
      </c>
      <c r="C65" s="2563"/>
      <c r="D65" s="1851">
        <v>5.7</v>
      </c>
      <c r="E65" s="2562"/>
      <c r="F65" s="1851">
        <v>5.9999999999999991</v>
      </c>
      <c r="G65" s="2562"/>
      <c r="H65" s="1851">
        <v>5.400000000000003</v>
      </c>
      <c r="I65" s="1483"/>
      <c r="J65" s="1851">
        <f t="shared" si="9"/>
        <v>5.9999999999999991</v>
      </c>
      <c r="K65" s="2065"/>
      <c r="L65" s="1851"/>
      <c r="M65" s="2065"/>
      <c r="N65" s="1851"/>
      <c r="O65" s="2065"/>
      <c r="P65" s="1851"/>
      <c r="Q65" s="2065"/>
      <c r="R65" s="1851"/>
      <c r="S65" s="2065"/>
      <c r="T65" s="1851"/>
      <c r="U65" s="2065"/>
      <c r="V65" s="1851"/>
      <c r="W65" s="2065"/>
      <c r="X65" s="1851"/>
      <c r="Y65" s="2065"/>
      <c r="Z65" s="1851"/>
      <c r="AA65" s="2066"/>
      <c r="AB65" s="2069"/>
      <c r="AC65" s="1867">
        <v>23.1</v>
      </c>
      <c r="AD65" s="2108"/>
      <c r="AE65" s="2069" t="s">
        <v>15</v>
      </c>
      <c r="AF65" s="1867">
        <v>26.1</v>
      </c>
      <c r="AG65" s="2074"/>
      <c r="AH65" s="2553"/>
      <c r="AI65" s="1483">
        <f t="shared" ref="AI65:AI72" si="10">ROUND(SUM(+AC65-AF65),1)</f>
        <v>-3</v>
      </c>
      <c r="AJ65" s="2554"/>
      <c r="AK65" s="1478">
        <f>ROUND(IF(AF65=0,0,AI65/ABS(AF65)),3)</f>
        <v>-0.115</v>
      </c>
    </row>
    <row r="66" spans="1:37" ht="15" customHeight="1">
      <c r="A66" s="2528"/>
      <c r="B66" s="2563" t="s">
        <v>1259</v>
      </c>
      <c r="C66" s="2563"/>
      <c r="D66" s="1851">
        <v>0</v>
      </c>
      <c r="E66" s="2562"/>
      <c r="F66" s="1851">
        <v>0</v>
      </c>
      <c r="G66" s="2562"/>
      <c r="H66" s="1851">
        <v>0</v>
      </c>
      <c r="I66" s="1483"/>
      <c r="J66" s="1851">
        <f t="shared" si="9"/>
        <v>0</v>
      </c>
      <c r="K66" s="2065"/>
      <c r="L66" s="1851"/>
      <c r="M66" s="2065"/>
      <c r="N66" s="1851"/>
      <c r="O66" s="2065"/>
      <c r="P66" s="1851"/>
      <c r="Q66" s="2065"/>
      <c r="R66" s="1851"/>
      <c r="S66" s="2065"/>
      <c r="T66" s="1851"/>
      <c r="U66" s="2065"/>
      <c r="V66" s="1851"/>
      <c r="W66" s="2065"/>
      <c r="X66" s="1851"/>
      <c r="Y66" s="2065"/>
      <c r="Z66" s="1851"/>
      <c r="AA66" s="2066"/>
      <c r="AB66" s="2115"/>
      <c r="AC66" s="1867">
        <v>0</v>
      </c>
      <c r="AD66" s="2108"/>
      <c r="AE66" s="2115" t="s">
        <v>15</v>
      </c>
      <c r="AF66" s="1867">
        <v>0</v>
      </c>
      <c r="AG66" s="2074"/>
      <c r="AH66" s="2553"/>
      <c r="AI66" s="1483">
        <f>ROUND(SUM(+AC66-AF66),1)</f>
        <v>0</v>
      </c>
      <c r="AJ66" s="2554"/>
      <c r="AK66" s="1478">
        <f>ROUND(IF(AF66=0,0,AI66/ABS(AF66)),3)</f>
        <v>0</v>
      </c>
    </row>
    <row r="67" spans="1:37" ht="15" customHeight="1">
      <c r="A67" s="2528"/>
      <c r="B67" s="2563" t="s">
        <v>1042</v>
      </c>
      <c r="C67" s="2563"/>
      <c r="D67" s="1851">
        <v>11.1</v>
      </c>
      <c r="E67" s="2562"/>
      <c r="F67" s="1851">
        <v>18.100000000000001</v>
      </c>
      <c r="G67" s="2562"/>
      <c r="H67" s="1851">
        <v>29.799999999999997</v>
      </c>
      <c r="I67" s="1483"/>
      <c r="J67" s="1851">
        <f t="shared" si="9"/>
        <v>15</v>
      </c>
      <c r="K67" s="2065"/>
      <c r="L67" s="1851"/>
      <c r="M67" s="2065"/>
      <c r="N67" s="1851"/>
      <c r="O67" s="2065"/>
      <c r="P67" s="1851"/>
      <c r="Q67" s="2065"/>
      <c r="R67" s="1851"/>
      <c r="S67" s="2065"/>
      <c r="T67" s="1851"/>
      <c r="U67" s="2065"/>
      <c r="V67" s="1851"/>
      <c r="W67" s="2065"/>
      <c r="X67" s="1851"/>
      <c r="Y67" s="2065"/>
      <c r="Z67" s="1851"/>
      <c r="AA67" s="2066"/>
      <c r="AB67" s="2069"/>
      <c r="AC67" s="1867">
        <v>74</v>
      </c>
      <c r="AD67" s="2108"/>
      <c r="AE67" s="2069" t="s">
        <v>15</v>
      </c>
      <c r="AF67" s="1867">
        <v>67.7</v>
      </c>
      <c r="AG67" s="2564"/>
      <c r="AH67" s="2565"/>
      <c r="AI67" s="1483">
        <f t="shared" si="10"/>
        <v>6.3</v>
      </c>
      <c r="AJ67" s="2554"/>
      <c r="AK67" s="1478">
        <f>ROUND(IF(AF67=0,0,AI67/ABS(AF67)),3)</f>
        <v>9.2999999999999999E-2</v>
      </c>
    </row>
    <row r="68" spans="1:37" ht="15" customHeight="1">
      <c r="A68" s="2528"/>
      <c r="B68" s="2563" t="s">
        <v>1043</v>
      </c>
      <c r="C68" s="2563"/>
      <c r="D68" s="1851">
        <v>25</v>
      </c>
      <c r="E68" s="2562"/>
      <c r="F68" s="1851">
        <v>13.399999999999999</v>
      </c>
      <c r="G68" s="2562"/>
      <c r="H68" s="1851">
        <v>17.800000000000004</v>
      </c>
      <c r="I68" s="1483"/>
      <c r="J68" s="1851">
        <f t="shared" si="9"/>
        <v>18.399999999999991</v>
      </c>
      <c r="K68" s="2065"/>
      <c r="L68" s="1851"/>
      <c r="M68" s="2065"/>
      <c r="N68" s="1851"/>
      <c r="O68" s="2065"/>
      <c r="P68" s="1851"/>
      <c r="Q68" s="2065"/>
      <c r="R68" s="1851"/>
      <c r="S68" s="2065"/>
      <c r="T68" s="1851"/>
      <c r="U68" s="2065"/>
      <c r="V68" s="1851"/>
      <c r="W68" s="2065"/>
      <c r="X68" s="1851"/>
      <c r="Y68" s="2065"/>
      <c r="Z68" s="1851"/>
      <c r="AA68" s="2066"/>
      <c r="AB68" s="2069"/>
      <c r="AC68" s="1867">
        <v>74.599999999999994</v>
      </c>
      <c r="AD68" s="2108"/>
      <c r="AE68" s="2069" t="s">
        <v>15</v>
      </c>
      <c r="AF68" s="1867">
        <v>74.5</v>
      </c>
      <c r="AG68" s="2564"/>
      <c r="AH68" s="2565"/>
      <c r="AI68" s="1483">
        <f t="shared" si="10"/>
        <v>0.1</v>
      </c>
      <c r="AJ68" s="2554"/>
      <c r="AK68" s="1478">
        <f>ROUND(IF(AF68=0,0,AI68/ABS(AF68)),3)</f>
        <v>1E-3</v>
      </c>
    </row>
    <row r="69" spans="1:37" ht="15" customHeight="1">
      <c r="A69" s="2528"/>
      <c r="B69" s="2563" t="s">
        <v>1044</v>
      </c>
      <c r="C69" s="2563"/>
      <c r="D69" s="1851">
        <v>0.2</v>
      </c>
      <c r="E69" s="2562"/>
      <c r="F69" s="1851">
        <v>9.9999999999999978E-2</v>
      </c>
      <c r="G69" s="2562"/>
      <c r="H69" s="1851">
        <v>0.10000000000000003</v>
      </c>
      <c r="I69" s="1483"/>
      <c r="J69" s="1851">
        <f t="shared" si="9"/>
        <v>0.19999999999999996</v>
      </c>
      <c r="K69" s="2065"/>
      <c r="L69" s="1851"/>
      <c r="M69" s="2065"/>
      <c r="N69" s="1851"/>
      <c r="O69" s="2065"/>
      <c r="P69" s="1851"/>
      <c r="Q69" s="2065"/>
      <c r="R69" s="1851"/>
      <c r="S69" s="2065"/>
      <c r="T69" s="1851"/>
      <c r="U69" s="2065"/>
      <c r="V69" s="1851"/>
      <c r="W69" s="2065"/>
      <c r="X69" s="1851"/>
      <c r="Y69" s="2065"/>
      <c r="Z69" s="1851"/>
      <c r="AA69" s="2066"/>
      <c r="AB69" s="2069"/>
      <c r="AC69" s="1867">
        <v>0.6</v>
      </c>
      <c r="AD69" s="2108"/>
      <c r="AE69" s="2069" t="s">
        <v>15</v>
      </c>
      <c r="AF69" s="1867">
        <v>0.6</v>
      </c>
      <c r="AG69" s="2564"/>
      <c r="AH69" s="2565"/>
      <c r="AI69" s="1483">
        <f t="shared" si="10"/>
        <v>0</v>
      </c>
      <c r="AJ69" s="2554"/>
      <c r="AK69" s="1478">
        <f>ROUND(IF(AF69=0,0,AI69/ABS(AF69)),3)</f>
        <v>0</v>
      </c>
    </row>
    <row r="70" spans="1:37" ht="15" customHeight="1">
      <c r="A70" s="2528"/>
      <c r="B70" s="2563" t="s">
        <v>1045</v>
      </c>
      <c r="C70" s="2563"/>
      <c r="D70" s="1851">
        <v>33.200000000000003</v>
      </c>
      <c r="E70" s="2562"/>
      <c r="F70" s="1851">
        <v>34.899999999999991</v>
      </c>
      <c r="G70" s="2562"/>
      <c r="H70" s="1851">
        <v>11.600000000000009</v>
      </c>
      <c r="I70" s="1483"/>
      <c r="J70" s="1851">
        <f t="shared" si="9"/>
        <v>35.5</v>
      </c>
      <c r="K70" s="2065"/>
      <c r="L70" s="1851"/>
      <c r="M70" s="2065"/>
      <c r="N70" s="1851"/>
      <c r="O70" s="2065"/>
      <c r="P70" s="1851"/>
      <c r="Q70" s="2065"/>
      <c r="R70" s="1851"/>
      <c r="S70" s="2065"/>
      <c r="T70" s="1851"/>
      <c r="U70" s="2065"/>
      <c r="V70" s="1851"/>
      <c r="W70" s="2065"/>
      <c r="X70" s="1851"/>
      <c r="Y70" s="2065"/>
      <c r="Z70" s="1851"/>
      <c r="AA70" s="2066"/>
      <c r="AB70" s="2069"/>
      <c r="AC70" s="1867">
        <v>115.2</v>
      </c>
      <c r="AD70" s="2108"/>
      <c r="AE70" s="2069" t="s">
        <v>15</v>
      </c>
      <c r="AF70" s="1867">
        <v>69.599999999999994</v>
      </c>
      <c r="AG70" s="2564"/>
      <c r="AH70" s="2565"/>
      <c r="AI70" s="1483">
        <f t="shared" si="10"/>
        <v>45.6</v>
      </c>
      <c r="AJ70" s="2554"/>
      <c r="AK70" s="1521">
        <f>ROUND(IF(AF70=0,1,AI70/ABS(AF70)),3)</f>
        <v>0.65500000000000003</v>
      </c>
    </row>
    <row r="71" spans="1:37" ht="15" customHeight="1">
      <c r="A71" s="2528"/>
      <c r="B71" s="2563" t="s">
        <v>1046</v>
      </c>
      <c r="C71" s="2563"/>
      <c r="D71" s="1851">
        <v>1.2</v>
      </c>
      <c r="E71" s="2562"/>
      <c r="F71" s="1851">
        <v>1.5000000000000002</v>
      </c>
      <c r="G71" s="2562"/>
      <c r="H71" s="1851">
        <v>1.8999999999999992</v>
      </c>
      <c r="I71" s="1483"/>
      <c r="J71" s="1851">
        <f t="shared" si="9"/>
        <v>1.6000000000000008</v>
      </c>
      <c r="K71" s="2065"/>
      <c r="L71" s="1851"/>
      <c r="M71" s="2065"/>
      <c r="N71" s="1851"/>
      <c r="O71" s="2065"/>
      <c r="P71" s="1851"/>
      <c r="Q71" s="2065"/>
      <c r="R71" s="1851"/>
      <c r="S71" s="2065"/>
      <c r="T71" s="1851"/>
      <c r="U71" s="2065"/>
      <c r="V71" s="1851"/>
      <c r="W71" s="2065"/>
      <c r="X71" s="1851"/>
      <c r="Y71" s="2065"/>
      <c r="Z71" s="1851"/>
      <c r="AA71" s="2066"/>
      <c r="AB71" s="2069"/>
      <c r="AC71" s="1867">
        <v>6.2</v>
      </c>
      <c r="AD71" s="2108"/>
      <c r="AE71" s="2069" t="s">
        <v>15</v>
      </c>
      <c r="AF71" s="1867">
        <v>5.7</v>
      </c>
      <c r="AG71" s="2564"/>
      <c r="AH71" s="2565"/>
      <c r="AI71" s="1483">
        <f t="shared" si="10"/>
        <v>0.5</v>
      </c>
      <c r="AJ71" s="2554"/>
      <c r="AK71" s="1478">
        <f>ROUND(IF(AF71=0,0,AI71/ABS(AF71)),3)</f>
        <v>8.7999999999999995E-2</v>
      </c>
    </row>
    <row r="72" spans="1:37" ht="15" customHeight="1">
      <c r="A72" s="2528"/>
      <c r="B72" s="2563" t="s">
        <v>1035</v>
      </c>
      <c r="C72" s="2563"/>
      <c r="D72" s="1851">
        <v>618.1</v>
      </c>
      <c r="E72" s="2562"/>
      <c r="F72" s="1851">
        <v>154.60000000000002</v>
      </c>
      <c r="G72" s="2562"/>
      <c r="H72" s="1851">
        <v>26.5</v>
      </c>
      <c r="I72" s="1483"/>
      <c r="J72" s="1851">
        <f t="shared" si="9"/>
        <v>43.899999999999977</v>
      </c>
      <c r="K72" s="2065"/>
      <c r="L72" s="1851"/>
      <c r="M72" s="2065"/>
      <c r="N72" s="1851"/>
      <c r="O72" s="2065"/>
      <c r="P72" s="1851"/>
      <c r="Q72" s="2065"/>
      <c r="R72" s="1851"/>
      <c r="S72" s="2065"/>
      <c r="T72" s="1851"/>
      <c r="U72" s="2065"/>
      <c r="V72" s="1851"/>
      <c r="W72" s="2065"/>
      <c r="X72" s="1851"/>
      <c r="Y72" s="2065"/>
      <c r="Z72" s="1851"/>
      <c r="AA72" s="2066"/>
      <c r="AB72" s="2069"/>
      <c r="AC72" s="1867">
        <v>843.1</v>
      </c>
      <c r="AD72" s="2108"/>
      <c r="AE72" s="2069" t="s">
        <v>15</v>
      </c>
      <c r="AF72" s="1867">
        <v>385.2</v>
      </c>
      <c r="AG72" s="2564"/>
      <c r="AH72" s="2565"/>
      <c r="AI72" s="1483">
        <f t="shared" si="10"/>
        <v>457.9</v>
      </c>
      <c r="AJ72" s="2554"/>
      <c r="AK72" s="1521">
        <f>ROUND(IF(AF72=0,0,AI72/ABS(AF72)),3)</f>
        <v>1.1890000000000001</v>
      </c>
    </row>
    <row r="73" spans="1:37" ht="15" customHeight="1">
      <c r="A73" s="2528"/>
      <c r="B73" s="2563" t="s">
        <v>1036</v>
      </c>
      <c r="C73" s="2563"/>
      <c r="D73" s="1851">
        <v>21.8</v>
      </c>
      <c r="E73" s="2562"/>
      <c r="F73" s="1851">
        <v>16.8</v>
      </c>
      <c r="G73" s="2562"/>
      <c r="H73" s="1851">
        <v>19.799999999999994</v>
      </c>
      <c r="I73" s="1483"/>
      <c r="J73" s="1851">
        <f t="shared" si="9"/>
        <v>13.100000000000012</v>
      </c>
      <c r="K73" s="2065"/>
      <c r="L73" s="1851"/>
      <c r="M73" s="2065"/>
      <c r="N73" s="1851"/>
      <c r="O73" s="2065"/>
      <c r="P73" s="1851"/>
      <c r="Q73" s="2065"/>
      <c r="R73" s="1851"/>
      <c r="S73" s="2065"/>
      <c r="T73" s="1851"/>
      <c r="U73" s="2065"/>
      <c r="V73" s="1851"/>
      <c r="W73" s="2065"/>
      <c r="X73" s="1851"/>
      <c r="Y73" s="2065"/>
      <c r="Z73" s="1851"/>
      <c r="AA73" s="2066"/>
      <c r="AB73" s="2069"/>
      <c r="AC73" s="1867">
        <v>71.5</v>
      </c>
      <c r="AD73" s="2108"/>
      <c r="AE73" s="2069" t="s">
        <v>15</v>
      </c>
      <c r="AF73" s="1867">
        <v>46</v>
      </c>
      <c r="AG73" s="2074"/>
      <c r="AH73" s="2553"/>
      <c r="AI73" s="1483">
        <f>ROUND(SUM(+AC73-AF73),1)</f>
        <v>25.5</v>
      </c>
      <c r="AJ73" s="2554"/>
      <c r="AK73" s="1521">
        <f>ROUND(IF(AF73=0,1,AI73/ABS(AF73)),3)</f>
        <v>0.55400000000000005</v>
      </c>
    </row>
    <row r="74" spans="1:37" ht="15" customHeight="1">
      <c r="A74" s="2528"/>
      <c r="B74" s="2563" t="s">
        <v>1159</v>
      </c>
      <c r="C74" s="2563"/>
      <c r="D74" s="1851" t="s">
        <v>15</v>
      </c>
      <c r="E74" s="2562"/>
      <c r="F74" s="1851"/>
      <c r="G74" s="2562"/>
      <c r="H74" s="1851"/>
      <c r="I74" s="1483"/>
      <c r="J74" s="1851"/>
      <c r="K74" s="2062"/>
      <c r="L74" s="1851"/>
      <c r="M74" s="2062"/>
      <c r="N74" s="1851"/>
      <c r="O74" s="2062"/>
      <c r="P74" s="1851"/>
      <c r="Q74" s="2062"/>
      <c r="R74" s="1851"/>
      <c r="S74" s="2062"/>
      <c r="T74" s="1851"/>
      <c r="U74" s="2062"/>
      <c r="V74" s="1851"/>
      <c r="W74" s="2062"/>
      <c r="X74" s="1851"/>
      <c r="Y74" s="2062"/>
      <c r="Z74" s="1851"/>
      <c r="AA74" s="2058"/>
      <c r="AB74" s="2114"/>
      <c r="AC74" s="3310"/>
      <c r="AD74" s="2043"/>
      <c r="AE74" s="2064"/>
      <c r="AF74" s="3310"/>
      <c r="AG74" s="2074"/>
      <c r="AH74" s="2553"/>
      <c r="AI74" s="1483"/>
      <c r="AJ74" s="2554"/>
      <c r="AK74" s="1471"/>
    </row>
    <row r="75" spans="1:37" ht="15" customHeight="1">
      <c r="A75" s="2528"/>
      <c r="B75" s="2563" t="s">
        <v>1051</v>
      </c>
      <c r="C75" s="2563"/>
      <c r="D75" s="1851">
        <v>0</v>
      </c>
      <c r="E75" s="2562"/>
      <c r="F75" s="1851">
        <v>0</v>
      </c>
      <c r="G75" s="2562"/>
      <c r="H75" s="1851">
        <v>0</v>
      </c>
      <c r="I75" s="1483"/>
      <c r="J75" s="1851">
        <f t="shared" si="9"/>
        <v>0</v>
      </c>
      <c r="K75" s="2065"/>
      <c r="L75" s="1851"/>
      <c r="M75" s="2065"/>
      <c r="N75" s="1851"/>
      <c r="O75" s="2065"/>
      <c r="P75" s="1851"/>
      <c r="Q75" s="2065"/>
      <c r="R75" s="1851"/>
      <c r="S75" s="2065"/>
      <c r="T75" s="1851"/>
      <c r="U75" s="2065"/>
      <c r="V75" s="1851"/>
      <c r="W75" s="2065"/>
      <c r="X75" s="1851"/>
      <c r="Y75" s="2065"/>
      <c r="Z75" s="1851"/>
      <c r="AA75" s="2066"/>
      <c r="AB75" s="2069"/>
      <c r="AC75" s="1867">
        <v>0</v>
      </c>
      <c r="AD75" s="2108"/>
      <c r="AE75" s="2069" t="s">
        <v>15</v>
      </c>
      <c r="AF75" s="1867">
        <v>7.3</v>
      </c>
      <c r="AG75" s="2564"/>
      <c r="AH75" s="2565"/>
      <c r="AI75" s="1483">
        <f>ROUND(SUM(+AC75-AF75),1)</f>
        <v>-7.3</v>
      </c>
      <c r="AJ75" s="2554"/>
      <c r="AK75" s="1478">
        <f>ROUND(IF(AF75=0,0,AI75/ABS(AF75)),3)</f>
        <v>-1</v>
      </c>
    </row>
    <row r="76" spans="1:37" ht="15" customHeight="1">
      <c r="A76" s="2528"/>
      <c r="B76" s="2563" t="s">
        <v>1052</v>
      </c>
      <c r="C76" s="2563"/>
      <c r="D76" s="1851">
        <v>0</v>
      </c>
      <c r="E76" s="2562"/>
      <c r="F76" s="1851">
        <v>0</v>
      </c>
      <c r="G76" s="2562"/>
      <c r="H76" s="1851">
        <v>10.9</v>
      </c>
      <c r="I76" s="1483"/>
      <c r="J76" s="1851">
        <f t="shared" si="9"/>
        <v>6.9999999999999982</v>
      </c>
      <c r="K76" s="2065"/>
      <c r="L76" s="1851"/>
      <c r="M76" s="2065"/>
      <c r="N76" s="1851"/>
      <c r="O76" s="2065"/>
      <c r="P76" s="1851"/>
      <c r="Q76" s="2065"/>
      <c r="R76" s="1851"/>
      <c r="S76" s="2065"/>
      <c r="T76" s="1851"/>
      <c r="U76" s="2065"/>
      <c r="V76" s="1851"/>
      <c r="W76" s="2065"/>
      <c r="X76" s="1851"/>
      <c r="Y76" s="2065"/>
      <c r="Z76" s="1851"/>
      <c r="AA76" s="2066"/>
      <c r="AB76" s="2069"/>
      <c r="AC76" s="1867">
        <v>17.899999999999999</v>
      </c>
      <c r="AD76" s="2108"/>
      <c r="AE76" s="2069" t="s">
        <v>15</v>
      </c>
      <c r="AF76" s="1867">
        <v>29.3</v>
      </c>
      <c r="AG76" s="2564"/>
      <c r="AH76" s="2565"/>
      <c r="AI76" s="1483">
        <f>ROUND(SUM(+AC76-AF76),1)</f>
        <v>-11.4</v>
      </c>
      <c r="AJ76" s="2554"/>
      <c r="AK76" s="1478">
        <f>ROUND(IF(AF76=0,1,AI76/ABS(AF76)),3)</f>
        <v>-0.38900000000000001</v>
      </c>
    </row>
    <row r="77" spans="1:37" ht="15" customHeight="1">
      <c r="A77" s="2528"/>
      <c r="B77" s="2563" t="s">
        <v>1053</v>
      </c>
      <c r="C77" s="2563"/>
      <c r="D77" s="1851">
        <v>0.1</v>
      </c>
      <c r="E77" s="2562"/>
      <c r="F77" s="1851">
        <v>0</v>
      </c>
      <c r="G77" s="2562"/>
      <c r="H77" s="1851">
        <v>0</v>
      </c>
      <c r="I77" s="1483"/>
      <c r="J77" s="1851">
        <f t="shared" si="9"/>
        <v>0</v>
      </c>
      <c r="K77" s="2065"/>
      <c r="L77" s="1851"/>
      <c r="M77" s="2065"/>
      <c r="N77" s="1851"/>
      <c r="O77" s="2065"/>
      <c r="P77" s="1851"/>
      <c r="Q77" s="2065"/>
      <c r="R77" s="1851"/>
      <c r="S77" s="2065"/>
      <c r="T77" s="1851"/>
      <c r="U77" s="2065"/>
      <c r="V77" s="1851"/>
      <c r="W77" s="2065"/>
      <c r="X77" s="1851"/>
      <c r="Y77" s="2065"/>
      <c r="Z77" s="1851"/>
      <c r="AA77" s="2066"/>
      <c r="AB77" s="2069"/>
      <c r="AC77" s="1867">
        <v>0.1</v>
      </c>
      <c r="AD77" s="2108"/>
      <c r="AE77" s="2069" t="s">
        <v>15</v>
      </c>
      <c r="AF77" s="1867">
        <v>0</v>
      </c>
      <c r="AG77" s="2564"/>
      <c r="AH77" s="2565"/>
      <c r="AI77" s="1483">
        <f>ROUND(SUM(+AC77-AF77),1)</f>
        <v>0.1</v>
      </c>
      <c r="AJ77" s="2554"/>
      <c r="AK77" s="1521">
        <f>ROUND(IF(AF77=0,1,AI77/ABS(AF77)),3)</f>
        <v>1</v>
      </c>
    </row>
    <row r="78" spans="1:37" ht="15" customHeight="1">
      <c r="A78" s="2528"/>
      <c r="B78" s="2563" t="s">
        <v>1054</v>
      </c>
      <c r="C78" s="2563"/>
      <c r="D78" s="1851">
        <v>16.7</v>
      </c>
      <c r="E78" s="2562"/>
      <c r="F78" s="1851">
        <v>0</v>
      </c>
      <c r="G78" s="2562"/>
      <c r="H78" s="1851">
        <v>0</v>
      </c>
      <c r="I78" s="1483"/>
      <c r="J78" s="1851">
        <f t="shared" si="9"/>
        <v>0</v>
      </c>
      <c r="K78" s="2065"/>
      <c r="L78" s="1851"/>
      <c r="M78" s="2065"/>
      <c r="N78" s="1851"/>
      <c r="O78" s="2065"/>
      <c r="P78" s="1851"/>
      <c r="Q78" s="2065"/>
      <c r="R78" s="1851"/>
      <c r="S78" s="2065"/>
      <c r="T78" s="1851"/>
      <c r="U78" s="2065"/>
      <c r="V78" s="1851"/>
      <c r="W78" s="2065"/>
      <c r="X78" s="1851"/>
      <c r="Y78" s="2065"/>
      <c r="Z78" s="1851"/>
      <c r="AA78" s="2066"/>
      <c r="AB78" s="2069"/>
      <c r="AC78" s="1867">
        <v>16.7</v>
      </c>
      <c r="AD78" s="2108"/>
      <c r="AE78" s="2069" t="s">
        <v>15</v>
      </c>
      <c r="AF78" s="1867">
        <v>66.7</v>
      </c>
      <c r="AG78" s="2564"/>
      <c r="AH78" s="2565"/>
      <c r="AI78" s="1483">
        <f>ROUND(SUM(+AC78-AF78),1)</f>
        <v>-50</v>
      </c>
      <c r="AJ78" s="2554"/>
      <c r="AK78" s="1478">
        <f>ROUND(IF(AF78=0,1,AI78/ABS(AF78)),3)</f>
        <v>-0.75</v>
      </c>
    </row>
    <row r="79" spans="1:37" ht="15" customHeight="1">
      <c r="A79" s="2528"/>
      <c r="B79" s="2563" t="s">
        <v>1055</v>
      </c>
      <c r="C79" s="2563"/>
      <c r="D79" s="1851">
        <v>0.3</v>
      </c>
      <c r="E79" s="2562"/>
      <c r="F79" s="1851">
        <v>0.10000000000000003</v>
      </c>
      <c r="G79" s="2562"/>
      <c r="H79" s="1851">
        <v>0.19999999999999996</v>
      </c>
      <c r="I79" s="1483"/>
      <c r="J79" s="1851">
        <f t="shared" si="9"/>
        <v>0.30000000000000004</v>
      </c>
      <c r="K79" s="2065"/>
      <c r="L79" s="1851"/>
      <c r="M79" s="2065"/>
      <c r="N79" s="1851"/>
      <c r="O79" s="2065"/>
      <c r="P79" s="1851"/>
      <c r="Q79" s="2065"/>
      <c r="R79" s="1851"/>
      <c r="S79" s="2065"/>
      <c r="T79" s="1851"/>
      <c r="U79" s="2065"/>
      <c r="V79" s="1851"/>
      <c r="W79" s="2065"/>
      <c r="X79" s="1851"/>
      <c r="Y79" s="2065"/>
      <c r="Z79" s="1851"/>
      <c r="AA79" s="2066"/>
      <c r="AB79" s="2069"/>
      <c r="AC79" s="1867">
        <v>0.9</v>
      </c>
      <c r="AD79" s="2108"/>
      <c r="AE79" s="2069" t="s">
        <v>15</v>
      </c>
      <c r="AF79" s="1867">
        <v>1.5</v>
      </c>
      <c r="AG79" s="2564"/>
      <c r="AH79" s="2565"/>
      <c r="AI79" s="1483">
        <f>ROUND(SUM(+AC79-AF79),1)</f>
        <v>-0.6</v>
      </c>
      <c r="AJ79" s="2554"/>
      <c r="AK79" s="1521">
        <f>ROUND(IF(AF79=0,0,AI79/ABS(AF79)),3)</f>
        <v>-0.4</v>
      </c>
    </row>
    <row r="80" spans="1:37" ht="15" customHeight="1">
      <c r="A80" s="2528"/>
      <c r="B80" s="2563" t="s">
        <v>1160</v>
      </c>
      <c r="C80" s="2563"/>
      <c r="D80" s="1851" t="s">
        <v>15</v>
      </c>
      <c r="E80" s="2562"/>
      <c r="F80" s="1851"/>
      <c r="G80" s="2562"/>
      <c r="H80" s="1851"/>
      <c r="I80" s="1483"/>
      <c r="J80" s="1851"/>
      <c r="K80" s="2062"/>
      <c r="L80" s="1851"/>
      <c r="M80" s="2062"/>
      <c r="N80" s="1851"/>
      <c r="O80" s="2062"/>
      <c r="P80" s="1851"/>
      <c r="Q80" s="2062"/>
      <c r="R80" s="1851"/>
      <c r="S80" s="2062"/>
      <c r="T80" s="1851"/>
      <c r="U80" s="2062"/>
      <c r="V80" s="1851"/>
      <c r="W80" s="2062"/>
      <c r="X80" s="1851"/>
      <c r="Y80" s="2062"/>
      <c r="Z80" s="1851"/>
      <c r="AA80" s="2058"/>
      <c r="AB80" s="2114"/>
      <c r="AC80" s="3310"/>
      <c r="AD80" s="2043"/>
      <c r="AE80" s="2069" t="s">
        <v>15</v>
      </c>
      <c r="AF80" s="3310"/>
      <c r="AG80" s="2074"/>
      <c r="AH80" s="2553"/>
      <c r="AI80" s="1483"/>
      <c r="AJ80" s="2554"/>
      <c r="AK80" s="1471"/>
    </row>
    <row r="81" spans="1:38" ht="15" customHeight="1">
      <c r="A81" s="2528"/>
      <c r="B81" s="2563" t="s">
        <v>1056</v>
      </c>
      <c r="C81" s="2563"/>
      <c r="D81" s="1851">
        <v>0.5</v>
      </c>
      <c r="E81" s="2562"/>
      <c r="F81" s="1851">
        <v>1</v>
      </c>
      <c r="G81" s="2562"/>
      <c r="H81" s="1851">
        <v>20.100000000000001</v>
      </c>
      <c r="I81" s="1483"/>
      <c r="J81" s="1851">
        <f t="shared" si="9"/>
        <v>9.9999999999997868E-2</v>
      </c>
      <c r="K81" s="2065"/>
      <c r="L81" s="1851"/>
      <c r="M81" s="2065"/>
      <c r="N81" s="1851"/>
      <c r="O81" s="2065"/>
      <c r="P81" s="1851"/>
      <c r="Q81" s="2065"/>
      <c r="R81" s="1851"/>
      <c r="S81" s="2065"/>
      <c r="T81" s="1851"/>
      <c r="U81" s="2065"/>
      <c r="V81" s="1851"/>
      <c r="W81" s="2065"/>
      <c r="X81" s="1851"/>
      <c r="Y81" s="2065"/>
      <c r="Z81" s="1851"/>
      <c r="AA81" s="2066"/>
      <c r="AB81" s="2069"/>
      <c r="AC81" s="1867">
        <v>21.7</v>
      </c>
      <c r="AD81" s="2108"/>
      <c r="AE81" s="2069" t="s">
        <v>15</v>
      </c>
      <c r="AF81" s="1867">
        <v>20.5</v>
      </c>
      <c r="AG81" s="2564"/>
      <c r="AH81" s="2565"/>
      <c r="AI81" s="1483">
        <f t="shared" ref="AI81:AI90" si="11">ROUND(SUM(+AC81-AF81),1)</f>
        <v>1.2</v>
      </c>
      <c r="AJ81" s="2554"/>
      <c r="AK81" s="1478">
        <f t="shared" ref="AK81" si="12">ROUND(IF(AF81=0,1,AI81/ABS(AF81)),3)</f>
        <v>5.8999999999999997E-2</v>
      </c>
    </row>
    <row r="82" spans="1:38" ht="15" customHeight="1">
      <c r="A82" s="2528"/>
      <c r="B82" s="2563" t="s">
        <v>1057</v>
      </c>
      <c r="C82" s="2563"/>
      <c r="D82" s="1851">
        <v>0.1</v>
      </c>
      <c r="E82" s="2562"/>
      <c r="F82" s="1851">
        <v>0.19999999999999998</v>
      </c>
      <c r="G82" s="2562"/>
      <c r="H82" s="1851">
        <v>0</v>
      </c>
      <c r="I82" s="1483"/>
      <c r="J82" s="1851">
        <f t="shared" si="9"/>
        <v>0.20000000000000004</v>
      </c>
      <c r="K82" s="2065"/>
      <c r="L82" s="1851"/>
      <c r="M82" s="2065"/>
      <c r="N82" s="1851"/>
      <c r="O82" s="2065"/>
      <c r="P82" s="1851"/>
      <c r="Q82" s="2065"/>
      <c r="R82" s="1851"/>
      <c r="S82" s="2065"/>
      <c r="T82" s="1851"/>
      <c r="U82" s="2065"/>
      <c r="V82" s="1851"/>
      <c r="W82" s="2065"/>
      <c r="X82" s="1851"/>
      <c r="Y82" s="2065"/>
      <c r="Z82" s="1851"/>
      <c r="AA82" s="2066"/>
      <c r="AB82" s="2115"/>
      <c r="AC82" s="1867">
        <v>0.5</v>
      </c>
      <c r="AD82" s="2108"/>
      <c r="AE82" s="2069" t="s">
        <v>15</v>
      </c>
      <c r="AF82" s="1867">
        <v>0</v>
      </c>
      <c r="AG82" s="2564"/>
      <c r="AH82" s="2565"/>
      <c r="AI82" s="1483">
        <f t="shared" ref="AI82" si="13">ROUND(SUM(+AC82-AF82),1)</f>
        <v>0.5</v>
      </c>
      <c r="AJ82" s="2554"/>
      <c r="AK82" s="1521">
        <f>ROUND(IF(AF82=0,1,AI82/ABS(AF82)),3)</f>
        <v>1</v>
      </c>
    </row>
    <row r="83" spans="1:38" ht="15" customHeight="1">
      <c r="A83" s="2528"/>
      <c r="B83" s="2563" t="s">
        <v>1058</v>
      </c>
      <c r="C83" s="2563"/>
      <c r="D83" s="1851">
        <v>0</v>
      </c>
      <c r="E83" s="2562"/>
      <c r="F83" s="1851">
        <v>0</v>
      </c>
      <c r="G83" s="2562"/>
      <c r="H83" s="1851">
        <v>0</v>
      </c>
      <c r="I83" s="1483"/>
      <c r="J83" s="1851">
        <f t="shared" si="9"/>
        <v>0</v>
      </c>
      <c r="K83" s="2065"/>
      <c r="L83" s="1851"/>
      <c r="M83" s="2065"/>
      <c r="N83" s="1851"/>
      <c r="O83" s="2065"/>
      <c r="P83" s="1851"/>
      <c r="Q83" s="2065"/>
      <c r="R83" s="1851"/>
      <c r="S83" s="2065"/>
      <c r="T83" s="1851"/>
      <c r="U83" s="2065"/>
      <c r="V83" s="1851"/>
      <c r="W83" s="2065"/>
      <c r="X83" s="1851"/>
      <c r="Y83" s="2065"/>
      <c r="Z83" s="1851"/>
      <c r="AA83" s="2066"/>
      <c r="AB83" s="2069"/>
      <c r="AC83" s="1867">
        <v>0</v>
      </c>
      <c r="AD83" s="2108"/>
      <c r="AE83" s="2069" t="s">
        <v>15</v>
      </c>
      <c r="AF83" s="1867">
        <v>0.1</v>
      </c>
      <c r="AG83" s="2564"/>
      <c r="AH83" s="2565"/>
      <c r="AI83" s="1483">
        <f t="shared" si="11"/>
        <v>-0.1</v>
      </c>
      <c r="AJ83" s="2554"/>
      <c r="AK83" s="1478">
        <f>ROUND(IF(AF83=0,0,AI83/ABS(AF83)),3)</f>
        <v>-1</v>
      </c>
    </row>
    <row r="84" spans="1:38" ht="15" customHeight="1">
      <c r="A84" s="2528"/>
      <c r="B84" s="2563" t="s">
        <v>1059</v>
      </c>
      <c r="C84" s="2563"/>
      <c r="D84" s="1851">
        <v>5.6</v>
      </c>
      <c r="E84" s="2562"/>
      <c r="F84" s="1851">
        <v>5.2000000000000011</v>
      </c>
      <c r="G84" s="2562"/>
      <c r="H84" s="1851">
        <v>8.6999999999999993</v>
      </c>
      <c r="I84" s="1483"/>
      <c r="J84" s="1851">
        <f t="shared" si="9"/>
        <v>8.3000000000000007</v>
      </c>
      <c r="K84" s="2065"/>
      <c r="L84" s="1851"/>
      <c r="M84" s="2065"/>
      <c r="N84" s="1851"/>
      <c r="O84" s="2065"/>
      <c r="P84" s="1851"/>
      <c r="Q84" s="2065"/>
      <c r="R84" s="1851"/>
      <c r="S84" s="2065"/>
      <c r="T84" s="1851"/>
      <c r="U84" s="2065"/>
      <c r="V84" s="1851"/>
      <c r="W84" s="2065"/>
      <c r="X84" s="1851"/>
      <c r="Y84" s="2065"/>
      <c r="Z84" s="1851"/>
      <c r="AA84" s="2066"/>
      <c r="AB84" s="2069"/>
      <c r="AC84" s="1867">
        <v>27.8</v>
      </c>
      <c r="AD84" s="2108"/>
      <c r="AE84" s="2069" t="s">
        <v>15</v>
      </c>
      <c r="AF84" s="1867">
        <v>22.700000000000003</v>
      </c>
      <c r="AG84" s="2564"/>
      <c r="AH84" s="2565"/>
      <c r="AI84" s="1483">
        <f t="shared" si="11"/>
        <v>5.0999999999999996</v>
      </c>
      <c r="AJ84" s="2554"/>
      <c r="AK84" s="1478">
        <f>ROUND(IF(AF84=0,1,AI84/ABS(AF84)),3)</f>
        <v>0.22500000000000001</v>
      </c>
    </row>
    <row r="85" spans="1:38" ht="15" customHeight="1">
      <c r="A85" s="2528"/>
      <c r="B85" s="2563" t="s">
        <v>1060</v>
      </c>
      <c r="C85" s="2563"/>
      <c r="D85" s="1851">
        <v>-7.3</v>
      </c>
      <c r="E85" s="2562"/>
      <c r="F85" s="1851">
        <v>2.7</v>
      </c>
      <c r="G85" s="2562"/>
      <c r="H85" s="1851">
        <v>5.7</v>
      </c>
      <c r="I85" s="1483"/>
      <c r="J85" s="1851">
        <f t="shared" si="9"/>
        <v>-70.7</v>
      </c>
      <c r="K85" s="2065"/>
      <c r="L85" s="1851"/>
      <c r="M85" s="2065"/>
      <c r="N85" s="1851"/>
      <c r="O85" s="2065"/>
      <c r="P85" s="1851"/>
      <c r="Q85" s="2065"/>
      <c r="R85" s="1851"/>
      <c r="S85" s="2065"/>
      <c r="T85" s="1851"/>
      <c r="U85" s="2065"/>
      <c r="V85" s="1851"/>
      <c r="W85" s="2065"/>
      <c r="X85" s="1851"/>
      <c r="Y85" s="2065"/>
      <c r="Z85" s="1851"/>
      <c r="AA85" s="2066"/>
      <c r="AB85" s="2115"/>
      <c r="AC85" s="1867">
        <v>-69.599999999999994</v>
      </c>
      <c r="AD85" s="2108"/>
      <c r="AE85" s="2115" t="s">
        <v>15</v>
      </c>
      <c r="AF85" s="1867">
        <v>-25.6</v>
      </c>
      <c r="AG85" s="2564"/>
      <c r="AH85" s="2565"/>
      <c r="AI85" s="1483">
        <f>ROUND(SUM(+AC85-AF85),1)</f>
        <v>-44</v>
      </c>
      <c r="AJ85" s="2554"/>
      <c r="AK85" s="1521">
        <f>-ROUND(IF(AF85=0,1,AI85/ABS(AF85)),3)</f>
        <v>1.7190000000000001</v>
      </c>
    </row>
    <row r="86" spans="1:38" ht="15" customHeight="1">
      <c r="A86" s="2528"/>
      <c r="B86" s="2563" t="s">
        <v>1061</v>
      </c>
      <c r="C86" s="2563"/>
      <c r="D86" s="1851">
        <v>-0.6</v>
      </c>
      <c r="E86" s="2562"/>
      <c r="F86" s="1851">
        <v>1.7000000000000002</v>
      </c>
      <c r="G86" s="2562"/>
      <c r="H86" s="1851">
        <v>-0.60000000000000009</v>
      </c>
      <c r="I86" s="1483"/>
      <c r="J86" s="1851">
        <f t="shared" si="9"/>
        <v>-0.20000000000000018</v>
      </c>
      <c r="K86" s="2065"/>
      <c r="L86" s="1851"/>
      <c r="M86" s="2065"/>
      <c r="N86" s="1851"/>
      <c r="O86" s="2065"/>
      <c r="P86" s="1851"/>
      <c r="Q86" s="2065"/>
      <c r="R86" s="1851"/>
      <c r="S86" s="2065"/>
      <c r="T86" s="1851"/>
      <c r="U86" s="2065"/>
      <c r="V86" s="1851"/>
      <c r="W86" s="2065"/>
      <c r="X86" s="1851"/>
      <c r="Y86" s="2065"/>
      <c r="Z86" s="1851"/>
      <c r="AA86" s="2066"/>
      <c r="AB86" s="2069"/>
      <c r="AC86" s="1867">
        <v>0.3</v>
      </c>
      <c r="AD86" s="2108"/>
      <c r="AE86" s="2069" t="s">
        <v>15</v>
      </c>
      <c r="AF86" s="1867">
        <v>-0.2</v>
      </c>
      <c r="AG86" s="2564"/>
      <c r="AH86" s="2565"/>
      <c r="AI86" s="1483">
        <f t="shared" si="11"/>
        <v>0.5</v>
      </c>
      <c r="AJ86" s="2554"/>
      <c r="AK86" s="1478">
        <f>ROUND(IF(AF86=0,1,AI86/ABS(AF86)),3)</f>
        <v>2.5</v>
      </c>
    </row>
    <row r="87" spans="1:38" ht="15" customHeight="1">
      <c r="A87" s="2528"/>
      <c r="B87" s="2563" t="s">
        <v>1062</v>
      </c>
      <c r="C87" s="2563"/>
      <c r="D87" s="1851">
        <v>0</v>
      </c>
      <c r="E87" s="2562"/>
      <c r="F87" s="1851">
        <v>0</v>
      </c>
      <c r="G87" s="2562"/>
      <c r="H87" s="1851">
        <v>0.2</v>
      </c>
      <c r="I87" s="1483"/>
      <c r="J87" s="1851">
        <f t="shared" si="9"/>
        <v>0</v>
      </c>
      <c r="K87" s="2065"/>
      <c r="L87" s="1851"/>
      <c r="M87" s="2065"/>
      <c r="N87" s="1851"/>
      <c r="O87" s="2065"/>
      <c r="P87" s="1851"/>
      <c r="Q87" s="2065"/>
      <c r="R87" s="1851"/>
      <c r="S87" s="2065"/>
      <c r="T87" s="1851"/>
      <c r="U87" s="2065"/>
      <c r="V87" s="1851"/>
      <c r="W87" s="2065"/>
      <c r="X87" s="1851"/>
      <c r="Y87" s="2065"/>
      <c r="Z87" s="1851"/>
      <c r="AA87" s="2066"/>
      <c r="AB87" s="2069"/>
      <c r="AC87" s="1867">
        <v>0.2</v>
      </c>
      <c r="AD87" s="2108"/>
      <c r="AE87" s="2069" t="s">
        <v>15</v>
      </c>
      <c r="AF87" s="1867">
        <v>109.6</v>
      </c>
      <c r="AG87" s="2564"/>
      <c r="AH87" s="2565"/>
      <c r="AI87" s="1483">
        <f t="shared" si="11"/>
        <v>-109.4</v>
      </c>
      <c r="AJ87" s="2554"/>
      <c r="AK87" s="1521">
        <f>ROUND(IF(AF87=0,1,AI87/ABS(AF87)),3)</f>
        <v>-0.998</v>
      </c>
    </row>
    <row r="88" spans="1:38" ht="15" customHeight="1">
      <c r="A88" s="2528"/>
      <c r="B88" s="2563" t="s">
        <v>1063</v>
      </c>
      <c r="C88" s="2563"/>
      <c r="D88" s="1851">
        <v>0</v>
      </c>
      <c r="E88" s="2562"/>
      <c r="F88" s="1851">
        <v>0</v>
      </c>
      <c r="G88" s="2562"/>
      <c r="H88" s="1851">
        <v>0</v>
      </c>
      <c r="I88" s="1483"/>
      <c r="J88" s="1851">
        <f t="shared" si="9"/>
        <v>0</v>
      </c>
      <c r="K88" s="2065"/>
      <c r="L88" s="1851"/>
      <c r="M88" s="2065"/>
      <c r="N88" s="1851"/>
      <c r="O88" s="2065"/>
      <c r="P88" s="1851"/>
      <c r="Q88" s="2065"/>
      <c r="R88" s="1851"/>
      <c r="S88" s="2065"/>
      <c r="T88" s="1851"/>
      <c r="U88" s="2065"/>
      <c r="V88" s="1851"/>
      <c r="W88" s="2065"/>
      <c r="X88" s="1851"/>
      <c r="Y88" s="2065"/>
      <c r="Z88" s="1851"/>
      <c r="AA88" s="2066"/>
      <c r="AB88" s="2069"/>
      <c r="AC88" s="1867">
        <v>0</v>
      </c>
      <c r="AD88" s="2108"/>
      <c r="AE88" s="2069" t="s">
        <v>15</v>
      </c>
      <c r="AF88" s="1867">
        <v>0</v>
      </c>
      <c r="AG88" s="2564"/>
      <c r="AH88" s="2565"/>
      <c r="AI88" s="1483">
        <f t="shared" si="11"/>
        <v>0</v>
      </c>
      <c r="AJ88" s="2554"/>
      <c r="AK88" s="1478">
        <f>ROUND(IF(AF88=0,0,AI88/ABS(AF88)),3)</f>
        <v>0</v>
      </c>
    </row>
    <row r="89" spans="1:38" ht="15" customHeight="1">
      <c r="A89" s="2528"/>
      <c r="B89" s="2563" t="s">
        <v>1064</v>
      </c>
      <c r="C89" s="2563"/>
      <c r="D89" s="1851">
        <v>8.1</v>
      </c>
      <c r="E89" s="2562"/>
      <c r="F89" s="1851">
        <v>18.299999999999997</v>
      </c>
      <c r="G89" s="2562"/>
      <c r="H89" s="1851">
        <v>-11.599999999999996</v>
      </c>
      <c r="I89" s="1483"/>
      <c r="J89" s="1851">
        <f t="shared" si="9"/>
        <v>4.0999999999999979</v>
      </c>
      <c r="K89" s="2065"/>
      <c r="L89" s="1851"/>
      <c r="M89" s="2065"/>
      <c r="N89" s="1851"/>
      <c r="O89" s="2065"/>
      <c r="P89" s="1851"/>
      <c r="Q89" s="2065"/>
      <c r="R89" s="1851"/>
      <c r="S89" s="2065"/>
      <c r="T89" s="1851"/>
      <c r="U89" s="2065"/>
      <c r="V89" s="1851"/>
      <c r="W89" s="2065"/>
      <c r="X89" s="1851"/>
      <c r="Y89" s="2065"/>
      <c r="Z89" s="1851"/>
      <c r="AA89" s="2066"/>
      <c r="AB89" s="2069"/>
      <c r="AC89" s="1851">
        <v>18.899999999999999</v>
      </c>
      <c r="AD89" s="2108"/>
      <c r="AE89" s="2069" t="s">
        <v>15</v>
      </c>
      <c r="AF89" s="1851">
        <v>14.7</v>
      </c>
      <c r="AG89" s="2108"/>
      <c r="AH89" s="2565"/>
      <c r="AI89" s="1483">
        <f t="shared" si="11"/>
        <v>4.2</v>
      </c>
      <c r="AJ89" s="2554"/>
      <c r="AK89" s="1521">
        <f>ROUND(IF(AF89=0,0,AI89/ABS(AF89)),3)</f>
        <v>0.28599999999999998</v>
      </c>
    </row>
    <row r="90" spans="1:38" ht="15" customHeight="1">
      <c r="A90" s="2528"/>
      <c r="B90" s="2563" t="s">
        <v>1065</v>
      </c>
      <c r="C90" s="2563"/>
      <c r="D90" s="1851">
        <v>0.1</v>
      </c>
      <c r="E90" s="2562"/>
      <c r="F90" s="1851">
        <v>0</v>
      </c>
      <c r="G90" s="2562"/>
      <c r="H90" s="1851">
        <v>-0.30000000000000004</v>
      </c>
      <c r="I90" s="1483"/>
      <c r="J90" s="1851">
        <f t="shared" si="9"/>
        <v>0.20000000000000004</v>
      </c>
      <c r="K90" s="2065"/>
      <c r="L90" s="1851"/>
      <c r="M90" s="2065"/>
      <c r="N90" s="1851"/>
      <c r="O90" s="2065"/>
      <c r="P90" s="1851"/>
      <c r="Q90" s="2065"/>
      <c r="R90" s="1851"/>
      <c r="S90" s="2065"/>
      <c r="T90" s="1851"/>
      <c r="U90" s="2065"/>
      <c r="V90" s="1851"/>
      <c r="W90" s="2065"/>
      <c r="X90" s="1851"/>
      <c r="Y90" s="2065"/>
      <c r="Z90" s="1851"/>
      <c r="AA90" s="2066"/>
      <c r="AB90" s="2069"/>
      <c r="AC90" s="1867">
        <v>0</v>
      </c>
      <c r="AD90" s="2108"/>
      <c r="AE90" s="2069" t="s">
        <v>15</v>
      </c>
      <c r="AF90" s="1867">
        <v>0.1</v>
      </c>
      <c r="AG90" s="2108"/>
      <c r="AH90" s="2565"/>
      <c r="AI90" s="1483">
        <f t="shared" si="11"/>
        <v>-0.1</v>
      </c>
      <c r="AJ90" s="2554"/>
      <c r="AK90" s="2566">
        <f>-ROUND(IF(AF90=0,1,AI90/ABS(AF90)),3)</f>
        <v>1</v>
      </c>
    </row>
    <row r="91" spans="1:38" s="2559" customFormat="1" ht="15" customHeight="1">
      <c r="A91" s="2557"/>
      <c r="B91" s="2550" t="s">
        <v>1100</v>
      </c>
      <c r="C91" s="2505"/>
      <c r="D91" s="2552">
        <f>ROUND(SUM(D57:D90),1)</f>
        <v>741</v>
      </c>
      <c r="E91" s="2567"/>
      <c r="F91" s="2551">
        <f>ROUND(SUM(F57:F90),1)</f>
        <v>279.3</v>
      </c>
      <c r="G91" s="2567"/>
      <c r="H91" s="2551">
        <f>ROUND(SUM(H57:H90),1)</f>
        <v>158.80000000000001</v>
      </c>
      <c r="I91" s="1501"/>
      <c r="J91" s="2552">
        <f>ROUND(SUM(J57:J90),1)</f>
        <v>87.4</v>
      </c>
      <c r="K91" s="1501"/>
      <c r="L91" s="2109">
        <f>ROUND(SUM(L57:L90),1)</f>
        <v>0</v>
      </c>
      <c r="M91" s="1501"/>
      <c r="N91" s="2109">
        <f>ROUND(SUM(N57:N90),1)</f>
        <v>0</v>
      </c>
      <c r="O91" s="1501"/>
      <c r="P91" s="1500">
        <f>ROUND(SUM(P57:P90),1)</f>
        <v>0</v>
      </c>
      <c r="Q91" s="1501"/>
      <c r="R91" s="2109">
        <f>ROUND(SUM(R57:R90),1)</f>
        <v>0</v>
      </c>
      <c r="S91" s="1501"/>
      <c r="T91" s="2109">
        <f>ROUND(SUM(T57:T90),1)</f>
        <v>0</v>
      </c>
      <c r="U91" s="1501"/>
      <c r="V91" s="2109">
        <f>ROUND(SUM(V57:V90),1)</f>
        <v>0</v>
      </c>
      <c r="W91" s="1501"/>
      <c r="X91" s="2109">
        <f>ROUND(SUM(X57:X90),1)</f>
        <v>0</v>
      </c>
      <c r="Y91" s="1501"/>
      <c r="Z91" s="2109">
        <f>ROUND(SUM(Z57:Z90),1)</f>
        <v>0</v>
      </c>
      <c r="AA91" s="2077"/>
      <c r="AB91" s="2116"/>
      <c r="AC91" s="3307">
        <f>ROUND(SUM(AC57:AC90),1)</f>
        <v>1266.5</v>
      </c>
      <c r="AD91" s="2117"/>
      <c r="AE91" s="3311" t="s">
        <v>15</v>
      </c>
      <c r="AF91" s="3684">
        <f>ROUND(SUM(AF57:AF90),1)</f>
        <v>949.2</v>
      </c>
      <c r="AG91" s="1501"/>
      <c r="AH91" s="2558"/>
      <c r="AI91" s="2109">
        <f>ROUND(SUM(AI57:AI90),1)</f>
        <v>317.3</v>
      </c>
      <c r="AJ91" s="1484"/>
      <c r="AK91" s="1485">
        <f>ROUND(SUM(+AI91/AF91),3)</f>
        <v>0.33400000000000002</v>
      </c>
      <c r="AL91" s="2494"/>
    </row>
    <row r="92" spans="1:38" s="2559" customFormat="1" ht="8.25" customHeight="1">
      <c r="A92" s="2557"/>
      <c r="B92" s="2504"/>
      <c r="C92" s="2505"/>
      <c r="D92" s="1501"/>
      <c r="E92" s="2567"/>
      <c r="F92" s="1501"/>
      <c r="G92" s="2567"/>
      <c r="H92" s="1501"/>
      <c r="I92" s="1501"/>
      <c r="J92" s="2117"/>
      <c r="K92" s="1501"/>
      <c r="L92" s="1501"/>
      <c r="M92" s="1501"/>
      <c r="N92" s="1501"/>
      <c r="O92" s="1501"/>
      <c r="P92" s="2117"/>
      <c r="Q92" s="1501"/>
      <c r="R92" s="1501"/>
      <c r="S92" s="1501"/>
      <c r="T92" s="1501"/>
      <c r="U92" s="1501"/>
      <c r="V92" s="1501"/>
      <c r="W92" s="1501"/>
      <c r="X92" s="1501"/>
      <c r="Y92" s="1501"/>
      <c r="Z92" s="1501"/>
      <c r="AA92" s="2077"/>
      <c r="AB92" s="2116"/>
      <c r="AC92" s="2117"/>
      <c r="AD92" s="2117"/>
      <c r="AE92" s="3311"/>
      <c r="AF92" s="2117"/>
      <c r="AG92" s="1501"/>
      <c r="AH92" s="2558"/>
      <c r="AI92" s="1501"/>
      <c r="AJ92" s="1484"/>
      <c r="AK92" s="2568"/>
      <c r="AL92" s="2494"/>
    </row>
    <row r="93" spans="1:38" ht="15" customHeight="1">
      <c r="A93" s="2528"/>
      <c r="B93" s="2546" t="s">
        <v>1254</v>
      </c>
      <c r="C93" s="2089"/>
      <c r="D93" s="1851">
        <v>0</v>
      </c>
      <c r="E93" s="1483"/>
      <c r="F93" s="1851">
        <v>0</v>
      </c>
      <c r="G93" s="1483"/>
      <c r="H93" s="1851">
        <v>0</v>
      </c>
      <c r="I93" s="1483"/>
      <c r="J93" s="1851">
        <f t="shared" ref="J93" si="14">$AC93-$D93-$F93-$H93</f>
        <v>0</v>
      </c>
      <c r="K93" s="2065"/>
      <c r="L93" s="1851"/>
      <c r="M93" s="2065"/>
      <c r="N93" s="1851"/>
      <c r="O93" s="2065"/>
      <c r="P93" s="2042"/>
      <c r="Q93" s="2065"/>
      <c r="R93" s="2042"/>
      <c r="S93" s="2065"/>
      <c r="T93" s="1851"/>
      <c r="U93" s="2065"/>
      <c r="V93" s="1851"/>
      <c r="W93" s="2065"/>
      <c r="X93" s="1851"/>
      <c r="Y93" s="2065"/>
      <c r="Z93" s="1851"/>
      <c r="AA93" s="2066"/>
      <c r="AB93" s="2069"/>
      <c r="AC93" s="1867">
        <v>0</v>
      </c>
      <c r="AD93" s="2108"/>
      <c r="AE93" s="2069" t="s">
        <v>15</v>
      </c>
      <c r="AF93" s="1867">
        <v>0.1</v>
      </c>
      <c r="AG93" s="2074"/>
      <c r="AH93" s="2553"/>
      <c r="AI93" s="2569">
        <f>ROUND(SUM(+AC93-AF93),1)</f>
        <v>-0.1</v>
      </c>
      <c r="AJ93" s="2554"/>
      <c r="AK93" s="2570">
        <f>ROUND(IF(AF93=0,0,AI93/ABS(AF93)),3)</f>
        <v>-1</v>
      </c>
    </row>
    <row r="94" spans="1:38" ht="4.1500000000000004" customHeight="1">
      <c r="A94" s="2528"/>
      <c r="B94" s="2111"/>
      <c r="C94" s="2089"/>
      <c r="D94" s="2571"/>
      <c r="E94" s="1483"/>
      <c r="F94" s="2571"/>
      <c r="G94" s="1483"/>
      <c r="H94" s="2571"/>
      <c r="I94" s="1483"/>
      <c r="J94" s="2572"/>
      <c r="K94" s="2073"/>
      <c r="L94" s="2072"/>
      <c r="M94" s="2073"/>
      <c r="N94" s="2072"/>
      <c r="O94" s="2073"/>
      <c r="P94" s="2062"/>
      <c r="Q94" s="2073"/>
      <c r="R94" s="2072"/>
      <c r="S94" s="2073"/>
      <c r="T94" s="2072"/>
      <c r="U94" s="2073"/>
      <c r="V94" s="2072"/>
      <c r="W94" s="2073"/>
      <c r="X94" s="2072"/>
      <c r="Y94" s="2073"/>
      <c r="Z94" s="2072"/>
      <c r="AA94" s="2088"/>
      <c r="AB94" s="2113"/>
      <c r="AC94" s="3312"/>
      <c r="AD94" s="2062"/>
      <c r="AE94" s="2069" t="s">
        <v>15</v>
      </c>
      <c r="AF94" s="2118"/>
      <c r="AG94" s="2074"/>
      <c r="AH94" s="2553"/>
      <c r="AI94" s="1483"/>
      <c r="AJ94" s="2554"/>
      <c r="AK94" s="1471"/>
    </row>
    <row r="95" spans="1:38" ht="15" customHeight="1">
      <c r="A95" s="2528"/>
      <c r="B95" s="2504" t="s">
        <v>151</v>
      </c>
      <c r="C95" s="2089"/>
      <c r="D95" s="2087">
        <f>ROUND(SUM(D93+D91+D53),1)</f>
        <v>6558.1</v>
      </c>
      <c r="E95" s="1501"/>
      <c r="F95" s="2087">
        <f>ROUND(SUM(F93+F91+F53),1)</f>
        <v>1996.7</v>
      </c>
      <c r="G95" s="1501"/>
      <c r="H95" s="2087">
        <f>ROUND(SUM(H93+H91+H53),1)</f>
        <v>4767</v>
      </c>
      <c r="I95" s="1501"/>
      <c r="J95" s="1613">
        <f>ROUND(SUM(J93+J91+J53),1)</f>
        <v>2676.4</v>
      </c>
      <c r="K95" s="1501"/>
      <c r="L95" s="1501">
        <f>ROUND(SUM(L93+L91+L53),1)</f>
        <v>0</v>
      </c>
      <c r="M95" s="1501"/>
      <c r="N95" s="1501">
        <f>ROUND(SUM(N93+N91+N53),1)</f>
        <v>0</v>
      </c>
      <c r="O95" s="1501"/>
      <c r="P95" s="2121">
        <f>ROUND(SUM(P93+P91+P53),1)</f>
        <v>0</v>
      </c>
      <c r="Q95" s="1501"/>
      <c r="R95" s="2119">
        <f>ROUND(SUM(R93+R91+R53),1)</f>
        <v>0</v>
      </c>
      <c r="S95" s="1501"/>
      <c r="T95" s="2119">
        <f>ROUND(SUM(T93+T91+T53),1)</f>
        <v>0</v>
      </c>
      <c r="U95" s="1501"/>
      <c r="V95" s="2119">
        <f>ROUND(SUM(V93+V91+V53),1)</f>
        <v>0</v>
      </c>
      <c r="W95" s="1501"/>
      <c r="X95" s="2119">
        <f>ROUND(SUM(X93+X91+X53),1)</f>
        <v>0</v>
      </c>
      <c r="Y95" s="1501"/>
      <c r="Z95" s="2119">
        <f>ROUND(SUM(Z93+Z91+Z53),1)</f>
        <v>0</v>
      </c>
      <c r="AA95" s="2120"/>
      <c r="AB95" s="2116"/>
      <c r="AC95" s="2121">
        <f>ROUND(SUM(AC93+AC91+AC53),1)</f>
        <v>15998.2</v>
      </c>
      <c r="AD95" s="2117"/>
      <c r="AE95" s="3311"/>
      <c r="AF95" s="2121">
        <f>ROUND(SUM(AF93+AF91+AF53),1)</f>
        <v>13133.9</v>
      </c>
      <c r="AG95" s="1484"/>
      <c r="AH95" s="2558"/>
      <c r="AI95" s="2119">
        <f>ROUND(SUM(AI93+AI91+AI53),1)</f>
        <v>2864.3</v>
      </c>
      <c r="AJ95" s="1484"/>
      <c r="AK95" s="1475">
        <f>ROUND(SUM(+AI95/AF95),3)</f>
        <v>0.218</v>
      </c>
    </row>
    <row r="96" spans="1:38" ht="15" customHeight="1">
      <c r="A96" s="2528"/>
      <c r="B96" s="2111"/>
      <c r="C96" s="2089"/>
      <c r="D96" s="2554"/>
      <c r="E96" s="1483"/>
      <c r="F96" s="2554"/>
      <c r="G96" s="1483"/>
      <c r="H96" s="2554"/>
      <c r="I96" s="1483"/>
      <c r="J96" s="2108"/>
      <c r="K96" s="2073"/>
      <c r="L96" s="2072"/>
      <c r="M96" s="2073"/>
      <c r="N96" s="2072"/>
      <c r="O96" s="2073"/>
      <c r="P96" s="2043"/>
      <c r="Q96" s="2073"/>
      <c r="R96" s="2074"/>
      <c r="S96" s="2073"/>
      <c r="T96" s="2074"/>
      <c r="U96" s="2073"/>
      <c r="V96" s="2074"/>
      <c r="W96" s="2073"/>
      <c r="X96" s="2074"/>
      <c r="Y96" s="2073"/>
      <c r="Z96" s="2074"/>
      <c r="AA96" s="2080"/>
      <c r="AB96" s="2113"/>
      <c r="AC96" s="2108"/>
      <c r="AD96" s="2062"/>
      <c r="AE96" s="2064"/>
      <c r="AF96" s="2043"/>
      <c r="AG96" s="2074"/>
      <c r="AH96" s="2553"/>
      <c r="AI96" s="1483"/>
      <c r="AJ96" s="2554"/>
      <c r="AK96" s="1471"/>
    </row>
    <row r="97" spans="1:37" ht="15" customHeight="1">
      <c r="A97" s="2528"/>
      <c r="B97" s="2504" t="s">
        <v>23</v>
      </c>
      <c r="C97" s="2089"/>
      <c r="D97" s="1483"/>
      <c r="E97" s="1483"/>
      <c r="F97" s="1483"/>
      <c r="G97" s="1483"/>
      <c r="H97" s="1483"/>
      <c r="I97" s="1483"/>
      <c r="J97" s="2067"/>
      <c r="K97" s="2073"/>
      <c r="L97" s="2073"/>
      <c r="M97" s="2073"/>
      <c r="N97" s="2073"/>
      <c r="O97" s="2073"/>
      <c r="P97" s="2062"/>
      <c r="Q97" s="2073"/>
      <c r="R97" s="2073"/>
      <c r="S97" s="2073"/>
      <c r="T97" s="2073"/>
      <c r="U97" s="2073"/>
      <c r="V97" s="2073"/>
      <c r="W97" s="2073"/>
      <c r="X97" s="2073"/>
      <c r="Y97" s="2073"/>
      <c r="Z97" s="2073"/>
      <c r="AA97" s="1503"/>
      <c r="AB97" s="2113"/>
      <c r="AC97" s="2067"/>
      <c r="AD97" s="2062"/>
      <c r="AE97" s="2064"/>
      <c r="AF97" s="2062"/>
      <c r="AG97" s="2073"/>
      <c r="AH97" s="2553"/>
      <c r="AI97" s="1483"/>
      <c r="AJ97" s="2554"/>
      <c r="AK97" s="1471"/>
    </row>
    <row r="98" spans="1:37" ht="15" customHeight="1">
      <c r="A98" s="2528"/>
      <c r="B98" s="2111" t="s">
        <v>152</v>
      </c>
      <c r="C98" s="2089"/>
      <c r="D98" s="2554"/>
      <c r="E98" s="2554"/>
      <c r="F98" s="2554"/>
      <c r="G98" s="2554"/>
      <c r="H98" s="2554"/>
      <c r="I98" s="2554"/>
      <c r="J98" s="2108"/>
      <c r="K98" s="2074"/>
      <c r="L98" s="2074"/>
      <c r="M98" s="2074"/>
      <c r="N98" s="2074"/>
      <c r="O98" s="2074"/>
      <c r="P98" s="2043"/>
      <c r="Q98" s="2074"/>
      <c r="R98" s="2074"/>
      <c r="S98" s="2074"/>
      <c r="T98" s="2074"/>
      <c r="U98" s="2074"/>
      <c r="V98" s="2074"/>
      <c r="W98" s="2074"/>
      <c r="X98" s="2074"/>
      <c r="Y98" s="2074"/>
      <c r="Z98" s="2074"/>
      <c r="AA98" s="1503"/>
      <c r="AB98" s="2113"/>
      <c r="AC98" s="3313"/>
      <c r="AD98" s="2062"/>
      <c r="AE98" s="2064"/>
      <c r="AF98" s="3685"/>
      <c r="AG98" s="2573"/>
      <c r="AH98" s="2553"/>
      <c r="AI98" s="1483"/>
      <c r="AJ98" s="2554"/>
      <c r="AK98" s="1471"/>
    </row>
    <row r="99" spans="1:37" ht="15" customHeight="1">
      <c r="A99" s="2528"/>
      <c r="B99" s="2537" t="s">
        <v>25</v>
      </c>
      <c r="C99" s="2089"/>
      <c r="D99" s="1851">
        <v>917</v>
      </c>
      <c r="E99" s="2554"/>
      <c r="F99" s="1851">
        <v>3979.7</v>
      </c>
      <c r="G99" s="2554"/>
      <c r="H99" s="1851">
        <v>2189.8000000000002</v>
      </c>
      <c r="I99" s="2554"/>
      <c r="J99" s="1851">
        <f t="shared" ref="J99:J108" si="15">$AC99-$D99-$F99-$H99</f>
        <v>1611.3999999999996</v>
      </c>
      <c r="K99" s="2065"/>
      <c r="L99" s="1851"/>
      <c r="M99" s="2065"/>
      <c r="N99" s="1851"/>
      <c r="O99" s="2065"/>
      <c r="P99" s="1851"/>
      <c r="Q99" s="2065"/>
      <c r="R99" s="1851"/>
      <c r="S99" s="2065"/>
      <c r="T99" s="1851"/>
      <c r="U99" s="2065"/>
      <c r="V99" s="1851"/>
      <c r="W99" s="2065"/>
      <c r="X99" s="1851"/>
      <c r="Y99" s="2065"/>
      <c r="Z99" s="1851"/>
      <c r="AA99" s="2066"/>
      <c r="AB99" s="2069"/>
      <c r="AC99" s="1867">
        <v>8697.9</v>
      </c>
      <c r="AD99" s="2108"/>
      <c r="AE99" s="2069" t="s">
        <v>15</v>
      </c>
      <c r="AF99" s="1867">
        <v>8473.4</v>
      </c>
      <c r="AG99" s="2573"/>
      <c r="AH99" s="2553"/>
      <c r="AI99" s="1483">
        <f>ROUND(SUM(+AC99-AF99),1)</f>
        <v>224.5</v>
      </c>
      <c r="AJ99" s="2554"/>
      <c r="AK99" s="1478">
        <f>ROUND(IF(AF99=0,0,AI99/ABS(AF99)),3)</f>
        <v>2.5999999999999999E-2</v>
      </c>
    </row>
    <row r="100" spans="1:37" ht="15" customHeight="1">
      <c r="A100" s="2528"/>
      <c r="B100" s="2537" t="s">
        <v>26</v>
      </c>
      <c r="C100" s="2089"/>
      <c r="D100" s="1851">
        <v>0.1</v>
      </c>
      <c r="E100" s="1483"/>
      <c r="F100" s="1851">
        <v>0.1</v>
      </c>
      <c r="G100" s="1483"/>
      <c r="H100" s="1851">
        <v>9.9999999999999978E-2</v>
      </c>
      <c r="I100" s="1483"/>
      <c r="J100" s="1851">
        <f t="shared" si="15"/>
        <v>0</v>
      </c>
      <c r="K100" s="2065"/>
      <c r="L100" s="1851"/>
      <c r="M100" s="2065"/>
      <c r="N100" s="1851"/>
      <c r="O100" s="2065"/>
      <c r="P100" s="1851"/>
      <c r="Q100" s="2065"/>
      <c r="R100" s="1851"/>
      <c r="S100" s="2065"/>
      <c r="T100" s="1851"/>
      <c r="U100" s="2065"/>
      <c r="V100" s="1851"/>
      <c r="W100" s="2065"/>
      <c r="X100" s="1851"/>
      <c r="Y100" s="2065"/>
      <c r="Z100" s="1851"/>
      <c r="AA100" s="2066"/>
      <c r="AB100" s="2069"/>
      <c r="AC100" s="1867">
        <v>0.3</v>
      </c>
      <c r="AD100" s="2108"/>
      <c r="AE100" s="2069" t="s">
        <v>15</v>
      </c>
      <c r="AF100" s="1867">
        <v>1</v>
      </c>
      <c r="AG100" s="2073"/>
      <c r="AH100" s="2553"/>
      <c r="AI100" s="1483">
        <f t="shared" ref="AI100:AI108" si="16">ROUND(SUM(+AC100-AF100),1)</f>
        <v>-0.7</v>
      </c>
      <c r="AJ100" s="2554"/>
      <c r="AK100" s="1478">
        <f>ROUND(IF(AF100=0,1,AI100/ABS(AF100)),3)</f>
        <v>-0.7</v>
      </c>
    </row>
    <row r="101" spans="1:37" ht="15" customHeight="1">
      <c r="A101" s="2528"/>
      <c r="B101" s="2537" t="s">
        <v>27</v>
      </c>
      <c r="C101" s="2089"/>
      <c r="D101" s="1851">
        <v>1.7</v>
      </c>
      <c r="E101" s="1483"/>
      <c r="F101" s="1851">
        <v>15.7</v>
      </c>
      <c r="G101" s="1483"/>
      <c r="H101" s="1851">
        <v>574.89999999999986</v>
      </c>
      <c r="I101" s="1483"/>
      <c r="J101" s="1851">
        <f t="shared" si="15"/>
        <v>2.2000000000000455</v>
      </c>
      <c r="K101" s="2065"/>
      <c r="L101" s="1851"/>
      <c r="M101" s="2065"/>
      <c r="N101" s="1851"/>
      <c r="O101" s="2065"/>
      <c r="P101" s="1851"/>
      <c r="Q101" s="2065"/>
      <c r="R101" s="1851"/>
      <c r="S101" s="2065"/>
      <c r="T101" s="1851"/>
      <c r="U101" s="2065"/>
      <c r="V101" s="1851"/>
      <c r="W101" s="2065"/>
      <c r="X101" s="1851"/>
      <c r="Y101" s="2065"/>
      <c r="Z101" s="1851"/>
      <c r="AA101" s="2066"/>
      <c r="AB101" s="2069"/>
      <c r="AC101" s="1867">
        <v>594.5</v>
      </c>
      <c r="AD101" s="2108"/>
      <c r="AE101" s="2069" t="s">
        <v>15</v>
      </c>
      <c r="AF101" s="1867">
        <v>578.4</v>
      </c>
      <c r="AG101" s="2073"/>
      <c r="AH101" s="2553"/>
      <c r="AI101" s="1483">
        <f t="shared" si="16"/>
        <v>16.100000000000001</v>
      </c>
      <c r="AJ101" s="2554"/>
      <c r="AK101" s="1478">
        <f>ROUND(IF(AF101=0,0,AI101/ABS(AF101)),3)</f>
        <v>2.8000000000000001E-2</v>
      </c>
    </row>
    <row r="102" spans="1:37" ht="15" customHeight="1">
      <c r="A102" s="2528"/>
      <c r="B102" s="2537" t="s">
        <v>28</v>
      </c>
      <c r="C102" s="2089"/>
      <c r="D102" s="1851"/>
      <c r="E102" s="1483"/>
      <c r="F102" s="1851"/>
      <c r="G102" s="1483"/>
      <c r="H102" s="1851"/>
      <c r="I102" s="1483"/>
      <c r="J102" s="1851">
        <f t="shared" si="15"/>
        <v>0</v>
      </c>
      <c r="K102" s="2065"/>
      <c r="L102" s="1851"/>
      <c r="M102" s="2065"/>
      <c r="N102" s="1851"/>
      <c r="O102" s="2065"/>
      <c r="P102" s="1851"/>
      <c r="Q102" s="2065"/>
      <c r="R102" s="1851"/>
      <c r="S102" s="2065"/>
      <c r="T102" s="1851"/>
      <c r="U102" s="2065"/>
      <c r="V102" s="1851"/>
      <c r="W102" s="2065"/>
      <c r="X102" s="1851"/>
      <c r="Y102" s="2065"/>
      <c r="Z102" s="1851"/>
      <c r="AA102" s="2066"/>
      <c r="AB102" s="2069"/>
      <c r="AC102" s="1867"/>
      <c r="AD102" s="2108"/>
      <c r="AE102" s="2069" t="s">
        <v>15</v>
      </c>
      <c r="AF102" s="1867"/>
      <c r="AG102" s="2073"/>
      <c r="AH102" s="2553"/>
      <c r="AI102" s="1483" t="s">
        <v>15</v>
      </c>
      <c r="AJ102" s="2554"/>
      <c r="AK102" s="1471" t="s">
        <v>15</v>
      </c>
    </row>
    <row r="103" spans="1:37" ht="15" customHeight="1">
      <c r="A103" s="2528"/>
      <c r="B103" s="2574" t="s">
        <v>29</v>
      </c>
      <c r="C103" s="2089"/>
      <c r="D103" s="1851">
        <v>3296.6</v>
      </c>
      <c r="E103" s="1483"/>
      <c r="F103" s="1851">
        <v>1588.6</v>
      </c>
      <c r="G103" s="1483"/>
      <c r="H103" s="1851">
        <v>1393.9000000000005</v>
      </c>
      <c r="I103" s="1483"/>
      <c r="J103" s="1851">
        <f t="shared" si="15"/>
        <v>1320.2000000000003</v>
      </c>
      <c r="K103" s="2065"/>
      <c r="L103" s="1851"/>
      <c r="M103" s="2065"/>
      <c r="N103" s="1851"/>
      <c r="O103" s="2065"/>
      <c r="P103" s="1851"/>
      <c r="Q103" s="2065"/>
      <c r="R103" s="1851"/>
      <c r="S103" s="2065"/>
      <c r="T103" s="1851"/>
      <c r="U103" s="2065"/>
      <c r="V103" s="1851"/>
      <c r="W103" s="2065"/>
      <c r="X103" s="1851"/>
      <c r="Y103" s="2065"/>
      <c r="Z103" s="1851"/>
      <c r="AA103" s="2066"/>
      <c r="AB103" s="2069"/>
      <c r="AC103" s="1867">
        <v>7599.3</v>
      </c>
      <c r="AD103" s="2108"/>
      <c r="AE103" s="2069" t="s">
        <v>15</v>
      </c>
      <c r="AF103" s="1867">
        <v>5923.8</v>
      </c>
      <c r="AG103" s="2073"/>
      <c r="AH103" s="2553"/>
      <c r="AI103" s="1483">
        <f t="shared" si="16"/>
        <v>1675.5</v>
      </c>
      <c r="AJ103" s="2554"/>
      <c r="AK103" s="1478">
        <f t="shared" ref="AK103:AK107" si="17">ROUND(IF(AF103=0,0,AI103/ABS(AF103)),3)</f>
        <v>0.28299999999999997</v>
      </c>
    </row>
    <row r="104" spans="1:37" ht="15" customHeight="1">
      <c r="A104" s="2528"/>
      <c r="B104" s="2537" t="s">
        <v>30</v>
      </c>
      <c r="C104" s="2089"/>
      <c r="D104" s="1851">
        <v>150.20000000000002</v>
      </c>
      <c r="E104" s="1483"/>
      <c r="F104" s="1851">
        <v>120.29999999999998</v>
      </c>
      <c r="G104" s="1483"/>
      <c r="H104" s="1851">
        <v>336</v>
      </c>
      <c r="I104" s="1483"/>
      <c r="J104" s="1851">
        <f t="shared" si="15"/>
        <v>217.70000000000016</v>
      </c>
      <c r="K104" s="2065"/>
      <c r="L104" s="1851"/>
      <c r="M104" s="2065"/>
      <c r="N104" s="1851"/>
      <c r="O104" s="2065"/>
      <c r="P104" s="1851"/>
      <c r="Q104" s="2065"/>
      <c r="R104" s="1851"/>
      <c r="S104" s="2065"/>
      <c r="T104" s="1851"/>
      <c r="U104" s="2065"/>
      <c r="V104" s="1851"/>
      <c r="W104" s="2065"/>
      <c r="X104" s="1851"/>
      <c r="Y104" s="2065"/>
      <c r="Z104" s="1851"/>
      <c r="AA104" s="2066"/>
      <c r="AB104" s="2069"/>
      <c r="AC104" s="1867">
        <v>824.20000000000016</v>
      </c>
      <c r="AD104" s="2108"/>
      <c r="AE104" s="2069" t="s">
        <v>15</v>
      </c>
      <c r="AF104" s="1867">
        <v>951.4</v>
      </c>
      <c r="AG104" s="2073"/>
      <c r="AH104" s="2553"/>
      <c r="AI104" s="1483">
        <f t="shared" si="16"/>
        <v>-127.2</v>
      </c>
      <c r="AJ104" s="2554"/>
      <c r="AK104" s="1478">
        <f t="shared" si="17"/>
        <v>-0.13400000000000001</v>
      </c>
    </row>
    <row r="105" spans="1:37" ht="15" customHeight="1">
      <c r="A105" s="2528"/>
      <c r="B105" s="2537" t="s">
        <v>31</v>
      </c>
      <c r="C105" s="2089"/>
      <c r="D105" s="1851">
        <v>10.6</v>
      </c>
      <c r="E105" s="1483"/>
      <c r="F105" s="1851">
        <v>13.4</v>
      </c>
      <c r="G105" s="1483"/>
      <c r="H105" s="1851">
        <v>12.499999999999998</v>
      </c>
      <c r="I105" s="1483"/>
      <c r="J105" s="1851">
        <f t="shared" si="15"/>
        <v>18.5</v>
      </c>
      <c r="K105" s="2065"/>
      <c r="L105" s="1851"/>
      <c r="M105" s="2065"/>
      <c r="N105" s="1851"/>
      <c r="O105" s="2065"/>
      <c r="P105" s="1851"/>
      <c r="Q105" s="2065"/>
      <c r="R105" s="1851"/>
      <c r="S105" s="2065"/>
      <c r="T105" s="1851"/>
      <c r="U105" s="2065"/>
      <c r="V105" s="1851"/>
      <c r="W105" s="2065"/>
      <c r="X105" s="1851"/>
      <c r="Y105" s="2065"/>
      <c r="Z105" s="1851"/>
      <c r="AA105" s="2066"/>
      <c r="AB105" s="2069"/>
      <c r="AC105" s="1867">
        <v>55</v>
      </c>
      <c r="AD105" s="2108"/>
      <c r="AE105" s="2069" t="s">
        <v>15</v>
      </c>
      <c r="AF105" s="1867">
        <v>64.7</v>
      </c>
      <c r="AG105" s="2073"/>
      <c r="AH105" s="2553" t="s">
        <v>15</v>
      </c>
      <c r="AI105" s="1483">
        <f t="shared" si="16"/>
        <v>-9.6999999999999993</v>
      </c>
      <c r="AJ105" s="2554"/>
      <c r="AK105" s="1478">
        <f t="shared" si="17"/>
        <v>-0.15</v>
      </c>
    </row>
    <row r="106" spans="1:37" ht="15" customHeight="1">
      <c r="A106" s="2528"/>
      <c r="B106" s="2537" t="s">
        <v>32</v>
      </c>
      <c r="C106" s="2089"/>
      <c r="D106" s="1851">
        <v>87.800000000000011</v>
      </c>
      <c r="E106" s="1483"/>
      <c r="F106" s="1851">
        <v>84.899999999999977</v>
      </c>
      <c r="G106" s="1483"/>
      <c r="H106" s="1851">
        <v>180.5</v>
      </c>
      <c r="I106" s="1483"/>
      <c r="J106" s="1851">
        <f t="shared" si="15"/>
        <v>128.40000000000003</v>
      </c>
      <c r="K106" s="2065"/>
      <c r="L106" s="1851"/>
      <c r="M106" s="2065"/>
      <c r="N106" s="1851"/>
      <c r="O106" s="2065"/>
      <c r="P106" s="1851"/>
      <c r="Q106" s="2065"/>
      <c r="R106" s="1851"/>
      <c r="S106" s="2065"/>
      <c r="T106" s="1851"/>
      <c r="U106" s="2065"/>
      <c r="V106" s="1851"/>
      <c r="W106" s="2065"/>
      <c r="X106" s="1851"/>
      <c r="Y106" s="2065"/>
      <c r="Z106" s="1851"/>
      <c r="AA106" s="2066"/>
      <c r="AB106" s="2069"/>
      <c r="AC106" s="1867">
        <v>481.6</v>
      </c>
      <c r="AD106" s="2108"/>
      <c r="AE106" s="2069" t="s">
        <v>15</v>
      </c>
      <c r="AF106" s="1867">
        <v>556.5</v>
      </c>
      <c r="AG106" s="2073"/>
      <c r="AH106" s="2553"/>
      <c r="AI106" s="1483">
        <f t="shared" si="16"/>
        <v>-74.900000000000006</v>
      </c>
      <c r="AJ106" s="2554"/>
      <c r="AK106" s="1478">
        <f t="shared" si="17"/>
        <v>-0.13500000000000001</v>
      </c>
    </row>
    <row r="107" spans="1:37" ht="15" customHeight="1">
      <c r="A107" s="2528"/>
      <c r="B107" s="2537" t="s">
        <v>33</v>
      </c>
      <c r="C107" s="2089"/>
      <c r="D107" s="1851">
        <v>6</v>
      </c>
      <c r="E107" s="1483"/>
      <c r="F107" s="1851">
        <v>7.6999999999999993</v>
      </c>
      <c r="G107" s="1483"/>
      <c r="H107" s="1851">
        <v>5.6999999999999993</v>
      </c>
      <c r="I107" s="1483"/>
      <c r="J107" s="1851">
        <f t="shared" si="15"/>
        <v>22</v>
      </c>
      <c r="K107" s="2065"/>
      <c r="L107" s="1851"/>
      <c r="M107" s="2065"/>
      <c r="N107" s="1851"/>
      <c r="O107" s="2065"/>
      <c r="P107" s="1851"/>
      <c r="Q107" s="2065"/>
      <c r="R107" s="1851"/>
      <c r="S107" s="2065"/>
      <c r="T107" s="1851"/>
      <c r="U107" s="2065"/>
      <c r="V107" s="1851"/>
      <c r="W107" s="2065"/>
      <c r="X107" s="1851"/>
      <c r="Y107" s="2065"/>
      <c r="Z107" s="1851"/>
      <c r="AA107" s="2066"/>
      <c r="AB107" s="2069"/>
      <c r="AC107" s="1867">
        <v>41.4</v>
      </c>
      <c r="AD107" s="2108"/>
      <c r="AE107" s="2069" t="s">
        <v>15</v>
      </c>
      <c r="AF107" s="1867">
        <v>27</v>
      </c>
      <c r="AG107" s="2073"/>
      <c r="AH107" s="2553"/>
      <c r="AI107" s="1483">
        <f t="shared" si="16"/>
        <v>14.4</v>
      </c>
      <c r="AJ107" s="2554"/>
      <c r="AK107" s="1478">
        <f t="shared" si="17"/>
        <v>0.53300000000000003</v>
      </c>
    </row>
    <row r="108" spans="1:37" ht="15" customHeight="1">
      <c r="A108" s="2528"/>
      <c r="B108" s="2537" t="s">
        <v>34</v>
      </c>
      <c r="C108" s="2089"/>
      <c r="D108" s="1851">
        <v>0</v>
      </c>
      <c r="E108" s="1483"/>
      <c r="F108" s="1851">
        <v>23.9</v>
      </c>
      <c r="G108" s="1483"/>
      <c r="H108" s="1851">
        <v>14.100000000000001</v>
      </c>
      <c r="I108" s="1483"/>
      <c r="J108" s="1851">
        <f t="shared" si="15"/>
        <v>0.20000000000000284</v>
      </c>
      <c r="K108" s="2065"/>
      <c r="L108" s="1851"/>
      <c r="M108" s="2065"/>
      <c r="N108" s="1851"/>
      <c r="O108" s="2065"/>
      <c r="P108" s="1851"/>
      <c r="Q108" s="2065"/>
      <c r="R108" s="1851"/>
      <c r="S108" s="2065"/>
      <c r="T108" s="1851"/>
      <c r="U108" s="2065"/>
      <c r="V108" s="1851"/>
      <c r="W108" s="2065"/>
      <c r="X108" s="1851"/>
      <c r="Y108" s="2065"/>
      <c r="Z108" s="1851"/>
      <c r="AA108" s="2066"/>
      <c r="AB108" s="2069"/>
      <c r="AC108" s="1867">
        <v>38.200000000000003</v>
      </c>
      <c r="AD108" s="2108"/>
      <c r="AE108" s="2069" t="s">
        <v>15</v>
      </c>
      <c r="AF108" s="1867">
        <v>223.5</v>
      </c>
      <c r="AG108" s="2105"/>
      <c r="AH108" s="2575"/>
      <c r="AI108" s="1483">
        <f t="shared" si="16"/>
        <v>-185.3</v>
      </c>
      <c r="AJ108" s="2576"/>
      <c r="AK108" s="1478">
        <f>ROUND(IF(AF108=0,1,AI108/ABS(AF108)),3)</f>
        <v>-0.82899999999999996</v>
      </c>
    </row>
    <row r="109" spans="1:37" ht="15" customHeight="1">
      <c r="A109" s="2528"/>
      <c r="B109" s="2546" t="s">
        <v>992</v>
      </c>
      <c r="C109" s="2089"/>
      <c r="D109" s="2109">
        <f>ROUND(SUM(D99:D108),1)</f>
        <v>4470</v>
      </c>
      <c r="E109" s="1501"/>
      <c r="F109" s="2109">
        <f>ROUND(SUM(F99:F108),1)</f>
        <v>5834.3</v>
      </c>
      <c r="G109" s="1501"/>
      <c r="H109" s="2109">
        <f>ROUND(SUM(H99:H108),1)</f>
        <v>4707.5</v>
      </c>
      <c r="I109" s="1484" t="s">
        <v>15</v>
      </c>
      <c r="J109" s="1500">
        <f>ROUND(SUM(J99:J108),1)</f>
        <v>3320.6</v>
      </c>
      <c r="K109" s="1484" t="s">
        <v>15</v>
      </c>
      <c r="L109" s="2109">
        <f>ROUND(SUM(L99:L108),1)</f>
        <v>0</v>
      </c>
      <c r="M109" s="1484" t="s">
        <v>15</v>
      </c>
      <c r="N109" s="2109">
        <f>ROUND(SUM(N99:N108),1)</f>
        <v>0</v>
      </c>
      <c r="O109" s="1484" t="s">
        <v>15</v>
      </c>
      <c r="P109" s="1500">
        <f>ROUND(SUM(P99:P108),1)</f>
        <v>0</v>
      </c>
      <c r="Q109" s="1484" t="s">
        <v>15</v>
      </c>
      <c r="R109" s="2109">
        <f>ROUND(SUM(R99:R108),1)</f>
        <v>0</v>
      </c>
      <c r="S109" s="1484" t="s">
        <v>15</v>
      </c>
      <c r="T109" s="2109">
        <f>ROUND(SUM(T99:T108),1)</f>
        <v>0</v>
      </c>
      <c r="U109" s="1484" t="s">
        <v>15</v>
      </c>
      <c r="V109" s="2109">
        <f>ROUND(SUM(V99:V108),1)</f>
        <v>0</v>
      </c>
      <c r="W109" s="1484" t="s">
        <v>15</v>
      </c>
      <c r="X109" s="2109">
        <f>ROUND(SUM(X99:X108),1)</f>
        <v>0</v>
      </c>
      <c r="Y109" s="1484" t="s">
        <v>15</v>
      </c>
      <c r="Z109" s="2109">
        <f>ROUND(SUM(Z99:Z108),1)</f>
        <v>0</v>
      </c>
      <c r="AA109" s="2120" t="s">
        <v>15</v>
      </c>
      <c r="AB109" s="2116"/>
      <c r="AC109" s="1500">
        <f>SUM(AC99:AC108)</f>
        <v>18332.400000000001</v>
      </c>
      <c r="AD109" s="2117"/>
      <c r="AE109" s="3311" t="s">
        <v>15</v>
      </c>
      <c r="AF109" s="1500">
        <f>ROUND(SUM(AF99:AF108),1)</f>
        <v>16799.7</v>
      </c>
      <c r="AG109" s="1484"/>
      <c r="AH109" s="2558"/>
      <c r="AI109" s="2109">
        <f>ROUND(SUM(+AC109-AF109),1)</f>
        <v>1532.7</v>
      </c>
      <c r="AJ109" s="1484"/>
      <c r="AK109" s="2577">
        <f>ROUND(SUM(AI109/AF109),3)</f>
        <v>9.0999999999999998E-2</v>
      </c>
    </row>
    <row r="110" spans="1:37" ht="15" customHeight="1">
      <c r="A110" s="2528"/>
      <c r="B110" s="2111" t="s">
        <v>153</v>
      </c>
      <c r="C110" s="2089"/>
      <c r="D110" s="1483"/>
      <c r="E110" s="1483"/>
      <c r="F110" s="1483"/>
      <c r="G110" s="1483"/>
      <c r="H110" s="1483"/>
      <c r="I110" s="1483"/>
      <c r="J110" s="2067"/>
      <c r="K110" s="2073"/>
      <c r="L110" s="2073"/>
      <c r="M110" s="2073"/>
      <c r="N110" s="2073"/>
      <c r="O110" s="2073"/>
      <c r="P110" s="2062"/>
      <c r="Q110" s="2073"/>
      <c r="R110" s="2073"/>
      <c r="S110" s="2073"/>
      <c r="T110" s="2073"/>
      <c r="U110" s="2073"/>
      <c r="V110" s="2073"/>
      <c r="W110" s="2073"/>
      <c r="X110" s="2073"/>
      <c r="Y110" s="2073"/>
      <c r="Z110" s="2073"/>
      <c r="AA110" s="1503"/>
      <c r="AB110" s="2113"/>
      <c r="AC110" s="2067"/>
      <c r="AD110" s="2062"/>
      <c r="AE110" s="2064"/>
      <c r="AF110" s="2062"/>
      <c r="AG110" s="2073"/>
      <c r="AH110" s="2553"/>
      <c r="AI110" s="1483"/>
      <c r="AJ110" s="2554"/>
      <c r="AK110" s="1471"/>
    </row>
    <row r="111" spans="1:37" ht="15" customHeight="1">
      <c r="A111" s="2528"/>
      <c r="B111" s="2111" t="s">
        <v>154</v>
      </c>
      <c r="C111" s="2089"/>
      <c r="D111" s="1851">
        <v>688.8</v>
      </c>
      <c r="E111" s="1483"/>
      <c r="F111" s="1851">
        <v>1071.8</v>
      </c>
      <c r="G111" s="1483"/>
      <c r="H111" s="1851">
        <v>679</v>
      </c>
      <c r="I111" s="1483"/>
      <c r="J111" s="1851">
        <f t="shared" ref="J111:J113" si="18">$AC111-$D111-$F111-$H111</f>
        <v>697.30000000000041</v>
      </c>
      <c r="K111" s="2065"/>
      <c r="L111" s="1851"/>
      <c r="M111" s="2065"/>
      <c r="N111" s="1851"/>
      <c r="O111" s="2065"/>
      <c r="P111" s="1851"/>
      <c r="Q111" s="2065"/>
      <c r="R111" s="1851"/>
      <c r="S111" s="2065"/>
      <c r="T111" s="1851"/>
      <c r="U111" s="2065"/>
      <c r="V111" s="1851"/>
      <c r="W111" s="2065"/>
      <c r="X111" s="1851"/>
      <c r="Y111" s="2065"/>
      <c r="Z111" s="1851"/>
      <c r="AA111" s="2066"/>
      <c r="AB111" s="2069"/>
      <c r="AC111" s="1867">
        <v>3136.9</v>
      </c>
      <c r="AD111" s="2108"/>
      <c r="AE111" s="2069" t="s">
        <v>15</v>
      </c>
      <c r="AF111" s="1867">
        <v>2922.9</v>
      </c>
      <c r="AG111" s="2073"/>
      <c r="AH111" s="2553"/>
      <c r="AI111" s="1483">
        <f>ROUND(SUM(+AC111-AF111),1)</f>
        <v>214</v>
      </c>
      <c r="AJ111" s="2554"/>
      <c r="AK111" s="1478">
        <f>ROUND(IF(AF111=0,0,AI111/ABS(AF111)),3)</f>
        <v>7.2999999999999995E-2</v>
      </c>
    </row>
    <row r="112" spans="1:37" ht="15" customHeight="1">
      <c r="A112" s="2528"/>
      <c r="B112" s="2578" t="s">
        <v>155</v>
      </c>
      <c r="C112" s="2089"/>
      <c r="D112" s="1851">
        <v>159</v>
      </c>
      <c r="E112" s="1483"/>
      <c r="F112" s="1851">
        <v>249.2</v>
      </c>
      <c r="G112" s="1483"/>
      <c r="H112" s="1851">
        <v>218.90000000000003</v>
      </c>
      <c r="I112" s="1483"/>
      <c r="J112" s="1851">
        <f t="shared" si="18"/>
        <v>200.89999999999998</v>
      </c>
      <c r="K112" s="2065"/>
      <c r="L112" s="1851"/>
      <c r="M112" s="2065"/>
      <c r="N112" s="1851"/>
      <c r="O112" s="2065"/>
      <c r="P112" s="1851"/>
      <c r="Q112" s="2065"/>
      <c r="R112" s="1851"/>
      <c r="S112" s="2065"/>
      <c r="T112" s="1851"/>
      <c r="U112" s="2065"/>
      <c r="V112" s="1851"/>
      <c r="W112" s="2065"/>
      <c r="X112" s="1851"/>
      <c r="Y112" s="2065"/>
      <c r="Z112" s="1851"/>
      <c r="AA112" s="2066"/>
      <c r="AB112" s="2069"/>
      <c r="AC112" s="1867">
        <v>828</v>
      </c>
      <c r="AD112" s="2108"/>
      <c r="AE112" s="2069" t="s">
        <v>15</v>
      </c>
      <c r="AF112" s="1867">
        <v>849</v>
      </c>
      <c r="AG112" s="2073"/>
      <c r="AH112" s="2553"/>
      <c r="AI112" s="1483">
        <f>ROUND(SUM(+AC112-AF112),1)</f>
        <v>-21</v>
      </c>
      <c r="AJ112" s="2554"/>
      <c r="AK112" s="1478">
        <f>ROUND(IF(AF112=0,0,AI112/ABS(AF112)),3)</f>
        <v>-2.5000000000000001E-2</v>
      </c>
    </row>
    <row r="113" spans="1:38" ht="15" customHeight="1">
      <c r="A113" s="2528"/>
      <c r="B113" s="2578" t="s">
        <v>156</v>
      </c>
      <c r="C113" s="2089"/>
      <c r="D113" s="1851">
        <v>728.2</v>
      </c>
      <c r="E113" s="2562"/>
      <c r="F113" s="1851">
        <v>2349.3000000000002</v>
      </c>
      <c r="G113" s="2562"/>
      <c r="H113" s="1851">
        <v>364.89999999999964</v>
      </c>
      <c r="I113" s="1483"/>
      <c r="J113" s="1851">
        <f t="shared" si="18"/>
        <v>384.80000000000018</v>
      </c>
      <c r="K113" s="2065"/>
      <c r="L113" s="1851"/>
      <c r="M113" s="2065"/>
      <c r="N113" s="1851"/>
      <c r="O113" s="2065"/>
      <c r="P113" s="1851"/>
      <c r="Q113" s="2065"/>
      <c r="R113" s="1851"/>
      <c r="S113" s="2065"/>
      <c r="T113" s="1851"/>
      <c r="U113" s="2065"/>
      <c r="V113" s="1851"/>
      <c r="W113" s="2065"/>
      <c r="X113" s="1851"/>
      <c r="Y113" s="2065"/>
      <c r="Z113" s="1851"/>
      <c r="AA113" s="2066"/>
      <c r="AB113" s="2069"/>
      <c r="AC113" s="1867">
        <v>3827.2</v>
      </c>
      <c r="AD113" s="2108"/>
      <c r="AE113" s="2069" t="s">
        <v>15</v>
      </c>
      <c r="AF113" s="1867">
        <v>3863.8</v>
      </c>
      <c r="AG113" s="2074"/>
      <c r="AH113" s="2553"/>
      <c r="AI113" s="2569">
        <f>ROUND(SUM(+AC113-AF113),1)</f>
        <v>-36.6</v>
      </c>
      <c r="AJ113" s="2554"/>
      <c r="AK113" s="1481">
        <f>ROUND(IF(AF113=0,0,AI113/ABS(AF113)),3)</f>
        <v>-8.9999999999999993E-3</v>
      </c>
    </row>
    <row r="114" spans="1:38" ht="7.5" customHeight="1">
      <c r="A114" s="2528"/>
      <c r="B114" s="2111"/>
      <c r="C114" s="2089"/>
      <c r="D114" s="2571"/>
      <c r="E114" s="1483"/>
      <c r="F114" s="2571"/>
      <c r="G114" s="1483"/>
      <c r="H114" s="2571"/>
      <c r="I114" s="1483"/>
      <c r="J114" s="2572"/>
      <c r="K114" s="2073"/>
      <c r="L114" s="2072"/>
      <c r="M114" s="2073"/>
      <c r="N114" s="2072"/>
      <c r="O114" s="2073"/>
      <c r="P114" s="2118"/>
      <c r="Q114" s="2073"/>
      <c r="R114" s="2219"/>
      <c r="S114" s="2073"/>
      <c r="T114" s="2072"/>
      <c r="U114" s="2073"/>
      <c r="V114" s="2072"/>
      <c r="W114" s="2073"/>
      <c r="X114" s="2072"/>
      <c r="Y114" s="2073"/>
      <c r="Z114" s="2072"/>
      <c r="AA114" s="2080"/>
      <c r="AB114" s="2113"/>
      <c r="AC114" s="3312"/>
      <c r="AD114" s="2062"/>
      <c r="AE114" s="2064"/>
      <c r="AF114" s="2118"/>
      <c r="AG114" s="2074"/>
      <c r="AH114" s="2553"/>
      <c r="AI114" s="1483"/>
      <c r="AJ114" s="2554"/>
      <c r="AK114" s="1471"/>
    </row>
    <row r="115" spans="1:38" ht="15" customHeight="1">
      <c r="A115" s="2528"/>
      <c r="B115" s="2504" t="s">
        <v>157</v>
      </c>
      <c r="C115" s="2089"/>
      <c r="D115" s="1501">
        <f>ROUND(SUM(D111:D113)+D109,1)</f>
        <v>6046</v>
      </c>
      <c r="E115" s="1501"/>
      <c r="F115" s="1501">
        <f>ROUND(SUM(F109:F113),1)</f>
        <v>9504.6</v>
      </c>
      <c r="G115" s="1501"/>
      <c r="H115" s="1501">
        <f>ROUND(SUM(H109:H113),1)</f>
        <v>5970.3</v>
      </c>
      <c r="I115" s="1501"/>
      <c r="J115" s="2117">
        <f>ROUND(SUM(J109:J113),1)</f>
        <v>4603.6000000000004</v>
      </c>
      <c r="K115" s="1501"/>
      <c r="L115" s="1501">
        <f>ROUND(SUM(L109:L113),1)</f>
        <v>0</v>
      </c>
      <c r="M115" s="1501"/>
      <c r="N115" s="1501">
        <f>ROUND(SUM(N109:N113),1)</f>
        <v>0</v>
      </c>
      <c r="O115" s="1501"/>
      <c r="P115" s="2117">
        <f>ROUND(SUM(P109:P113),1)</f>
        <v>0</v>
      </c>
      <c r="Q115" s="1501"/>
      <c r="R115" s="1501">
        <f>ROUND(SUM(R109:R113),1)</f>
        <v>0</v>
      </c>
      <c r="S115" s="1501"/>
      <c r="T115" s="1501">
        <f>ROUND(SUM(T109:T113),1)</f>
        <v>0</v>
      </c>
      <c r="U115" s="1501"/>
      <c r="V115" s="1501">
        <f>ROUND(SUM(V109:V113),1)</f>
        <v>0</v>
      </c>
      <c r="W115" s="1501"/>
      <c r="X115" s="1501">
        <f>ROUND(SUM(X109:X113),1)</f>
        <v>0</v>
      </c>
      <c r="Y115" s="1501"/>
      <c r="Z115" s="1501">
        <f>ROUND(SUM(Z109:Z113),1)</f>
        <v>0</v>
      </c>
      <c r="AA115" s="2120"/>
      <c r="AB115" s="2116"/>
      <c r="AC115" s="2117">
        <f>ROUND(SUM(AC109:AC113),1)</f>
        <v>26124.5</v>
      </c>
      <c r="AD115" s="2117"/>
      <c r="AE115" s="3311"/>
      <c r="AF115" s="2117">
        <f>ROUND(SUM(AF109:AF113),1)</f>
        <v>24435.4</v>
      </c>
      <c r="AG115" s="1484"/>
      <c r="AH115" s="2558"/>
      <c r="AI115" s="1613">
        <f>ROUND(SUM(AI109:AI113),1)</f>
        <v>1689.1</v>
      </c>
      <c r="AJ115" s="1484"/>
      <c r="AK115" s="2579">
        <f>ROUND(SUM(AI115/AF115),3)</f>
        <v>6.9000000000000006E-2</v>
      </c>
    </row>
    <row r="116" spans="1:38" ht="15" customHeight="1">
      <c r="A116" s="2528"/>
      <c r="B116" s="2111"/>
      <c r="C116" s="2089"/>
      <c r="D116" s="2571"/>
      <c r="E116" s="1483"/>
      <c r="F116" s="2571"/>
      <c r="G116" s="1483"/>
      <c r="H116" s="2571"/>
      <c r="I116" s="1483"/>
      <c r="J116" s="2572"/>
      <c r="K116" s="2073"/>
      <c r="L116" s="2072"/>
      <c r="M116" s="2073"/>
      <c r="N116" s="2072"/>
      <c r="O116" s="2073"/>
      <c r="P116" s="2118"/>
      <c r="Q116" s="2073"/>
      <c r="R116" s="2072"/>
      <c r="S116" s="2073"/>
      <c r="T116" s="2072"/>
      <c r="U116" s="2073"/>
      <c r="V116" s="2072"/>
      <c r="W116" s="2073"/>
      <c r="X116" s="2072"/>
      <c r="Y116" s="2073"/>
      <c r="Z116" s="2072"/>
      <c r="AA116" s="2080"/>
      <c r="AB116" s="2113"/>
      <c r="AC116" s="3312"/>
      <c r="AD116" s="2062"/>
      <c r="AE116" s="2064"/>
      <c r="AF116" s="2118"/>
      <c r="AG116" s="2074"/>
      <c r="AH116" s="2553"/>
      <c r="AI116" s="1483"/>
      <c r="AJ116" s="2554"/>
      <c r="AK116" s="1471"/>
    </row>
    <row r="117" spans="1:38" ht="15" customHeight="1">
      <c r="A117" s="2528"/>
      <c r="B117" s="2504" t="s">
        <v>158</v>
      </c>
      <c r="C117" s="2089"/>
      <c r="D117" s="1483"/>
      <c r="E117" s="1483"/>
      <c r="F117" s="1483"/>
      <c r="G117" s="1483"/>
      <c r="H117" s="1483"/>
      <c r="I117" s="1483"/>
      <c r="J117" s="2067"/>
      <c r="K117" s="2073"/>
      <c r="L117" s="2073"/>
      <c r="M117" s="2073"/>
      <c r="N117" s="2073"/>
      <c r="O117" s="2073"/>
      <c r="P117" s="2062"/>
      <c r="Q117" s="2073"/>
      <c r="R117" s="2073"/>
      <c r="S117" s="2073"/>
      <c r="T117" s="2073"/>
      <c r="U117" s="2073"/>
      <c r="V117" s="2073"/>
      <c r="W117" s="2073"/>
      <c r="X117" s="2073"/>
      <c r="Y117" s="2073"/>
      <c r="Z117" s="2073"/>
      <c r="AA117" s="1503"/>
      <c r="AB117" s="2113"/>
      <c r="AC117" s="2067"/>
      <c r="AD117" s="2062"/>
      <c r="AE117" s="2064"/>
      <c r="AF117" s="2062"/>
      <c r="AG117" s="2073"/>
      <c r="AH117" s="2553"/>
      <c r="AI117" s="1483"/>
      <c r="AJ117" s="2554"/>
      <c r="AK117" s="1471"/>
    </row>
    <row r="118" spans="1:38" ht="15" customHeight="1">
      <c r="A118" s="2528"/>
      <c r="B118" s="2504" t="s">
        <v>45</v>
      </c>
      <c r="C118" s="2089"/>
      <c r="D118" s="1501">
        <f>ROUND(SUM(D95-D115),1)</f>
        <v>512.1</v>
      </c>
      <c r="E118" s="1501"/>
      <c r="F118" s="1501">
        <f>ROUND(SUM(F95-F115),1)</f>
        <v>-7507.9</v>
      </c>
      <c r="G118" s="1501"/>
      <c r="H118" s="1501">
        <f>ROUND(SUM(H95-H115),1)</f>
        <v>-1203.3</v>
      </c>
      <c r="I118" s="1501"/>
      <c r="J118" s="2117">
        <f>ROUND(SUM(J95-J115),1)</f>
        <v>-1927.2</v>
      </c>
      <c r="K118" s="1501"/>
      <c r="L118" s="1501">
        <f>ROUND(SUM(L95-L115),1)</f>
        <v>0</v>
      </c>
      <c r="M118" s="1501"/>
      <c r="N118" s="1501">
        <f>ROUND(SUM(N95-N115),1)</f>
        <v>0</v>
      </c>
      <c r="O118" s="1501"/>
      <c r="P118" s="2117">
        <f>ROUND(SUM(P95-P115),1)</f>
        <v>0</v>
      </c>
      <c r="Q118" s="1501"/>
      <c r="R118" s="1501">
        <f>ROUND(SUM(R95-R115),1)</f>
        <v>0</v>
      </c>
      <c r="S118" s="1501"/>
      <c r="T118" s="1501">
        <f>ROUND(SUM(T95-T115),1)</f>
        <v>0</v>
      </c>
      <c r="U118" s="1501"/>
      <c r="V118" s="1501">
        <f>ROUND(SUM(V95-V115),1)</f>
        <v>0</v>
      </c>
      <c r="W118" s="1501"/>
      <c r="X118" s="1501">
        <f>ROUND(SUM(X95-X115),1)</f>
        <v>0</v>
      </c>
      <c r="Y118" s="1501"/>
      <c r="Z118" s="1501">
        <f>ROUND(SUM(Z95-Z115),1)</f>
        <v>0</v>
      </c>
      <c r="AA118" s="2120"/>
      <c r="AB118" s="2116"/>
      <c r="AC118" s="2117">
        <f>ROUND(SUM(AC95-AC115),1)</f>
        <v>-10126.299999999999</v>
      </c>
      <c r="AD118" s="2117"/>
      <c r="AE118" s="3311"/>
      <c r="AF118" s="2117">
        <f>ROUND(SUM(AF95-AF115),1)</f>
        <v>-11301.5</v>
      </c>
      <c r="AG118" s="1501"/>
      <c r="AH118" s="2558"/>
      <c r="AI118" s="2119">
        <f>ROUND(SUM(+AC118-AF118),1)</f>
        <v>1175.2</v>
      </c>
      <c r="AJ118" s="1484"/>
      <c r="AK118" s="2585">
        <f>-ROUND(AI118/AF118,3)</f>
        <v>0.104</v>
      </c>
    </row>
    <row r="119" spans="1:38" ht="15" customHeight="1">
      <c r="A119" s="2528"/>
      <c r="B119" s="2111"/>
      <c r="C119" s="2089"/>
      <c r="D119" s="2571"/>
      <c r="E119" s="1483"/>
      <c r="F119" s="2571"/>
      <c r="G119" s="1483"/>
      <c r="H119" s="2571"/>
      <c r="I119" s="1483"/>
      <c r="J119" s="2572"/>
      <c r="K119" s="2073"/>
      <c r="L119" s="2072"/>
      <c r="M119" s="2073"/>
      <c r="N119" s="2072"/>
      <c r="O119" s="2073"/>
      <c r="P119" s="2118"/>
      <c r="Q119" s="2073"/>
      <c r="R119" s="2072"/>
      <c r="S119" s="2073"/>
      <c r="T119" s="2072"/>
      <c r="U119" s="2073"/>
      <c r="V119" s="2072"/>
      <c r="W119" s="2073"/>
      <c r="X119" s="2072"/>
      <c r="Y119" s="2073"/>
      <c r="Z119" s="2072"/>
      <c r="AA119" s="2080"/>
      <c r="AB119" s="2113"/>
      <c r="AC119" s="3312"/>
      <c r="AD119" s="2062"/>
      <c r="AE119" s="2064"/>
      <c r="AF119" s="2118"/>
      <c r="AG119" s="2072"/>
      <c r="AH119" s="2553"/>
      <c r="AI119" s="1483"/>
      <c r="AJ119" s="2554"/>
      <c r="AK119" s="1471"/>
    </row>
    <row r="120" spans="1:38" ht="15" customHeight="1">
      <c r="A120" s="2528"/>
      <c r="B120" s="2504" t="s">
        <v>46</v>
      </c>
      <c r="C120" s="2089"/>
      <c r="D120" s="1483"/>
      <c r="E120" s="1483"/>
      <c r="F120" s="1483"/>
      <c r="G120" s="1483"/>
      <c r="H120" s="1483"/>
      <c r="I120" s="1483"/>
      <c r="J120" s="2067"/>
      <c r="K120" s="2073"/>
      <c r="L120" s="2073"/>
      <c r="M120" s="2073"/>
      <c r="N120" s="2073"/>
      <c r="O120" s="2073"/>
      <c r="P120" s="2062"/>
      <c r="Q120" s="2073"/>
      <c r="R120" s="2073"/>
      <c r="S120" s="2073"/>
      <c r="T120" s="2073"/>
      <c r="U120" s="2073"/>
      <c r="V120" s="2073"/>
      <c r="W120" s="2073"/>
      <c r="X120" s="2073"/>
      <c r="Y120" s="2073"/>
      <c r="Z120" s="2073"/>
      <c r="AA120" s="1503"/>
      <c r="AB120" s="2113"/>
      <c r="AC120" s="2067"/>
      <c r="AD120" s="2062"/>
      <c r="AE120" s="2064"/>
      <c r="AF120" s="2062"/>
      <c r="AG120" s="2073"/>
      <c r="AH120" s="2553"/>
      <c r="AI120" s="1483"/>
      <c r="AJ120" s="2554"/>
      <c r="AK120" s="1471"/>
    </row>
    <row r="121" spans="1:38" ht="15" customHeight="1">
      <c r="A121" s="2528"/>
      <c r="B121" s="2504"/>
      <c r="C121" s="2089"/>
      <c r="D121" s="1483"/>
      <c r="E121" s="1483"/>
      <c r="F121" s="1483"/>
      <c r="G121" s="1483"/>
      <c r="H121" s="1483"/>
      <c r="I121" s="1483"/>
      <c r="J121" s="2067"/>
      <c r="K121" s="2073"/>
      <c r="L121" s="2073"/>
      <c r="M121" s="2073"/>
      <c r="N121" s="2073"/>
      <c r="O121" s="2073"/>
      <c r="P121" s="2062"/>
      <c r="Q121" s="2073"/>
      <c r="R121" s="2073"/>
      <c r="S121" s="2073"/>
      <c r="T121" s="2073"/>
      <c r="U121" s="2073"/>
      <c r="V121" s="2073"/>
      <c r="W121" s="2073"/>
      <c r="X121" s="2073"/>
      <c r="Y121" s="2073"/>
      <c r="Z121" s="2073"/>
      <c r="AA121" s="1503"/>
      <c r="AB121" s="2113"/>
      <c r="AC121" s="2067"/>
      <c r="AD121" s="2062"/>
      <c r="AE121" s="2064"/>
      <c r="AF121" s="2062"/>
      <c r="AG121" s="2073"/>
      <c r="AH121" s="2553"/>
      <c r="AI121" s="1483"/>
      <c r="AJ121" s="2554"/>
      <c r="AK121" s="1471"/>
    </row>
    <row r="122" spans="1:38" ht="15" customHeight="1">
      <c r="A122" s="2528"/>
      <c r="B122" s="2580" t="s">
        <v>1003</v>
      </c>
      <c r="C122" s="2260"/>
      <c r="D122" s="1851">
        <v>4607.3</v>
      </c>
      <c r="E122" s="2067"/>
      <c r="F122" s="1851">
        <v>1126.1999999999998</v>
      </c>
      <c r="G122" s="2067"/>
      <c r="H122" s="1851">
        <v>2606</v>
      </c>
      <c r="I122" s="2067"/>
      <c r="J122" s="1851">
        <f t="shared" ref="J122:J129" si="19">$AC122-$D122-$F122-$H122</f>
        <v>1658.2999999999993</v>
      </c>
      <c r="K122" s="2065"/>
      <c r="L122" s="1851"/>
      <c r="M122" s="2065"/>
      <c r="N122" s="1851"/>
      <c r="O122" s="2065"/>
      <c r="P122" s="1851"/>
      <c r="Q122" s="2065"/>
      <c r="R122" s="1851"/>
      <c r="S122" s="2065"/>
      <c r="T122" s="1851"/>
      <c r="U122" s="2065"/>
      <c r="V122" s="1851"/>
      <c r="W122" s="2065"/>
      <c r="X122" s="1851"/>
      <c r="Y122" s="2065"/>
      <c r="Z122" s="1851"/>
      <c r="AA122" s="2066"/>
      <c r="AB122" s="2069"/>
      <c r="AC122" s="1867">
        <v>9997.7999999999993</v>
      </c>
      <c r="AD122" s="2108"/>
      <c r="AE122" s="2069" t="s">
        <v>15</v>
      </c>
      <c r="AF122" s="1867">
        <v>7922.9</v>
      </c>
      <c r="AG122" s="2062"/>
      <c r="AH122" s="2553"/>
      <c r="AI122" s="1483">
        <f>ROUND(SUM(+AC122-AF122),1)</f>
        <v>2074.9</v>
      </c>
      <c r="AJ122" s="2554"/>
      <c r="AK122" s="1478">
        <f t="shared" ref="AK122:AK126" si="20">ROUND(IF(AF122=0,0,AI122/ABS(AF122)),3)</f>
        <v>0.26200000000000001</v>
      </c>
    </row>
    <row r="123" spans="1:38" s="2496" customFormat="1" ht="15" customHeight="1">
      <c r="A123" s="2541"/>
      <c r="B123" s="2580" t="s">
        <v>1023</v>
      </c>
      <c r="C123" s="2260"/>
      <c r="D123" s="1851">
        <v>452</v>
      </c>
      <c r="E123" s="2067"/>
      <c r="F123" s="1851">
        <v>302.70000000000005</v>
      </c>
      <c r="G123" s="2067"/>
      <c r="H123" s="1851">
        <v>835.59999999999991</v>
      </c>
      <c r="I123" s="2067"/>
      <c r="J123" s="1851">
        <f t="shared" si="19"/>
        <v>501.50000000000023</v>
      </c>
      <c r="K123" s="2065"/>
      <c r="L123" s="1851"/>
      <c r="M123" s="2065"/>
      <c r="N123" s="1851"/>
      <c r="O123" s="2065"/>
      <c r="P123" s="1851"/>
      <c r="Q123" s="2065"/>
      <c r="R123" s="1851"/>
      <c r="S123" s="2065"/>
      <c r="T123" s="1851"/>
      <c r="U123" s="2065"/>
      <c r="V123" s="1851"/>
      <c r="W123" s="2065"/>
      <c r="X123" s="1851"/>
      <c r="Y123" s="2065"/>
      <c r="Z123" s="1851"/>
      <c r="AA123" s="2066"/>
      <c r="AB123" s="2069"/>
      <c r="AC123" s="1867">
        <v>2091.8000000000002</v>
      </c>
      <c r="AD123" s="2108"/>
      <c r="AE123" s="2069" t="s">
        <v>15</v>
      </c>
      <c r="AF123" s="1867">
        <v>2016.3</v>
      </c>
      <c r="AG123" s="2062"/>
      <c r="AH123" s="2581"/>
      <c r="AI123" s="2067">
        <f>ROUND(SUM(+AC123-AF123),1)</f>
        <v>75.5</v>
      </c>
      <c r="AJ123" s="2108"/>
      <c r="AK123" s="1786">
        <f t="shared" si="20"/>
        <v>3.6999999999999998E-2</v>
      </c>
      <c r="AL123" s="2494"/>
    </row>
    <row r="124" spans="1:38" s="2496" customFormat="1" ht="15" customHeight="1">
      <c r="A124" s="2541"/>
      <c r="B124" s="2580" t="s">
        <v>1004</v>
      </c>
      <c r="C124" s="2260"/>
      <c r="D124" s="1851">
        <v>70.3</v>
      </c>
      <c r="E124" s="2067"/>
      <c r="F124" s="1851">
        <v>86.000000000000014</v>
      </c>
      <c r="G124" s="2067"/>
      <c r="H124" s="1851">
        <v>85.399999999999963</v>
      </c>
      <c r="I124" s="2067"/>
      <c r="J124" s="1851">
        <f t="shared" si="19"/>
        <v>114.30000000000003</v>
      </c>
      <c r="K124" s="2065"/>
      <c r="L124" s="1851"/>
      <c r="M124" s="2065"/>
      <c r="N124" s="1851"/>
      <c r="O124" s="2065"/>
      <c r="P124" s="1851"/>
      <c r="Q124" s="2065"/>
      <c r="R124" s="1851"/>
      <c r="S124" s="2065"/>
      <c r="T124" s="1851"/>
      <c r="U124" s="2065"/>
      <c r="V124" s="1851"/>
      <c r="W124" s="2065"/>
      <c r="X124" s="1851"/>
      <c r="Y124" s="2065"/>
      <c r="Z124" s="1851"/>
      <c r="AA124" s="2066"/>
      <c r="AB124" s="2069"/>
      <c r="AC124" s="1867">
        <v>356</v>
      </c>
      <c r="AD124" s="2108"/>
      <c r="AE124" s="2069" t="s">
        <v>15</v>
      </c>
      <c r="AF124" s="1867">
        <v>335.7</v>
      </c>
      <c r="AG124" s="2062"/>
      <c r="AH124" s="2581"/>
      <c r="AI124" s="2067">
        <f>ROUND(SUM(+AC124-AF124),1)</f>
        <v>20.3</v>
      </c>
      <c r="AJ124" s="2108"/>
      <c r="AK124" s="1786">
        <f t="shared" si="20"/>
        <v>0.06</v>
      </c>
      <c r="AL124" s="2494"/>
    </row>
    <row r="125" spans="1:38" s="2496" customFormat="1" ht="15" customHeight="1">
      <c r="A125" s="2541"/>
      <c r="B125" s="2582" t="s">
        <v>160</v>
      </c>
      <c r="C125" s="2260"/>
      <c r="D125" s="1851">
        <v>49.400000000000183</v>
      </c>
      <c r="E125" s="2067"/>
      <c r="F125" s="1851">
        <v>110.19999999999959</v>
      </c>
      <c r="G125" s="2067"/>
      <c r="H125" s="1851">
        <v>118.6</v>
      </c>
      <c r="I125" s="2067"/>
      <c r="J125" s="1851">
        <f t="shared" si="19"/>
        <v>248.40000000000148</v>
      </c>
      <c r="K125" s="2065"/>
      <c r="L125" s="1851"/>
      <c r="M125" s="2065"/>
      <c r="N125" s="1851"/>
      <c r="O125" s="2065"/>
      <c r="P125" s="1851"/>
      <c r="Q125" s="2065"/>
      <c r="R125" s="1851"/>
      <c r="S125" s="2065"/>
      <c r="T125" s="1851"/>
      <c r="U125" s="2065"/>
      <c r="V125" s="1851"/>
      <c r="W125" s="2065"/>
      <c r="X125" s="1851"/>
      <c r="Y125" s="2065"/>
      <c r="Z125" s="1851"/>
      <c r="AA125" s="2066"/>
      <c r="AB125" s="2069"/>
      <c r="AC125" s="1867">
        <v>526.60000000000127</v>
      </c>
      <c r="AD125" s="2108"/>
      <c r="AE125" s="2069" t="s">
        <v>15</v>
      </c>
      <c r="AF125" s="1867">
        <v>335.50000000000006</v>
      </c>
      <c r="AG125" s="2062"/>
      <c r="AH125" s="2581"/>
      <c r="AI125" s="2067">
        <f>ROUND(SUM(+AC125-AF125),1)</f>
        <v>191.1</v>
      </c>
      <c r="AJ125" s="2108"/>
      <c r="AK125" s="1791">
        <f t="shared" si="20"/>
        <v>0.56999999999999995</v>
      </c>
      <c r="AL125" s="2494"/>
    </row>
    <row r="126" spans="1:38" ht="15" customHeight="1">
      <c r="A126" s="2528" t="s">
        <v>15</v>
      </c>
      <c r="B126" s="2111" t="s">
        <v>161</v>
      </c>
      <c r="C126" s="2089"/>
      <c r="D126" s="1851">
        <v>-248.8</v>
      </c>
      <c r="E126" s="1483"/>
      <c r="F126" s="1851">
        <v>-406.3</v>
      </c>
      <c r="G126" s="1483"/>
      <c r="H126" s="1851">
        <v>-393.80000000000013</v>
      </c>
      <c r="I126" s="1483"/>
      <c r="J126" s="1851">
        <f t="shared" si="19"/>
        <v>-201.8</v>
      </c>
      <c r="K126" s="2065"/>
      <c r="L126" s="1851"/>
      <c r="M126" s="2065"/>
      <c r="N126" s="1851"/>
      <c r="O126" s="2065"/>
      <c r="P126" s="1851"/>
      <c r="Q126" s="2065"/>
      <c r="R126" s="1851"/>
      <c r="S126" s="2065"/>
      <c r="T126" s="1851"/>
      <c r="U126" s="2065"/>
      <c r="V126" s="1851"/>
      <c r="W126" s="2065"/>
      <c r="X126" s="1851"/>
      <c r="Y126" s="2065"/>
      <c r="Z126" s="1851"/>
      <c r="AA126" s="2066"/>
      <c r="AB126" s="2069"/>
      <c r="AC126" s="1867">
        <v>-1250.7</v>
      </c>
      <c r="AD126" s="2108"/>
      <c r="AE126" s="2069" t="s">
        <v>15</v>
      </c>
      <c r="AF126" s="1867">
        <v>-1106.2</v>
      </c>
      <c r="AG126" s="2073"/>
      <c r="AH126" s="2553"/>
      <c r="AI126" s="1483">
        <f>ROUND(SUM(+AC126-AF126)*-1,1)</f>
        <v>144.5</v>
      </c>
      <c r="AJ126" s="2554"/>
      <c r="AK126" s="1521">
        <f t="shared" si="20"/>
        <v>0.13100000000000001</v>
      </c>
    </row>
    <row r="127" spans="1:38" s="2496" customFormat="1" ht="15" customHeight="1">
      <c r="A127" s="2541"/>
      <c r="B127" s="2583" t="s">
        <v>1251</v>
      </c>
      <c r="C127" s="2260"/>
      <c r="D127" s="1851">
        <v>-250</v>
      </c>
      <c r="E127" s="2067"/>
      <c r="F127" s="1851">
        <v>0</v>
      </c>
      <c r="G127" s="2067"/>
      <c r="H127" s="1851">
        <v>-216.5</v>
      </c>
      <c r="I127" s="2067"/>
      <c r="J127" s="1851">
        <f t="shared" si="19"/>
        <v>-50</v>
      </c>
      <c r="K127" s="2065"/>
      <c r="L127" s="1851"/>
      <c r="M127" s="2065"/>
      <c r="N127" s="1851"/>
      <c r="O127" s="2065"/>
      <c r="P127" s="1851"/>
      <c r="Q127" s="2065"/>
      <c r="R127" s="1851"/>
      <c r="S127" s="2065"/>
      <c r="T127" s="1851"/>
      <c r="U127" s="2065"/>
      <c r="V127" s="1851"/>
      <c r="W127" s="2065"/>
      <c r="X127" s="1851"/>
      <c r="Y127" s="2065"/>
      <c r="Z127" s="1851"/>
      <c r="AA127" s="2066"/>
      <c r="AB127" s="2069"/>
      <c r="AC127" s="1867">
        <v>-516.5</v>
      </c>
      <c r="AD127" s="2108"/>
      <c r="AE127" s="2069" t="s">
        <v>15</v>
      </c>
      <c r="AF127" s="1867">
        <v>-566.5</v>
      </c>
      <c r="AG127" s="2062"/>
      <c r="AH127" s="2581"/>
      <c r="AI127" s="2067">
        <f>ROUND(SUM(+AC127-AF127)*-1,1)</f>
        <v>-50</v>
      </c>
      <c r="AJ127" s="2108"/>
      <c r="AK127" s="1791">
        <f>ROUND(IF(AF127=0,1,AI127/ABS(AF127)),3)</f>
        <v>-8.7999999999999995E-2</v>
      </c>
      <c r="AL127" s="2494"/>
    </row>
    <row r="128" spans="1:38" s="2496" customFormat="1" ht="15" customHeight="1">
      <c r="A128" s="2541"/>
      <c r="B128" s="2542" t="s">
        <v>162</v>
      </c>
      <c r="C128" s="2260"/>
      <c r="D128" s="1851">
        <v>-134.69999999999999</v>
      </c>
      <c r="E128" s="1483"/>
      <c r="F128" s="1851">
        <v>-10.700000000000017</v>
      </c>
      <c r="G128" s="1483"/>
      <c r="H128" s="1851">
        <v>7</v>
      </c>
      <c r="I128" s="1483"/>
      <c r="J128" s="1851">
        <f t="shared" si="19"/>
        <v>-132.1</v>
      </c>
      <c r="K128" s="2065"/>
      <c r="L128" s="1851"/>
      <c r="M128" s="2065"/>
      <c r="N128" s="1851"/>
      <c r="O128" s="2065"/>
      <c r="P128" s="1851"/>
      <c r="Q128" s="2065"/>
      <c r="R128" s="1851"/>
      <c r="S128" s="2065"/>
      <c r="T128" s="1851"/>
      <c r="U128" s="2065"/>
      <c r="V128" s="1851"/>
      <c r="W128" s="2065"/>
      <c r="X128" s="1851"/>
      <c r="Y128" s="2065"/>
      <c r="Z128" s="1851"/>
      <c r="AA128" s="2066"/>
      <c r="AB128" s="2069"/>
      <c r="AC128" s="1867">
        <v>-270.5</v>
      </c>
      <c r="AD128" s="2108"/>
      <c r="AE128" s="2069" t="s">
        <v>15</v>
      </c>
      <c r="AF128" s="1867">
        <v>-473.5</v>
      </c>
      <c r="AG128" s="2062"/>
      <c r="AH128" s="2581"/>
      <c r="AI128" s="2067">
        <f>ROUND(SUM(+AC128-AF128)*-1,1)</f>
        <v>-203</v>
      </c>
      <c r="AJ128" s="2108"/>
      <c r="AK128" s="1786">
        <f>ROUND(IF(AF128=0,0,AI128/ABS(AF128)),3)</f>
        <v>-0.42899999999999999</v>
      </c>
      <c r="AL128" s="2494"/>
    </row>
    <row r="129" spans="1:38" s="2496" customFormat="1" ht="15" customHeight="1">
      <c r="A129" s="2541"/>
      <c r="B129" s="2542" t="s">
        <v>163</v>
      </c>
      <c r="C129" s="2260"/>
      <c r="D129" s="1851">
        <v>-294.60000000000002</v>
      </c>
      <c r="E129" s="2067"/>
      <c r="F129" s="1851">
        <v>-447.30000000000007</v>
      </c>
      <c r="G129" s="2067"/>
      <c r="H129" s="1851">
        <v>-467.59999999999991</v>
      </c>
      <c r="I129" s="2067"/>
      <c r="J129" s="1851">
        <f t="shared" si="19"/>
        <v>-190.10000000000002</v>
      </c>
      <c r="K129" s="2065"/>
      <c r="L129" s="1851"/>
      <c r="M129" s="2065"/>
      <c r="N129" s="1851"/>
      <c r="O129" s="2065"/>
      <c r="P129" s="1851"/>
      <c r="Q129" s="2065"/>
      <c r="R129" s="1851"/>
      <c r="S129" s="2065"/>
      <c r="T129" s="1851"/>
      <c r="U129" s="2065"/>
      <c r="V129" s="1851"/>
      <c r="W129" s="2065"/>
      <c r="X129" s="1851"/>
      <c r="Y129" s="2065"/>
      <c r="Z129" s="1851"/>
      <c r="AA129" s="2066"/>
      <c r="AB129" s="2069"/>
      <c r="AC129" s="1867">
        <v>-1399.6000000000001</v>
      </c>
      <c r="AD129" s="2108"/>
      <c r="AE129" s="2069" t="s">
        <v>15</v>
      </c>
      <c r="AF129" s="1867">
        <v>-1191.1000000000004</v>
      </c>
      <c r="AG129" s="2043"/>
      <c r="AH129" s="2581"/>
      <c r="AI129" s="2584">
        <f>ROUND(SUM(+AC129-AF129)*-1,1)</f>
        <v>208.5</v>
      </c>
      <c r="AJ129" s="2108"/>
      <c r="AK129" s="1874">
        <f>ROUND(IF(AF129=0,0,AI129/ABS(AF129)),3)</f>
        <v>0.17499999999999999</v>
      </c>
      <c r="AL129" s="2494"/>
    </row>
    <row r="130" spans="1:38" ht="5.0999999999999996" customHeight="1">
      <c r="A130" s="2528"/>
      <c r="B130" s="2542"/>
      <c r="C130" s="2260"/>
      <c r="D130" s="2118"/>
      <c r="E130" s="2062"/>
      <c r="F130" s="2118"/>
      <c r="G130" s="2062"/>
      <c r="H130" s="2118" t="s">
        <v>15</v>
      </c>
      <c r="I130" s="2062"/>
      <c r="J130" s="2118"/>
      <c r="K130" s="2062"/>
      <c r="L130" s="2118"/>
      <c r="M130" s="2062"/>
      <c r="N130" s="2118"/>
      <c r="O130" s="2062"/>
      <c r="P130" s="2118"/>
      <c r="Q130" s="2062"/>
      <c r="R130" s="2118"/>
      <c r="S130" s="2062"/>
      <c r="T130" s="2118"/>
      <c r="U130" s="2062"/>
      <c r="V130" s="2118"/>
      <c r="W130" s="2062"/>
      <c r="X130" s="2118"/>
      <c r="Y130" s="2062"/>
      <c r="Z130" s="2118"/>
      <c r="AA130" s="2085"/>
      <c r="AB130" s="2114"/>
      <c r="AC130" s="3312"/>
      <c r="AD130" s="2062"/>
      <c r="AE130" s="2064"/>
      <c r="AF130" s="2118"/>
      <c r="AG130" s="2043"/>
      <c r="AH130" s="2553"/>
      <c r="AI130" s="1483"/>
      <c r="AJ130" s="2554"/>
      <c r="AK130" s="1471"/>
    </row>
    <row r="131" spans="1:38" ht="15" customHeight="1">
      <c r="A131" s="2528"/>
      <c r="B131" s="2504" t="s">
        <v>164</v>
      </c>
      <c r="C131" s="2089"/>
      <c r="D131" s="2073"/>
      <c r="E131" s="2073"/>
      <c r="F131" s="2073"/>
      <c r="G131" s="2073"/>
      <c r="H131" s="2073"/>
      <c r="I131" s="2073"/>
      <c r="J131" s="2062"/>
      <c r="K131" s="2073"/>
      <c r="L131" s="2073"/>
      <c r="M131" s="2073"/>
      <c r="N131" s="2073"/>
      <c r="O131" s="2073"/>
      <c r="P131" s="2062"/>
      <c r="Q131" s="2073"/>
      <c r="R131" s="2073"/>
      <c r="S131" s="2073"/>
      <c r="T131" s="2073"/>
      <c r="U131" s="2073"/>
      <c r="V131" s="2073"/>
      <c r="W131" s="2073"/>
      <c r="X131" s="2073"/>
      <c r="Y131" s="1503"/>
      <c r="Z131" s="1503"/>
      <c r="AA131" s="1503"/>
      <c r="AB131" s="2113"/>
      <c r="AC131" s="2067"/>
      <c r="AD131" s="2062"/>
      <c r="AE131" s="2064"/>
      <c r="AF131" s="2062"/>
      <c r="AG131" s="2073"/>
      <c r="AH131" s="2553"/>
      <c r="AI131" s="1483"/>
      <c r="AJ131" s="2554"/>
      <c r="AK131" s="1471"/>
    </row>
    <row r="132" spans="1:38" ht="15" customHeight="1">
      <c r="A132" s="2528"/>
      <c r="B132" s="2504" t="s">
        <v>165</v>
      </c>
      <c r="C132" s="2089"/>
      <c r="D132" s="1501">
        <f>ROUND(SUM(D122:D130),1)</f>
        <v>4250.8999999999996</v>
      </c>
      <c r="E132" s="1501"/>
      <c r="F132" s="1501">
        <f>ROUND(SUM(F122:F130),1)</f>
        <v>760.8</v>
      </c>
      <c r="G132" s="1501"/>
      <c r="H132" s="1501">
        <f>ROUND(SUM(H122:H130),1)</f>
        <v>2574.6999999999998</v>
      </c>
      <c r="I132" s="1501"/>
      <c r="J132" s="2117">
        <f>ROUND(SUM(J122:J129),1)</f>
        <v>1948.5</v>
      </c>
      <c r="K132" s="1501"/>
      <c r="L132" s="1501">
        <f>ROUND(SUM(L122:L129),1)</f>
        <v>0</v>
      </c>
      <c r="M132" s="1501"/>
      <c r="N132" s="1501">
        <f>ROUND(SUM(N122:N129),1)</f>
        <v>0</v>
      </c>
      <c r="O132" s="1501"/>
      <c r="P132" s="2117">
        <f>ROUND(SUM(P122:P129),1)</f>
        <v>0</v>
      </c>
      <c r="Q132" s="1501"/>
      <c r="R132" s="1501">
        <f>ROUND(SUM(R122:R129),1)</f>
        <v>0</v>
      </c>
      <c r="S132" s="1501"/>
      <c r="T132" s="1501">
        <f>ROUND(SUM(T122:T129),1)</f>
        <v>0</v>
      </c>
      <c r="U132" s="1501"/>
      <c r="V132" s="1501">
        <f>ROUND(SUM(V122:V129),1)</f>
        <v>0</v>
      </c>
      <c r="W132" s="1501"/>
      <c r="X132" s="1501">
        <f>ROUND(SUM(X122:X129),1)</f>
        <v>0</v>
      </c>
      <c r="Y132" s="2077"/>
      <c r="Z132" s="1501">
        <f>ROUND(SUM(Z122:Z129),1)</f>
        <v>0</v>
      </c>
      <c r="AA132" s="2120"/>
      <c r="AB132" s="2116"/>
      <c r="AC132" s="2117">
        <f>ROUND(SUM(AC122:AC129),1)</f>
        <v>9534.9</v>
      </c>
      <c r="AD132" s="2117"/>
      <c r="AE132" s="3311"/>
      <c r="AF132" s="2117">
        <f>ROUND(SUM(AF122:AF129),1)</f>
        <v>7273.1</v>
      </c>
      <c r="AG132" s="1484"/>
      <c r="AH132" s="2558"/>
      <c r="AI132" s="2119">
        <f>ROUND(SUM(+AC132-AF132),1)</f>
        <v>2261.8000000000002</v>
      </c>
      <c r="AJ132" s="1484"/>
      <c r="AK132" s="2585">
        <f>ROUND(SUM(+AI132/AF132),3)</f>
        <v>0.311</v>
      </c>
    </row>
    <row r="133" spans="1:38" ht="15" customHeight="1">
      <c r="A133" s="2528"/>
      <c r="B133" s="2111"/>
      <c r="C133" s="2089"/>
      <c r="D133" s="2072"/>
      <c r="E133" s="2073"/>
      <c r="F133" s="2072"/>
      <c r="G133" s="2073"/>
      <c r="H133" s="2072"/>
      <c r="I133" s="2073"/>
      <c r="J133" s="2118"/>
      <c r="K133" s="2073"/>
      <c r="L133" s="2072"/>
      <c r="M133" s="2073"/>
      <c r="N133" s="2072"/>
      <c r="O133" s="2073"/>
      <c r="P133" s="2118"/>
      <c r="Q133" s="2073"/>
      <c r="R133" s="2072"/>
      <c r="S133" s="2073"/>
      <c r="T133" s="2072"/>
      <c r="U133" s="2073"/>
      <c r="V133" s="2072"/>
      <c r="W133" s="2073"/>
      <c r="X133" s="2072"/>
      <c r="Y133" s="1503"/>
      <c r="Z133" s="1508"/>
      <c r="AA133" s="2080"/>
      <c r="AB133" s="2113"/>
      <c r="AC133" s="3312"/>
      <c r="AD133" s="2062"/>
      <c r="AE133" s="2064"/>
      <c r="AF133" s="2118"/>
      <c r="AG133" s="2074"/>
      <c r="AH133" s="2553"/>
      <c r="AI133" s="2586"/>
      <c r="AJ133" s="2587"/>
      <c r="AK133" s="1489"/>
    </row>
    <row r="134" spans="1:38" ht="15" customHeight="1">
      <c r="A134" s="2528"/>
      <c r="B134" s="2504" t="s">
        <v>166</v>
      </c>
      <c r="C134" s="2089"/>
      <c r="D134" s="2073"/>
      <c r="E134" s="2073"/>
      <c r="F134" s="2073"/>
      <c r="G134" s="2073"/>
      <c r="H134" s="2073"/>
      <c r="I134" s="2073"/>
      <c r="J134" s="2062"/>
      <c r="K134" s="2073"/>
      <c r="L134" s="2073"/>
      <c r="M134" s="2073"/>
      <c r="N134" s="2073"/>
      <c r="O134" s="2073"/>
      <c r="P134" s="2062"/>
      <c r="Q134" s="2073"/>
      <c r="R134" s="2073"/>
      <c r="S134" s="2073"/>
      <c r="T134" s="2073"/>
      <c r="U134" s="2073"/>
      <c r="V134" s="2073"/>
      <c r="W134" s="2073"/>
      <c r="X134" s="2073"/>
      <c r="Y134" s="1503"/>
      <c r="Z134" s="1503"/>
      <c r="AA134" s="1503"/>
      <c r="AB134" s="2113"/>
      <c r="AC134" s="2067"/>
      <c r="AD134" s="2062"/>
      <c r="AE134" s="2064"/>
      <c r="AF134" s="2062"/>
      <c r="AG134" s="2073"/>
      <c r="AH134" s="2553"/>
      <c r="AI134" s="2586"/>
      <c r="AJ134" s="2587"/>
      <c r="AK134" s="1489"/>
    </row>
    <row r="135" spans="1:38" ht="15" customHeight="1">
      <c r="A135" s="2528"/>
      <c r="B135" s="2504" t="s">
        <v>167</v>
      </c>
      <c r="C135" s="2089"/>
      <c r="D135" s="2073"/>
      <c r="E135" s="2073"/>
      <c r="F135" s="2073"/>
      <c r="G135" s="2073"/>
      <c r="H135" s="2073"/>
      <c r="I135" s="2073"/>
      <c r="J135" s="2062"/>
      <c r="K135" s="2073"/>
      <c r="L135" s="2073"/>
      <c r="M135" s="2073"/>
      <c r="N135" s="2073"/>
      <c r="O135" s="2073"/>
      <c r="P135" s="2062"/>
      <c r="Q135" s="2073"/>
      <c r="R135" s="2073"/>
      <c r="S135" s="2073"/>
      <c r="T135" s="2073"/>
      <c r="U135" s="2073"/>
      <c r="V135" s="2073"/>
      <c r="W135" s="2073"/>
      <c r="X135" s="2073"/>
      <c r="Y135" s="1503"/>
      <c r="Z135" s="1503"/>
      <c r="AA135" s="1503"/>
      <c r="AB135" s="2113"/>
      <c r="AC135" s="2067"/>
      <c r="AD135" s="2062"/>
      <c r="AE135" s="2064"/>
      <c r="AF135" s="2062"/>
      <c r="AG135" s="2073"/>
      <c r="AH135" s="2553"/>
      <c r="AI135" s="2586"/>
      <c r="AJ135" s="2587"/>
      <c r="AK135" s="1489"/>
    </row>
    <row r="136" spans="1:38" ht="15" customHeight="1">
      <c r="A136" s="2528"/>
      <c r="B136" s="2504" t="s">
        <v>168</v>
      </c>
      <c r="C136" s="2089"/>
      <c r="D136" s="1501">
        <f>ROUND(SUM(D118+D132),1)</f>
        <v>4763</v>
      </c>
      <c r="E136" s="1501"/>
      <c r="F136" s="1501">
        <f>ROUND(SUM(F118+F132),1)</f>
        <v>-6747.1</v>
      </c>
      <c r="G136" s="1501"/>
      <c r="H136" s="1501">
        <f>ROUND(SUM(H118+H132),1)</f>
        <v>1371.4</v>
      </c>
      <c r="I136" s="1501"/>
      <c r="J136" s="2117">
        <f>ROUND(SUM(J118+J132),1)</f>
        <v>21.3</v>
      </c>
      <c r="K136" s="1501"/>
      <c r="L136" s="1501">
        <f>ROUND(SUM(L118+L132),1)</f>
        <v>0</v>
      </c>
      <c r="M136" s="1501"/>
      <c r="N136" s="1501">
        <f>ROUND(SUM(N118+N132),1)</f>
        <v>0</v>
      </c>
      <c r="O136" s="1501"/>
      <c r="P136" s="2117">
        <f>ROUND(SUM(P118+P132),1)</f>
        <v>0</v>
      </c>
      <c r="Q136" s="1501"/>
      <c r="R136" s="1501">
        <f>ROUND(SUM(R118+R132),1)</f>
        <v>0</v>
      </c>
      <c r="S136" s="2073"/>
      <c r="T136" s="1501">
        <f>ROUND(SUM(T118+T132),1)</f>
        <v>0</v>
      </c>
      <c r="U136" s="2073"/>
      <c r="V136" s="1501">
        <f>ROUND(SUM(V118+V132),1)</f>
        <v>0</v>
      </c>
      <c r="W136" s="2073"/>
      <c r="X136" s="1501">
        <f>ROUND(SUM(X118+X132),1)</f>
        <v>0</v>
      </c>
      <c r="Y136" s="1503"/>
      <c r="Z136" s="2119">
        <f>ROUND(SUM(Z118+Z132),1)</f>
        <v>0</v>
      </c>
      <c r="AA136" s="2080"/>
      <c r="AB136" s="2113"/>
      <c r="AC136" s="2117">
        <f>ROUND(SUM(AC118+AC132),1)</f>
        <v>-591.4</v>
      </c>
      <c r="AD136" s="2117"/>
      <c r="AE136" s="3311"/>
      <c r="AF136" s="2117">
        <f>ROUND(SUM(AF118+AF132),1)</f>
        <v>-4028.4</v>
      </c>
      <c r="AG136" s="1484"/>
      <c r="AH136" s="2558"/>
      <c r="AI136" s="2119">
        <f>ROUND(SUM(+AC136-AF136),1)</f>
        <v>3437</v>
      </c>
      <c r="AJ136" s="2588"/>
      <c r="AK136" s="2589">
        <f>-ROUND(SUM(AI136/AF136),3)</f>
        <v>0.85299999999999998</v>
      </c>
    </row>
    <row r="137" spans="1:38" ht="9" customHeight="1">
      <c r="A137" s="2528"/>
      <c r="B137" s="2111"/>
      <c r="C137" s="2089"/>
      <c r="D137" s="1508"/>
      <c r="E137" s="2111"/>
      <c r="F137" s="2526"/>
      <c r="G137" s="2111"/>
      <c r="H137" s="2525"/>
      <c r="I137" s="2111"/>
      <c r="J137" s="2118"/>
      <c r="K137" s="2111"/>
      <c r="L137" s="2525"/>
      <c r="M137" s="2111"/>
      <c r="N137" s="2525"/>
      <c r="O137" s="2111"/>
      <c r="P137" s="3200"/>
      <c r="Q137" s="2111"/>
      <c r="R137" s="2525"/>
      <c r="S137" s="2111"/>
      <c r="T137" s="2525"/>
      <c r="U137" s="2111"/>
      <c r="V137" s="2525"/>
      <c r="W137" s="2111"/>
      <c r="X137" s="2525"/>
      <c r="Y137" s="2111"/>
      <c r="Z137" s="2088"/>
      <c r="AA137" s="2088"/>
      <c r="AB137" s="2113"/>
      <c r="AC137" s="3312"/>
      <c r="AD137" s="2062"/>
      <c r="AE137" s="2064"/>
      <c r="AF137" s="2118"/>
      <c r="AG137" s="2074"/>
      <c r="AH137" s="2553"/>
      <c r="AI137" s="2571"/>
      <c r="AJ137" s="2587"/>
      <c r="AK137" s="2590"/>
    </row>
    <row r="138" spans="1:38" ht="15" customHeight="1" thickBot="1">
      <c r="A138" s="2528"/>
      <c r="B138" s="2539" t="s">
        <v>142</v>
      </c>
      <c r="C138" s="2260"/>
      <c r="D138" s="2591">
        <f>ROUND(SUM(D12+D136),1)</f>
        <v>11968.7</v>
      </c>
      <c r="E138" s="2592"/>
      <c r="F138" s="2591">
        <f>ROUND(SUM(F12+F136),1)</f>
        <v>5221.6000000000004</v>
      </c>
      <c r="G138" s="2534"/>
      <c r="H138" s="2591">
        <f>ROUND(SUM(H12+H136),1)</f>
        <v>6593</v>
      </c>
      <c r="I138" s="2534"/>
      <c r="J138" s="2591">
        <f>ROUND(SUM(J12+J136),1)</f>
        <v>6614.3</v>
      </c>
      <c r="K138" s="2534"/>
      <c r="L138" s="2591">
        <f>ROUND(SUM(L12+L136),1)</f>
        <v>0</v>
      </c>
      <c r="M138" s="2534"/>
      <c r="N138" s="2591">
        <f>ROUND(SUM(N12+N136),1)</f>
        <v>0</v>
      </c>
      <c r="O138" s="2534"/>
      <c r="P138" s="2591">
        <f>ROUND(SUM(P12+P136),1)</f>
        <v>0</v>
      </c>
      <c r="Q138" s="2534"/>
      <c r="R138" s="2591">
        <f>ROUND(SUM(R12+R136),1)</f>
        <v>0</v>
      </c>
      <c r="S138" s="2534"/>
      <c r="T138" s="2591">
        <f>ROUND(SUM(T12+T136),1)</f>
        <v>0</v>
      </c>
      <c r="U138" s="2534"/>
      <c r="V138" s="2591">
        <f>ROUND(SUM(V12+V136),1)</f>
        <v>0</v>
      </c>
      <c r="W138" s="2534"/>
      <c r="X138" s="2591">
        <f>ROUND(SUM(X12+X136),1)</f>
        <v>0</v>
      </c>
      <c r="Y138" s="2534"/>
      <c r="Z138" s="2591">
        <f>ROUND(SUM(Z12+Z136),1)</f>
        <v>0</v>
      </c>
      <c r="AA138" s="2592"/>
      <c r="AB138" s="2593"/>
      <c r="AC138" s="2264">
        <f>ROUND(SUM(AC12+AC136),1)</f>
        <v>6614.3</v>
      </c>
      <c r="AD138" s="2117"/>
      <c r="AE138" s="3311"/>
      <c r="AF138" s="2591">
        <f>ROUND(SUM(AF12+AF136),1)</f>
        <v>5416.6</v>
      </c>
      <c r="AG138" s="2594"/>
      <c r="AH138" s="2535"/>
      <c r="AI138" s="2595">
        <f>ROUND(SUM(+AC138-AF138),1)</f>
        <v>1197.7</v>
      </c>
      <c r="AJ138" s="2588"/>
      <c r="AK138" s="2596">
        <f>ROUND(SUM(+AI138/AF138),3)</f>
        <v>0.221</v>
      </c>
    </row>
    <row r="139" spans="1:38" ht="15" customHeight="1" thickTop="1">
      <c r="A139" s="2528"/>
      <c r="B139" s="2111"/>
      <c r="C139" s="2089"/>
      <c r="D139" s="2088"/>
      <c r="E139" s="2597"/>
      <c r="F139" s="2598"/>
      <c r="G139" s="2597"/>
      <c r="H139" s="2088"/>
      <c r="I139" s="2597"/>
      <c r="J139" s="2043"/>
      <c r="K139" s="2597"/>
      <c r="L139" s="2088"/>
      <c r="M139" s="2597"/>
      <c r="N139" s="2088"/>
      <c r="O139" s="2597"/>
      <c r="P139" s="2259"/>
      <c r="Q139" s="2597"/>
      <c r="R139" s="2088"/>
      <c r="S139" s="2597"/>
      <c r="T139" s="2088"/>
      <c r="U139" s="2597"/>
      <c r="V139" s="2088"/>
      <c r="W139" s="2597"/>
      <c r="X139" s="2088"/>
      <c r="Y139" s="2597"/>
      <c r="Z139" s="2088"/>
      <c r="AA139" s="2088"/>
      <c r="AB139" s="2597"/>
      <c r="AC139" s="2043"/>
      <c r="AD139" s="2043"/>
      <c r="AE139" s="2043"/>
      <c r="AF139" s="2043"/>
      <c r="AG139" s="2074"/>
      <c r="AH139" s="2599"/>
      <c r="AI139" s="2586"/>
      <c r="AJ139" s="2587"/>
      <c r="AK139" s="1489"/>
    </row>
    <row r="140" spans="1:38" ht="15" customHeight="1">
      <c r="A140" s="2528"/>
      <c r="B140" s="2111" t="s">
        <v>15</v>
      </c>
      <c r="C140" s="2089"/>
      <c r="D140" s="2088"/>
      <c r="E140" s="2111"/>
      <c r="F140" s="2598"/>
      <c r="G140" s="2111"/>
      <c r="H140" s="2088"/>
      <c r="I140" s="2111"/>
      <c r="J140" s="2043"/>
      <c r="K140" s="2111"/>
      <c r="L140" s="2088"/>
      <c r="M140" s="2111"/>
      <c r="N140" s="2088"/>
      <c r="O140" s="2111"/>
      <c r="P140" s="2259"/>
      <c r="Q140" s="2111"/>
      <c r="R140" s="2088"/>
      <c r="S140" s="2111"/>
      <c r="T140" s="2088"/>
      <c r="U140" s="2111"/>
      <c r="V140" s="2088"/>
      <c r="W140" s="2111"/>
      <c r="X140" s="2088"/>
      <c r="Y140" s="2111"/>
      <c r="Z140" s="2088"/>
      <c r="AA140" s="2088"/>
      <c r="AB140" s="2111"/>
      <c r="AC140" s="2043"/>
      <c r="AD140" s="2062"/>
      <c r="AE140" s="2062"/>
      <c r="AF140" s="2043"/>
      <c r="AG140" s="2074"/>
      <c r="AH140" s="2600"/>
      <c r="AI140" s="2586"/>
      <c r="AJ140" s="2587"/>
      <c r="AK140" s="1489"/>
    </row>
    <row r="141" spans="1:38" ht="15" customHeight="1">
      <c r="A141" s="2528"/>
      <c r="B141" s="2111"/>
      <c r="C141" s="2089"/>
      <c r="D141" s="2088"/>
      <c r="E141" s="2111"/>
      <c r="F141" s="2598"/>
      <c r="G141" s="2111"/>
      <c r="H141" s="2088"/>
      <c r="I141" s="2111"/>
      <c r="J141" s="2043"/>
      <c r="K141" s="2111"/>
      <c r="L141" s="2088"/>
      <c r="M141" s="2111"/>
      <c r="N141" s="2088"/>
      <c r="O141" s="2111"/>
      <c r="P141" s="2259"/>
      <c r="Q141" s="2111"/>
      <c r="R141" s="2088"/>
      <c r="S141" s="2111"/>
      <c r="T141" s="2088"/>
      <c r="U141" s="2111"/>
      <c r="V141" s="2088"/>
      <c r="W141" s="2111"/>
      <c r="X141" s="2088"/>
      <c r="Y141" s="2111"/>
      <c r="Z141" s="2088"/>
      <c r="AA141" s="2088"/>
      <c r="AB141" s="2111"/>
      <c r="AC141" s="22"/>
      <c r="AD141" s="2062"/>
      <c r="AE141" s="2062"/>
      <c r="AF141" s="2043"/>
      <c r="AG141" s="2074"/>
      <c r="AH141" s="2600"/>
      <c r="AI141" s="2586"/>
      <c r="AJ141" s="2587"/>
      <c r="AK141" s="1489"/>
    </row>
    <row r="142" spans="1:38" ht="15" customHeight="1">
      <c r="A142" s="2499"/>
      <c r="B142" s="2601"/>
      <c r="C142" s="2602"/>
      <c r="D142" s="2602"/>
      <c r="E142" s="2603"/>
      <c r="F142" s="2603"/>
      <c r="G142" s="2603"/>
      <c r="H142" s="2089"/>
      <c r="I142" s="2089"/>
      <c r="J142" s="2062"/>
      <c r="K142" s="2089"/>
      <c r="L142" s="2089"/>
      <c r="M142" s="2089"/>
      <c r="N142" s="2089"/>
      <c r="O142" s="2089"/>
      <c r="P142" s="2260"/>
      <c r="Q142" s="2089"/>
      <c r="R142" s="2089"/>
      <c r="S142" s="2089"/>
      <c r="T142" s="2089"/>
      <c r="U142" s="2089"/>
      <c r="V142" s="2089"/>
      <c r="W142" s="2089"/>
      <c r="X142" s="2089"/>
      <c r="Y142" s="2089"/>
      <c r="Z142" s="2089"/>
      <c r="AA142" s="2089"/>
      <c r="AB142" s="2089"/>
      <c r="AC142" s="2062"/>
      <c r="AD142" s="2062"/>
      <c r="AE142" s="2062"/>
      <c r="AF142" s="2062"/>
      <c r="AG142" s="2073"/>
      <c r="AH142" s="2604"/>
      <c r="AI142" s="1483"/>
      <c r="AJ142" s="2554"/>
      <c r="AK142" s="1471"/>
    </row>
    <row r="143" spans="1:38" ht="14.1" customHeight="1">
      <c r="A143" s="2499"/>
      <c r="B143" s="2601"/>
      <c r="C143" s="2602"/>
      <c r="D143" s="2602"/>
      <c r="E143" s="2603"/>
      <c r="F143" s="2603"/>
      <c r="G143" s="2603"/>
      <c r="H143" s="2089"/>
      <c r="I143" s="2089"/>
      <c r="J143" s="2062"/>
      <c r="K143" s="2089"/>
      <c r="L143" s="2089"/>
      <c r="M143" s="2089"/>
      <c r="N143" s="2089"/>
      <c r="O143" s="2089"/>
      <c r="P143" s="2260"/>
      <c r="Q143" s="2089"/>
      <c r="R143" s="2089"/>
      <c r="S143" s="2089"/>
      <c r="T143" s="2089"/>
      <c r="U143" s="2089"/>
      <c r="V143" s="2089"/>
      <c r="W143" s="2089"/>
      <c r="X143" s="2089"/>
      <c r="Y143" s="2089"/>
      <c r="Z143" s="2089"/>
      <c r="AA143" s="2089"/>
      <c r="AB143" s="2089"/>
      <c r="AC143" s="2062"/>
      <c r="AD143" s="2062"/>
      <c r="AE143" s="2062"/>
      <c r="AF143" s="2062"/>
      <c r="AG143" s="2073"/>
      <c r="AH143" s="2604"/>
      <c r="AI143" s="1483"/>
      <c r="AJ143" s="2554"/>
      <c r="AK143" s="1471"/>
    </row>
    <row r="144" spans="1:38" ht="15" customHeight="1">
      <c r="A144" s="2499"/>
      <c r="B144" s="2601"/>
      <c r="C144" s="2602"/>
      <c r="D144" s="2602"/>
      <c r="E144" s="2603"/>
      <c r="F144" s="2603"/>
      <c r="G144" s="2603"/>
      <c r="H144" s="2089"/>
      <c r="I144" s="2089"/>
      <c r="J144" s="2062"/>
      <c r="K144" s="2089"/>
      <c r="L144" s="2089"/>
      <c r="M144" s="2089"/>
      <c r="N144" s="2089"/>
      <c r="O144" s="2089"/>
      <c r="P144" s="2260"/>
      <c r="Q144" s="2089"/>
      <c r="R144" s="2089"/>
      <c r="S144" s="2089"/>
      <c r="T144" s="2089"/>
      <c r="U144" s="2089"/>
      <c r="V144" s="2089"/>
      <c r="W144" s="2089"/>
      <c r="X144" s="2089"/>
      <c r="Y144" s="2089"/>
      <c r="Z144" s="2089"/>
      <c r="AA144" s="2089"/>
      <c r="AB144" s="2089"/>
      <c r="AC144" s="2062"/>
      <c r="AD144" s="2062"/>
      <c r="AE144" s="2062"/>
      <c r="AF144" s="2062"/>
      <c r="AG144" s="2073"/>
      <c r="AH144" s="2604"/>
      <c r="AI144" s="1483"/>
      <c r="AJ144" s="2554"/>
      <c r="AK144" s="1471"/>
    </row>
    <row r="145" spans="1:37" ht="15.75" customHeight="1">
      <c r="A145" s="2499"/>
      <c r="B145" s="2601"/>
      <c r="C145" s="2602"/>
      <c r="D145" s="2602"/>
      <c r="E145" s="2603"/>
      <c r="F145" s="2603"/>
      <c r="G145" s="2603"/>
      <c r="H145" s="2089"/>
      <c r="I145" s="2089"/>
      <c r="J145" s="2062"/>
      <c r="K145" s="2089"/>
      <c r="L145" s="2089"/>
      <c r="M145" s="2089"/>
      <c r="N145" s="2089"/>
      <c r="O145" s="2089"/>
      <c r="P145" s="2260"/>
      <c r="Q145" s="2089"/>
      <c r="R145" s="2089"/>
      <c r="S145" s="2089"/>
      <c r="T145" s="2089"/>
      <c r="U145" s="2089"/>
      <c r="V145" s="2089"/>
      <c r="W145" s="2089"/>
      <c r="X145" s="2089"/>
      <c r="Y145" s="2089"/>
      <c r="Z145" s="2089"/>
      <c r="AA145" s="2089"/>
      <c r="AB145" s="2089"/>
      <c r="AC145" s="2062"/>
      <c r="AD145" s="2062"/>
      <c r="AE145" s="2062"/>
      <c r="AF145" s="2062"/>
      <c r="AG145" s="2073"/>
      <c r="AH145" s="2604"/>
      <c r="AI145" s="1483"/>
      <c r="AJ145" s="2554"/>
      <c r="AK145" s="1471"/>
    </row>
    <row r="146" spans="1:37" ht="14.25" customHeight="1">
      <c r="A146" s="2499"/>
      <c r="B146" s="2601"/>
      <c r="C146" s="2602"/>
      <c r="D146" s="2602"/>
      <c r="E146" s="2603"/>
      <c r="F146" s="2603"/>
      <c r="G146" s="2603"/>
      <c r="H146" s="2089"/>
      <c r="I146" s="2089"/>
      <c r="J146" s="2062"/>
      <c r="K146" s="2089"/>
      <c r="L146" s="2089"/>
      <c r="M146" s="2089"/>
      <c r="N146" s="2089"/>
      <c r="O146" s="2089"/>
      <c r="P146" s="2260"/>
      <c r="Q146" s="2089"/>
      <c r="R146" s="2089"/>
      <c r="S146" s="2089"/>
      <c r="T146" s="2089"/>
      <c r="U146" s="2089"/>
      <c r="V146" s="2089"/>
      <c r="W146" s="2089"/>
      <c r="X146" s="2089"/>
      <c r="Y146" s="2089"/>
      <c r="Z146" s="2089"/>
      <c r="AA146" s="2089"/>
      <c r="AB146" s="2089"/>
      <c r="AC146" s="2062"/>
      <c r="AD146" s="2062"/>
      <c r="AE146" s="2062"/>
      <c r="AF146" s="2062"/>
      <c r="AG146" s="2073"/>
      <c r="AH146" s="2604"/>
      <c r="AI146" s="1483"/>
      <c r="AJ146" s="2554"/>
      <c r="AK146" s="1471"/>
    </row>
    <row r="147" spans="1:37" ht="14.25" customHeight="1">
      <c r="A147" s="2499"/>
      <c r="B147" s="2601"/>
      <c r="C147" s="2602"/>
      <c r="D147" s="2602"/>
      <c r="E147" s="2603"/>
      <c r="F147" s="2603"/>
      <c r="G147" s="2603"/>
      <c r="H147" s="2089"/>
      <c r="I147" s="2089"/>
      <c r="J147" s="2062"/>
      <c r="K147" s="2089"/>
      <c r="L147" s="2089"/>
      <c r="M147" s="2089"/>
      <c r="N147" s="2089"/>
      <c r="O147" s="2089"/>
      <c r="P147" s="2260"/>
      <c r="Q147" s="2089"/>
      <c r="R147" s="2089"/>
      <c r="S147" s="2089"/>
      <c r="T147" s="2089"/>
      <c r="U147" s="2089"/>
      <c r="V147" s="2089"/>
      <c r="W147" s="2089"/>
      <c r="X147" s="2089"/>
      <c r="Y147" s="2089"/>
      <c r="Z147" s="2089"/>
      <c r="AA147" s="2089"/>
      <c r="AB147" s="2089"/>
      <c r="AC147" s="2062"/>
      <c r="AD147" s="2062"/>
      <c r="AE147" s="2062"/>
      <c r="AF147" s="2062"/>
      <c r="AG147" s="2073"/>
      <c r="AH147" s="2604"/>
      <c r="AI147" s="1483"/>
      <c r="AJ147" s="2554"/>
      <c r="AK147" s="1471"/>
    </row>
    <row r="148" spans="1:37" ht="14.25" customHeight="1">
      <c r="A148" s="2499"/>
      <c r="B148" s="2601"/>
      <c r="C148" s="2602"/>
      <c r="D148" s="2602"/>
      <c r="E148" s="2603"/>
      <c r="F148" s="2603"/>
      <c r="G148" s="2603"/>
      <c r="H148" s="2089"/>
      <c r="I148" s="2089"/>
      <c r="J148" s="2062"/>
      <c r="K148" s="2089"/>
      <c r="L148" s="2089"/>
      <c r="M148" s="2089"/>
      <c r="N148" s="2089"/>
      <c r="O148" s="2089"/>
      <c r="P148" s="2260"/>
      <c r="Q148" s="2089"/>
      <c r="R148" s="2089"/>
      <c r="S148" s="2089"/>
      <c r="T148" s="2089"/>
      <c r="U148" s="2089"/>
      <c r="V148" s="2089"/>
      <c r="W148" s="2089"/>
      <c r="X148" s="2089"/>
      <c r="Y148" s="2089"/>
      <c r="Z148" s="2089"/>
      <c r="AA148" s="2089"/>
      <c r="AB148" s="2089"/>
      <c r="AC148" s="2062"/>
      <c r="AD148" s="2062"/>
      <c r="AE148" s="2062"/>
      <c r="AF148" s="2062"/>
      <c r="AG148" s="2073"/>
      <c r="AH148" s="2604"/>
      <c r="AI148" s="1483"/>
      <c r="AJ148" s="2554"/>
      <c r="AK148" s="1471"/>
    </row>
    <row r="149" spans="1:37" ht="14.25" customHeight="1">
      <c r="A149" s="2499"/>
      <c r="B149" s="2601"/>
      <c r="C149" s="2602"/>
      <c r="D149" s="2602"/>
      <c r="E149" s="2603"/>
      <c r="F149" s="2603"/>
      <c r="G149" s="2603"/>
      <c r="H149" s="2089"/>
      <c r="I149" s="2089"/>
      <c r="J149" s="2062"/>
      <c r="K149" s="2089"/>
      <c r="L149" s="2089"/>
      <c r="M149" s="2089"/>
      <c r="N149" s="2089"/>
      <c r="O149" s="2089"/>
      <c r="P149" s="2260"/>
      <c r="Q149" s="2089"/>
      <c r="R149" s="2089"/>
      <c r="S149" s="2089"/>
      <c r="T149" s="2089"/>
      <c r="U149" s="2089"/>
      <c r="V149" s="2089"/>
      <c r="W149" s="2089"/>
      <c r="X149" s="2089"/>
      <c r="Y149" s="2089"/>
      <c r="Z149" s="2089"/>
      <c r="AA149" s="2089"/>
      <c r="AB149" s="2089"/>
      <c r="AC149" s="2062"/>
      <c r="AD149" s="2062"/>
      <c r="AE149" s="2062"/>
      <c r="AF149" s="2062"/>
      <c r="AG149" s="2073"/>
      <c r="AH149" s="2604"/>
      <c r="AI149" s="1483"/>
      <c r="AJ149" s="2554"/>
      <c r="AK149" s="1471"/>
    </row>
    <row r="150" spans="1:37" ht="14.25" customHeight="1">
      <c r="A150" s="2499"/>
      <c r="B150" s="2601"/>
      <c r="C150" s="2602"/>
      <c r="D150" s="2602"/>
      <c r="E150" s="2603"/>
      <c r="F150" s="2603"/>
      <c r="G150" s="2603"/>
      <c r="H150" s="2089"/>
      <c r="I150" s="2089"/>
      <c r="J150" s="2062"/>
      <c r="K150" s="2089"/>
      <c r="L150" s="2089"/>
      <c r="M150" s="2089"/>
      <c r="N150" s="2089"/>
      <c r="O150" s="2089"/>
      <c r="P150" s="2260"/>
      <c r="Q150" s="2089"/>
      <c r="R150" s="2089"/>
      <c r="S150" s="2089"/>
      <c r="T150" s="2089"/>
      <c r="U150" s="2089"/>
      <c r="V150" s="2089"/>
      <c r="W150" s="2089"/>
      <c r="X150" s="2089"/>
      <c r="Y150" s="2089"/>
      <c r="Z150" s="2089"/>
      <c r="AA150" s="2089"/>
      <c r="AB150" s="2089"/>
      <c r="AC150" s="2062"/>
      <c r="AD150" s="2062"/>
      <c r="AE150" s="2062"/>
      <c r="AF150" s="2062"/>
      <c r="AG150" s="2073"/>
      <c r="AH150" s="2604"/>
      <c r="AI150" s="1483"/>
      <c r="AJ150" s="2554"/>
      <c r="AK150" s="1471"/>
    </row>
    <row r="151" spans="1:37" ht="14.25" customHeight="1">
      <c r="A151" s="2499"/>
      <c r="B151" s="2601"/>
      <c r="C151" s="2602"/>
      <c r="D151" s="2602"/>
      <c r="E151" s="2603"/>
      <c r="F151" s="2603"/>
      <c r="G151" s="2603"/>
      <c r="H151" s="2089"/>
      <c r="I151" s="2089"/>
      <c r="J151" s="2062"/>
      <c r="K151" s="2089"/>
      <c r="L151" s="2089"/>
      <c r="M151" s="2089"/>
      <c r="N151" s="2089"/>
      <c r="O151" s="2089"/>
      <c r="P151" s="2260"/>
      <c r="Q151" s="2089"/>
      <c r="R151" s="2089"/>
      <c r="S151" s="2089"/>
      <c r="T151" s="2089"/>
      <c r="U151" s="2089"/>
      <c r="V151" s="2089"/>
      <c r="W151" s="2089"/>
      <c r="X151" s="2089"/>
      <c r="Y151" s="2089"/>
      <c r="Z151" s="2089"/>
      <c r="AA151" s="2089"/>
      <c r="AB151" s="2089"/>
      <c r="AC151" s="2062"/>
      <c r="AD151" s="2062"/>
      <c r="AE151" s="2062"/>
      <c r="AF151" s="2062"/>
      <c r="AG151" s="2073"/>
      <c r="AH151" s="2604"/>
      <c r="AI151" s="1483"/>
      <c r="AJ151" s="2554"/>
      <c r="AK151" s="1471"/>
    </row>
    <row r="152" spans="1:37" ht="14.25" customHeight="1">
      <c r="A152" s="2499"/>
      <c r="B152" s="2601"/>
      <c r="C152" s="2602"/>
      <c r="D152" s="2602"/>
      <c r="E152" s="2603"/>
      <c r="F152" s="2603"/>
      <c r="G152" s="2603"/>
      <c r="H152" s="2089"/>
      <c r="I152" s="2089"/>
      <c r="J152" s="2062"/>
      <c r="K152" s="2089"/>
      <c r="L152" s="2089"/>
      <c r="M152" s="2089"/>
      <c r="N152" s="2089"/>
      <c r="O152" s="2089"/>
      <c r="P152" s="2260"/>
      <c r="Q152" s="2089"/>
      <c r="R152" s="2089"/>
      <c r="S152" s="2089"/>
      <c r="T152" s="2089"/>
      <c r="U152" s="2089"/>
      <c r="V152" s="2089"/>
      <c r="W152" s="2089"/>
      <c r="X152" s="2089"/>
      <c r="Y152" s="2089"/>
      <c r="Z152" s="2089"/>
      <c r="AA152" s="2089"/>
      <c r="AB152" s="2089"/>
      <c r="AC152" s="2062"/>
      <c r="AD152" s="2062"/>
      <c r="AE152" s="2062"/>
      <c r="AF152" s="2062"/>
      <c r="AG152" s="2073"/>
      <c r="AH152" s="2604"/>
      <c r="AI152" s="1483"/>
      <c r="AJ152" s="2554"/>
      <c r="AK152" s="1471"/>
    </row>
    <row r="153" spans="1:37" ht="14.25" customHeight="1">
      <c r="A153" s="2499"/>
      <c r="B153" s="2601"/>
      <c r="C153" s="2602"/>
      <c r="D153" s="2602"/>
      <c r="E153" s="2603"/>
      <c r="F153" s="2603"/>
      <c r="G153" s="2603"/>
      <c r="H153" s="2089"/>
      <c r="I153" s="2089"/>
      <c r="J153" s="2062"/>
      <c r="K153" s="2089"/>
      <c r="L153" s="2089"/>
      <c r="M153" s="2089"/>
      <c r="N153" s="2089"/>
      <c r="O153" s="2089"/>
      <c r="P153" s="2260"/>
      <c r="Q153" s="2089"/>
      <c r="R153" s="2089"/>
      <c r="S153" s="2089"/>
      <c r="T153" s="2089"/>
      <c r="U153" s="2089"/>
      <c r="V153" s="2089"/>
      <c r="W153" s="2089"/>
      <c r="X153" s="2089"/>
      <c r="Y153" s="2089"/>
      <c r="Z153" s="2089"/>
      <c r="AA153" s="2089"/>
      <c r="AB153" s="2089"/>
      <c r="AC153" s="2260"/>
      <c r="AD153" s="2260"/>
      <c r="AE153" s="2260"/>
      <c r="AF153" s="2260"/>
      <c r="AG153" s="2089"/>
      <c r="AH153" s="2605"/>
      <c r="AI153" s="1473"/>
      <c r="AJ153" s="2606"/>
      <c r="AK153" s="1471"/>
    </row>
    <row r="154" spans="1:37" ht="14.25" customHeight="1">
      <c r="A154" s="2499"/>
      <c r="B154" s="2601"/>
      <c r="C154" s="2602"/>
      <c r="D154" s="2602"/>
      <c r="E154" s="2603"/>
      <c r="F154" s="2603"/>
      <c r="G154" s="2603"/>
      <c r="H154" s="2089"/>
      <c r="I154" s="2089"/>
      <c r="J154" s="2062"/>
      <c r="K154" s="2089"/>
      <c r="L154" s="2089"/>
      <c r="M154" s="2089"/>
      <c r="N154" s="2089"/>
      <c r="O154" s="2089"/>
      <c r="P154" s="2260"/>
      <c r="Q154" s="2089"/>
      <c r="R154" s="2089"/>
      <c r="S154" s="2089"/>
      <c r="T154" s="2089"/>
      <c r="U154" s="2089"/>
      <c r="V154" s="2089"/>
      <c r="W154" s="2089"/>
      <c r="X154" s="2089"/>
      <c r="Y154" s="2089"/>
      <c r="Z154" s="2089"/>
      <c r="AA154" s="2089"/>
      <c r="AB154" s="2089"/>
      <c r="AC154" s="2260"/>
      <c r="AD154" s="2260"/>
      <c r="AE154" s="2260"/>
      <c r="AF154" s="2260"/>
      <c r="AG154" s="2089"/>
      <c r="AH154" s="2605"/>
      <c r="AI154" s="1473"/>
      <c r="AJ154" s="2606"/>
      <c r="AK154" s="1471"/>
    </row>
    <row r="155" spans="1:37" ht="14.25" customHeight="1">
      <c r="A155" s="2499"/>
      <c r="B155" s="2601"/>
      <c r="C155" s="2602"/>
      <c r="D155" s="2602"/>
      <c r="E155" s="2603"/>
      <c r="F155" s="2603"/>
      <c r="G155" s="2603"/>
      <c r="H155" s="2089"/>
      <c r="I155" s="2089"/>
      <c r="J155" s="2062"/>
      <c r="K155" s="2089"/>
      <c r="L155" s="2089"/>
      <c r="M155" s="2089"/>
      <c r="N155" s="2089"/>
      <c r="O155" s="2089"/>
      <c r="P155" s="2260"/>
      <c r="Q155" s="2089"/>
      <c r="R155" s="2089"/>
      <c r="S155" s="2089"/>
      <c r="T155" s="2089"/>
      <c r="U155" s="2089"/>
      <c r="V155" s="2089"/>
      <c r="W155" s="2089"/>
      <c r="X155" s="2089"/>
      <c r="Y155" s="2089"/>
      <c r="Z155" s="2089"/>
      <c r="AA155" s="2089"/>
      <c r="AB155" s="2089"/>
      <c r="AC155" s="2260"/>
      <c r="AD155" s="2260"/>
      <c r="AE155" s="2260"/>
      <c r="AF155" s="2260"/>
      <c r="AG155" s="2089"/>
      <c r="AH155" s="2605"/>
      <c r="AI155" s="1473"/>
      <c r="AJ155" s="2606"/>
      <c r="AK155" s="1471"/>
    </row>
    <row r="156" spans="1:37" ht="14.25" customHeight="1">
      <c r="A156" s="2499"/>
      <c r="B156" s="2601"/>
      <c r="C156" s="2602"/>
      <c r="D156" s="2602"/>
      <c r="E156" s="2603"/>
      <c r="F156" s="2603"/>
      <c r="G156" s="2603"/>
      <c r="H156" s="2089"/>
      <c r="I156" s="2089"/>
      <c r="J156" s="2062"/>
      <c r="K156" s="2089"/>
      <c r="L156" s="2089"/>
      <c r="M156" s="2089"/>
      <c r="N156" s="2089"/>
      <c r="O156" s="2089"/>
      <c r="P156" s="2260"/>
      <c r="Q156" s="2089"/>
      <c r="R156" s="2089"/>
      <c r="S156" s="2089"/>
      <c r="T156" s="2089"/>
      <c r="U156" s="2089"/>
      <c r="V156" s="2089"/>
      <c r="W156" s="2089"/>
      <c r="X156" s="2089"/>
      <c r="Y156" s="2089"/>
      <c r="Z156" s="2089"/>
      <c r="AA156" s="2089"/>
      <c r="AB156" s="2089"/>
      <c r="AC156" s="2260"/>
      <c r="AD156" s="2260"/>
      <c r="AE156" s="2260"/>
      <c r="AF156" s="2260"/>
      <c r="AG156" s="2089"/>
      <c r="AH156" s="2605"/>
      <c r="AI156" s="1473"/>
      <c r="AJ156" s="2606"/>
      <c r="AK156" s="1471"/>
    </row>
    <row r="157" spans="1:37" ht="14.25" customHeight="1">
      <c r="A157" s="2499"/>
      <c r="B157" s="2601"/>
      <c r="C157" s="2602"/>
      <c r="D157" s="2602"/>
      <c r="E157" s="2603"/>
      <c r="F157" s="2603"/>
      <c r="G157" s="2603"/>
      <c r="H157" s="2089"/>
      <c r="I157" s="2089"/>
      <c r="J157" s="2062"/>
      <c r="K157" s="2089"/>
      <c r="L157" s="2089"/>
      <c r="M157" s="2089"/>
      <c r="N157" s="2089"/>
      <c r="O157" s="2089"/>
      <c r="P157" s="2260"/>
      <c r="Q157" s="2089"/>
      <c r="R157" s="2089"/>
      <c r="S157" s="2089"/>
      <c r="T157" s="2089"/>
      <c r="U157" s="2089"/>
      <c r="V157" s="2089"/>
      <c r="W157" s="2089"/>
      <c r="X157" s="2089"/>
      <c r="Y157" s="2089"/>
      <c r="Z157" s="2089"/>
      <c r="AA157" s="2089"/>
      <c r="AB157" s="2089"/>
      <c r="AC157" s="2260"/>
      <c r="AD157" s="2260"/>
      <c r="AE157" s="2260"/>
      <c r="AF157" s="2260"/>
      <c r="AG157" s="2089"/>
      <c r="AH157" s="2605"/>
      <c r="AI157" s="1473"/>
      <c r="AJ157" s="2606"/>
      <c r="AK157" s="1471"/>
    </row>
    <row r="158" spans="1:37" ht="14.25" customHeight="1">
      <c r="A158" s="2499"/>
      <c r="B158" s="2601"/>
      <c r="C158" s="2602"/>
      <c r="D158" s="2602"/>
      <c r="E158" s="2603"/>
      <c r="F158" s="2603"/>
      <c r="G158" s="2603"/>
      <c r="H158" s="2089"/>
      <c r="I158" s="2089"/>
      <c r="J158" s="2062"/>
      <c r="K158" s="2089"/>
      <c r="L158" s="2089"/>
      <c r="M158" s="2089"/>
      <c r="N158" s="2089"/>
      <c r="O158" s="2089"/>
      <c r="P158" s="2260"/>
      <c r="Q158" s="2089"/>
      <c r="R158" s="2089"/>
      <c r="S158" s="2089"/>
      <c r="T158" s="2089"/>
      <c r="U158" s="2089"/>
      <c r="V158" s="2089"/>
      <c r="W158" s="2089"/>
      <c r="X158" s="2089"/>
      <c r="Y158" s="2089"/>
      <c r="Z158" s="2089"/>
      <c r="AA158" s="2089"/>
      <c r="AB158" s="2089"/>
      <c r="AC158" s="2260"/>
      <c r="AD158" s="2260"/>
      <c r="AE158" s="2260"/>
      <c r="AF158" s="2260"/>
      <c r="AG158" s="2089"/>
      <c r="AH158" s="2605"/>
      <c r="AI158" s="1473"/>
      <c r="AJ158" s="2606"/>
      <c r="AK158" s="1471"/>
    </row>
    <row r="159" spans="1:37" ht="14.25" customHeight="1">
      <c r="A159" s="2499"/>
      <c r="B159" s="2601"/>
      <c r="C159" s="2602"/>
      <c r="D159" s="2602"/>
      <c r="E159" s="2603"/>
      <c r="F159" s="2603"/>
      <c r="G159" s="2603"/>
      <c r="H159" s="2089"/>
      <c r="I159" s="2089"/>
      <c r="J159" s="2062"/>
      <c r="K159" s="2089"/>
      <c r="L159" s="2089"/>
      <c r="M159" s="2089"/>
      <c r="N159" s="2089"/>
      <c r="O159" s="2089"/>
      <c r="P159" s="2260"/>
      <c r="Q159" s="2089"/>
      <c r="R159" s="2089"/>
      <c r="S159" s="2089"/>
      <c r="T159" s="2089"/>
      <c r="U159" s="2089"/>
      <c r="V159" s="2089"/>
      <c r="W159" s="2089"/>
      <c r="X159" s="2089"/>
      <c r="Y159" s="2089"/>
      <c r="Z159" s="2089"/>
      <c r="AA159" s="2089"/>
      <c r="AB159" s="2089"/>
      <c r="AC159" s="2260"/>
      <c r="AD159" s="2260"/>
      <c r="AE159" s="2260"/>
      <c r="AF159" s="2260"/>
      <c r="AG159" s="2089"/>
      <c r="AH159" s="2605"/>
      <c r="AI159" s="1473"/>
      <c r="AJ159" s="2606"/>
      <c r="AK159" s="1471"/>
    </row>
    <row r="160" spans="1:37" ht="14.25" customHeight="1">
      <c r="A160" s="2499"/>
      <c r="B160" s="2601"/>
      <c r="C160" s="2602"/>
      <c r="D160" s="2602"/>
      <c r="E160" s="2603"/>
      <c r="F160" s="2603"/>
      <c r="G160" s="2603"/>
      <c r="H160" s="2089"/>
      <c r="I160" s="2089"/>
      <c r="J160" s="2062"/>
      <c r="K160" s="2089"/>
      <c r="L160" s="2089"/>
      <c r="M160" s="2089"/>
      <c r="N160" s="2089"/>
      <c r="O160" s="2089"/>
      <c r="P160" s="2260"/>
      <c r="Q160" s="2089"/>
      <c r="R160" s="2089"/>
      <c r="S160" s="2089"/>
      <c r="T160" s="2089"/>
      <c r="U160" s="2089"/>
      <c r="V160" s="2089"/>
      <c r="W160" s="2089"/>
      <c r="X160" s="2089"/>
      <c r="Y160" s="2089"/>
      <c r="Z160" s="2089"/>
      <c r="AA160" s="2089"/>
      <c r="AB160" s="2089"/>
      <c r="AC160" s="2260"/>
      <c r="AD160" s="2260"/>
      <c r="AE160" s="2260"/>
      <c r="AF160" s="2260"/>
      <c r="AG160" s="2089"/>
      <c r="AH160" s="2605"/>
      <c r="AI160" s="1473"/>
      <c r="AJ160" s="2606"/>
      <c r="AK160" s="1471"/>
    </row>
    <row r="161" spans="1:38" ht="14.25" customHeight="1">
      <c r="A161" s="2499"/>
      <c r="B161" s="2601"/>
      <c r="C161" s="2602"/>
      <c r="D161" s="2602"/>
      <c r="E161" s="2603"/>
      <c r="F161" s="2603"/>
      <c r="G161" s="2603"/>
      <c r="H161" s="2089"/>
      <c r="I161" s="2089"/>
      <c r="J161" s="2062"/>
      <c r="K161" s="2089"/>
      <c r="L161" s="2089"/>
      <c r="M161" s="2089"/>
      <c r="N161" s="2089"/>
      <c r="O161" s="2089"/>
      <c r="P161" s="2260"/>
      <c r="Q161" s="2089"/>
      <c r="R161" s="2089"/>
      <c r="S161" s="2089"/>
      <c r="T161" s="2089"/>
      <c r="U161" s="2089"/>
      <c r="V161" s="2089"/>
      <c r="W161" s="2089"/>
      <c r="X161" s="2089"/>
      <c r="Y161" s="2089"/>
      <c r="Z161" s="2089"/>
      <c r="AA161" s="2089"/>
      <c r="AB161" s="2089"/>
      <c r="AC161" s="2260"/>
      <c r="AD161" s="2260"/>
      <c r="AE161" s="2260"/>
      <c r="AF161" s="2260"/>
      <c r="AG161" s="2089"/>
      <c r="AH161" s="2605"/>
      <c r="AI161" s="1473"/>
      <c r="AJ161" s="2606"/>
      <c r="AK161" s="1471"/>
    </row>
    <row r="162" spans="1:38" ht="20.100000000000001" customHeight="1">
      <c r="A162" s="2499"/>
      <c r="B162" s="2578"/>
      <c r="C162" s="2089"/>
      <c r="D162" s="2089"/>
      <c r="E162" s="2089"/>
      <c r="F162" s="2089"/>
      <c r="G162" s="2089"/>
      <c r="H162" s="2089"/>
      <c r="I162" s="2089"/>
      <c r="J162" s="2062"/>
      <c r="K162" s="2089"/>
      <c r="L162" s="2089"/>
      <c r="M162" s="2089"/>
      <c r="N162" s="2089"/>
      <c r="O162" s="2089"/>
      <c r="P162" s="2260"/>
      <c r="Q162" s="2089"/>
      <c r="R162" s="2089"/>
      <c r="S162" s="2089"/>
      <c r="T162" s="2089"/>
      <c r="U162" s="2089"/>
      <c r="V162" s="2089"/>
      <c r="W162" s="2089"/>
      <c r="X162" s="2089"/>
      <c r="Y162" s="2089"/>
      <c r="Z162" s="2089"/>
      <c r="AA162" s="2089"/>
      <c r="AB162" s="2089"/>
      <c r="AC162" s="2260"/>
      <c r="AD162" s="2260"/>
      <c r="AE162" s="2260"/>
      <c r="AF162" s="2260"/>
      <c r="AG162" s="2089"/>
      <c r="AH162" s="2605"/>
      <c r="AI162" s="1473"/>
      <c r="AJ162" s="2606"/>
      <c r="AK162" s="1471"/>
    </row>
    <row r="163" spans="1:38" ht="20.100000000000001" customHeight="1">
      <c r="A163" s="2499"/>
      <c r="B163" s="2578"/>
      <c r="C163" s="2089"/>
      <c r="D163" s="2089"/>
      <c r="E163" s="2089"/>
      <c r="F163" s="2089"/>
      <c r="G163" s="2089"/>
      <c r="H163" s="2089"/>
      <c r="I163" s="2089"/>
      <c r="J163" s="2062"/>
      <c r="K163" s="2089"/>
      <c r="L163" s="2089"/>
      <c r="M163" s="2089"/>
      <c r="N163" s="2089"/>
      <c r="O163" s="2089"/>
      <c r="P163" s="2260"/>
      <c r="Q163" s="2089"/>
      <c r="R163" s="2089"/>
      <c r="S163" s="2089"/>
      <c r="T163" s="2089"/>
      <c r="U163" s="2089"/>
      <c r="V163" s="2089"/>
      <c r="W163" s="2089"/>
      <c r="X163" s="2089"/>
      <c r="Y163" s="2089"/>
      <c r="Z163" s="2089"/>
      <c r="AA163" s="2089"/>
      <c r="AB163" s="2089"/>
      <c r="AC163" s="2260"/>
      <c r="AD163" s="2260"/>
      <c r="AE163" s="2260"/>
      <c r="AF163" s="2260"/>
      <c r="AG163" s="2089"/>
      <c r="AH163" s="2605"/>
      <c r="AI163" s="1473"/>
      <c r="AJ163" s="2606"/>
      <c r="AK163" s="1471"/>
      <c r="AL163" s="2089"/>
    </row>
    <row r="164" spans="1:38" ht="20.100000000000001" customHeight="1">
      <c r="A164" s="2499"/>
      <c r="B164" s="2578"/>
      <c r="C164" s="2089"/>
      <c r="D164" s="2089"/>
      <c r="E164" s="2089"/>
      <c r="F164" s="2089"/>
      <c r="G164" s="2089"/>
      <c r="H164" s="2089"/>
      <c r="I164" s="2089"/>
      <c r="J164" s="2062"/>
      <c r="K164" s="2089"/>
      <c r="L164" s="2089"/>
      <c r="M164" s="2089"/>
      <c r="N164" s="2089"/>
      <c r="O164" s="2089"/>
      <c r="P164" s="2260"/>
      <c r="Q164" s="2089"/>
      <c r="R164" s="2089"/>
      <c r="S164" s="2089"/>
      <c r="T164" s="2089"/>
      <c r="U164" s="2089"/>
      <c r="V164" s="2089"/>
      <c r="W164" s="2089"/>
      <c r="X164" s="2089"/>
      <c r="Y164" s="2089"/>
      <c r="Z164" s="2089"/>
      <c r="AA164" s="2089"/>
      <c r="AB164" s="2089"/>
      <c r="AC164" s="2260"/>
      <c r="AD164" s="2260"/>
      <c r="AE164" s="2260"/>
      <c r="AF164" s="2260"/>
      <c r="AG164" s="2089"/>
      <c r="AH164" s="2605"/>
      <c r="AI164" s="1473"/>
      <c r="AJ164" s="2606"/>
      <c r="AK164" s="1471"/>
      <c r="AL164" s="2089"/>
    </row>
    <row r="165" spans="1:38" ht="20.100000000000001" customHeight="1">
      <c r="B165" s="2578"/>
      <c r="C165" s="2089"/>
      <c r="D165" s="2089"/>
      <c r="E165" s="2089"/>
      <c r="F165" s="2089"/>
      <c r="G165" s="2089"/>
      <c r="H165" s="2089"/>
      <c r="I165" s="2089"/>
      <c r="J165" s="2062"/>
      <c r="K165" s="2089"/>
      <c r="L165" s="2089"/>
      <c r="M165" s="2089"/>
      <c r="N165" s="2089"/>
      <c r="O165" s="2089"/>
      <c r="P165" s="2260"/>
      <c r="Q165" s="2089"/>
      <c r="R165" s="2089"/>
      <c r="S165" s="2089"/>
      <c r="T165" s="2089"/>
      <c r="U165" s="2089"/>
      <c r="V165" s="2089"/>
      <c r="W165" s="2089"/>
      <c r="X165" s="2089"/>
      <c r="Y165" s="2089"/>
      <c r="Z165" s="2089"/>
      <c r="AA165" s="2089"/>
      <c r="AB165" s="2089"/>
      <c r="AC165" s="2260"/>
      <c r="AD165" s="2260"/>
      <c r="AE165" s="2260"/>
      <c r="AF165" s="2260"/>
      <c r="AG165" s="2089"/>
      <c r="AH165" s="2089"/>
      <c r="AI165" s="1473"/>
      <c r="AJ165" s="2606"/>
      <c r="AK165" s="1471"/>
      <c r="AL165" s="2089"/>
    </row>
    <row r="166" spans="1:38" ht="20.100000000000001" customHeight="1">
      <c r="B166" s="2089"/>
      <c r="C166" s="2089"/>
      <c r="D166" s="2089"/>
      <c r="E166" s="2089"/>
      <c r="F166" s="2089"/>
      <c r="G166" s="2089"/>
      <c r="H166" s="2089"/>
      <c r="I166" s="2089"/>
      <c r="J166" s="2062"/>
      <c r="K166" s="2089"/>
      <c r="L166" s="2089"/>
      <c r="M166" s="2089"/>
      <c r="N166" s="2089"/>
      <c r="O166" s="2089"/>
      <c r="P166" s="2260"/>
      <c r="Q166" s="2089"/>
      <c r="R166" s="2089"/>
      <c r="S166" s="2089"/>
      <c r="T166" s="2089"/>
      <c r="U166" s="2089"/>
      <c r="V166" s="2089"/>
      <c r="W166" s="2089"/>
      <c r="X166" s="2089"/>
      <c r="Y166" s="2089"/>
      <c r="Z166" s="2089"/>
      <c r="AA166" s="2089"/>
      <c r="AB166" s="2089"/>
      <c r="AC166" s="2260"/>
      <c r="AD166" s="2260"/>
      <c r="AE166" s="2260"/>
      <c r="AF166" s="2260"/>
      <c r="AG166" s="2089"/>
      <c r="AH166" s="2089"/>
      <c r="AI166" s="1473"/>
      <c r="AJ166" s="2606"/>
      <c r="AK166" s="1471"/>
      <c r="AL166" s="2089"/>
    </row>
    <row r="167" spans="1:38" ht="20.100000000000001" customHeight="1">
      <c r="B167" s="2607"/>
      <c r="C167" s="2089"/>
      <c r="D167" s="2089"/>
      <c r="E167" s="2089"/>
      <c r="F167" s="2089"/>
      <c r="G167" s="2089"/>
      <c r="H167" s="2089"/>
      <c r="I167" s="2089"/>
      <c r="J167" s="2062"/>
      <c r="K167" s="2089"/>
      <c r="L167" s="2089"/>
      <c r="M167" s="2089"/>
      <c r="N167" s="2089"/>
      <c r="O167" s="2089"/>
      <c r="P167" s="2260"/>
      <c r="Q167" s="2089"/>
      <c r="R167" s="2089"/>
      <c r="S167" s="2089"/>
      <c r="T167" s="2089"/>
      <c r="U167" s="2089"/>
      <c r="V167" s="2089"/>
      <c r="W167" s="2089"/>
      <c r="X167" s="2089"/>
      <c r="Y167" s="2089"/>
      <c r="Z167" s="2089"/>
      <c r="AA167" s="2089"/>
      <c r="AB167" s="2089"/>
      <c r="AC167" s="2260"/>
      <c r="AD167" s="2260"/>
      <c r="AE167" s="2260"/>
      <c r="AF167" s="2260"/>
      <c r="AG167" s="2089"/>
      <c r="AI167" s="2092"/>
      <c r="AJ167" s="2538"/>
      <c r="AK167" s="1489"/>
      <c r="AL167" s="2089"/>
    </row>
    <row r="168" spans="1:38" ht="20.100000000000001" customHeight="1">
      <c r="B168" s="2089"/>
      <c r="C168" s="2089"/>
      <c r="D168" s="2089"/>
      <c r="E168" s="2089"/>
      <c r="F168" s="2089"/>
      <c r="G168" s="2089"/>
      <c r="H168" s="2089"/>
      <c r="I168" s="2089"/>
      <c r="J168" s="2062"/>
      <c r="K168" s="2089"/>
      <c r="L168" s="2089"/>
      <c r="M168" s="2089"/>
      <c r="N168" s="2089"/>
      <c r="O168" s="2089"/>
      <c r="P168" s="2260"/>
      <c r="Q168" s="2089"/>
      <c r="R168" s="2089"/>
      <c r="S168" s="2089"/>
      <c r="T168" s="2089"/>
      <c r="U168" s="2089"/>
      <c r="V168" s="2089"/>
      <c r="W168" s="2089"/>
      <c r="X168" s="2089"/>
      <c r="Y168" s="2089"/>
      <c r="Z168" s="2089"/>
      <c r="AA168" s="2089"/>
      <c r="AB168" s="2089"/>
      <c r="AC168" s="2260"/>
      <c r="AD168" s="2260"/>
      <c r="AE168" s="2260"/>
      <c r="AF168" s="2260"/>
      <c r="AG168" s="2089"/>
      <c r="AI168" s="2092"/>
      <c r="AJ168" s="2538"/>
      <c r="AK168" s="1489"/>
      <c r="AL168" s="2089"/>
    </row>
    <row r="169" spans="1:38" ht="20.100000000000001" customHeight="1">
      <c r="B169" s="2089"/>
      <c r="C169" s="2089"/>
      <c r="D169" s="2089"/>
      <c r="E169" s="2089"/>
      <c r="F169" s="2089"/>
      <c r="G169" s="2089"/>
      <c r="H169" s="2089"/>
      <c r="I169" s="2089"/>
      <c r="J169" s="2062"/>
      <c r="K169" s="2089"/>
      <c r="L169" s="2089"/>
      <c r="M169" s="2089"/>
      <c r="N169" s="2089"/>
      <c r="O169" s="2089"/>
      <c r="P169" s="2260"/>
      <c r="Q169" s="2089"/>
      <c r="R169" s="2089"/>
      <c r="S169" s="2089"/>
      <c r="T169" s="2089"/>
      <c r="U169" s="2089"/>
      <c r="V169" s="2089"/>
      <c r="W169" s="2089"/>
      <c r="X169" s="2089"/>
      <c r="Y169" s="2089"/>
      <c r="Z169" s="2089"/>
      <c r="AA169" s="2089"/>
      <c r="AB169" s="2089"/>
      <c r="AC169" s="2260"/>
      <c r="AD169" s="2260"/>
      <c r="AE169" s="2260"/>
      <c r="AF169" s="2260"/>
      <c r="AG169" s="2089"/>
      <c r="AI169" s="2092"/>
      <c r="AJ169" s="2538"/>
      <c r="AK169" s="1489"/>
      <c r="AL169" s="2089"/>
    </row>
    <row r="170" spans="1:38" ht="20.100000000000001" customHeight="1">
      <c r="B170" s="2092"/>
      <c r="C170" s="2092"/>
      <c r="D170" s="2092"/>
      <c r="E170" s="2092"/>
      <c r="F170" s="2092"/>
      <c r="G170" s="2092"/>
      <c r="H170" s="2092"/>
      <c r="I170" s="2092"/>
      <c r="J170" s="2500"/>
      <c r="K170" s="2092"/>
      <c r="L170" s="2092"/>
      <c r="M170" s="2092"/>
      <c r="N170" s="2092"/>
      <c r="O170" s="2092"/>
      <c r="P170" s="2267"/>
      <c r="Q170" s="2092"/>
      <c r="R170" s="2092"/>
      <c r="S170" s="2092"/>
      <c r="T170" s="2092"/>
      <c r="U170" s="2092"/>
      <c r="V170" s="2092"/>
      <c r="W170" s="2092"/>
      <c r="X170" s="2092"/>
      <c r="Y170" s="2092"/>
      <c r="Z170" s="2092"/>
      <c r="AA170" s="2092"/>
      <c r="AB170" s="2092"/>
      <c r="AC170" s="2267"/>
      <c r="AD170" s="2267"/>
      <c r="AE170" s="2267"/>
      <c r="AF170" s="2267"/>
      <c r="AG170" s="2092"/>
      <c r="AI170" s="2092"/>
      <c r="AJ170" s="2538"/>
      <c r="AK170" s="1489"/>
      <c r="AL170" s="2089"/>
    </row>
    <row r="171" spans="1:38" ht="20.100000000000001" customHeight="1">
      <c r="B171" s="2092"/>
      <c r="C171" s="2092"/>
      <c r="D171" s="2092"/>
      <c r="E171" s="2092"/>
      <c r="F171" s="2092"/>
      <c r="G171" s="2092"/>
      <c r="H171" s="2092"/>
      <c r="I171" s="2092"/>
      <c r="J171" s="2500"/>
      <c r="K171" s="2092"/>
      <c r="L171" s="2092"/>
      <c r="M171" s="2092"/>
      <c r="N171" s="2092"/>
      <c r="O171" s="2092"/>
      <c r="P171" s="2267"/>
      <c r="Q171" s="2092"/>
      <c r="R171" s="2092"/>
      <c r="S171" s="2092"/>
      <c r="T171" s="2092"/>
      <c r="U171" s="2092"/>
      <c r="V171" s="2092"/>
      <c r="W171" s="2092"/>
      <c r="X171" s="2092"/>
      <c r="Y171" s="2092"/>
      <c r="Z171" s="2092"/>
      <c r="AA171" s="2092"/>
      <c r="AB171" s="2092"/>
      <c r="AC171" s="2267"/>
      <c r="AD171" s="2267"/>
      <c r="AE171" s="2267"/>
      <c r="AF171" s="2267"/>
      <c r="AG171" s="2092"/>
    </row>
    <row r="172" spans="1:38" ht="20.100000000000001" customHeight="1">
      <c r="B172" s="2092"/>
      <c r="C172" s="2092"/>
      <c r="D172" s="2092"/>
      <c r="E172" s="2092"/>
      <c r="F172" s="2092"/>
      <c r="G172" s="2092"/>
      <c r="H172" s="2092"/>
      <c r="I172" s="2092"/>
      <c r="J172" s="2500"/>
      <c r="K172" s="2092"/>
      <c r="L172" s="2092"/>
      <c r="M172" s="2092"/>
      <c r="N172" s="2092"/>
      <c r="O172" s="2092"/>
      <c r="P172" s="2267"/>
      <c r="Q172" s="2092"/>
      <c r="R172" s="2092"/>
      <c r="S172" s="2092"/>
      <c r="T172" s="2092"/>
      <c r="U172" s="2092"/>
      <c r="V172" s="2092"/>
      <c r="W172" s="2092"/>
      <c r="X172" s="2092"/>
      <c r="Y172" s="2092"/>
      <c r="Z172" s="2092"/>
      <c r="AA172" s="2092"/>
      <c r="AB172" s="2092"/>
      <c r="AC172" s="2267"/>
      <c r="AD172" s="2267"/>
      <c r="AE172" s="2267"/>
      <c r="AF172" s="2267"/>
      <c r="AG172" s="2092"/>
    </row>
    <row r="173" spans="1:38" ht="20.100000000000001" customHeight="1">
      <c r="B173" s="2092"/>
      <c r="C173" s="2092"/>
      <c r="D173" s="2092"/>
      <c r="E173" s="2092"/>
      <c r="F173" s="2092"/>
      <c r="G173" s="2092"/>
      <c r="H173" s="2092"/>
      <c r="I173" s="2092"/>
      <c r="J173" s="2500"/>
      <c r="K173" s="2092"/>
      <c r="L173" s="2092"/>
      <c r="M173" s="2092"/>
      <c r="N173" s="2092"/>
      <c r="O173" s="2092"/>
      <c r="P173" s="2267"/>
      <c r="Q173" s="2092"/>
      <c r="R173" s="2092"/>
      <c r="S173" s="2092"/>
      <c r="T173" s="2092"/>
      <c r="U173" s="2092"/>
      <c r="V173" s="2092"/>
      <c r="W173" s="2092"/>
      <c r="X173" s="2092"/>
      <c r="Y173" s="2092"/>
      <c r="Z173" s="2092"/>
      <c r="AA173" s="2092"/>
      <c r="AB173" s="2092"/>
      <c r="AC173" s="2267"/>
      <c r="AD173" s="2267"/>
      <c r="AE173" s="2267"/>
      <c r="AF173" s="2267"/>
      <c r="AG173" s="2092"/>
    </row>
    <row r="174" spans="1:38" ht="20.100000000000001" customHeight="1">
      <c r="B174" s="2092"/>
      <c r="C174" s="2092"/>
      <c r="D174" s="2092"/>
      <c r="E174" s="2092"/>
      <c r="F174" s="2092"/>
      <c r="G174" s="2092"/>
      <c r="H174" s="2092"/>
      <c r="I174" s="2092"/>
      <c r="J174" s="2500"/>
      <c r="K174" s="2092"/>
      <c r="L174" s="2092"/>
      <c r="M174" s="2092"/>
      <c r="N174" s="2092"/>
      <c r="O174" s="2092"/>
      <c r="P174" s="2267"/>
      <c r="Q174" s="2092"/>
      <c r="R174" s="2092"/>
      <c r="S174" s="2092"/>
      <c r="T174" s="2092"/>
      <c r="U174" s="2092"/>
      <c r="V174" s="2092"/>
      <c r="W174" s="2092"/>
      <c r="X174" s="2092"/>
      <c r="Y174" s="2092"/>
      <c r="Z174" s="2092"/>
      <c r="AA174" s="2092"/>
      <c r="AB174" s="2092"/>
      <c r="AC174" s="2267"/>
      <c r="AD174" s="2267"/>
      <c r="AE174" s="2267"/>
      <c r="AF174" s="2267"/>
      <c r="AG174" s="2092"/>
    </row>
    <row r="175" spans="1:38">
      <c r="B175" s="2092"/>
      <c r="C175" s="2092"/>
      <c r="D175" s="2092"/>
      <c r="E175" s="2092"/>
      <c r="F175" s="2092"/>
      <c r="G175" s="2092"/>
      <c r="H175" s="2092"/>
      <c r="I175" s="2092"/>
      <c r="J175" s="2500"/>
      <c r="K175" s="2092"/>
      <c r="L175" s="2092"/>
      <c r="M175" s="2092"/>
      <c r="N175" s="2092"/>
      <c r="O175" s="2092"/>
      <c r="P175" s="2267"/>
      <c r="Q175" s="2092"/>
      <c r="R175" s="2092"/>
      <c r="S175" s="2092"/>
      <c r="T175" s="2092"/>
      <c r="U175" s="2092"/>
      <c r="V175" s="2092"/>
      <c r="W175" s="2092"/>
      <c r="X175" s="2092"/>
      <c r="Y175" s="2092"/>
      <c r="Z175" s="2092"/>
      <c r="AA175" s="2092"/>
      <c r="AB175" s="2092"/>
      <c r="AC175" s="2267"/>
      <c r="AD175" s="2267"/>
      <c r="AE175" s="2267"/>
      <c r="AF175" s="2267"/>
      <c r="AG175" s="2092"/>
    </row>
    <row r="176" spans="1:38">
      <c r="B176" s="2092"/>
      <c r="C176" s="2092"/>
      <c r="D176" s="2092"/>
      <c r="E176" s="2092"/>
      <c r="F176" s="2092"/>
      <c r="G176" s="2092"/>
      <c r="H176" s="2092"/>
      <c r="I176" s="2092"/>
      <c r="J176" s="2500"/>
      <c r="K176" s="2092"/>
      <c r="L176" s="2092"/>
      <c r="M176" s="2092"/>
      <c r="N176" s="2092"/>
      <c r="O176" s="2092"/>
      <c r="P176" s="2267"/>
      <c r="Q176" s="2092"/>
      <c r="R176" s="2092"/>
      <c r="S176" s="2092"/>
      <c r="T176" s="2092"/>
      <c r="U176" s="2092"/>
      <c r="V176" s="2092"/>
      <c r="W176" s="2092"/>
      <c r="X176" s="2092"/>
      <c r="Y176" s="2092"/>
      <c r="Z176" s="2092"/>
      <c r="AA176" s="2092"/>
      <c r="AB176" s="2092"/>
      <c r="AC176" s="2267"/>
      <c r="AD176" s="2267"/>
      <c r="AE176" s="2267"/>
      <c r="AF176" s="2267"/>
      <c r="AG176" s="2092"/>
    </row>
    <row r="177" spans="2:33">
      <c r="B177" s="2092"/>
      <c r="C177" s="2092"/>
      <c r="D177" s="2092"/>
      <c r="E177" s="2092"/>
      <c r="F177" s="2092"/>
      <c r="G177" s="2092"/>
      <c r="H177" s="2092"/>
      <c r="I177" s="2092"/>
      <c r="J177" s="2500"/>
      <c r="K177" s="2092"/>
      <c r="L177" s="2092"/>
      <c r="M177" s="2092"/>
      <c r="N177" s="2092"/>
      <c r="O177" s="2092"/>
      <c r="P177" s="2267"/>
      <c r="Q177" s="2092"/>
      <c r="R177" s="2092"/>
      <c r="S177" s="2092"/>
      <c r="T177" s="2092"/>
      <c r="U177" s="2092"/>
      <c r="V177" s="2092"/>
      <c r="W177" s="2092"/>
      <c r="X177" s="2092"/>
      <c r="Y177" s="2092"/>
      <c r="Z177" s="2092"/>
      <c r="AA177" s="2092"/>
      <c r="AB177" s="2092"/>
      <c r="AC177" s="2267"/>
      <c r="AD177" s="2267"/>
      <c r="AE177" s="2267"/>
      <c r="AF177" s="2267"/>
      <c r="AG177" s="2092"/>
    </row>
    <row r="178" spans="2:33">
      <c r="B178" s="2092"/>
      <c r="C178" s="2092"/>
      <c r="D178" s="2092"/>
      <c r="E178" s="2092"/>
      <c r="F178" s="2092"/>
      <c r="G178" s="2092"/>
      <c r="H178" s="2092"/>
      <c r="I178" s="2092"/>
      <c r="J178" s="2500"/>
      <c r="K178" s="2092"/>
      <c r="L178" s="2092"/>
      <c r="M178" s="2092"/>
      <c r="N178" s="2092"/>
      <c r="O178" s="2092"/>
      <c r="P178" s="2267"/>
      <c r="Q178" s="2092"/>
      <c r="R178" s="2092"/>
      <c r="S178" s="2092"/>
      <c r="T178" s="2092"/>
      <c r="U178" s="2092"/>
      <c r="V178" s="2092"/>
      <c r="W178" s="2092"/>
      <c r="X178" s="2092"/>
      <c r="Y178" s="2092"/>
      <c r="Z178" s="2092"/>
      <c r="AA178" s="2092"/>
      <c r="AB178" s="2092"/>
      <c r="AC178" s="2267"/>
      <c r="AD178" s="2267"/>
      <c r="AE178" s="2267"/>
      <c r="AF178" s="2267"/>
      <c r="AG178" s="2092"/>
    </row>
    <row r="179" spans="2:33">
      <c r="B179" s="2092"/>
      <c r="C179" s="2092"/>
      <c r="D179" s="2092"/>
      <c r="E179" s="2092"/>
      <c r="F179" s="2092"/>
      <c r="G179" s="2092"/>
      <c r="H179" s="2092"/>
      <c r="I179" s="2092"/>
      <c r="J179" s="2500"/>
      <c r="K179" s="2092"/>
      <c r="L179" s="2092"/>
      <c r="M179" s="2092"/>
      <c r="N179" s="2092"/>
      <c r="O179" s="2092"/>
      <c r="P179" s="2267"/>
      <c r="Q179" s="2092"/>
      <c r="R179" s="2092"/>
      <c r="S179" s="2092"/>
      <c r="T179" s="2092"/>
      <c r="U179" s="2092"/>
      <c r="V179" s="2092"/>
      <c r="W179" s="2092"/>
      <c r="X179" s="2092"/>
      <c r="Y179" s="2092"/>
      <c r="Z179" s="2092"/>
      <c r="AA179" s="2092"/>
      <c r="AB179" s="2092"/>
      <c r="AC179" s="2267"/>
      <c r="AD179" s="2267"/>
      <c r="AE179" s="2267"/>
      <c r="AF179" s="2267"/>
      <c r="AG179" s="2092"/>
    </row>
    <row r="180" spans="2:33">
      <c r="B180" s="2092"/>
      <c r="C180" s="2092"/>
      <c r="D180" s="2092"/>
      <c r="E180" s="2092"/>
      <c r="F180" s="2092"/>
      <c r="G180" s="2092"/>
      <c r="H180" s="2092"/>
      <c r="I180" s="2092"/>
      <c r="J180" s="2500"/>
      <c r="K180" s="2092"/>
      <c r="L180" s="2092"/>
      <c r="M180" s="2092"/>
      <c r="N180" s="2092"/>
      <c r="O180" s="2092"/>
      <c r="P180" s="2267"/>
      <c r="Q180" s="2092"/>
      <c r="R180" s="2092"/>
      <c r="S180" s="2092"/>
      <c r="T180" s="2092"/>
      <c r="U180" s="2092"/>
      <c r="V180" s="2092"/>
      <c r="W180" s="2092"/>
      <c r="X180" s="2092"/>
      <c r="Y180" s="2092"/>
      <c r="Z180" s="2092"/>
      <c r="AA180" s="2092"/>
      <c r="AB180" s="2092"/>
      <c r="AC180" s="2267"/>
      <c r="AD180" s="2267"/>
      <c r="AE180" s="2267"/>
      <c r="AF180" s="2267"/>
      <c r="AG180" s="2092"/>
    </row>
    <row r="181" spans="2:33">
      <c r="B181" s="2092"/>
      <c r="C181" s="2092"/>
      <c r="D181" s="2092"/>
      <c r="E181" s="2092"/>
      <c r="F181" s="2092"/>
      <c r="G181" s="2092"/>
      <c r="H181" s="2092"/>
      <c r="I181" s="2092"/>
      <c r="J181" s="2500"/>
      <c r="K181" s="2092"/>
      <c r="L181" s="2092"/>
      <c r="M181" s="2092"/>
      <c r="N181" s="2092"/>
      <c r="O181" s="2092"/>
      <c r="P181" s="2267"/>
      <c r="Q181" s="2092"/>
      <c r="R181" s="2092"/>
      <c r="S181" s="2092"/>
      <c r="T181" s="2092"/>
      <c r="U181" s="2092"/>
      <c r="V181" s="2092"/>
      <c r="W181" s="2092"/>
      <c r="X181" s="2092"/>
      <c r="Y181" s="2092"/>
      <c r="Z181" s="2092"/>
      <c r="AA181" s="2092"/>
      <c r="AB181" s="2092"/>
      <c r="AC181" s="2267"/>
      <c r="AD181" s="2267"/>
      <c r="AE181" s="2267"/>
      <c r="AF181" s="2267"/>
      <c r="AG181" s="2092"/>
    </row>
    <row r="182" spans="2:33">
      <c r="B182" s="2092"/>
      <c r="C182" s="2092"/>
      <c r="D182" s="2092"/>
      <c r="E182" s="2092"/>
      <c r="F182" s="2092"/>
      <c r="G182" s="2092"/>
      <c r="H182" s="2092"/>
      <c r="I182" s="2092"/>
      <c r="J182" s="2500"/>
      <c r="K182" s="2092"/>
      <c r="L182" s="2092"/>
      <c r="M182" s="2092"/>
      <c r="N182" s="2092"/>
      <c r="O182" s="2092"/>
      <c r="P182" s="2267"/>
      <c r="Q182" s="2092"/>
      <c r="R182" s="2092"/>
      <c r="S182" s="2092"/>
      <c r="T182" s="2092"/>
      <c r="U182" s="2092"/>
      <c r="V182" s="2092"/>
      <c r="W182" s="2092"/>
      <c r="X182" s="2092"/>
      <c r="Y182" s="2092"/>
      <c r="Z182" s="2092"/>
      <c r="AA182" s="2092"/>
      <c r="AB182" s="2092"/>
      <c r="AC182" s="2267"/>
      <c r="AD182" s="2267"/>
      <c r="AE182" s="2267"/>
      <c r="AF182" s="2267"/>
      <c r="AG182" s="2092"/>
    </row>
    <row r="183" spans="2:33">
      <c r="B183" s="2092"/>
      <c r="C183" s="2092"/>
      <c r="D183" s="2092"/>
      <c r="E183" s="2092"/>
      <c r="F183" s="2092"/>
      <c r="G183" s="2092"/>
      <c r="H183" s="2092"/>
      <c r="I183" s="2092"/>
      <c r="J183" s="2500"/>
      <c r="K183" s="2092"/>
      <c r="L183" s="2092"/>
      <c r="M183" s="2092"/>
      <c r="N183" s="2092"/>
      <c r="O183" s="2092"/>
      <c r="P183" s="2267"/>
      <c r="Q183" s="2092"/>
      <c r="R183" s="2092"/>
      <c r="S183" s="2092"/>
      <c r="T183" s="2092"/>
      <c r="U183" s="2092"/>
      <c r="V183" s="2092"/>
      <c r="W183" s="2092"/>
      <c r="X183" s="2092"/>
      <c r="Y183" s="2092"/>
      <c r="Z183" s="2092"/>
      <c r="AA183" s="2092"/>
      <c r="AB183" s="2092"/>
      <c r="AC183" s="2267"/>
      <c r="AD183" s="2267"/>
      <c r="AE183" s="2267"/>
      <c r="AF183" s="2267"/>
      <c r="AG183" s="2092"/>
    </row>
    <row r="184" spans="2:33">
      <c r="B184" s="2092"/>
      <c r="C184" s="2092"/>
      <c r="D184" s="2092"/>
      <c r="E184" s="2092"/>
      <c r="F184" s="2092"/>
      <c r="G184" s="2092"/>
      <c r="H184" s="2092"/>
      <c r="I184" s="2092"/>
      <c r="J184" s="2500"/>
      <c r="K184" s="2092"/>
      <c r="L184" s="2092"/>
      <c r="M184" s="2092"/>
      <c r="N184" s="2092"/>
      <c r="O184" s="2092"/>
      <c r="P184" s="2267"/>
      <c r="Q184" s="2092"/>
      <c r="R184" s="2092"/>
      <c r="S184" s="2092"/>
      <c r="T184" s="2092"/>
      <c r="U184" s="2092"/>
      <c r="V184" s="2092"/>
      <c r="W184" s="2092"/>
      <c r="X184" s="2092"/>
      <c r="Y184" s="2092"/>
      <c r="Z184" s="2092"/>
      <c r="AA184" s="2092"/>
      <c r="AB184" s="2092"/>
      <c r="AC184" s="2267"/>
      <c r="AD184" s="2267"/>
      <c r="AE184" s="2267"/>
      <c r="AF184" s="2267"/>
      <c r="AG184" s="2092"/>
    </row>
    <row r="185" spans="2:33">
      <c r="B185" s="2092"/>
      <c r="C185" s="2092"/>
      <c r="D185" s="2092"/>
      <c r="E185" s="2092"/>
      <c r="F185" s="2092"/>
      <c r="G185" s="2092"/>
      <c r="H185" s="2092"/>
      <c r="I185" s="2092"/>
      <c r="J185" s="2500"/>
      <c r="K185" s="2092"/>
      <c r="L185" s="2092"/>
      <c r="M185" s="2092"/>
      <c r="N185" s="2092"/>
      <c r="O185" s="2092"/>
      <c r="P185" s="2267"/>
      <c r="Q185" s="2092"/>
      <c r="R185" s="2092"/>
      <c r="S185" s="2092"/>
      <c r="T185" s="2092"/>
      <c r="U185" s="2092"/>
      <c r="V185" s="2092"/>
      <c r="W185" s="2092"/>
      <c r="X185" s="2092"/>
      <c r="Y185" s="2092"/>
      <c r="Z185" s="2092"/>
      <c r="AA185" s="2092"/>
      <c r="AB185" s="2092"/>
      <c r="AC185" s="2267"/>
      <c r="AD185" s="2267"/>
      <c r="AE185" s="2267"/>
      <c r="AF185" s="2267"/>
      <c r="AG185" s="2092"/>
    </row>
    <row r="186" spans="2:33">
      <c r="B186" s="2092"/>
      <c r="C186" s="2092"/>
      <c r="D186" s="2092"/>
      <c r="E186" s="2092"/>
      <c r="F186" s="2092"/>
      <c r="G186" s="2092"/>
      <c r="H186" s="2092"/>
      <c r="I186" s="2092"/>
      <c r="J186" s="2500"/>
      <c r="K186" s="2092"/>
      <c r="L186" s="2092"/>
      <c r="M186" s="2092"/>
      <c r="N186" s="2092"/>
      <c r="O186" s="2092"/>
      <c r="P186" s="2267"/>
      <c r="Q186" s="2092"/>
      <c r="R186" s="2092"/>
      <c r="S186" s="2092"/>
      <c r="T186" s="2092"/>
      <c r="U186" s="2092"/>
      <c r="V186" s="2092"/>
      <c r="W186" s="2092"/>
      <c r="X186" s="2092"/>
      <c r="Y186" s="2092"/>
      <c r="Z186" s="2092"/>
      <c r="AA186" s="2092"/>
      <c r="AB186" s="2092"/>
      <c r="AC186" s="2267"/>
      <c r="AD186" s="2267"/>
      <c r="AE186" s="2267"/>
      <c r="AF186" s="2267"/>
      <c r="AG186" s="2092"/>
    </row>
    <row r="187" spans="2:33">
      <c r="B187" s="2092"/>
      <c r="C187" s="2092"/>
      <c r="D187" s="2092"/>
      <c r="E187" s="2092"/>
      <c r="F187" s="2092"/>
      <c r="G187" s="2092"/>
      <c r="H187" s="2092"/>
      <c r="I187" s="2092"/>
      <c r="J187" s="2500"/>
      <c r="K187" s="2092"/>
      <c r="L187" s="2092"/>
      <c r="M187" s="2092"/>
      <c r="N187" s="2092"/>
      <c r="O187" s="2092"/>
      <c r="P187" s="2267"/>
      <c r="Q187" s="2092"/>
      <c r="R187" s="2092"/>
      <c r="S187" s="2092"/>
      <c r="T187" s="2092"/>
      <c r="U187" s="2092"/>
      <c r="V187" s="2092"/>
      <c r="W187" s="2092"/>
      <c r="X187" s="2092"/>
      <c r="Y187" s="2092"/>
      <c r="Z187" s="2092"/>
      <c r="AA187" s="2092"/>
      <c r="AB187" s="2092"/>
      <c r="AC187" s="2267"/>
      <c r="AD187" s="2267"/>
      <c r="AE187" s="2267"/>
      <c r="AF187" s="2267"/>
      <c r="AG187" s="2092"/>
    </row>
    <row r="188" spans="2:33">
      <c r="B188" s="2092"/>
      <c r="C188" s="2092"/>
      <c r="D188" s="2092"/>
      <c r="E188" s="2092"/>
      <c r="F188" s="2092"/>
      <c r="G188" s="2092"/>
      <c r="H188" s="2092"/>
      <c r="I188" s="2092"/>
      <c r="J188" s="2500"/>
      <c r="K188" s="2092"/>
      <c r="L188" s="2092"/>
      <c r="M188" s="2092"/>
      <c r="N188" s="2092"/>
      <c r="O188" s="2092"/>
      <c r="P188" s="2267"/>
      <c r="Q188" s="2092"/>
      <c r="R188" s="2092"/>
      <c r="S188" s="2092"/>
      <c r="T188" s="2092"/>
      <c r="U188" s="2092"/>
      <c r="V188" s="2092"/>
      <c r="W188" s="2092"/>
      <c r="X188" s="2092"/>
      <c r="Y188" s="2092"/>
      <c r="Z188" s="2092"/>
      <c r="AA188" s="2092"/>
      <c r="AB188" s="2092"/>
      <c r="AC188" s="2267"/>
      <c r="AD188" s="2267"/>
      <c r="AE188" s="2267"/>
      <c r="AF188" s="2267"/>
      <c r="AG188" s="2092"/>
    </row>
    <row r="189" spans="2:33">
      <c r="B189" s="2092"/>
      <c r="C189" s="2092"/>
      <c r="D189" s="2092"/>
      <c r="E189" s="2092"/>
      <c r="F189" s="2092"/>
      <c r="G189" s="2092"/>
      <c r="H189" s="2092"/>
      <c r="I189" s="2092"/>
      <c r="J189" s="2500"/>
      <c r="K189" s="2092"/>
      <c r="L189" s="2092"/>
      <c r="M189" s="2092"/>
      <c r="N189" s="2092"/>
      <c r="O189" s="2092"/>
      <c r="P189" s="2267"/>
      <c r="Q189" s="2092"/>
      <c r="R189" s="2092"/>
      <c r="S189" s="2092"/>
      <c r="T189" s="2092"/>
      <c r="U189" s="2092"/>
      <c r="V189" s="2092"/>
      <c r="W189" s="2092"/>
      <c r="X189" s="2092"/>
      <c r="Y189" s="2092"/>
      <c r="Z189" s="2092"/>
      <c r="AA189" s="2092"/>
      <c r="AB189" s="2092"/>
      <c r="AC189" s="2267"/>
      <c r="AD189" s="2267"/>
      <c r="AE189" s="2267"/>
      <c r="AF189" s="2267"/>
      <c r="AG189" s="2092"/>
    </row>
    <row r="190" spans="2:33">
      <c r="B190" s="2092"/>
      <c r="C190" s="2092"/>
      <c r="D190" s="2092"/>
      <c r="E190" s="2092"/>
      <c r="F190" s="2092"/>
      <c r="G190" s="2092"/>
      <c r="H190" s="2092"/>
      <c r="I190" s="2092"/>
      <c r="J190" s="2500"/>
      <c r="K190" s="2092"/>
      <c r="L190" s="2092"/>
      <c r="M190" s="2092"/>
      <c r="N190" s="2092"/>
      <c r="O190" s="2092"/>
      <c r="P190" s="2267"/>
      <c r="Q190" s="2092"/>
      <c r="R190" s="2092"/>
      <c r="S190" s="2092"/>
      <c r="T190" s="2092"/>
      <c r="U190" s="2092"/>
      <c r="V190" s="2092"/>
      <c r="W190" s="2092"/>
      <c r="X190" s="2092"/>
      <c r="Y190" s="2092"/>
      <c r="Z190" s="2092"/>
      <c r="AA190" s="2092"/>
      <c r="AB190" s="2092"/>
      <c r="AC190" s="2267"/>
      <c r="AD190" s="2267"/>
      <c r="AE190" s="2267"/>
      <c r="AF190" s="2267"/>
      <c r="AG190" s="2092"/>
    </row>
    <row r="191" spans="2:33">
      <c r="B191" s="2092"/>
      <c r="C191" s="2092"/>
      <c r="D191" s="2092"/>
      <c r="E191" s="2092"/>
      <c r="F191" s="2092"/>
      <c r="G191" s="2092"/>
      <c r="H191" s="2092"/>
      <c r="I191" s="2092"/>
      <c r="J191" s="2500"/>
      <c r="K191" s="2092"/>
      <c r="L191" s="2092"/>
      <c r="M191" s="2092"/>
      <c r="N191" s="2092"/>
      <c r="O191" s="2092"/>
      <c r="P191" s="2267"/>
      <c r="Q191" s="2092"/>
      <c r="R191" s="2092"/>
      <c r="S191" s="2092"/>
      <c r="T191" s="2092"/>
      <c r="U191" s="2092"/>
      <c r="V191" s="2092"/>
      <c r="W191" s="2092"/>
      <c r="X191" s="2092"/>
      <c r="Y191" s="2092"/>
      <c r="Z191" s="2092"/>
      <c r="AA191" s="2092"/>
      <c r="AB191" s="2092"/>
      <c r="AC191" s="2267"/>
      <c r="AD191" s="2267"/>
      <c r="AE191" s="2267"/>
      <c r="AF191" s="2267"/>
      <c r="AG191" s="2092"/>
    </row>
    <row r="192" spans="2:33">
      <c r="B192" s="2092"/>
      <c r="C192" s="2092"/>
      <c r="D192" s="2092"/>
      <c r="E192" s="2092"/>
      <c r="F192" s="2092"/>
      <c r="G192" s="2092"/>
      <c r="H192" s="2092"/>
      <c r="I192" s="2092"/>
      <c r="J192" s="2500"/>
      <c r="K192" s="2092"/>
      <c r="L192" s="2092"/>
      <c r="M192" s="2092"/>
      <c r="N192" s="2092"/>
      <c r="O192" s="2092"/>
      <c r="P192" s="2267"/>
      <c r="Q192" s="2092"/>
      <c r="R192" s="2092"/>
      <c r="S192" s="2092"/>
      <c r="T192" s="2092"/>
      <c r="U192" s="2092"/>
      <c r="V192" s="2092"/>
      <c r="W192" s="2092"/>
      <c r="X192" s="2092"/>
      <c r="Y192" s="2092"/>
      <c r="Z192" s="2092"/>
      <c r="AA192" s="2092"/>
      <c r="AB192" s="2092"/>
      <c r="AC192" s="2267"/>
      <c r="AD192" s="2267"/>
      <c r="AE192" s="2267"/>
      <c r="AF192" s="2267"/>
      <c r="AG192" s="2092"/>
    </row>
    <row r="193" spans="2:33">
      <c r="B193" s="2092"/>
      <c r="C193" s="2092"/>
      <c r="D193" s="2092"/>
      <c r="E193" s="2092"/>
      <c r="F193" s="2092"/>
      <c r="G193" s="2092"/>
      <c r="H193" s="2092"/>
      <c r="I193" s="2092"/>
      <c r="J193" s="2500"/>
      <c r="K193" s="2092"/>
      <c r="L193" s="2092"/>
      <c r="M193" s="2092"/>
      <c r="N193" s="2092"/>
      <c r="O193" s="2092"/>
      <c r="P193" s="2267"/>
      <c r="Q193" s="2092"/>
      <c r="R193" s="2092"/>
      <c r="S193" s="2092"/>
      <c r="T193" s="2092"/>
      <c r="U193" s="2092"/>
      <c r="V193" s="2092"/>
      <c r="W193" s="2092"/>
      <c r="X193" s="2092"/>
      <c r="Y193" s="2092"/>
      <c r="Z193" s="2092"/>
      <c r="AA193" s="2092"/>
      <c r="AB193" s="2092"/>
      <c r="AC193" s="2267"/>
      <c r="AD193" s="2267"/>
      <c r="AE193" s="2267"/>
      <c r="AF193" s="2267"/>
      <c r="AG193" s="2092"/>
    </row>
    <row r="194" spans="2:33">
      <c r="B194" s="2092"/>
      <c r="C194" s="2092"/>
      <c r="D194" s="2092"/>
      <c r="E194" s="2092"/>
      <c r="F194" s="2092"/>
      <c r="G194" s="2092"/>
      <c r="H194" s="2092"/>
      <c r="I194" s="2092"/>
      <c r="J194" s="2500"/>
      <c r="K194" s="2092"/>
      <c r="L194" s="2092"/>
      <c r="M194" s="2092"/>
      <c r="N194" s="2092"/>
      <c r="O194" s="2092"/>
      <c r="P194" s="2267"/>
      <c r="Q194" s="2092"/>
      <c r="R194" s="2092"/>
      <c r="S194" s="2092"/>
      <c r="T194" s="2092"/>
      <c r="U194" s="2092"/>
      <c r="V194" s="2092"/>
      <c r="W194" s="2092"/>
      <c r="X194" s="2092"/>
      <c r="Y194" s="2092"/>
      <c r="Z194" s="2092"/>
      <c r="AA194" s="2092"/>
      <c r="AB194" s="2092"/>
      <c r="AC194" s="2267"/>
      <c r="AD194" s="2267"/>
      <c r="AE194" s="2267"/>
      <c r="AF194" s="2267"/>
      <c r="AG194" s="2092"/>
    </row>
    <row r="195" spans="2:33">
      <c r="B195" s="2092"/>
      <c r="C195" s="2092"/>
      <c r="D195" s="2092"/>
      <c r="E195" s="2092"/>
      <c r="F195" s="2092"/>
      <c r="G195" s="2092"/>
      <c r="H195" s="2092"/>
      <c r="I195" s="2092"/>
      <c r="J195" s="2500"/>
      <c r="K195" s="2092"/>
      <c r="L195" s="2092"/>
      <c r="M195" s="2092"/>
      <c r="N195" s="2092"/>
      <c r="O195" s="2092"/>
      <c r="P195" s="2267"/>
      <c r="Q195" s="2092"/>
      <c r="R195" s="2092"/>
      <c r="S195" s="2092"/>
      <c r="T195" s="2092"/>
      <c r="U195" s="2092"/>
      <c r="V195" s="2092"/>
      <c r="W195" s="2092"/>
      <c r="X195" s="2092"/>
      <c r="Y195" s="2092"/>
      <c r="Z195" s="2092"/>
      <c r="AA195" s="2092"/>
      <c r="AB195" s="2092"/>
      <c r="AC195" s="2267"/>
      <c r="AD195" s="2267"/>
      <c r="AE195" s="2267"/>
      <c r="AF195" s="2267"/>
      <c r="AG195" s="2092"/>
    </row>
    <row r="196" spans="2:33">
      <c r="B196" s="2092"/>
      <c r="C196" s="2092"/>
      <c r="D196" s="2092"/>
      <c r="E196" s="2092"/>
      <c r="F196" s="2092"/>
      <c r="G196" s="2092"/>
      <c r="H196" s="2092"/>
      <c r="I196" s="2092"/>
      <c r="J196" s="2500"/>
      <c r="K196" s="2092"/>
      <c r="L196" s="2092"/>
      <c r="M196" s="2092"/>
      <c r="N196" s="2092"/>
      <c r="O196" s="2092"/>
      <c r="P196" s="2267"/>
      <c r="Q196" s="2092"/>
      <c r="R196" s="2092"/>
      <c r="S196" s="2092"/>
      <c r="T196" s="2092"/>
      <c r="U196" s="2092"/>
      <c r="V196" s="2092"/>
      <c r="W196" s="2092"/>
      <c r="X196" s="2092"/>
      <c r="Y196" s="2092"/>
      <c r="Z196" s="2092"/>
      <c r="AA196" s="2092"/>
      <c r="AB196" s="2092"/>
      <c r="AC196" s="2267"/>
      <c r="AD196" s="2267"/>
      <c r="AE196" s="2267"/>
      <c r="AF196" s="2267"/>
      <c r="AG196" s="2092"/>
    </row>
    <row r="197" spans="2:33">
      <c r="B197" s="2092"/>
      <c r="C197" s="2092"/>
      <c r="D197" s="2092"/>
      <c r="E197" s="2092"/>
      <c r="F197" s="2092"/>
      <c r="G197" s="2092"/>
      <c r="H197" s="2092"/>
      <c r="I197" s="2092"/>
      <c r="J197" s="2500"/>
      <c r="K197" s="2092"/>
      <c r="L197" s="2092"/>
      <c r="M197" s="2092"/>
      <c r="N197" s="2092"/>
      <c r="O197" s="2092"/>
      <c r="P197" s="2267"/>
      <c r="Q197" s="2092"/>
      <c r="R197" s="2092"/>
      <c r="S197" s="2092"/>
      <c r="T197" s="2092"/>
      <c r="U197" s="2092"/>
      <c r="V197" s="2092"/>
      <c r="W197" s="2092"/>
      <c r="X197" s="2092"/>
      <c r="Y197" s="2092"/>
      <c r="Z197" s="2092"/>
      <c r="AA197" s="2092"/>
      <c r="AB197" s="2092"/>
      <c r="AC197" s="2267"/>
      <c r="AD197" s="2267"/>
      <c r="AE197" s="2267"/>
      <c r="AF197" s="2267"/>
      <c r="AG197" s="2092"/>
    </row>
    <row r="198" spans="2:33">
      <c r="B198" s="2092"/>
      <c r="C198" s="2092"/>
      <c r="D198" s="2092"/>
      <c r="E198" s="2092"/>
      <c r="F198" s="2092"/>
      <c r="G198" s="2092"/>
      <c r="H198" s="2092"/>
      <c r="I198" s="2092"/>
      <c r="J198" s="2500"/>
      <c r="K198" s="2092"/>
      <c r="L198" s="2092"/>
      <c r="M198" s="2092"/>
      <c r="N198" s="2092"/>
      <c r="O198" s="2092"/>
      <c r="P198" s="2267"/>
      <c r="Q198" s="2092"/>
      <c r="R198" s="2092"/>
      <c r="S198" s="2092"/>
      <c r="T198" s="2092"/>
      <c r="U198" s="2092"/>
      <c r="V198" s="2092"/>
      <c r="W198" s="2092"/>
      <c r="X198" s="2092"/>
      <c r="Y198" s="2092"/>
      <c r="Z198" s="2092"/>
      <c r="AA198" s="2092"/>
      <c r="AB198" s="2092"/>
      <c r="AC198" s="2267"/>
      <c r="AD198" s="2267"/>
      <c r="AE198" s="2267"/>
      <c r="AF198" s="2267"/>
      <c r="AG198" s="2092"/>
    </row>
    <row r="199" spans="2:33">
      <c r="B199" s="2092"/>
      <c r="C199" s="2092"/>
      <c r="D199" s="2092"/>
      <c r="E199" s="2092"/>
      <c r="F199" s="2092"/>
      <c r="G199" s="2092"/>
      <c r="H199" s="2092"/>
      <c r="I199" s="2092"/>
      <c r="J199" s="2500"/>
      <c r="K199" s="2092"/>
      <c r="L199" s="2092"/>
      <c r="M199" s="2092"/>
      <c r="N199" s="2092"/>
      <c r="O199" s="2092"/>
      <c r="P199" s="2267"/>
      <c r="Q199" s="2092"/>
      <c r="R199" s="2092"/>
      <c r="S199" s="2092"/>
      <c r="T199" s="2092"/>
      <c r="U199" s="2092"/>
      <c r="V199" s="2092"/>
      <c r="W199" s="2092"/>
      <c r="X199" s="2092"/>
      <c r="Y199" s="2092"/>
      <c r="Z199" s="2092"/>
      <c r="AA199" s="2092"/>
      <c r="AB199" s="2092"/>
      <c r="AC199" s="2267"/>
      <c r="AD199" s="2267"/>
      <c r="AE199" s="2267"/>
      <c r="AF199" s="2267"/>
      <c r="AG199" s="2092"/>
    </row>
    <row r="200" spans="2:33">
      <c r="B200" s="2092"/>
      <c r="C200" s="2092"/>
      <c r="D200" s="2092"/>
      <c r="E200" s="2092"/>
      <c r="F200" s="2092"/>
      <c r="G200" s="2092"/>
      <c r="H200" s="2092"/>
      <c r="I200" s="2092"/>
      <c r="J200" s="2500"/>
      <c r="K200" s="2092"/>
      <c r="L200" s="2092"/>
      <c r="M200" s="2092"/>
      <c r="N200" s="2092"/>
      <c r="O200" s="2092"/>
      <c r="P200" s="2267"/>
      <c r="Q200" s="2092"/>
      <c r="R200" s="2092"/>
      <c r="S200" s="2092"/>
      <c r="T200" s="2092"/>
      <c r="U200" s="2092"/>
      <c r="V200" s="2092"/>
      <c r="W200" s="2092"/>
      <c r="X200" s="2092"/>
      <c r="Y200" s="2092"/>
      <c r="Z200" s="2092"/>
      <c r="AA200" s="2092"/>
      <c r="AB200" s="2092"/>
      <c r="AC200" s="2267"/>
      <c r="AD200" s="2267"/>
      <c r="AE200" s="2267"/>
      <c r="AF200" s="2267"/>
      <c r="AG200" s="2092"/>
    </row>
    <row r="201" spans="2:33">
      <c r="B201" s="2092"/>
      <c r="C201" s="2092"/>
      <c r="D201" s="2092"/>
      <c r="E201" s="2092"/>
      <c r="F201" s="2092"/>
      <c r="G201" s="2092"/>
      <c r="H201" s="2092"/>
      <c r="I201" s="2092"/>
      <c r="J201" s="2500"/>
      <c r="K201" s="2092"/>
      <c r="L201" s="2092"/>
      <c r="M201" s="2092"/>
      <c r="N201" s="2092"/>
      <c r="O201" s="2092"/>
      <c r="P201" s="2267"/>
      <c r="Q201" s="2092"/>
      <c r="R201" s="2092"/>
      <c r="S201" s="2092"/>
      <c r="T201" s="2092"/>
      <c r="U201" s="2092"/>
      <c r="V201" s="2092"/>
      <c r="W201" s="2092"/>
      <c r="X201" s="2092"/>
      <c r="Y201" s="2092"/>
      <c r="Z201" s="2092"/>
      <c r="AA201" s="2092"/>
      <c r="AB201" s="2092"/>
      <c r="AC201" s="2267"/>
      <c r="AD201" s="2267"/>
      <c r="AE201" s="2267"/>
      <c r="AF201" s="2267"/>
      <c r="AG201" s="2092"/>
    </row>
    <row r="202" spans="2:33">
      <c r="B202" s="2092"/>
      <c r="C202" s="2092"/>
      <c r="D202" s="2092"/>
      <c r="E202" s="2092"/>
      <c r="F202" s="2092"/>
      <c r="G202" s="2092"/>
      <c r="H202" s="2092"/>
      <c r="I202" s="2092"/>
      <c r="J202" s="2500"/>
      <c r="K202" s="2092"/>
      <c r="L202" s="2092"/>
      <c r="M202" s="2092"/>
      <c r="N202" s="2092"/>
      <c r="O202" s="2092"/>
      <c r="P202" s="2267"/>
      <c r="Q202" s="2092"/>
      <c r="R202" s="2092"/>
      <c r="S202" s="2092"/>
      <c r="T202" s="2092"/>
      <c r="U202" s="2092"/>
      <c r="V202" s="2092"/>
      <c r="W202" s="2092"/>
      <c r="X202" s="2092"/>
      <c r="Y202" s="2092"/>
      <c r="Z202" s="2092"/>
      <c r="AA202" s="2092"/>
      <c r="AB202" s="2092"/>
      <c r="AC202" s="2267"/>
      <c r="AD202" s="2267"/>
      <c r="AE202" s="2267"/>
      <c r="AF202" s="2267"/>
      <c r="AG202" s="2092"/>
    </row>
    <row r="203" spans="2:33">
      <c r="B203" s="2092"/>
      <c r="C203" s="2092"/>
      <c r="D203" s="2092"/>
      <c r="E203" s="2092"/>
      <c r="F203" s="2092"/>
      <c r="G203" s="2092"/>
      <c r="H203" s="2092"/>
      <c r="I203" s="2092"/>
      <c r="J203" s="2500"/>
      <c r="K203" s="2092"/>
      <c r="L203" s="2092"/>
      <c r="M203" s="2092"/>
      <c r="N203" s="2092"/>
      <c r="O203" s="2092"/>
      <c r="P203" s="2267"/>
      <c r="Q203" s="2092"/>
      <c r="R203" s="2092"/>
      <c r="S203" s="2092"/>
      <c r="T203" s="2092"/>
      <c r="U203" s="2092"/>
      <c r="V203" s="2092"/>
      <c r="W203" s="2092"/>
      <c r="X203" s="2092"/>
      <c r="Y203" s="2092"/>
      <c r="Z203" s="2092"/>
      <c r="AA203" s="2092"/>
      <c r="AB203" s="2092"/>
      <c r="AC203" s="2267"/>
      <c r="AD203" s="2267"/>
      <c r="AE203" s="2267"/>
      <c r="AF203" s="2267"/>
      <c r="AG203" s="2092"/>
    </row>
    <row r="204" spans="2:33">
      <c r="B204" s="2092"/>
      <c r="C204" s="2092"/>
      <c r="D204" s="2092"/>
      <c r="E204" s="2092"/>
      <c r="F204" s="2092"/>
      <c r="G204" s="2092"/>
      <c r="H204" s="2092"/>
      <c r="I204" s="2092"/>
      <c r="J204" s="2500"/>
      <c r="K204" s="2092"/>
      <c r="L204" s="2092"/>
      <c r="M204" s="2092"/>
      <c r="N204" s="2092"/>
      <c r="O204" s="2092"/>
      <c r="P204" s="2267"/>
      <c r="Q204" s="2092"/>
      <c r="R204" s="2092"/>
      <c r="S204" s="2092"/>
      <c r="T204" s="2092"/>
      <c r="U204" s="2092"/>
      <c r="V204" s="2092"/>
      <c r="W204" s="2092"/>
      <c r="X204" s="2092"/>
      <c r="Y204" s="2092"/>
      <c r="Z204" s="2092"/>
      <c r="AA204" s="2092"/>
      <c r="AB204" s="2092"/>
      <c r="AC204" s="2267"/>
      <c r="AD204" s="2267"/>
      <c r="AE204" s="2267"/>
      <c r="AF204" s="2267"/>
      <c r="AG204" s="2092"/>
    </row>
    <row r="205" spans="2:33">
      <c r="B205" s="2092"/>
      <c r="C205" s="2092"/>
      <c r="D205" s="2092"/>
      <c r="E205" s="2092"/>
      <c r="F205" s="2092"/>
      <c r="G205" s="2092"/>
      <c r="H205" s="2092"/>
      <c r="I205" s="2092"/>
      <c r="J205" s="2500"/>
      <c r="K205" s="2092"/>
      <c r="L205" s="2092"/>
      <c r="M205" s="2092"/>
      <c r="N205" s="2092"/>
      <c r="O205" s="2092"/>
      <c r="P205" s="2267"/>
      <c r="Q205" s="2092"/>
      <c r="R205" s="2092"/>
      <c r="S205" s="2092"/>
      <c r="T205" s="2092"/>
      <c r="U205" s="2092"/>
      <c r="V205" s="2092"/>
      <c r="W205" s="2092"/>
      <c r="X205" s="2092"/>
      <c r="Y205" s="2092"/>
      <c r="Z205" s="2092"/>
      <c r="AA205" s="2092"/>
      <c r="AB205" s="2092"/>
      <c r="AC205" s="2267"/>
      <c r="AD205" s="2267"/>
      <c r="AE205" s="2267"/>
      <c r="AF205" s="2267"/>
      <c r="AG205" s="2092"/>
    </row>
    <row r="206" spans="2:33">
      <c r="B206" s="2092"/>
      <c r="C206" s="2092"/>
      <c r="D206" s="2092"/>
      <c r="E206" s="2092"/>
      <c r="F206" s="2092"/>
      <c r="G206" s="2092"/>
      <c r="H206" s="2092"/>
      <c r="I206" s="2092"/>
      <c r="J206" s="2500"/>
      <c r="K206" s="2092"/>
      <c r="L206" s="2092"/>
      <c r="M206" s="2092"/>
      <c r="N206" s="2092"/>
      <c r="O206" s="2092"/>
      <c r="P206" s="2267"/>
      <c r="Q206" s="2092"/>
      <c r="R206" s="2092"/>
      <c r="S206" s="2092"/>
      <c r="T206" s="2092"/>
      <c r="U206" s="2092"/>
      <c r="V206" s="2092"/>
      <c r="W206" s="2092"/>
      <c r="X206" s="2092"/>
      <c r="Y206" s="2092"/>
      <c r="Z206" s="2092"/>
      <c r="AA206" s="2092"/>
      <c r="AB206" s="2092"/>
      <c r="AC206" s="2267"/>
      <c r="AD206" s="2267"/>
      <c r="AE206" s="2267"/>
      <c r="AF206" s="2267"/>
      <c r="AG206" s="2092"/>
    </row>
    <row r="207" spans="2:33">
      <c r="B207" s="2092"/>
      <c r="C207" s="2092"/>
      <c r="D207" s="2092"/>
      <c r="E207" s="2092"/>
      <c r="F207" s="2092"/>
      <c r="G207" s="2092"/>
      <c r="H207" s="2092"/>
      <c r="I207" s="2092"/>
      <c r="J207" s="2500"/>
      <c r="K207" s="2092"/>
      <c r="L207" s="2092"/>
      <c r="M207" s="2092"/>
      <c r="N207" s="2092"/>
      <c r="O207" s="2092"/>
      <c r="P207" s="2267"/>
      <c r="Q207" s="2092"/>
      <c r="R207" s="2092"/>
      <c r="S207" s="2092"/>
      <c r="T207" s="2092"/>
      <c r="U207" s="2092"/>
      <c r="V207" s="2092"/>
      <c r="W207" s="2092"/>
      <c r="X207" s="2092"/>
      <c r="Y207" s="2092"/>
      <c r="Z207" s="2092"/>
      <c r="AA207" s="2092"/>
      <c r="AB207" s="2092"/>
      <c r="AC207" s="2267"/>
      <c r="AD207" s="2267"/>
      <c r="AE207" s="2267"/>
      <c r="AF207" s="2267"/>
      <c r="AG207" s="2092"/>
    </row>
    <row r="208" spans="2:33">
      <c r="B208" s="2092"/>
      <c r="C208" s="2092"/>
      <c r="D208" s="2092"/>
      <c r="E208" s="2092"/>
      <c r="F208" s="2092"/>
      <c r="G208" s="2092"/>
      <c r="H208" s="2092"/>
      <c r="I208" s="2092"/>
      <c r="J208" s="2500"/>
      <c r="K208" s="2092"/>
      <c r="L208" s="2092"/>
      <c r="M208" s="2092"/>
      <c r="N208" s="2092"/>
      <c r="O208" s="2092"/>
      <c r="P208" s="2267"/>
      <c r="Q208" s="2092"/>
      <c r="R208" s="2092"/>
      <c r="S208" s="2092"/>
      <c r="T208" s="2092"/>
      <c r="U208" s="2092"/>
      <c r="V208" s="2092"/>
      <c r="W208" s="2092"/>
      <c r="X208" s="2092"/>
      <c r="Y208" s="2092"/>
      <c r="Z208" s="2092"/>
      <c r="AA208" s="2092"/>
      <c r="AB208" s="2092"/>
      <c r="AC208" s="2267"/>
      <c r="AD208" s="2267"/>
      <c r="AE208" s="2267"/>
      <c r="AF208" s="2267"/>
      <c r="AG208" s="2092"/>
    </row>
    <row r="209" spans="2:33">
      <c r="B209" s="2092"/>
      <c r="C209" s="2092"/>
      <c r="D209" s="2092"/>
      <c r="E209" s="2092"/>
      <c r="F209" s="2092"/>
      <c r="G209" s="2092"/>
      <c r="H209" s="2092"/>
      <c r="I209" s="2092"/>
      <c r="J209" s="2500"/>
      <c r="K209" s="2092"/>
      <c r="L209" s="2092"/>
      <c r="M209" s="2092"/>
      <c r="N209" s="2092"/>
      <c r="O209" s="2092"/>
      <c r="P209" s="2267"/>
      <c r="Q209" s="2092"/>
      <c r="R209" s="2092"/>
      <c r="S209" s="2092"/>
      <c r="T209" s="2092"/>
      <c r="U209" s="2092"/>
      <c r="V209" s="2092"/>
      <c r="W209" s="2092"/>
      <c r="X209" s="2092"/>
      <c r="Y209" s="2092"/>
      <c r="Z209" s="2092"/>
      <c r="AA209" s="2092"/>
      <c r="AB209" s="2092"/>
      <c r="AC209" s="2267"/>
      <c r="AD209" s="2267"/>
      <c r="AE209" s="2267"/>
      <c r="AF209" s="2267"/>
      <c r="AG209" s="2092"/>
    </row>
    <row r="210" spans="2:33">
      <c r="B210" s="2092"/>
      <c r="C210" s="2092"/>
      <c r="D210" s="2092"/>
      <c r="E210" s="2092"/>
      <c r="F210" s="2092"/>
      <c r="G210" s="2092"/>
      <c r="H210" s="2092"/>
      <c r="I210" s="2092"/>
      <c r="J210" s="2500"/>
      <c r="K210" s="2092"/>
      <c r="L210" s="2092"/>
      <c r="M210" s="2092"/>
      <c r="N210" s="2092"/>
      <c r="O210" s="2092"/>
      <c r="P210" s="2267"/>
      <c r="Q210" s="2092"/>
      <c r="R210" s="2092"/>
      <c r="S210" s="2092"/>
      <c r="T210" s="2092"/>
      <c r="U210" s="2092"/>
      <c r="V210" s="2092"/>
      <c r="W210" s="2092"/>
      <c r="X210" s="2092"/>
      <c r="Y210" s="2092"/>
      <c r="Z210" s="2092"/>
      <c r="AA210" s="2092"/>
      <c r="AB210" s="2092"/>
      <c r="AC210" s="2267"/>
      <c r="AD210" s="2267"/>
      <c r="AE210" s="2267"/>
      <c r="AF210" s="2267"/>
      <c r="AG210" s="2092"/>
    </row>
    <row r="211" spans="2:33">
      <c r="B211" s="2092"/>
      <c r="C211" s="2092"/>
      <c r="D211" s="2092"/>
      <c r="E211" s="2092"/>
      <c r="F211" s="2092"/>
      <c r="G211" s="2092"/>
      <c r="H211" s="2092"/>
      <c r="I211" s="2092"/>
      <c r="J211" s="2500"/>
      <c r="K211" s="2092"/>
      <c r="L211" s="2092"/>
      <c r="M211" s="2092"/>
      <c r="N211" s="2092"/>
      <c r="O211" s="2092"/>
      <c r="P211" s="2267"/>
      <c r="Q211" s="2092"/>
      <c r="R211" s="2092"/>
      <c r="S211" s="2092"/>
      <c r="T211" s="2092"/>
      <c r="U211" s="2092"/>
      <c r="V211" s="2092"/>
      <c r="W211" s="2092"/>
      <c r="X211" s="2092"/>
      <c r="Y211" s="2092"/>
      <c r="Z211" s="2092"/>
      <c r="AA211" s="2092"/>
      <c r="AB211" s="2092"/>
      <c r="AC211" s="2267"/>
      <c r="AD211" s="2267"/>
      <c r="AE211" s="2267"/>
      <c r="AF211" s="2267"/>
      <c r="AG211" s="2092"/>
    </row>
    <row r="212" spans="2:33">
      <c r="B212" s="2092"/>
      <c r="C212" s="2092"/>
      <c r="D212" s="2092"/>
      <c r="E212" s="2092"/>
      <c r="F212" s="2092"/>
      <c r="G212" s="2092"/>
      <c r="H212" s="2092"/>
      <c r="I212" s="2092"/>
      <c r="J212" s="2500"/>
      <c r="K212" s="2092"/>
      <c r="L212" s="2092"/>
      <c r="M212" s="2092"/>
      <c r="N212" s="2092"/>
      <c r="O212" s="2092"/>
      <c r="P212" s="2267"/>
      <c r="Q212" s="2092"/>
      <c r="R212" s="2092"/>
      <c r="S212" s="2092"/>
      <c r="T212" s="2092"/>
      <c r="U212" s="2092"/>
      <c r="V212" s="2092"/>
      <c r="W212" s="2092"/>
      <c r="X212" s="2092"/>
      <c r="Y212" s="2092"/>
      <c r="Z212" s="2092"/>
      <c r="AA212" s="2092"/>
      <c r="AB212" s="2092"/>
      <c r="AC212" s="2267"/>
      <c r="AD212" s="2267"/>
      <c r="AE212" s="2267"/>
      <c r="AF212" s="2267"/>
      <c r="AG212" s="2092"/>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91:AK92 AK52:AK56 AK58:AK62 AK32:AK33 AK35:AK47 AK64:AK65 AK109:AK114 AK24:AK30 AK94:AK99" unlockedFormula="1"/>
    <ignoredError sqref="AI20 AK78 AK85 AK48 D22 J22 AK83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77734375" defaultRowHeight="15"/>
  <cols>
    <col min="1" max="1" width="1.77734375" style="2089" customWidth="1"/>
    <col min="2" max="2" width="45.44140625" style="2089" customWidth="1"/>
    <col min="3" max="3" width="1.77734375" style="2089" customWidth="1"/>
    <col min="4" max="4" width="12.44140625" style="2089" bestFit="1" customWidth="1"/>
    <col min="5" max="5" width="1.77734375" style="2608" customWidth="1"/>
    <col min="6" max="6" width="12.21875" style="2089" bestFit="1" customWidth="1"/>
    <col min="7" max="7" width="1.77734375" style="2608" customWidth="1"/>
    <col min="8" max="8" width="12.21875" style="2089" customWidth="1"/>
    <col min="9" max="9" width="1.77734375" style="2608" customWidth="1"/>
    <col min="10" max="10" width="9.5546875" style="2089" customWidth="1"/>
    <col min="11" max="11" width="1.77734375" style="2608" customWidth="1"/>
    <col min="12" max="12" width="13.44140625" style="2089" customWidth="1"/>
    <col min="13" max="13" width="1.77734375" style="2608" customWidth="1"/>
    <col min="14" max="14" width="14.21875" style="2089" customWidth="1"/>
    <col min="15" max="15" width="1.77734375" style="2608" customWidth="1"/>
    <col min="16" max="16" width="14.21875" style="2089" customWidth="1"/>
    <col min="17" max="17" width="1.77734375" style="2608" customWidth="1"/>
    <col min="18" max="18" width="14.21875" style="2089" customWidth="1"/>
    <col min="19" max="19" width="1.77734375" style="2608" customWidth="1"/>
    <col min="20" max="20" width="14.21875" style="2260" customWidth="1"/>
    <col min="21" max="21" width="1.77734375" style="2608" customWidth="1"/>
    <col min="22" max="22" width="14.21875" style="2089" customWidth="1"/>
    <col min="23" max="23" width="1.77734375" style="2608" customWidth="1"/>
    <col min="24" max="24" width="14.21875" style="2089" customWidth="1"/>
    <col min="25" max="25" width="1.77734375" style="2608" customWidth="1"/>
    <col min="26" max="26" width="14.21875" style="2089" customWidth="1"/>
    <col min="27" max="27" width="1.77734375" style="2089" customWidth="1"/>
    <col min="28" max="28" width="14.21875" style="2089" bestFit="1" customWidth="1"/>
    <col min="29" max="29" width="1.77734375" style="2089" customWidth="1"/>
    <col min="30" max="30" width="12.5546875" style="2260" bestFit="1" customWidth="1"/>
    <col min="31" max="31" width="1.44140625" style="2260" customWidth="1"/>
    <col min="32" max="32" width="1.21875" style="2260" customWidth="1"/>
    <col min="33" max="33" width="12.5546875" style="2260" bestFit="1" customWidth="1"/>
    <col min="34" max="34" width="0.77734375" style="2260" customWidth="1"/>
    <col min="35" max="35" width="0.77734375" style="2089" customWidth="1"/>
    <col min="36" max="36" width="12.77734375" style="2089" customWidth="1"/>
    <col min="37" max="37" width="0.77734375" style="2089" customWidth="1"/>
    <col min="38" max="38" width="10.77734375" style="1473" customWidth="1"/>
    <col min="39" max="16384" width="8.77734375" style="2089"/>
  </cols>
  <sheetData>
    <row r="1" spans="1:43">
      <c r="B1" s="2310" t="s">
        <v>980</v>
      </c>
    </row>
    <row r="2" spans="1:43" ht="15.75">
      <c r="A2" s="2605"/>
      <c r="N2" s="2504"/>
    </row>
    <row r="3" spans="1:43" s="2260" customFormat="1" ht="18">
      <c r="A3" s="3260"/>
      <c r="B3" s="3261" t="s">
        <v>0</v>
      </c>
      <c r="E3" s="2621"/>
      <c r="G3" s="2621"/>
      <c r="I3" s="2621"/>
      <c r="K3" s="2621"/>
      <c r="M3" s="2621"/>
      <c r="N3" s="2633"/>
      <c r="O3" s="2621"/>
      <c r="Q3" s="2621"/>
      <c r="S3" s="2621"/>
      <c r="U3" s="2621"/>
      <c r="W3" s="2621"/>
      <c r="Y3" s="2621"/>
      <c r="AE3" s="3262"/>
      <c r="AF3" s="3262"/>
      <c r="AG3" s="3262"/>
      <c r="AH3" s="3262"/>
      <c r="AI3" s="3262"/>
      <c r="AJ3" s="3262"/>
      <c r="AK3" s="3262"/>
      <c r="AL3" s="3263" t="s">
        <v>169</v>
      </c>
    </row>
    <row r="4" spans="1:43" s="2260" customFormat="1" ht="18">
      <c r="A4" s="3260"/>
      <c r="B4" s="3261" t="s">
        <v>1191</v>
      </c>
      <c r="E4" s="2621"/>
      <c r="G4" s="2621"/>
      <c r="I4" s="2621"/>
      <c r="K4" s="2621"/>
      <c r="L4" s="2633"/>
      <c r="M4" s="2621"/>
      <c r="O4" s="2621"/>
      <c r="Q4" s="2621"/>
      <c r="S4" s="2621"/>
      <c r="U4" s="2621"/>
      <c r="W4" s="2621"/>
      <c r="Y4" s="2621"/>
      <c r="AL4" s="3264"/>
    </row>
    <row r="5" spans="1:43" s="2260" customFormat="1" ht="18">
      <c r="A5" s="3260"/>
      <c r="B5" s="1516" t="s">
        <v>149</v>
      </c>
      <c r="E5" s="2621"/>
      <c r="G5" s="2621"/>
      <c r="I5" s="2621"/>
      <c r="K5" s="2621"/>
      <c r="L5" s="2542"/>
      <c r="M5" s="2621"/>
      <c r="O5" s="2621"/>
      <c r="Q5" s="2621"/>
      <c r="S5" s="2621"/>
      <c r="U5" s="2621"/>
      <c r="W5" s="2621"/>
      <c r="X5" s="2266"/>
      <c r="Y5" s="2621"/>
      <c r="AL5" s="3264"/>
    </row>
    <row r="6" spans="1:43" s="2260" customFormat="1" ht="20.25">
      <c r="A6" s="3260"/>
      <c r="B6" s="1516" t="str">
        <f>'Cashflow Governmental'!A6</f>
        <v>FISCAL YEAR 2019-2020</v>
      </c>
      <c r="E6" s="2621"/>
      <c r="G6" s="2621"/>
      <c r="I6" s="2621"/>
      <c r="K6" s="2621"/>
      <c r="L6" s="2542"/>
      <c r="M6" s="2621"/>
      <c r="O6" s="2621"/>
      <c r="Q6" s="2621"/>
      <c r="S6" s="2621"/>
      <c r="U6" s="2621"/>
      <c r="W6" s="2621"/>
      <c r="Y6" s="2621"/>
      <c r="AL6" s="3265"/>
    </row>
    <row r="7" spans="1:43" s="2260" customFormat="1" ht="18">
      <c r="A7" s="3260"/>
      <c r="B7" s="3261" t="s">
        <v>1435</v>
      </c>
      <c r="E7" s="2621"/>
      <c r="G7" s="2621"/>
      <c r="I7" s="2621"/>
      <c r="K7" s="2621"/>
      <c r="M7" s="2621"/>
      <c r="O7" s="2621"/>
      <c r="Q7" s="2621"/>
      <c r="S7" s="2621"/>
      <c r="U7" s="2621"/>
      <c r="W7" s="2621"/>
      <c r="Y7" s="2621"/>
      <c r="AI7" s="2542"/>
      <c r="AJ7" s="2542"/>
      <c r="AK7" s="2542"/>
      <c r="AL7" s="2583"/>
    </row>
    <row r="8" spans="1:43">
      <c r="A8" s="2605"/>
      <c r="L8" s="2111"/>
      <c r="N8" s="2111"/>
      <c r="AC8" s="2111"/>
      <c r="AD8" s="2542"/>
      <c r="AE8" s="2542"/>
      <c r="AF8" s="2542"/>
      <c r="AG8" s="2542"/>
      <c r="AH8" s="2542"/>
      <c r="AI8" s="2111"/>
      <c r="AJ8" s="2111"/>
      <c r="AK8" s="2111"/>
      <c r="AL8" s="2546"/>
    </row>
    <row r="9" spans="1:43" s="2092" customFormat="1" ht="19.5" customHeight="1">
      <c r="A9" s="2499"/>
      <c r="E9" s="2608"/>
      <c r="G9" s="2608"/>
      <c r="I9" s="2608"/>
      <c r="K9" s="2608"/>
      <c r="L9" s="2610"/>
      <c r="M9" s="2608"/>
      <c r="N9" s="2610"/>
      <c r="O9" s="2608"/>
      <c r="Q9" s="2608"/>
      <c r="S9" s="2608"/>
      <c r="T9" s="2267"/>
      <c r="U9" s="2608"/>
      <c r="W9" s="2608"/>
      <c r="Y9" s="2608"/>
      <c r="AB9" s="2518" t="s">
        <v>1288</v>
      </c>
      <c r="AC9" s="3809" t="s">
        <v>1473</v>
      </c>
      <c r="AD9" s="3809"/>
      <c r="AE9" s="3809"/>
      <c r="AF9" s="3809"/>
      <c r="AG9" s="3809"/>
      <c r="AH9" s="3809"/>
      <c r="AI9" s="3809"/>
      <c r="AJ9" s="3809"/>
      <c r="AK9" s="3809"/>
      <c r="AL9" s="3809"/>
    </row>
    <row r="10" spans="1:43" ht="15.75">
      <c r="A10" s="2605"/>
      <c r="D10" s="2611" t="str">
        <f>'Cashflow Governmental'!C13</f>
        <v>2019</v>
      </c>
      <c r="F10" s="2504"/>
      <c r="H10" s="2504"/>
      <c r="J10" s="2504"/>
      <c r="L10" s="2504"/>
      <c r="N10" s="2504"/>
      <c r="P10" s="2504"/>
      <c r="R10" s="2504"/>
      <c r="T10" s="2633"/>
      <c r="V10" s="2611" t="str">
        <f>'Cashflow Governmental'!U13</f>
        <v>2020</v>
      </c>
      <c r="X10" s="2504"/>
      <c r="Z10" s="2504"/>
      <c r="AA10" s="2504"/>
      <c r="AB10" s="2518" t="s">
        <v>1289</v>
      </c>
      <c r="AC10" s="2504"/>
      <c r="AD10" s="2514"/>
      <c r="AE10" s="2514"/>
      <c r="AF10" s="2514"/>
      <c r="AG10" s="2514"/>
      <c r="AH10" s="2514"/>
      <c r="AI10" s="2505"/>
      <c r="AJ10" s="2516" t="s">
        <v>8</v>
      </c>
      <c r="AK10" s="2512"/>
      <c r="AL10" s="2517" t="s">
        <v>9</v>
      </c>
      <c r="AM10" s="2505"/>
      <c r="AN10" s="2505"/>
      <c r="AO10" s="2505"/>
      <c r="AP10" s="2505"/>
      <c r="AQ10" s="2505"/>
    </row>
    <row r="11" spans="1:43" ht="15.75">
      <c r="A11" s="2605"/>
      <c r="D11" s="2518" t="s">
        <v>125</v>
      </c>
      <c r="F11" s="2518" t="s">
        <v>126</v>
      </c>
      <c r="H11" s="2518" t="s">
        <v>127</v>
      </c>
      <c r="J11" s="2518" t="s">
        <v>128</v>
      </c>
      <c r="L11" s="2612" t="s">
        <v>129</v>
      </c>
      <c r="N11" s="2518" t="s">
        <v>144</v>
      </c>
      <c r="P11" s="2518" t="s">
        <v>145</v>
      </c>
      <c r="R11" s="2518" t="s">
        <v>132</v>
      </c>
      <c r="T11" s="3569" t="s">
        <v>133</v>
      </c>
      <c r="V11" s="2518" t="s">
        <v>134</v>
      </c>
      <c r="X11" s="2518" t="s">
        <v>135</v>
      </c>
      <c r="Z11" s="2518" t="s">
        <v>186</v>
      </c>
      <c r="AA11" s="2518"/>
      <c r="AB11" s="2612" t="s">
        <v>1290</v>
      </c>
      <c r="AC11" s="2504"/>
      <c r="AD11" s="2675" t="str">
        <f>'Cashflow Governmental'!AB14</f>
        <v>2019</v>
      </c>
      <c r="AE11" s="2633" t="s">
        <v>15</v>
      </c>
      <c r="AF11" s="2636"/>
      <c r="AG11" s="2675" t="str">
        <f>'Cashflow Governmental'!AE14</f>
        <v>2018</v>
      </c>
      <c r="AH11" s="3674"/>
      <c r="AI11" s="2505"/>
      <c r="AJ11" s="2523" t="s">
        <v>12</v>
      </c>
      <c r="AK11" s="2505"/>
      <c r="AL11" s="2523" t="s">
        <v>13</v>
      </c>
      <c r="AM11" s="2505"/>
      <c r="AN11" s="2505"/>
      <c r="AO11" s="2505"/>
      <c r="AP11" s="2505"/>
      <c r="AQ11" s="2505"/>
    </row>
    <row r="12" spans="1:43" ht="5.25" customHeight="1">
      <c r="A12" s="2605"/>
      <c r="D12" s="2525"/>
      <c r="F12" s="2525"/>
      <c r="H12" s="2525"/>
      <c r="J12" s="2525"/>
      <c r="L12" s="2525"/>
      <c r="N12" s="2613"/>
      <c r="P12" s="2525"/>
      <c r="R12" s="2525"/>
      <c r="T12" s="3200"/>
      <c r="V12" s="2525"/>
      <c r="X12" s="2525"/>
      <c r="Z12" s="2525"/>
      <c r="AA12" s="2088"/>
      <c r="AD12" s="3200"/>
      <c r="AG12" s="3200"/>
      <c r="AH12" s="2259"/>
      <c r="AI12" s="2614"/>
    </row>
    <row r="13" spans="1:43" ht="15" customHeight="1">
      <c r="A13" s="2111"/>
      <c r="B13" s="2615" t="s">
        <v>1247</v>
      </c>
      <c r="C13" s="2111"/>
      <c r="D13" s="2096">
        <f>'Exhibit G State'!D13+'Exhibit G Federal'!D13</f>
        <v>3842.4000000000005</v>
      </c>
      <c r="F13" s="2532">
        <f>D120</f>
        <v>7002.4</v>
      </c>
      <c r="H13" s="2532">
        <f>F120</f>
        <v>6268.9</v>
      </c>
      <c r="J13" s="2532">
        <f>H120</f>
        <v>7986.6</v>
      </c>
      <c r="L13" s="2532"/>
      <c r="N13" s="2532"/>
      <c r="P13" s="2532"/>
      <c r="R13" s="2532"/>
      <c r="T13" s="2096"/>
      <c r="V13" s="2532"/>
      <c r="X13" s="2532"/>
      <c r="Z13" s="2532"/>
      <c r="AA13" s="2532"/>
      <c r="AB13" s="2532">
        <v>0</v>
      </c>
      <c r="AC13" s="2616"/>
      <c r="AD13" s="2096">
        <f>D13</f>
        <v>3842.4000000000005</v>
      </c>
      <c r="AE13" s="2096"/>
      <c r="AF13" s="3648"/>
      <c r="AG13" s="2530">
        <f>'Exhibit G State'!AG13+'Exhibit G Federal'!AG13</f>
        <v>4302.1000000000004</v>
      </c>
      <c r="AH13" s="3675"/>
      <c r="AI13" s="2086"/>
      <c r="AJ13" s="2617">
        <f>AD13-AG13</f>
        <v>-459.69999999999982</v>
      </c>
      <c r="AK13" s="2618"/>
      <c r="AL13" s="2568">
        <f>(AD13-AG13)/AG13</f>
        <v>-0.10685479184584268</v>
      </c>
      <c r="AM13" s="2091"/>
      <c r="AN13" s="2091"/>
      <c r="AO13" s="2091"/>
      <c r="AP13" s="2091"/>
      <c r="AQ13" s="2091"/>
    </row>
    <row r="14" spans="1:43" ht="15" customHeight="1">
      <c r="A14" s="2111"/>
      <c r="B14" s="2111"/>
      <c r="C14" s="2111"/>
      <c r="AC14" s="2619"/>
      <c r="AF14" s="3649"/>
      <c r="AH14" s="3676"/>
      <c r="AI14" s="2088"/>
      <c r="AL14" s="1471"/>
    </row>
    <row r="15" spans="1:43" ht="15" customHeight="1">
      <c r="A15" s="2111"/>
      <c r="B15" s="2504" t="s">
        <v>14</v>
      </c>
      <c r="C15" s="2111"/>
      <c r="D15" s="2073"/>
      <c r="F15" s="2073"/>
      <c r="H15" s="2073"/>
      <c r="J15" s="2073"/>
      <c r="L15" s="2073"/>
      <c r="N15" s="2073"/>
      <c r="P15" s="2073"/>
      <c r="R15" s="2073"/>
      <c r="T15" s="2062"/>
      <c r="V15" s="2073"/>
      <c r="X15" s="2073"/>
      <c r="Z15" s="2073"/>
      <c r="AA15" s="2073"/>
      <c r="AB15" s="2073"/>
      <c r="AC15" s="2104"/>
      <c r="AD15" s="2062"/>
      <c r="AE15" s="2062"/>
      <c r="AF15" s="2106"/>
      <c r="AG15" s="2062"/>
      <c r="AH15" s="3677"/>
      <c r="AI15" s="2074"/>
      <c r="AJ15" s="2073"/>
      <c r="AL15" s="1471"/>
    </row>
    <row r="16" spans="1:43" ht="15" customHeight="1">
      <c r="A16" s="2111"/>
      <c r="B16" s="2539" t="s">
        <v>1098</v>
      </c>
      <c r="C16" s="2111"/>
      <c r="D16" s="2073"/>
      <c r="F16" s="2073"/>
      <c r="H16" s="2073"/>
      <c r="J16" s="2073"/>
      <c r="L16" s="2073"/>
      <c r="N16" s="2073"/>
      <c r="P16" s="2073"/>
      <c r="R16" s="2073"/>
      <c r="T16" s="2062"/>
      <c r="V16" s="2073"/>
      <c r="X16" s="2073"/>
      <c r="Z16" s="2073"/>
      <c r="AA16" s="2073"/>
      <c r="AB16" s="2073"/>
      <c r="AC16" s="2104"/>
      <c r="AD16" s="2062"/>
      <c r="AE16" s="2062"/>
      <c r="AF16" s="2106"/>
      <c r="AG16" s="2062"/>
      <c r="AH16" s="3677"/>
      <c r="AI16" s="2074"/>
      <c r="AJ16" s="2073"/>
      <c r="AL16" s="1471"/>
    </row>
    <row r="17" spans="1:38" s="2505" customFormat="1" ht="15" customHeight="1">
      <c r="A17" s="2504"/>
      <c r="B17" s="2620" t="s">
        <v>1101</v>
      </c>
      <c r="C17" s="2504"/>
      <c r="D17" s="2067">
        <f>'Exhibit G State'!D17</f>
        <v>0</v>
      </c>
      <c r="E17" s="1483"/>
      <c r="F17" s="2067">
        <f>'Exhibit G State'!F17</f>
        <v>0</v>
      </c>
      <c r="G17" s="1483"/>
      <c r="H17" s="2067">
        <f>'Exhibit G State'!H17</f>
        <v>0</v>
      </c>
      <c r="I17" s="2608"/>
      <c r="J17" s="2067">
        <f>'Exhibit G State'!J17</f>
        <v>0</v>
      </c>
      <c r="K17" s="2621"/>
      <c r="L17" s="2067"/>
      <c r="M17" s="2621"/>
      <c r="N17" s="2067"/>
      <c r="O17" s="2621"/>
      <c r="P17" s="2067"/>
      <c r="Q17" s="2621"/>
      <c r="R17" s="2067"/>
      <c r="S17" s="2621"/>
      <c r="T17" s="2067"/>
      <c r="U17" s="2621"/>
      <c r="V17" s="2067"/>
      <c r="W17" s="2621"/>
      <c r="X17" s="2067"/>
      <c r="Y17" s="2621"/>
      <c r="Z17" s="2067"/>
      <c r="AA17" s="2067"/>
      <c r="AB17" s="1483">
        <v>0</v>
      </c>
      <c r="AC17" s="2616"/>
      <c r="AD17" s="2067">
        <f>ROUND(SUM(D17:Z17),1)</f>
        <v>0</v>
      </c>
      <c r="AE17" s="2067"/>
      <c r="AF17" s="2068"/>
      <c r="AG17" s="2099">
        <f>'Exhibit G State'!AG17</f>
        <v>0</v>
      </c>
      <c r="AH17" s="3678"/>
      <c r="AI17" s="2554"/>
      <c r="AJ17" s="1483">
        <f>ROUND(SUM(+AD17-AG17),1)</f>
        <v>0</v>
      </c>
      <c r="AK17" s="2622"/>
      <c r="AL17" s="1478">
        <f>ROUND(IF(AG17=0,0,AJ17/ABS(AG17)),3)</f>
        <v>0</v>
      </c>
    </row>
    <row r="18" spans="1:38" s="2505" customFormat="1" ht="6" customHeight="1">
      <c r="A18" s="2504"/>
      <c r="B18" s="2620"/>
      <c r="C18" s="2504"/>
      <c r="D18" s="2623"/>
      <c r="E18" s="2608"/>
      <c r="F18" s="2623"/>
      <c r="G18" s="2608"/>
      <c r="H18" s="2623"/>
      <c r="I18" s="2608"/>
      <c r="J18" s="2623"/>
      <c r="K18" s="2621"/>
      <c r="L18" s="2623"/>
      <c r="M18" s="2621"/>
      <c r="N18" s="2623"/>
      <c r="O18" s="2621"/>
      <c r="P18" s="2623"/>
      <c r="Q18" s="2621"/>
      <c r="R18" s="2623"/>
      <c r="S18" s="2621"/>
      <c r="T18" s="2623"/>
      <c r="U18" s="2621"/>
      <c r="V18" s="2623"/>
      <c r="W18" s="2621"/>
      <c r="X18" s="2623"/>
      <c r="Y18" s="2621"/>
      <c r="Z18" s="2623"/>
      <c r="AA18" s="2623"/>
      <c r="AB18" s="2532"/>
      <c r="AC18" s="2616"/>
      <c r="AD18" s="2093"/>
      <c r="AE18" s="2093"/>
      <c r="AF18" s="3650"/>
      <c r="AG18" s="2095"/>
      <c r="AH18" s="3679"/>
      <c r="AI18" s="2625"/>
      <c r="AJ18" s="2624"/>
      <c r="AK18" s="2622"/>
      <c r="AL18" s="1478"/>
    </row>
    <row r="19" spans="1:38" ht="15" customHeight="1">
      <c r="A19" s="2111"/>
      <c r="B19" s="2620" t="s">
        <v>1162</v>
      </c>
      <c r="C19" s="2111"/>
      <c r="D19" s="2062"/>
      <c r="F19" s="2062"/>
      <c r="H19" s="2062"/>
      <c r="J19" s="2062"/>
      <c r="K19" s="2621"/>
      <c r="L19" s="2062"/>
      <c r="M19" s="2621"/>
      <c r="N19" s="2062"/>
      <c r="O19" s="2621"/>
      <c r="P19" s="2062"/>
      <c r="Q19" s="2621"/>
      <c r="R19" s="2062"/>
      <c r="S19" s="2621"/>
      <c r="T19" s="2062"/>
      <c r="U19" s="2621"/>
      <c r="V19" s="2062"/>
      <c r="W19" s="2621"/>
      <c r="X19" s="2062"/>
      <c r="Y19" s="2621"/>
      <c r="Z19" s="2062"/>
      <c r="AA19" s="2062"/>
      <c r="AB19" s="2073"/>
      <c r="AC19" s="2104"/>
      <c r="AD19" s="2117"/>
      <c r="AE19" s="2117"/>
      <c r="AF19" s="2634"/>
      <c r="AG19" s="2117"/>
      <c r="AH19" s="3680"/>
      <c r="AI19" s="1484"/>
      <c r="AJ19" s="1501"/>
      <c r="AK19" s="2505"/>
      <c r="AL19" s="2568"/>
    </row>
    <row r="20" spans="1:38" ht="15" customHeight="1">
      <c r="A20" s="2111"/>
      <c r="B20" s="2626" t="s">
        <v>1113</v>
      </c>
      <c r="C20" s="2111"/>
      <c r="D20" s="2067">
        <f>'Exhibit G State'!D20</f>
        <v>124.1</v>
      </c>
      <c r="E20" s="1483"/>
      <c r="F20" s="2067">
        <f>'Exhibit G State'!F20</f>
        <v>76.400000000000006</v>
      </c>
      <c r="G20" s="1483"/>
      <c r="H20" s="2067">
        <f>'Exhibit G State'!H20</f>
        <v>102.80000000000001</v>
      </c>
      <c r="J20" s="2067">
        <f>'Exhibit G State'!J20</f>
        <v>79.099999999999937</v>
      </c>
      <c r="K20" s="2621"/>
      <c r="L20" s="2067"/>
      <c r="M20" s="2621"/>
      <c r="N20" s="2067"/>
      <c r="O20" s="2621"/>
      <c r="P20" s="2067"/>
      <c r="Q20" s="2621"/>
      <c r="R20" s="2067"/>
      <c r="S20" s="2621"/>
      <c r="T20" s="2067"/>
      <c r="U20" s="2621"/>
      <c r="V20" s="2067"/>
      <c r="W20" s="2621"/>
      <c r="X20" s="2067"/>
      <c r="Y20" s="2621"/>
      <c r="Z20" s="2067"/>
      <c r="AA20" s="2067"/>
      <c r="AB20" s="2073">
        <v>0</v>
      </c>
      <c r="AC20" s="2104"/>
      <c r="AD20" s="2062">
        <f>ROUND(SUM(D20:Z20),1)</f>
        <v>382.4</v>
      </c>
      <c r="AE20" s="2062"/>
      <c r="AF20" s="2106"/>
      <c r="AG20" s="2099">
        <f>'Exhibit G State'!AG20</f>
        <v>346</v>
      </c>
      <c r="AH20" s="3677"/>
      <c r="AI20" s="2074"/>
      <c r="AJ20" s="1483">
        <f t="shared" ref="AJ20:AJ27" si="0">ROUND(SUM(+AD20-AG20),1)</f>
        <v>36.4</v>
      </c>
      <c r="AK20" s="2622"/>
      <c r="AL20" s="1478">
        <f t="shared" ref="AL20:AL27" si="1">ROUND(IF(AG20=0,0,AJ20/ABS(AG20)),3)</f>
        <v>0.105</v>
      </c>
    </row>
    <row r="21" spans="1:38" ht="15" customHeight="1">
      <c r="A21" s="2111"/>
      <c r="B21" s="2626" t="s">
        <v>1114</v>
      </c>
      <c r="C21" s="2111"/>
      <c r="D21" s="2067">
        <f>'Exhibit G State'!D21</f>
        <v>0</v>
      </c>
      <c r="E21" s="1483"/>
      <c r="F21" s="2067">
        <f>'Exhibit G State'!F21</f>
        <v>0</v>
      </c>
      <c r="G21" s="1483"/>
      <c r="H21" s="2067">
        <f>'Exhibit G State'!H21</f>
        <v>0</v>
      </c>
      <c r="J21" s="2067">
        <f>'Exhibit G State'!J21</f>
        <v>0</v>
      </c>
      <c r="K21" s="2621"/>
      <c r="L21" s="2067"/>
      <c r="M21" s="2621"/>
      <c r="N21" s="2067"/>
      <c r="O21" s="2621"/>
      <c r="P21" s="2067"/>
      <c r="Q21" s="2621"/>
      <c r="R21" s="2067"/>
      <c r="S21" s="2621"/>
      <c r="T21" s="2067"/>
      <c r="U21" s="2621"/>
      <c r="V21" s="2067"/>
      <c r="W21" s="2621"/>
      <c r="X21" s="2067"/>
      <c r="Y21" s="2621"/>
      <c r="Z21" s="2067"/>
      <c r="AA21" s="2067"/>
      <c r="AB21" s="2073">
        <v>0</v>
      </c>
      <c r="AC21" s="2104"/>
      <c r="AD21" s="2062">
        <f>ROUND(SUM(D21:Z21),1)</f>
        <v>0</v>
      </c>
      <c r="AE21" s="2062"/>
      <c r="AF21" s="2106"/>
      <c r="AG21" s="2099">
        <f>'Exhibit G State'!AG21</f>
        <v>12</v>
      </c>
      <c r="AH21" s="3677"/>
      <c r="AI21" s="2074"/>
      <c r="AJ21" s="1483">
        <f t="shared" si="0"/>
        <v>-12</v>
      </c>
      <c r="AK21" s="2622"/>
      <c r="AL21" s="1478">
        <f t="shared" si="1"/>
        <v>-1</v>
      </c>
    </row>
    <row r="22" spans="1:38" ht="15" customHeight="1">
      <c r="A22" s="2111"/>
      <c r="B22" s="2626" t="s">
        <v>1115</v>
      </c>
      <c r="C22" s="2111"/>
      <c r="D22" s="2067">
        <f>'Exhibit G State'!D22</f>
        <v>63.2</v>
      </c>
      <c r="E22" s="1483"/>
      <c r="F22" s="2067">
        <f>'Exhibit G State'!F22</f>
        <v>59.399999999999991</v>
      </c>
      <c r="G22" s="1483"/>
      <c r="H22" s="2067">
        <f>'Exhibit G State'!H22</f>
        <v>57.300000000000011</v>
      </c>
      <c r="J22" s="2067">
        <f>'Exhibit G State'!J22</f>
        <v>75.400000000000034</v>
      </c>
      <c r="K22" s="2621"/>
      <c r="L22" s="2067"/>
      <c r="M22" s="2621"/>
      <c r="N22" s="2067"/>
      <c r="O22" s="2621"/>
      <c r="P22" s="2067"/>
      <c r="Q22" s="2621"/>
      <c r="R22" s="2067"/>
      <c r="S22" s="2621"/>
      <c r="T22" s="2067"/>
      <c r="U22" s="2621"/>
      <c r="V22" s="2067"/>
      <c r="W22" s="2621"/>
      <c r="X22" s="2067"/>
      <c r="Y22" s="2621"/>
      <c r="Z22" s="2067"/>
      <c r="AA22" s="2067"/>
      <c r="AB22" s="2073">
        <v>0</v>
      </c>
      <c r="AC22" s="2104"/>
      <c r="AD22" s="2062">
        <f t="shared" ref="AD22:AD27" si="2">ROUND(SUM(D22:Z22),1)</f>
        <v>255.3</v>
      </c>
      <c r="AE22" s="2062"/>
      <c r="AF22" s="2106"/>
      <c r="AG22" s="2099">
        <f>'Exhibit G State'!AG22</f>
        <v>283.5</v>
      </c>
      <c r="AH22" s="3677"/>
      <c r="AI22" s="2074"/>
      <c r="AJ22" s="1483">
        <f t="shared" si="0"/>
        <v>-28.2</v>
      </c>
      <c r="AK22" s="2622"/>
      <c r="AL22" s="1478">
        <f t="shared" si="1"/>
        <v>-9.9000000000000005E-2</v>
      </c>
    </row>
    <row r="23" spans="1:38" ht="15" customHeight="1">
      <c r="A23" s="2111"/>
      <c r="B23" s="2310" t="s">
        <v>1265</v>
      </c>
      <c r="C23" s="2111"/>
      <c r="D23" s="2067">
        <f>'Exhibit G State'!D23</f>
        <v>0.5</v>
      </c>
      <c r="E23" s="1483"/>
      <c r="F23" s="2067">
        <f>'Exhibit G State'!F23</f>
        <v>0.4</v>
      </c>
      <c r="G23" s="1483"/>
      <c r="H23" s="2067">
        <f>'Exhibit G State'!H23</f>
        <v>0.49999999999999989</v>
      </c>
      <c r="J23" s="2067">
        <f>'Exhibit G State'!J23</f>
        <v>0.5</v>
      </c>
      <c r="K23" s="2621"/>
      <c r="L23" s="2067"/>
      <c r="M23" s="2621"/>
      <c r="N23" s="2067"/>
      <c r="O23" s="2621"/>
      <c r="P23" s="2067"/>
      <c r="Q23" s="2621"/>
      <c r="R23" s="2067"/>
      <c r="S23" s="2621"/>
      <c r="T23" s="2067"/>
      <c r="U23" s="2621"/>
      <c r="V23" s="2067"/>
      <c r="W23" s="2621"/>
      <c r="X23" s="2067"/>
      <c r="Y23" s="2621"/>
      <c r="Z23" s="2067"/>
      <c r="AA23" s="2067"/>
      <c r="AB23" s="2073">
        <v>0</v>
      </c>
      <c r="AC23" s="2104"/>
      <c r="AD23" s="2062">
        <f t="shared" si="2"/>
        <v>1.9</v>
      </c>
      <c r="AE23" s="2062"/>
      <c r="AF23" s="2106"/>
      <c r="AG23" s="2099">
        <f>'Exhibit G State'!AG23</f>
        <v>1</v>
      </c>
      <c r="AH23" s="3677"/>
      <c r="AI23" s="2074"/>
      <c r="AJ23" s="1483">
        <f>ROUND(SUM(+AD23-AG23),1)</f>
        <v>0.9</v>
      </c>
      <c r="AK23" s="2622"/>
      <c r="AL23" s="1478">
        <f>ROUND(IF(AG23=0,1,AJ23/ABS(AG23)),3)</f>
        <v>0.9</v>
      </c>
    </row>
    <row r="24" spans="1:38" ht="15" customHeight="1">
      <c r="A24" s="2111"/>
      <c r="B24" s="2626" t="s">
        <v>1116</v>
      </c>
      <c r="C24" s="2111"/>
      <c r="D24" s="2067">
        <f>'Exhibit G State'!D24</f>
        <v>9.6</v>
      </c>
      <c r="E24" s="1483"/>
      <c r="F24" s="2067">
        <f>'Exhibit G State'!F24</f>
        <v>9.4</v>
      </c>
      <c r="G24" s="1483"/>
      <c r="H24" s="2067">
        <f>'Exhibit G State'!H24</f>
        <v>9.4999999999999982</v>
      </c>
      <c r="J24" s="2067">
        <f>'Exhibit G State'!J24</f>
        <v>8.7999999999999989</v>
      </c>
      <c r="K24" s="2621"/>
      <c r="L24" s="2067"/>
      <c r="M24" s="2621"/>
      <c r="N24" s="2067"/>
      <c r="O24" s="2621"/>
      <c r="P24" s="2067"/>
      <c r="Q24" s="2621"/>
      <c r="R24" s="2067"/>
      <c r="S24" s="2621"/>
      <c r="T24" s="2067"/>
      <c r="U24" s="2621"/>
      <c r="V24" s="2067"/>
      <c r="W24" s="2621"/>
      <c r="X24" s="2067"/>
      <c r="Y24" s="2621"/>
      <c r="Z24" s="2067"/>
      <c r="AA24" s="2067"/>
      <c r="AB24" s="2073">
        <v>0</v>
      </c>
      <c r="AC24" s="2104"/>
      <c r="AD24" s="2062">
        <f t="shared" si="2"/>
        <v>37.299999999999997</v>
      </c>
      <c r="AE24" s="2062"/>
      <c r="AF24" s="2106"/>
      <c r="AG24" s="2099">
        <f>'Exhibit G State'!AG24</f>
        <v>36.9</v>
      </c>
      <c r="AH24" s="3677"/>
      <c r="AI24" s="2074"/>
      <c r="AJ24" s="1483">
        <f t="shared" si="0"/>
        <v>0.4</v>
      </c>
      <c r="AK24" s="2622"/>
      <c r="AL24" s="1478">
        <f t="shared" si="1"/>
        <v>1.0999999999999999E-2</v>
      </c>
    </row>
    <row r="25" spans="1:38" ht="15" customHeight="1">
      <c r="A25" s="2111"/>
      <c r="B25" s="2626" t="s">
        <v>1117</v>
      </c>
      <c r="C25" s="2111"/>
      <c r="D25" s="2067">
        <f>'Exhibit G State'!D25</f>
        <v>0</v>
      </c>
      <c r="E25" s="1483"/>
      <c r="F25" s="2067">
        <f>'Exhibit G State'!F25</f>
        <v>0</v>
      </c>
      <c r="G25" s="1483"/>
      <c r="H25" s="2067">
        <f>'Exhibit G State'!H25</f>
        <v>0</v>
      </c>
      <c r="J25" s="2067">
        <f>'Exhibit G State'!J25</f>
        <v>0</v>
      </c>
      <c r="K25" s="2621"/>
      <c r="L25" s="2067"/>
      <c r="M25" s="2621"/>
      <c r="N25" s="2067"/>
      <c r="O25" s="2621"/>
      <c r="P25" s="2067"/>
      <c r="Q25" s="2621"/>
      <c r="R25" s="2067"/>
      <c r="S25" s="2621"/>
      <c r="T25" s="2067"/>
      <c r="U25" s="2621"/>
      <c r="V25" s="2067"/>
      <c r="W25" s="2621"/>
      <c r="X25" s="2067"/>
      <c r="Y25" s="2621"/>
      <c r="Z25" s="2067"/>
      <c r="AA25" s="2067"/>
      <c r="AB25" s="2073">
        <v>0</v>
      </c>
      <c r="AC25" s="2104"/>
      <c r="AD25" s="2062">
        <f t="shared" si="2"/>
        <v>0</v>
      </c>
      <c r="AE25" s="2062"/>
      <c r="AF25" s="2106"/>
      <c r="AG25" s="2099">
        <f>'Exhibit G State'!AG25</f>
        <v>0</v>
      </c>
      <c r="AH25" s="3677"/>
      <c r="AI25" s="2074"/>
      <c r="AJ25" s="1483">
        <f t="shared" si="0"/>
        <v>0</v>
      </c>
      <c r="AK25" s="2622"/>
      <c r="AL25" s="1478">
        <f t="shared" si="1"/>
        <v>0</v>
      </c>
    </row>
    <row r="26" spans="1:38" ht="15" customHeight="1">
      <c r="A26" s="2111"/>
      <c r="B26" s="2626" t="s">
        <v>1118</v>
      </c>
      <c r="C26" s="2111"/>
      <c r="D26" s="2067">
        <f>'Exhibit G State'!D26</f>
        <v>0</v>
      </c>
      <c r="E26" s="1483"/>
      <c r="F26" s="2067">
        <f>'Exhibit G State'!F26</f>
        <v>0.1</v>
      </c>
      <c r="G26" s="1483"/>
      <c r="H26" s="2067">
        <f>'Exhibit G State'!H26</f>
        <v>0.1</v>
      </c>
      <c r="J26" s="2067">
        <f>'Exhibit G State'!J26</f>
        <v>0</v>
      </c>
      <c r="K26" s="2621"/>
      <c r="L26" s="2067"/>
      <c r="M26" s="2621"/>
      <c r="N26" s="2067"/>
      <c r="O26" s="2621"/>
      <c r="P26" s="2067"/>
      <c r="Q26" s="2621"/>
      <c r="R26" s="2067"/>
      <c r="S26" s="2621"/>
      <c r="T26" s="2067"/>
      <c r="U26" s="2621"/>
      <c r="V26" s="2067"/>
      <c r="W26" s="2621"/>
      <c r="X26" s="2067"/>
      <c r="Y26" s="2621"/>
      <c r="Z26" s="2067"/>
      <c r="AA26" s="2067"/>
      <c r="AB26" s="2073">
        <v>0</v>
      </c>
      <c r="AC26" s="2104"/>
      <c r="AD26" s="2062">
        <f t="shared" si="2"/>
        <v>0.2</v>
      </c>
      <c r="AE26" s="2062"/>
      <c r="AF26" s="2106"/>
      <c r="AG26" s="2099">
        <f>'Exhibit G State'!AG26</f>
        <v>0.7</v>
      </c>
      <c r="AH26" s="3677"/>
      <c r="AI26" s="2074"/>
      <c r="AJ26" s="1483">
        <f t="shared" si="0"/>
        <v>-0.5</v>
      </c>
      <c r="AK26" s="2622"/>
      <c r="AL26" s="1521">
        <f>ROUND(IF(AG26=0,1,AJ26/ABS(AG26)),3)</f>
        <v>-0.71399999999999997</v>
      </c>
    </row>
    <row r="27" spans="1:38" ht="15" customHeight="1">
      <c r="A27" s="2111"/>
      <c r="B27" s="2627" t="s">
        <v>1119</v>
      </c>
      <c r="C27" s="2111"/>
      <c r="D27" s="2067">
        <f>'Exhibit G State'!D27</f>
        <v>0</v>
      </c>
      <c r="E27" s="1483"/>
      <c r="F27" s="2067">
        <f>'Exhibit G State'!F27</f>
        <v>0</v>
      </c>
      <c r="G27" s="1483"/>
      <c r="H27" s="2067">
        <f>'Exhibit G State'!H27</f>
        <v>0</v>
      </c>
      <c r="J27" s="2067">
        <f>'Exhibit G State'!J27</f>
        <v>0</v>
      </c>
      <c r="K27" s="2621"/>
      <c r="L27" s="2067"/>
      <c r="M27" s="2621"/>
      <c r="N27" s="2067"/>
      <c r="O27" s="2621"/>
      <c r="P27" s="2067"/>
      <c r="Q27" s="2621"/>
      <c r="R27" s="2067"/>
      <c r="S27" s="2621"/>
      <c r="T27" s="2067"/>
      <c r="U27" s="2621"/>
      <c r="V27" s="2067"/>
      <c r="W27" s="2621"/>
      <c r="X27" s="2067"/>
      <c r="Y27" s="2621"/>
      <c r="Z27" s="2067"/>
      <c r="AA27" s="2067"/>
      <c r="AB27" s="2073">
        <v>0</v>
      </c>
      <c r="AC27" s="2104"/>
      <c r="AD27" s="2062">
        <f t="shared" si="2"/>
        <v>0</v>
      </c>
      <c r="AE27" s="2062"/>
      <c r="AF27" s="2106"/>
      <c r="AG27" s="2099">
        <f>'Exhibit G State'!AG27</f>
        <v>26.3</v>
      </c>
      <c r="AH27" s="3677"/>
      <c r="AI27" s="2074"/>
      <c r="AJ27" s="1483">
        <f t="shared" si="0"/>
        <v>-26.3</v>
      </c>
      <c r="AK27" s="2622"/>
      <c r="AL27" s="1478">
        <f t="shared" si="1"/>
        <v>-1</v>
      </c>
    </row>
    <row r="28" spans="1:38" s="2505" customFormat="1" ht="15" customHeight="1">
      <c r="A28" s="2504"/>
      <c r="B28" s="2628" t="s">
        <v>1235</v>
      </c>
      <c r="C28" s="2504"/>
      <c r="D28" s="2100">
        <f t="shared" ref="D28:F28" si="3">ROUND(SUM(D20:D27),1)</f>
        <v>197.4</v>
      </c>
      <c r="E28" s="2608"/>
      <c r="F28" s="2100">
        <f t="shared" si="3"/>
        <v>145.69999999999999</v>
      </c>
      <c r="G28" s="2608"/>
      <c r="H28" s="2551">
        <f>ROUND(SUM(H20:H27),1)</f>
        <v>170.2</v>
      </c>
      <c r="I28" s="2608"/>
      <c r="J28" s="2551">
        <f>ROUND(SUM(J20:J27),1)</f>
        <v>163.80000000000001</v>
      </c>
      <c r="K28" s="2608"/>
      <c r="L28" s="2100">
        <f t="shared" ref="L28:AB28" si="4">ROUND(SUM(L20:L27),1)</f>
        <v>0</v>
      </c>
      <c r="M28" s="2608"/>
      <c r="N28" s="2100">
        <f>ROUND(SUM(N20:N27),1)</f>
        <v>0</v>
      </c>
      <c r="O28" s="2608"/>
      <c r="P28" s="2100">
        <f>ROUND(SUM(P20:P27),1)</f>
        <v>0</v>
      </c>
      <c r="Q28" s="2608"/>
      <c r="R28" s="2100">
        <f t="shared" ref="R28" si="5">ROUND(SUM(R20:R27),1)</f>
        <v>0</v>
      </c>
      <c r="S28" s="2608"/>
      <c r="T28" s="2084">
        <f t="shared" si="4"/>
        <v>0</v>
      </c>
      <c r="U28" s="2608"/>
      <c r="V28" s="2100">
        <f t="shared" si="4"/>
        <v>0</v>
      </c>
      <c r="W28" s="2608"/>
      <c r="X28" s="2100">
        <f t="shared" ref="X28:Z28" si="6">ROUND(SUM(X20:X27),1)</f>
        <v>0</v>
      </c>
      <c r="Y28" s="2608"/>
      <c r="Z28" s="2100">
        <f t="shared" si="6"/>
        <v>0</v>
      </c>
      <c r="AA28" s="1484"/>
      <c r="AB28" s="2100">
        <f t="shared" si="4"/>
        <v>0</v>
      </c>
      <c r="AC28" s="2107"/>
      <c r="AD28" s="2084">
        <f>ROUND(SUM(AD20:AD27),1)</f>
        <v>677.1</v>
      </c>
      <c r="AE28" s="2117"/>
      <c r="AF28" s="2634"/>
      <c r="AG28" s="2084">
        <f>ROUND(SUM(AG20:AG27),1)</f>
        <v>706.4</v>
      </c>
      <c r="AH28" s="3680"/>
      <c r="AI28" s="1484"/>
      <c r="AJ28" s="2100">
        <f>ROUND(SUM(AJ20:AJ27),1)</f>
        <v>-29.3</v>
      </c>
      <c r="AL28" s="2629">
        <f>ROUND(SUM(+AJ28/AG28),3)</f>
        <v>-4.1000000000000002E-2</v>
      </c>
    </row>
    <row r="29" spans="1:38" ht="15" customHeight="1">
      <c r="A29" s="2111"/>
      <c r="B29" s="2620" t="s">
        <v>1163</v>
      </c>
      <c r="C29" s="2111"/>
      <c r="D29" s="2073"/>
      <c r="F29" s="2073"/>
      <c r="H29" s="1483"/>
      <c r="J29" s="1483"/>
      <c r="L29" s="2073"/>
      <c r="N29" s="2073"/>
      <c r="P29" s="2073"/>
      <c r="R29" s="2073"/>
      <c r="T29" s="2062"/>
      <c r="V29" s="2073"/>
      <c r="X29" s="2073"/>
      <c r="Z29" s="2073"/>
      <c r="AA29" s="2073"/>
      <c r="AB29" s="2073"/>
      <c r="AC29" s="2104"/>
      <c r="AD29" s="2062"/>
      <c r="AE29" s="2062"/>
      <c r="AF29" s="2106"/>
      <c r="AG29" s="2062"/>
      <c r="AH29" s="3677"/>
      <c r="AI29" s="2074"/>
      <c r="AJ29" s="1483"/>
      <c r="AL29" s="1471"/>
    </row>
    <row r="30" spans="1:38" s="2260" customFormat="1" ht="15" customHeight="1">
      <c r="A30" s="2542"/>
      <c r="B30" s="2626" t="s">
        <v>1121</v>
      </c>
      <c r="C30" s="2542"/>
      <c r="D30" s="2062">
        <f>'Exhibit G State'!D30</f>
        <v>102.60000000000001</v>
      </c>
      <c r="E30" s="1483"/>
      <c r="F30" s="2062">
        <f>'Exhibit G State'!F30</f>
        <v>6</v>
      </c>
      <c r="G30" s="1483"/>
      <c r="H30" s="2062">
        <f>'Exhibit G State'!H30</f>
        <v>175.39999999999998</v>
      </c>
      <c r="I30" s="2608"/>
      <c r="J30" s="2062">
        <f>'Exhibit G State'!J30</f>
        <v>36.899999999999977</v>
      </c>
      <c r="K30" s="2621"/>
      <c r="L30" s="2062"/>
      <c r="M30" s="2621"/>
      <c r="N30" s="2062"/>
      <c r="O30" s="2621"/>
      <c r="P30" s="2062"/>
      <c r="Q30" s="2621"/>
      <c r="R30" s="2062"/>
      <c r="S30" s="2621"/>
      <c r="T30" s="2062"/>
      <c r="U30" s="2621"/>
      <c r="V30" s="2062"/>
      <c r="W30" s="2621"/>
      <c r="X30" s="2062"/>
      <c r="Y30" s="2621"/>
      <c r="Z30" s="2062"/>
      <c r="AA30" s="2062"/>
      <c r="AB30" s="2062">
        <v>0</v>
      </c>
      <c r="AC30" s="2106"/>
      <c r="AD30" s="2062">
        <f>ROUND(SUM(D30:Z30),1)</f>
        <v>320.89999999999998</v>
      </c>
      <c r="AE30" s="2062"/>
      <c r="AF30" s="2106"/>
      <c r="AG30" s="2062">
        <f>'Exhibit G State'!AG30</f>
        <v>300.39999999999998</v>
      </c>
      <c r="AH30" s="3677"/>
      <c r="AI30" s="2043"/>
      <c r="AJ30" s="2067">
        <f>ROUND(SUM(+AD30-AG30),1)</f>
        <v>20.5</v>
      </c>
      <c r="AK30" s="2630"/>
      <c r="AL30" s="1786">
        <f>ROUND(IF(AG30=0,0,AJ30/ABS(AG30)),3)</f>
        <v>6.8000000000000005E-2</v>
      </c>
    </row>
    <row r="31" spans="1:38" s="2260" customFormat="1" ht="15" customHeight="1">
      <c r="A31" s="2542"/>
      <c r="B31" s="2626" t="s">
        <v>1122</v>
      </c>
      <c r="C31" s="2542"/>
      <c r="D31" s="2062">
        <f>'Exhibit G State'!D31</f>
        <v>23.4</v>
      </c>
      <c r="E31" s="1483"/>
      <c r="F31" s="2062">
        <f>'Exhibit G State'!F31</f>
        <v>-0.5</v>
      </c>
      <c r="G31" s="1483"/>
      <c r="H31" s="2062">
        <f>'Exhibit G State'!H31</f>
        <v>23.5</v>
      </c>
      <c r="I31" s="2608"/>
      <c r="J31" s="2062">
        <f>'Exhibit G State'!J31</f>
        <v>0.20000000000000284</v>
      </c>
      <c r="K31" s="2621"/>
      <c r="L31" s="2062"/>
      <c r="M31" s="2621"/>
      <c r="N31" s="2062"/>
      <c r="O31" s="2621"/>
      <c r="P31" s="2062"/>
      <c r="Q31" s="2621"/>
      <c r="R31" s="2062"/>
      <c r="S31" s="2621"/>
      <c r="T31" s="2062"/>
      <c r="U31" s="2621"/>
      <c r="V31" s="2062"/>
      <c r="W31" s="2621"/>
      <c r="X31" s="2062"/>
      <c r="Y31" s="2621"/>
      <c r="Z31" s="2062"/>
      <c r="AA31" s="2062"/>
      <c r="AB31" s="2062">
        <v>0</v>
      </c>
      <c r="AC31" s="2106"/>
      <c r="AD31" s="2062">
        <f>ROUND(SUM(D31:Z31),1)</f>
        <v>46.6</v>
      </c>
      <c r="AE31" s="2062"/>
      <c r="AF31" s="2106"/>
      <c r="AG31" s="2062">
        <f>'Exhibit G State'!AG31</f>
        <v>51</v>
      </c>
      <c r="AH31" s="3677"/>
      <c r="AI31" s="2043"/>
      <c r="AJ31" s="2067">
        <f>ROUND(SUM(+AD31-AG31),1)</f>
        <v>-4.4000000000000004</v>
      </c>
      <c r="AK31" s="2630"/>
      <c r="AL31" s="1786">
        <f>ROUND(IF(AG31=0,0,AJ31/ABS(AG31)),3)</f>
        <v>-8.5999999999999993E-2</v>
      </c>
    </row>
    <row r="32" spans="1:38" s="2260" customFormat="1" ht="15" customHeight="1">
      <c r="A32" s="2542"/>
      <c r="B32" s="2626" t="s">
        <v>1123</v>
      </c>
      <c r="C32" s="2542"/>
      <c r="D32" s="2062">
        <f>'Exhibit G State'!D32</f>
        <v>14.4</v>
      </c>
      <c r="E32" s="1483"/>
      <c r="F32" s="2062">
        <f>'Exhibit G State'!F32</f>
        <v>8.6</v>
      </c>
      <c r="G32" s="1483"/>
      <c r="H32" s="2062">
        <f>'Exhibit G State'!H32</f>
        <v>48.5</v>
      </c>
      <c r="I32" s="2608"/>
      <c r="J32" s="2062">
        <f>'Exhibit G State'!J32</f>
        <v>5.9000000000000057</v>
      </c>
      <c r="K32" s="2621"/>
      <c r="L32" s="2062"/>
      <c r="M32" s="2621"/>
      <c r="N32" s="2062"/>
      <c r="O32" s="2621"/>
      <c r="P32" s="2062"/>
      <c r="Q32" s="2621"/>
      <c r="R32" s="2062"/>
      <c r="S32" s="2621"/>
      <c r="T32" s="2062"/>
      <c r="U32" s="2621"/>
      <c r="V32" s="2062"/>
      <c r="W32" s="2621"/>
      <c r="X32" s="2062"/>
      <c r="Y32" s="2621"/>
      <c r="Z32" s="2062"/>
      <c r="AA32" s="2062"/>
      <c r="AB32" s="2062">
        <v>0</v>
      </c>
      <c r="AC32" s="2106"/>
      <c r="AD32" s="2062">
        <f>ROUND(SUM(D32:Z32),1)</f>
        <v>77.400000000000006</v>
      </c>
      <c r="AE32" s="2062"/>
      <c r="AF32" s="2106"/>
      <c r="AG32" s="2062">
        <f>'Exhibit G State'!AG32</f>
        <v>44.9</v>
      </c>
      <c r="AH32" s="3677"/>
      <c r="AI32" s="2043"/>
      <c r="AJ32" s="2067">
        <f>ROUND(SUM(+AD32-AG32),1)</f>
        <v>32.5</v>
      </c>
      <c r="AK32" s="2630"/>
      <c r="AL32" s="1791">
        <f>ROUND(IF(AG32=0,0,AJ32/ABS(AG32)),3)</f>
        <v>0.72399999999999998</v>
      </c>
    </row>
    <row r="33" spans="1:38" s="2260" customFormat="1" ht="15" customHeight="1">
      <c r="A33" s="2542"/>
      <c r="B33" s="2626" t="s">
        <v>1124</v>
      </c>
      <c r="C33" s="2542"/>
      <c r="D33" s="2062">
        <f>'Exhibit G State'!D33</f>
        <v>19.899999999999999</v>
      </c>
      <c r="E33" s="1483"/>
      <c r="F33" s="2062">
        <f>'Exhibit G State'!F33</f>
        <v>-16.399999999999999</v>
      </c>
      <c r="G33" s="1483"/>
      <c r="H33" s="2062">
        <f>'Exhibit G State'!H33</f>
        <v>0.40000000000000036</v>
      </c>
      <c r="I33" s="2608"/>
      <c r="J33" s="2062">
        <f>'Exhibit G State'!J33</f>
        <v>9.9999999999999645E-2</v>
      </c>
      <c r="K33" s="2621"/>
      <c r="L33" s="2062"/>
      <c r="M33" s="2621"/>
      <c r="N33" s="2062"/>
      <c r="O33" s="2621"/>
      <c r="P33" s="2062"/>
      <c r="Q33" s="2621"/>
      <c r="R33" s="2062"/>
      <c r="S33" s="2621"/>
      <c r="T33" s="2062"/>
      <c r="U33" s="2621"/>
      <c r="V33" s="2062"/>
      <c r="W33" s="2621"/>
      <c r="X33" s="2062"/>
      <c r="Y33" s="2621"/>
      <c r="Z33" s="2062"/>
      <c r="AA33" s="2062"/>
      <c r="AB33" s="2062">
        <v>0</v>
      </c>
      <c r="AC33" s="2106"/>
      <c r="AD33" s="2062">
        <f>ROUND(SUM(D33:Z33),1)</f>
        <v>4</v>
      </c>
      <c r="AE33" s="2062"/>
      <c r="AF33" s="2106"/>
      <c r="AG33" s="2062">
        <f>'Exhibit G State'!AG33</f>
        <v>7.1</v>
      </c>
      <c r="AH33" s="3677"/>
      <c r="AI33" s="2043"/>
      <c r="AJ33" s="2067">
        <f>ROUND(SUM(+AD33-AG33),1)</f>
        <v>-3.1</v>
      </c>
      <c r="AK33" s="2630"/>
      <c r="AL33" s="1791">
        <f>ROUND(IF(AG33=0,0,AJ33/ABS(AG33)),3)</f>
        <v>-0.437</v>
      </c>
    </row>
    <row r="34" spans="1:38" s="2260" customFormat="1" ht="15" customHeight="1">
      <c r="A34" s="2542"/>
      <c r="B34" s="2626" t="s">
        <v>1125</v>
      </c>
      <c r="C34" s="2542"/>
      <c r="D34" s="2062">
        <f>'Exhibit G State'!D34</f>
        <v>44.1</v>
      </c>
      <c r="E34" s="1483"/>
      <c r="F34" s="2062">
        <f>'Exhibit G State'!F34</f>
        <v>43.9</v>
      </c>
      <c r="G34" s="1483"/>
      <c r="H34" s="2062">
        <f>'Exhibit G State'!H34</f>
        <v>45.400000000000013</v>
      </c>
      <c r="I34" s="2608"/>
      <c r="J34" s="2062">
        <f>'Exhibit G State'!J34</f>
        <v>41.299999999999976</v>
      </c>
      <c r="K34" s="2621"/>
      <c r="L34" s="2062"/>
      <c r="M34" s="2621"/>
      <c r="N34" s="2062"/>
      <c r="O34" s="2621"/>
      <c r="P34" s="2062"/>
      <c r="Q34" s="2621"/>
      <c r="R34" s="2062"/>
      <c r="S34" s="2621"/>
      <c r="T34" s="2062"/>
      <c r="U34" s="2621"/>
      <c r="V34" s="2062"/>
      <c r="W34" s="2621"/>
      <c r="X34" s="2062"/>
      <c r="Y34" s="2621"/>
      <c r="Z34" s="2062"/>
      <c r="AA34" s="2062"/>
      <c r="AB34" s="2062">
        <v>0</v>
      </c>
      <c r="AC34" s="2106"/>
      <c r="AD34" s="2062">
        <f>ROUND(SUM(D34:Z34),1)</f>
        <v>174.7</v>
      </c>
      <c r="AE34" s="2062"/>
      <c r="AF34" s="2106"/>
      <c r="AG34" s="2062">
        <f>'Exhibit G State'!AG34</f>
        <v>169</v>
      </c>
      <c r="AH34" s="3677"/>
      <c r="AI34" s="2043"/>
      <c r="AJ34" s="2067">
        <f>ROUND(SUM(+AD34-AG34),1)</f>
        <v>5.7</v>
      </c>
      <c r="AK34" s="2630"/>
      <c r="AL34" s="1786">
        <f>ROUND(IF(AG34=0,0,AJ34/ABS(AG34)),3)</f>
        <v>3.4000000000000002E-2</v>
      </c>
    </row>
    <row r="35" spans="1:38" s="2505" customFormat="1" ht="15" customHeight="1">
      <c r="A35" s="2504"/>
      <c r="B35" s="2628" t="s">
        <v>1236</v>
      </c>
      <c r="C35" s="2504"/>
      <c r="D35" s="2100">
        <f t="shared" ref="D35:F35" si="7">ROUND(SUM(D30:D34),1)</f>
        <v>204.4</v>
      </c>
      <c r="E35" s="2608"/>
      <c r="F35" s="2100">
        <f t="shared" si="7"/>
        <v>41.6</v>
      </c>
      <c r="G35" s="2608"/>
      <c r="H35" s="2551">
        <f>ROUND(SUM(H30:H34),1)</f>
        <v>293.2</v>
      </c>
      <c r="I35" s="2608"/>
      <c r="J35" s="2551">
        <f>ROUND(SUM(J30:J34),1)</f>
        <v>84.4</v>
      </c>
      <c r="K35" s="2608"/>
      <c r="L35" s="2100">
        <f t="shared" ref="L35:V35" si="8">ROUND(SUM(L30:L34),1)</f>
        <v>0</v>
      </c>
      <c r="M35" s="2608"/>
      <c r="N35" s="2100">
        <f t="shared" ref="N35:P35" si="9">ROUND(SUM(N30:N34),1)</f>
        <v>0</v>
      </c>
      <c r="O35" s="2608"/>
      <c r="P35" s="2100">
        <f t="shared" si="9"/>
        <v>0</v>
      </c>
      <c r="Q35" s="2608"/>
      <c r="R35" s="2100">
        <f t="shared" ref="R35" si="10">ROUND(SUM(R30:R34),1)</f>
        <v>0</v>
      </c>
      <c r="S35" s="2608"/>
      <c r="T35" s="2084">
        <f t="shared" si="8"/>
        <v>0</v>
      </c>
      <c r="U35" s="2608"/>
      <c r="V35" s="2100">
        <f t="shared" si="8"/>
        <v>0</v>
      </c>
      <c r="W35" s="2608"/>
      <c r="X35" s="2100">
        <f t="shared" ref="X35:Z35" si="11">ROUND(SUM(X30:X34),1)</f>
        <v>0</v>
      </c>
      <c r="Y35" s="2608"/>
      <c r="Z35" s="2100">
        <f t="shared" si="11"/>
        <v>0</v>
      </c>
      <c r="AA35" s="1484"/>
      <c r="AB35" s="2100">
        <f>SUM(AB30:AB34)</f>
        <v>0</v>
      </c>
      <c r="AC35" s="2107"/>
      <c r="AD35" s="2084">
        <f>ROUND(SUM(AD30:AD34),1)</f>
        <v>623.6</v>
      </c>
      <c r="AE35" s="2117"/>
      <c r="AF35" s="2634"/>
      <c r="AG35" s="2084">
        <f>ROUND(SUM(AG30:AG34),1)</f>
        <v>572.4</v>
      </c>
      <c r="AH35" s="3680"/>
      <c r="AI35" s="1484"/>
      <c r="AJ35" s="2100">
        <f>ROUND(SUM(AJ30:AJ34),1)</f>
        <v>51.2</v>
      </c>
      <c r="AL35" s="1474">
        <f>ROUND(SUM(+AJ35/AG35),3)</f>
        <v>8.8999999999999996E-2</v>
      </c>
    </row>
    <row r="36" spans="1:38" ht="15" customHeight="1">
      <c r="A36" s="2111"/>
      <c r="B36" s="2631"/>
      <c r="C36" s="2111"/>
      <c r="D36" s="2074"/>
      <c r="F36" s="2074"/>
      <c r="H36" s="2554"/>
      <c r="J36" s="2554"/>
      <c r="L36" s="2074"/>
      <c r="N36" s="2074"/>
      <c r="P36" s="2074"/>
      <c r="R36" s="2074"/>
      <c r="T36" s="2043"/>
      <c r="V36" s="2074"/>
      <c r="X36" s="2074"/>
      <c r="Z36" s="2074"/>
      <c r="AA36" s="2074"/>
      <c r="AB36" s="2073"/>
      <c r="AC36" s="2104"/>
      <c r="AD36" s="2043"/>
      <c r="AE36" s="2062"/>
      <c r="AF36" s="2106"/>
      <c r="AG36" s="2043"/>
      <c r="AH36" s="3677"/>
      <c r="AI36" s="2074"/>
      <c r="AJ36" s="2554"/>
      <c r="AK36" s="2088"/>
      <c r="AL36" s="1487"/>
    </row>
    <row r="37" spans="1:38" ht="15" customHeight="1">
      <c r="A37" s="2111"/>
      <c r="B37" s="2628" t="s">
        <v>1237</v>
      </c>
      <c r="C37" s="2111"/>
      <c r="D37" s="2119">
        <f>ROUND(SUM(D17+D28+D35),1)</f>
        <v>401.8</v>
      </c>
      <c r="F37" s="2119">
        <f>ROUND(SUM(F17+F28+F35),1)</f>
        <v>187.3</v>
      </c>
      <c r="H37" s="2119">
        <f>ROUND(SUM(H17+H28+H35),1)</f>
        <v>463.4</v>
      </c>
      <c r="J37" s="2119">
        <f>ROUND(SUM(J17+J28+J35),1)</f>
        <v>248.2</v>
      </c>
      <c r="L37" s="2119">
        <f>ROUND(SUM(L17+L28+L35),1)</f>
        <v>0</v>
      </c>
      <c r="N37" s="2119">
        <f>ROUND(SUM(N17+N28+N35),1)</f>
        <v>0</v>
      </c>
      <c r="P37" s="2119">
        <f>ROUND(SUM(P17+P28+P35),1)</f>
        <v>0</v>
      </c>
      <c r="R37" s="2119">
        <f>ROUND(SUM(R17+R28+R35),1)</f>
        <v>0</v>
      </c>
      <c r="T37" s="2119">
        <f>ROUND(SUM(T17+T28+T35),1)</f>
        <v>0</v>
      </c>
      <c r="V37" s="2119">
        <f>ROUND(SUM(V17+V28+V35),1)</f>
        <v>0</v>
      </c>
      <c r="X37" s="2119">
        <f>ROUND(SUM(X17+X28+X35),1)</f>
        <v>0</v>
      </c>
      <c r="Z37" s="2119">
        <f>ROUND(SUM(Z17+Z28+Z35),1)</f>
        <v>0</v>
      </c>
      <c r="AA37" s="1484"/>
      <c r="AB37" s="2119">
        <f>ROUND(SUM(AB17+AB28+AB35),1)</f>
        <v>0</v>
      </c>
      <c r="AC37" s="2104"/>
      <c r="AD37" s="2119">
        <f>ROUND(SUM(AD17+AD28+AD35),1)</f>
        <v>1300.7</v>
      </c>
      <c r="AE37" s="2062"/>
      <c r="AF37" s="2106"/>
      <c r="AG37" s="2119">
        <f>ROUND(SUM(AG17+AG28+AG35),1)</f>
        <v>1278.8</v>
      </c>
      <c r="AH37" s="3677"/>
      <c r="AI37" s="2074"/>
      <c r="AJ37" s="2119">
        <f>ROUND(SUM(AJ17+AJ28+AJ35),1)</f>
        <v>21.9</v>
      </c>
      <c r="AL37" s="1475">
        <f>ROUND(SUM(+AJ37/AG37),3)</f>
        <v>1.7000000000000001E-2</v>
      </c>
    </row>
    <row r="38" spans="1:38" ht="15" customHeight="1">
      <c r="A38" s="2111"/>
      <c r="B38" s="2111"/>
      <c r="C38" s="2111"/>
      <c r="D38" s="2630"/>
      <c r="F38" s="2630"/>
      <c r="H38" s="2632"/>
      <c r="J38" s="2632"/>
      <c r="L38" s="2632"/>
      <c r="N38" s="2632"/>
      <c r="P38" s="2632"/>
      <c r="R38" s="2632"/>
      <c r="T38" s="2061"/>
      <c r="V38" s="2082"/>
      <c r="X38" s="2082"/>
      <c r="Z38" s="2082"/>
      <c r="AA38" s="2630"/>
      <c r="AB38" s="2073"/>
      <c r="AC38" s="2104"/>
      <c r="AD38" s="2062"/>
      <c r="AE38" s="2062"/>
      <c r="AF38" s="2106"/>
      <c r="AG38" s="2190"/>
      <c r="AH38" s="3681"/>
      <c r="AI38" s="2074"/>
      <c r="AJ38" s="1483"/>
      <c r="AK38" s="2622"/>
      <c r="AL38" s="1471"/>
    </row>
    <row r="39" spans="1:38" ht="15" customHeight="1">
      <c r="A39" s="2111"/>
      <c r="B39" s="2539" t="s">
        <v>1034</v>
      </c>
      <c r="C39" s="2111"/>
      <c r="D39" s="2630"/>
      <c r="F39" s="2630"/>
      <c r="H39" s="2632"/>
      <c r="J39" s="2632"/>
      <c r="L39" s="2632"/>
      <c r="N39" s="2632"/>
      <c r="P39" s="2632"/>
      <c r="R39" s="2632"/>
      <c r="T39" s="2061"/>
      <c r="V39" s="2082"/>
      <c r="X39" s="2082"/>
      <c r="Z39" s="2082"/>
      <c r="AA39" s="2630"/>
      <c r="AB39" s="2073"/>
      <c r="AC39" s="2104"/>
      <c r="AD39" s="2062"/>
      <c r="AE39" s="2062"/>
      <c r="AF39" s="2106"/>
      <c r="AG39" s="2190"/>
      <c r="AH39" s="3681"/>
      <c r="AI39" s="2074"/>
      <c r="AJ39" s="1483"/>
      <c r="AK39" s="2622"/>
      <c r="AL39" s="1471"/>
    </row>
    <row r="40" spans="1:38" ht="15" customHeight="1">
      <c r="A40" s="2111"/>
      <c r="B40" s="2563" t="s">
        <v>1155</v>
      </c>
      <c r="C40" s="2111"/>
      <c r="D40" s="2630"/>
      <c r="F40" s="2630"/>
      <c r="H40" s="2632"/>
      <c r="J40" s="2632"/>
      <c r="L40" s="2632"/>
      <c r="N40" s="2632"/>
      <c r="P40" s="2632"/>
      <c r="R40" s="2632"/>
      <c r="T40" s="2061"/>
      <c r="V40" s="2082"/>
      <c r="X40" s="2082"/>
      <c r="Z40" s="2082"/>
      <c r="AA40" s="2630"/>
      <c r="AB40" s="2073"/>
      <c r="AC40" s="2104"/>
      <c r="AD40" s="2062"/>
      <c r="AE40" s="2062"/>
      <c r="AF40" s="2106"/>
      <c r="AG40" s="2190"/>
      <c r="AH40" s="3681"/>
      <c r="AI40" s="2074"/>
      <c r="AJ40" s="1483"/>
      <c r="AK40" s="2622"/>
      <c r="AL40" s="1471"/>
    </row>
    <row r="41" spans="1:38" s="2260" customFormat="1" ht="15" customHeight="1">
      <c r="A41" s="2542"/>
      <c r="B41" s="2563" t="s">
        <v>1067</v>
      </c>
      <c r="C41" s="2542"/>
      <c r="D41" s="2099">
        <f>'Exhibit G State'!D41+'Exhibit G Federal'!D19</f>
        <v>1.1000000000000001</v>
      </c>
      <c r="E41" s="2632"/>
      <c r="F41" s="2099">
        <f>'Exhibit G State'!F41+'Exhibit G Federal'!F19</f>
        <v>1.1000000000000001</v>
      </c>
      <c r="G41" s="2632"/>
      <c r="H41" s="2099">
        <f>'Exhibit G State'!H41+'Exhibit G Federal'!H19</f>
        <v>0.89999999999999991</v>
      </c>
      <c r="I41" s="2608"/>
      <c r="J41" s="2099">
        <f>'Exhibit G State'!J41+'Exhibit G Federal'!J19</f>
        <v>0.89999999999999991</v>
      </c>
      <c r="K41" s="2621"/>
      <c r="L41" s="2099"/>
      <c r="M41" s="2621"/>
      <c r="N41" s="2099"/>
      <c r="O41" s="2621"/>
      <c r="P41" s="2099"/>
      <c r="Q41" s="2621"/>
      <c r="R41" s="2099"/>
      <c r="S41" s="2621"/>
      <c r="T41" s="2099"/>
      <c r="U41" s="2621"/>
      <c r="V41" s="2099"/>
      <c r="W41" s="2621"/>
      <c r="X41" s="2099"/>
      <c r="Y41" s="2621"/>
      <c r="Z41" s="2099"/>
      <c r="AA41" s="2099"/>
      <c r="AB41" s="2062">
        <v>0</v>
      </c>
      <c r="AC41" s="2106"/>
      <c r="AD41" s="2062">
        <f t="shared" ref="AD41:AD82" si="12">ROUND(SUM(D41:Z41),1)</f>
        <v>4</v>
      </c>
      <c r="AE41" s="2062"/>
      <c r="AF41" s="2106"/>
      <c r="AG41" s="2099">
        <f>'Exhibit G State'!AG41+'Exhibit G Federal'!AG19</f>
        <v>3.4</v>
      </c>
      <c r="AH41" s="3681"/>
      <c r="AI41" s="2043"/>
      <c r="AJ41" s="2067">
        <f>ROUND(SUM(+AD41-AG41),1)</f>
        <v>0.6</v>
      </c>
      <c r="AK41" s="2630"/>
      <c r="AL41" s="1786">
        <f>ROUND(IF(AG41=0,0,AJ41/ABS(AG41)),3)</f>
        <v>0.17599999999999999</v>
      </c>
    </row>
    <row r="42" spans="1:38" s="2260" customFormat="1" ht="15" customHeight="1">
      <c r="A42" s="2542"/>
      <c r="B42" s="2563" t="s">
        <v>1156</v>
      </c>
      <c r="C42" s="2542"/>
      <c r="D42" s="2099"/>
      <c r="E42" s="2608"/>
      <c r="F42" s="2099"/>
      <c r="G42" s="2608"/>
      <c r="H42" s="2099"/>
      <c r="I42" s="2608"/>
      <c r="J42" s="2099"/>
      <c r="K42" s="2621"/>
      <c r="L42" s="2099"/>
      <c r="M42" s="2621"/>
      <c r="N42" s="2099"/>
      <c r="O42" s="2621"/>
      <c r="P42" s="2099"/>
      <c r="Q42" s="2621"/>
      <c r="R42" s="2099"/>
      <c r="S42" s="2621"/>
      <c r="T42" s="2099"/>
      <c r="U42" s="2621"/>
      <c r="V42" s="2099"/>
      <c r="W42" s="2621"/>
      <c r="X42" s="2099"/>
      <c r="Y42" s="2621"/>
      <c r="Z42" s="2099"/>
      <c r="AA42" s="2099"/>
      <c r="AB42" s="2062"/>
      <c r="AC42" s="2106"/>
      <c r="AD42" s="2062"/>
      <c r="AE42" s="2062"/>
      <c r="AF42" s="2106"/>
      <c r="AG42" s="2099"/>
      <c r="AH42" s="3681"/>
      <c r="AI42" s="2043"/>
      <c r="AJ42" s="2067"/>
      <c r="AK42" s="2630"/>
      <c r="AL42" s="1880"/>
    </row>
    <row r="43" spans="1:38" s="2260" customFormat="1" ht="15" customHeight="1">
      <c r="A43" s="2542"/>
      <c r="B43" s="2563" t="s">
        <v>1069</v>
      </c>
      <c r="C43" s="2542"/>
      <c r="D43" s="2099">
        <f>'Exhibit G State'!D43+'Exhibit G Federal'!D21</f>
        <v>70.900000000000006</v>
      </c>
      <c r="E43" s="2099"/>
      <c r="F43" s="2099">
        <f>'Exhibit G State'!F43+'Exhibit G Federal'!F21</f>
        <v>72.699999999999989</v>
      </c>
      <c r="G43" s="2099"/>
      <c r="H43" s="2099">
        <f>'Exhibit G State'!H43+'Exhibit G Federal'!H21</f>
        <v>94.399999999999977</v>
      </c>
      <c r="I43" s="2608"/>
      <c r="J43" s="2099">
        <f>'Exhibit G State'!J43+'Exhibit G Federal'!J21</f>
        <v>52.000000000000021</v>
      </c>
      <c r="K43" s="2621"/>
      <c r="L43" s="2099"/>
      <c r="M43" s="2621"/>
      <c r="N43" s="2099"/>
      <c r="O43" s="2621"/>
      <c r="P43" s="2099"/>
      <c r="Q43" s="2621"/>
      <c r="R43" s="2099"/>
      <c r="S43" s="2621"/>
      <c r="T43" s="2099"/>
      <c r="U43" s="2621"/>
      <c r="V43" s="2099"/>
      <c r="W43" s="2621"/>
      <c r="X43" s="2099"/>
      <c r="Y43" s="2621"/>
      <c r="Z43" s="2099"/>
      <c r="AA43" s="2099"/>
      <c r="AB43" s="2062">
        <v>0</v>
      </c>
      <c r="AC43" s="2106"/>
      <c r="AD43" s="2062">
        <f>ROUND(SUM(D43:Z43),1)</f>
        <v>290</v>
      </c>
      <c r="AE43" s="2062"/>
      <c r="AF43" s="2106"/>
      <c r="AG43" s="2099">
        <f>'Exhibit G State'!AG43+'Exhibit G Federal'!AG21</f>
        <v>293.09999999999997</v>
      </c>
      <c r="AH43" s="3681"/>
      <c r="AI43" s="2043"/>
      <c r="AJ43" s="2067">
        <f>ROUND(SUM(+AD43-AG43),1)</f>
        <v>-3.1</v>
      </c>
      <c r="AK43" s="2630"/>
      <c r="AL43" s="1786">
        <f>ROUND(IF(AG43=0,0,AJ43/ABS(AG43)),3)</f>
        <v>-1.0999999999999999E-2</v>
      </c>
    </row>
    <row r="44" spans="1:38" s="2260" customFormat="1" ht="15" customHeight="1">
      <c r="A44" s="2542"/>
      <c r="B44" s="2563" t="s">
        <v>1070</v>
      </c>
      <c r="C44" s="2542"/>
      <c r="D44" s="2099">
        <f>'Exhibit G State'!D44+'Exhibit G Federal'!D22</f>
        <v>625.70000000000005</v>
      </c>
      <c r="E44" s="2099"/>
      <c r="F44" s="2099">
        <f>'Exhibit G State'!F44+'Exhibit G Federal'!F22</f>
        <v>519.70000000000005</v>
      </c>
      <c r="G44" s="2099"/>
      <c r="H44" s="2099">
        <f>'Exhibit G State'!H44+'Exhibit G Federal'!H22</f>
        <v>504.69999999999982</v>
      </c>
      <c r="I44" s="2608"/>
      <c r="J44" s="2099">
        <f>'Exhibit G State'!J44+'Exhibit G Federal'!J22</f>
        <v>567.5</v>
      </c>
      <c r="K44" s="2621"/>
      <c r="L44" s="2099"/>
      <c r="M44" s="2621"/>
      <c r="N44" s="2099"/>
      <c r="O44" s="2621"/>
      <c r="P44" s="2099"/>
      <c r="Q44" s="2621"/>
      <c r="R44" s="2099"/>
      <c r="S44" s="2621"/>
      <c r="T44" s="2099"/>
      <c r="U44" s="2621"/>
      <c r="V44" s="2099"/>
      <c r="W44" s="2621"/>
      <c r="X44" s="2099"/>
      <c r="Y44" s="2621"/>
      <c r="Z44" s="2099"/>
      <c r="AA44" s="2099"/>
      <c r="AB44" s="2062">
        <v>0</v>
      </c>
      <c r="AC44" s="2106"/>
      <c r="AD44" s="2067">
        <f t="shared" si="12"/>
        <v>2217.6</v>
      </c>
      <c r="AE44" s="2062"/>
      <c r="AF44" s="2106"/>
      <c r="AG44" s="2099">
        <f>'Exhibit G State'!AG44+'Exhibit G Federal'!AG22</f>
        <v>2036.4</v>
      </c>
      <c r="AH44" s="3681"/>
      <c r="AI44" s="2043"/>
      <c r="AJ44" s="2067">
        <f>ROUND(SUM(+AD44-AG44),1)</f>
        <v>181.2</v>
      </c>
      <c r="AK44" s="2630"/>
      <c r="AL44" s="1786">
        <f>ROUND(IF(AG44=0,0,AJ44/ABS(AG44)),3)</f>
        <v>8.8999999999999996E-2</v>
      </c>
    </row>
    <row r="45" spans="1:38" s="2260" customFormat="1" ht="15" customHeight="1">
      <c r="A45" s="2542"/>
      <c r="B45" s="2563" t="s">
        <v>1071</v>
      </c>
      <c r="C45" s="2542"/>
      <c r="D45" s="2099">
        <f>'Exhibit G State'!D45+'Exhibit G Federal'!D23</f>
        <v>5.0999999999999996</v>
      </c>
      <c r="E45" s="2099"/>
      <c r="F45" s="2099">
        <f>'Exhibit G State'!F45+'Exhibit G Federal'!F23</f>
        <v>0</v>
      </c>
      <c r="G45" s="2099"/>
      <c r="H45" s="2099">
        <f>'Exhibit G State'!H45+'Exhibit G Federal'!H23</f>
        <v>0.70000000000000018</v>
      </c>
      <c r="I45" s="2608"/>
      <c r="J45" s="2099">
        <f>'Exhibit G State'!J45+'Exhibit G Federal'!J23</f>
        <v>0</v>
      </c>
      <c r="K45" s="2621"/>
      <c r="L45" s="2099"/>
      <c r="M45" s="2621"/>
      <c r="N45" s="2099"/>
      <c r="O45" s="2621"/>
      <c r="P45" s="2099"/>
      <c r="Q45" s="2621"/>
      <c r="R45" s="2099"/>
      <c r="S45" s="2621"/>
      <c r="T45" s="2099"/>
      <c r="U45" s="2621"/>
      <c r="V45" s="2099"/>
      <c r="W45" s="2621"/>
      <c r="X45" s="2099"/>
      <c r="Y45" s="2621"/>
      <c r="Z45" s="2099"/>
      <c r="AA45" s="2099"/>
      <c r="AB45" s="2062">
        <v>0</v>
      </c>
      <c r="AC45" s="2106"/>
      <c r="AD45" s="2062">
        <f t="shared" si="12"/>
        <v>5.8</v>
      </c>
      <c r="AE45" s="2062"/>
      <c r="AF45" s="2106"/>
      <c r="AG45" s="2099">
        <f>'Exhibit G State'!AG45+'Exhibit G Federal'!AG23</f>
        <v>2.4</v>
      </c>
      <c r="AH45" s="3681"/>
      <c r="AI45" s="2043"/>
      <c r="AJ45" s="2067">
        <f>ROUND(SUM(+AD45-AG45),1)</f>
        <v>3.4</v>
      </c>
      <c r="AK45" s="2630"/>
      <c r="AL45" s="1786">
        <f>ROUND(IF(AG45=0,0,AJ45/ABS(AG45)),3)</f>
        <v>1.417</v>
      </c>
    </row>
    <row r="46" spans="1:38" s="2260" customFormat="1" ht="15" customHeight="1">
      <c r="A46" s="2542"/>
      <c r="B46" s="2563" t="s">
        <v>1072</v>
      </c>
      <c r="C46" s="2542"/>
      <c r="D46" s="2099">
        <f>'Exhibit G State'!D46+'Exhibit G Federal'!D24</f>
        <v>0</v>
      </c>
      <c r="E46" s="2099"/>
      <c r="F46" s="2099">
        <f>'Exhibit G State'!F46+'Exhibit G Federal'!F24</f>
        <v>0.1</v>
      </c>
      <c r="G46" s="2099"/>
      <c r="H46" s="2099">
        <f>'Exhibit G State'!H46+'Exhibit G Federal'!H24</f>
        <v>0</v>
      </c>
      <c r="I46" s="2608"/>
      <c r="J46" s="2099">
        <f>'Exhibit G State'!J46+'Exhibit G Federal'!J24</f>
        <v>0</v>
      </c>
      <c r="K46" s="2621"/>
      <c r="L46" s="2099"/>
      <c r="M46" s="2621"/>
      <c r="N46" s="2099"/>
      <c r="O46" s="2621"/>
      <c r="P46" s="2099"/>
      <c r="Q46" s="2621"/>
      <c r="R46" s="2099"/>
      <c r="S46" s="2621"/>
      <c r="T46" s="2099"/>
      <c r="U46" s="2621"/>
      <c r="V46" s="2099"/>
      <c r="W46" s="2621"/>
      <c r="X46" s="2099"/>
      <c r="Y46" s="2621"/>
      <c r="Z46" s="2099"/>
      <c r="AA46" s="2099"/>
      <c r="AB46" s="2062">
        <v>0</v>
      </c>
      <c r="AC46" s="2106"/>
      <c r="AD46" s="2062">
        <f t="shared" si="12"/>
        <v>0.1</v>
      </c>
      <c r="AE46" s="2062"/>
      <c r="AF46" s="2106"/>
      <c r="AG46" s="2099">
        <f>'Exhibit G State'!AG46+'Exhibit G Federal'!AG24</f>
        <v>0.9</v>
      </c>
      <c r="AH46" s="3681"/>
      <c r="AI46" s="2043"/>
      <c r="AJ46" s="2067">
        <f>ROUND(SUM(+AD46-AG46),1)</f>
        <v>-0.8</v>
      </c>
      <c r="AK46" s="2630"/>
      <c r="AL46" s="1786">
        <f>ROUND(IF(AG46=0,0,AJ46/ABS(AG46)),3)</f>
        <v>-0.88900000000000001</v>
      </c>
    </row>
    <row r="47" spans="1:38" s="2260" customFormat="1" ht="15" customHeight="1">
      <c r="A47" s="2542"/>
      <c r="B47" s="2563" t="s">
        <v>1161</v>
      </c>
      <c r="C47" s="2542"/>
      <c r="D47" s="2099"/>
      <c r="E47" s="2608"/>
      <c r="F47" s="2099"/>
      <c r="G47" s="2608"/>
      <c r="H47" s="2099"/>
      <c r="I47" s="2608"/>
      <c r="J47" s="2099"/>
      <c r="K47" s="2621"/>
      <c r="L47" s="2099"/>
      <c r="M47" s="2621"/>
      <c r="N47" s="2099"/>
      <c r="O47" s="2621"/>
      <c r="P47" s="2099"/>
      <c r="Q47" s="2621"/>
      <c r="R47" s="2099"/>
      <c r="S47" s="2621"/>
      <c r="T47" s="2099"/>
      <c r="U47" s="2621"/>
      <c r="V47" s="2099"/>
      <c r="W47" s="2621"/>
      <c r="X47" s="2099"/>
      <c r="Y47" s="2621"/>
      <c r="Z47" s="2099"/>
      <c r="AA47" s="2099"/>
      <c r="AB47" s="2062"/>
      <c r="AC47" s="2106"/>
      <c r="AD47" s="2062"/>
      <c r="AE47" s="2062"/>
      <c r="AF47" s="2106"/>
      <c r="AG47" s="2099"/>
      <c r="AH47" s="3681"/>
      <c r="AI47" s="2043"/>
      <c r="AJ47" s="2067"/>
      <c r="AK47" s="2630"/>
      <c r="AL47" s="1880"/>
    </row>
    <row r="48" spans="1:38" s="2260" customFormat="1" ht="15" customHeight="1">
      <c r="A48" s="2542"/>
      <c r="B48" s="2563" t="s">
        <v>1258</v>
      </c>
      <c r="C48" s="2542"/>
      <c r="D48" s="2099">
        <f>'Exhibit G State'!D48</f>
        <v>0</v>
      </c>
      <c r="E48" s="2099"/>
      <c r="F48" s="2099">
        <f>'Exhibit G State'!F48</f>
        <v>0.8</v>
      </c>
      <c r="G48" s="2099"/>
      <c r="H48" s="2099">
        <f>'Exhibit G State'!H48</f>
        <v>1.4999999999999998</v>
      </c>
      <c r="I48" s="2608"/>
      <c r="J48" s="2099">
        <f>'Exhibit G State'!J48</f>
        <v>0</v>
      </c>
      <c r="K48" s="2621"/>
      <c r="L48" s="2099"/>
      <c r="M48" s="2621"/>
      <c r="N48" s="2099"/>
      <c r="O48" s="2621"/>
      <c r="P48" s="2099"/>
      <c r="Q48" s="2621"/>
      <c r="R48" s="2099"/>
      <c r="S48" s="2621"/>
      <c r="T48" s="2099"/>
      <c r="U48" s="2621"/>
      <c r="V48" s="2099"/>
      <c r="W48" s="2621"/>
      <c r="X48" s="2099"/>
      <c r="Y48" s="2621"/>
      <c r="Z48" s="2099"/>
      <c r="AA48" s="2099"/>
      <c r="AB48" s="2062">
        <v>0</v>
      </c>
      <c r="AC48" s="2106"/>
      <c r="AD48" s="2062">
        <f>ROUND(SUM(D48:Z48),1)</f>
        <v>2.2999999999999998</v>
      </c>
      <c r="AE48" s="2062"/>
      <c r="AF48" s="2106"/>
      <c r="AG48" s="2099">
        <f>'Exhibit G State'!AG48</f>
        <v>2.1</v>
      </c>
      <c r="AH48" s="3681"/>
      <c r="AI48" s="2043"/>
      <c r="AJ48" s="2067">
        <f>ROUND(SUM(+AD48-AG48),1)</f>
        <v>0.2</v>
      </c>
      <c r="AK48" s="2630"/>
      <c r="AL48" s="1786">
        <f>ROUND(IF(AG48=0,0,AJ48/ABS(AG48)),3)</f>
        <v>9.5000000000000001E-2</v>
      </c>
    </row>
    <row r="49" spans="1:38" s="2260" customFormat="1" ht="15" customHeight="1">
      <c r="A49" s="2542"/>
      <c r="B49" s="2563" t="s">
        <v>1073</v>
      </c>
      <c r="C49" s="2542"/>
      <c r="D49" s="2099">
        <f>'Exhibit G State'!D49+'Exhibit G Federal'!D26</f>
        <v>48.6</v>
      </c>
      <c r="E49" s="2099"/>
      <c r="F49" s="2099">
        <f>'Exhibit G State'!F49+'Exhibit G Federal'!F26</f>
        <v>36.9</v>
      </c>
      <c r="G49" s="2099"/>
      <c r="H49" s="2099">
        <f>'Exhibit G State'!H49+'Exhibit G Federal'!H26</f>
        <v>98</v>
      </c>
      <c r="I49" s="2608"/>
      <c r="J49" s="2099">
        <f>'Exhibit G State'!J49+'Exhibit G Federal'!J26</f>
        <v>47.5</v>
      </c>
      <c r="K49" s="2621"/>
      <c r="L49" s="2099"/>
      <c r="M49" s="2621"/>
      <c r="N49" s="2099"/>
      <c r="O49" s="2621"/>
      <c r="P49" s="2099"/>
      <c r="Q49" s="2621"/>
      <c r="R49" s="2099"/>
      <c r="S49" s="2621"/>
      <c r="T49" s="2099"/>
      <c r="U49" s="2621"/>
      <c r="V49" s="2099"/>
      <c r="W49" s="2621"/>
      <c r="X49" s="2099"/>
      <c r="Y49" s="2621"/>
      <c r="Z49" s="2099"/>
      <c r="AA49" s="2099"/>
      <c r="AB49" s="2062">
        <v>0</v>
      </c>
      <c r="AC49" s="2106"/>
      <c r="AD49" s="2062">
        <f t="shared" si="12"/>
        <v>231</v>
      </c>
      <c r="AE49" s="2062"/>
      <c r="AF49" s="2106"/>
      <c r="AG49" s="2099">
        <f>'Exhibit G State'!AG49+'Exhibit G Federal'!AG26</f>
        <v>204.4</v>
      </c>
      <c r="AH49" s="3681"/>
      <c r="AI49" s="2043"/>
      <c r="AJ49" s="2067">
        <f t="shared" ref="AJ49:AJ54" si="13">ROUND(SUM(+AD49-AG49),1)</f>
        <v>26.6</v>
      </c>
      <c r="AK49" s="2630"/>
      <c r="AL49" s="1786">
        <f t="shared" ref="AL49:AL54" si="14">ROUND(IF(AG49=0,0,AJ49/ABS(AG49)),3)</f>
        <v>0.13</v>
      </c>
    </row>
    <row r="50" spans="1:38" s="2260" customFormat="1" ht="15" customHeight="1">
      <c r="A50" s="2542"/>
      <c r="B50" s="2563" t="s">
        <v>1074</v>
      </c>
      <c r="C50" s="2542"/>
      <c r="D50" s="2099">
        <f>'Exhibit G State'!D50+'Exhibit G Federal'!D27</f>
        <v>3.6</v>
      </c>
      <c r="E50" s="2099"/>
      <c r="F50" s="2099">
        <f>'Exhibit G State'!F50+'Exhibit G Federal'!F27</f>
        <v>4.5999999999999996</v>
      </c>
      <c r="G50" s="2099"/>
      <c r="H50" s="2099">
        <f>'Exhibit G State'!H50+'Exhibit G Federal'!H27</f>
        <v>5.1000000000000014</v>
      </c>
      <c r="I50" s="2608"/>
      <c r="J50" s="2099">
        <f>'Exhibit G State'!J50+'Exhibit G Federal'!J27</f>
        <v>4.1999999999999993</v>
      </c>
      <c r="K50" s="2621"/>
      <c r="L50" s="2099"/>
      <c r="M50" s="2621"/>
      <c r="N50" s="2099"/>
      <c r="O50" s="2621"/>
      <c r="P50" s="2099"/>
      <c r="Q50" s="2621"/>
      <c r="R50" s="2099"/>
      <c r="S50" s="2621"/>
      <c r="T50" s="2099"/>
      <c r="U50" s="2621"/>
      <c r="V50" s="2099"/>
      <c r="W50" s="2621"/>
      <c r="X50" s="2099"/>
      <c r="Y50" s="2621"/>
      <c r="Z50" s="2099"/>
      <c r="AA50" s="2099"/>
      <c r="AB50" s="2062">
        <v>0</v>
      </c>
      <c r="AC50" s="2106"/>
      <c r="AD50" s="2062">
        <f t="shared" si="12"/>
        <v>17.5</v>
      </c>
      <c r="AE50" s="2062"/>
      <c r="AF50" s="2106"/>
      <c r="AG50" s="2099">
        <f>'Exhibit G State'!AG50+'Exhibit G Federal'!AG27</f>
        <v>18.600000000000001</v>
      </c>
      <c r="AH50" s="3681"/>
      <c r="AI50" s="2043"/>
      <c r="AJ50" s="2067">
        <f t="shared" si="13"/>
        <v>-1.1000000000000001</v>
      </c>
      <c r="AK50" s="2630"/>
      <c r="AL50" s="1786">
        <f t="shared" si="14"/>
        <v>-5.8999999999999997E-2</v>
      </c>
    </row>
    <row r="51" spans="1:38" s="2260" customFormat="1" ht="15" customHeight="1">
      <c r="A51" s="2542"/>
      <c r="B51" s="2563" t="s">
        <v>1075</v>
      </c>
      <c r="C51" s="2542"/>
      <c r="D51" s="2099">
        <f>'Exhibit G State'!D51+'Exhibit G Federal'!D28</f>
        <v>0.3</v>
      </c>
      <c r="E51" s="2099"/>
      <c r="F51" s="2099">
        <f>'Exhibit G State'!F51+'Exhibit G Federal'!F28</f>
        <v>0.39999999999999997</v>
      </c>
      <c r="G51" s="2099"/>
      <c r="H51" s="2099">
        <f>'Exhibit G State'!H51+'Exhibit G Federal'!H28</f>
        <v>1.1000000000000001</v>
      </c>
      <c r="I51" s="2608"/>
      <c r="J51" s="2099">
        <f>'Exhibit G State'!J51+'Exhibit G Federal'!J28</f>
        <v>0</v>
      </c>
      <c r="K51" s="2621"/>
      <c r="L51" s="2099"/>
      <c r="M51" s="2621"/>
      <c r="N51" s="2099"/>
      <c r="O51" s="2621"/>
      <c r="P51" s="2099"/>
      <c r="Q51" s="2621"/>
      <c r="R51" s="2099"/>
      <c r="S51" s="2621"/>
      <c r="T51" s="2099"/>
      <c r="U51" s="2621"/>
      <c r="V51" s="2099"/>
      <c r="W51" s="2621"/>
      <c r="X51" s="2099"/>
      <c r="Y51" s="2621"/>
      <c r="Z51" s="2099"/>
      <c r="AA51" s="2099"/>
      <c r="AB51" s="2062">
        <v>0</v>
      </c>
      <c r="AC51" s="2106"/>
      <c r="AD51" s="2062">
        <f>ROUND(SUM(D51:Z51),1)</f>
        <v>1.8</v>
      </c>
      <c r="AE51" s="2062"/>
      <c r="AF51" s="2106"/>
      <c r="AG51" s="2099">
        <f>'Exhibit G State'!AG51+'Exhibit G Federal'!AG28</f>
        <v>3</v>
      </c>
      <c r="AH51" s="3681"/>
      <c r="AI51" s="2043"/>
      <c r="AJ51" s="2067">
        <f t="shared" si="13"/>
        <v>-1.2</v>
      </c>
      <c r="AK51" s="2630"/>
      <c r="AL51" s="1786">
        <f>ROUND(IF(AG51=0,1,AJ51/ABS(AG51)),3)</f>
        <v>-0.4</v>
      </c>
    </row>
    <row r="52" spans="1:38" s="2260" customFormat="1" ht="15" customHeight="1">
      <c r="A52" s="2542"/>
      <c r="B52" s="2563" t="s">
        <v>1076</v>
      </c>
      <c r="C52" s="2542"/>
      <c r="D52" s="2099">
        <f>'Exhibit G State'!D52+'Exhibit G Federal'!D29</f>
        <v>26</v>
      </c>
      <c r="E52" s="2099"/>
      <c r="F52" s="2099">
        <f>'Exhibit G State'!F52+'Exhibit G Federal'!F29</f>
        <v>26.6</v>
      </c>
      <c r="G52" s="2099"/>
      <c r="H52" s="2099">
        <f>'Exhibit G State'!H52+'Exhibit G Federal'!H29</f>
        <v>28.699999999999996</v>
      </c>
      <c r="I52" s="2608"/>
      <c r="J52" s="2099">
        <f>'Exhibit G State'!J52+'Exhibit G Federal'!J29</f>
        <v>23.5</v>
      </c>
      <c r="K52" s="2621"/>
      <c r="L52" s="2099"/>
      <c r="M52" s="2621"/>
      <c r="N52" s="2099"/>
      <c r="O52" s="2621"/>
      <c r="P52" s="2099"/>
      <c r="Q52" s="2621"/>
      <c r="R52" s="2099"/>
      <c r="S52" s="2621"/>
      <c r="T52" s="2099"/>
      <c r="U52" s="2621"/>
      <c r="V52" s="2099"/>
      <c r="W52" s="2621"/>
      <c r="X52" s="2099"/>
      <c r="Y52" s="2621"/>
      <c r="Z52" s="2099"/>
      <c r="AA52" s="2099"/>
      <c r="AB52" s="2062">
        <v>0</v>
      </c>
      <c r="AC52" s="2106"/>
      <c r="AD52" s="2062">
        <f t="shared" si="12"/>
        <v>104.8</v>
      </c>
      <c r="AE52" s="2062"/>
      <c r="AF52" s="2106"/>
      <c r="AG52" s="2099">
        <f>'Exhibit G State'!AG52+'Exhibit G Federal'!AG29</f>
        <v>176.6</v>
      </c>
      <c r="AH52" s="3681"/>
      <c r="AI52" s="2043"/>
      <c r="AJ52" s="2067">
        <f t="shared" si="13"/>
        <v>-71.8</v>
      </c>
      <c r="AK52" s="2630"/>
      <c r="AL52" s="1786">
        <f t="shared" si="14"/>
        <v>-0.40699999999999997</v>
      </c>
    </row>
    <row r="53" spans="1:38" s="2260" customFormat="1" ht="15" customHeight="1">
      <c r="A53" s="2542"/>
      <c r="B53" s="2563" t="s">
        <v>1077</v>
      </c>
      <c r="C53" s="2542"/>
      <c r="D53" s="2099">
        <f>'Exhibit G State'!D53+'Exhibit G Federal'!D30</f>
        <v>54</v>
      </c>
      <c r="E53" s="2099"/>
      <c r="F53" s="2099">
        <f>'Exhibit G State'!F53+'Exhibit G Federal'!F30</f>
        <v>45.599999999999994</v>
      </c>
      <c r="G53" s="2099"/>
      <c r="H53" s="2099">
        <f>'Exhibit G State'!H53+'Exhibit G Federal'!H30</f>
        <v>65.400000000000006</v>
      </c>
      <c r="I53" s="2608"/>
      <c r="J53" s="2099">
        <f>'Exhibit G State'!J53+'Exhibit G Federal'!J30</f>
        <v>65.900000000000006</v>
      </c>
      <c r="K53" s="2621"/>
      <c r="L53" s="2099"/>
      <c r="M53" s="2621"/>
      <c r="N53" s="2099"/>
      <c r="O53" s="2621"/>
      <c r="P53" s="2099"/>
      <c r="Q53" s="2621"/>
      <c r="R53" s="2099"/>
      <c r="S53" s="2621"/>
      <c r="T53" s="2099"/>
      <c r="U53" s="2621"/>
      <c r="V53" s="2099"/>
      <c r="W53" s="2621"/>
      <c r="X53" s="2099"/>
      <c r="Y53" s="2621"/>
      <c r="Z53" s="2099"/>
      <c r="AA53" s="2099"/>
      <c r="AB53" s="2062">
        <v>0</v>
      </c>
      <c r="AC53" s="2106"/>
      <c r="AD53" s="2067">
        <f t="shared" si="12"/>
        <v>230.9</v>
      </c>
      <c r="AE53" s="2062"/>
      <c r="AF53" s="2106"/>
      <c r="AG53" s="2099">
        <f>'Exhibit G State'!AG53+'Exhibit G Federal'!AG30</f>
        <v>199.2</v>
      </c>
      <c r="AH53" s="3681"/>
      <c r="AI53" s="2043"/>
      <c r="AJ53" s="2067">
        <f t="shared" si="13"/>
        <v>31.7</v>
      </c>
      <c r="AK53" s="2630"/>
      <c r="AL53" s="1786">
        <f t="shared" si="14"/>
        <v>0.159</v>
      </c>
    </row>
    <row r="54" spans="1:38" s="2260" customFormat="1" ht="15" customHeight="1">
      <c r="A54" s="2542"/>
      <c r="B54" s="2563" t="s">
        <v>1035</v>
      </c>
      <c r="C54" s="2542"/>
      <c r="D54" s="2099">
        <f>'Exhibit G State'!D54+'Exhibit G Federal'!D31</f>
        <v>8.2999999999999989</v>
      </c>
      <c r="E54" s="2099"/>
      <c r="F54" s="2099">
        <f>'Exhibit G State'!F54+'Exhibit G Federal'!F31</f>
        <v>68</v>
      </c>
      <c r="G54" s="2099"/>
      <c r="H54" s="2099">
        <f>'Exhibit G State'!H54+'Exhibit G Federal'!H31</f>
        <v>107.2</v>
      </c>
      <c r="I54" s="2608"/>
      <c r="J54" s="2099">
        <f>'Exhibit G State'!J54+'Exhibit G Federal'!J31</f>
        <v>5.2000000000000117</v>
      </c>
      <c r="K54" s="2621"/>
      <c r="L54" s="2099"/>
      <c r="M54" s="2621"/>
      <c r="N54" s="2099"/>
      <c r="O54" s="2621"/>
      <c r="P54" s="2099"/>
      <c r="Q54" s="2621"/>
      <c r="R54" s="2099"/>
      <c r="S54" s="2621"/>
      <c r="T54" s="2099"/>
      <c r="U54" s="2621"/>
      <c r="V54" s="2099"/>
      <c r="W54" s="2621"/>
      <c r="X54" s="2099"/>
      <c r="Y54" s="2621"/>
      <c r="Z54" s="2099"/>
      <c r="AA54" s="2099"/>
      <c r="AB54" s="2062">
        <v>0</v>
      </c>
      <c r="AC54" s="2106"/>
      <c r="AD54" s="2067">
        <f>ROUND(SUM(D54:Z54),1)</f>
        <v>188.7</v>
      </c>
      <c r="AE54" s="2062"/>
      <c r="AF54" s="2106"/>
      <c r="AG54" s="2099">
        <f>'Exhibit G State'!AG54+'Exhibit G Federal'!AG31</f>
        <v>88.5</v>
      </c>
      <c r="AH54" s="3681"/>
      <c r="AI54" s="2043"/>
      <c r="AJ54" s="2067">
        <f t="shared" si="13"/>
        <v>100.2</v>
      </c>
      <c r="AK54" s="2630"/>
      <c r="AL54" s="1791">
        <f t="shared" si="14"/>
        <v>1.1319999999999999</v>
      </c>
    </row>
    <row r="55" spans="1:38" s="2260" customFormat="1" ht="15" customHeight="1">
      <c r="A55" s="2542"/>
      <c r="B55" s="2563" t="s">
        <v>1158</v>
      </c>
      <c r="C55" s="2542"/>
      <c r="D55" s="2099"/>
      <c r="E55" s="2608"/>
      <c r="F55" s="2099"/>
      <c r="G55" s="2608"/>
      <c r="H55" s="2099"/>
      <c r="I55" s="2608"/>
      <c r="J55" s="2099"/>
      <c r="K55" s="2621"/>
      <c r="L55" s="2099"/>
      <c r="M55" s="2621"/>
      <c r="N55" s="2099"/>
      <c r="O55" s="2621"/>
      <c r="P55" s="2099"/>
      <c r="Q55" s="2621"/>
      <c r="R55" s="2099"/>
      <c r="S55" s="2621"/>
      <c r="T55" s="2099"/>
      <c r="U55" s="2621"/>
      <c r="V55" s="2099"/>
      <c r="W55" s="2621"/>
      <c r="X55" s="2099"/>
      <c r="Y55" s="2621"/>
      <c r="Z55" s="2099"/>
      <c r="AA55" s="2099"/>
      <c r="AB55" s="2062"/>
      <c r="AC55" s="2106"/>
      <c r="AD55" s="2067"/>
      <c r="AE55" s="2062"/>
      <c r="AF55" s="2106"/>
      <c r="AG55" s="2099"/>
      <c r="AH55" s="3681"/>
      <c r="AI55" s="2043"/>
      <c r="AJ55" s="2067"/>
      <c r="AK55" s="2630"/>
      <c r="AL55" s="1880"/>
    </row>
    <row r="56" spans="1:38" s="2260" customFormat="1" ht="15" customHeight="1">
      <c r="A56" s="2542"/>
      <c r="B56" s="2563" t="s">
        <v>1078</v>
      </c>
      <c r="C56" s="2542"/>
      <c r="D56" s="2099">
        <f>'Exhibit G State'!D56</f>
        <v>31.4</v>
      </c>
      <c r="E56" s="2099"/>
      <c r="F56" s="2099">
        <f>'Exhibit G State'!F56</f>
        <v>18.800000000000004</v>
      </c>
      <c r="G56" s="2099"/>
      <c r="H56" s="2099">
        <f>'Exhibit G State'!H56</f>
        <v>19.700000000000003</v>
      </c>
      <c r="I56" s="2608"/>
      <c r="J56" s="2099">
        <f>'Exhibit G State'!J56</f>
        <v>37.699999999999982</v>
      </c>
      <c r="K56" s="2621"/>
      <c r="L56" s="2099"/>
      <c r="M56" s="2621"/>
      <c r="N56" s="2099"/>
      <c r="O56" s="2621"/>
      <c r="P56" s="2099"/>
      <c r="Q56" s="2621"/>
      <c r="R56" s="2099"/>
      <c r="S56" s="2621"/>
      <c r="T56" s="2099"/>
      <c r="U56" s="2621"/>
      <c r="V56" s="2099"/>
      <c r="W56" s="2621"/>
      <c r="X56" s="2099"/>
      <c r="Y56" s="2621"/>
      <c r="Z56" s="2099"/>
      <c r="AA56" s="2099"/>
      <c r="AB56" s="2062">
        <v>0</v>
      </c>
      <c r="AC56" s="2106"/>
      <c r="AD56" s="2067">
        <f t="shared" si="12"/>
        <v>107.6</v>
      </c>
      <c r="AE56" s="2062"/>
      <c r="AF56" s="2106"/>
      <c r="AG56" s="2099">
        <f>'Exhibit G State'!AG56</f>
        <v>91.2</v>
      </c>
      <c r="AH56" s="3681"/>
      <c r="AI56" s="2043"/>
      <c r="AJ56" s="2067">
        <f>ROUND(SUM(+AD56-AG56),1)</f>
        <v>16.399999999999999</v>
      </c>
      <c r="AK56" s="2630"/>
      <c r="AL56" s="1791">
        <f>ROUND(IF(AG56=0,0,AJ56/ABS(AG56)),3)</f>
        <v>0.18</v>
      </c>
    </row>
    <row r="57" spans="1:38" s="2260" customFormat="1" ht="15" customHeight="1">
      <c r="A57" s="2542"/>
      <c r="B57" s="2563" t="s">
        <v>1079</v>
      </c>
      <c r="C57" s="2542"/>
      <c r="D57" s="2099">
        <f>'Exhibit G State'!D57</f>
        <v>218.4</v>
      </c>
      <c r="E57" s="2099"/>
      <c r="F57" s="2099">
        <f>'Exhibit G State'!F57</f>
        <v>262</v>
      </c>
      <c r="G57" s="2099"/>
      <c r="H57" s="2099">
        <f>'Exhibit G State'!H57</f>
        <v>202.30000000000007</v>
      </c>
      <c r="I57" s="2608"/>
      <c r="J57" s="2099">
        <f>'Exhibit G State'!J57</f>
        <v>225.69999999999993</v>
      </c>
      <c r="K57" s="2621"/>
      <c r="L57" s="2099"/>
      <c r="M57" s="2621"/>
      <c r="N57" s="2099"/>
      <c r="O57" s="2621"/>
      <c r="P57" s="2099"/>
      <c r="Q57" s="2621"/>
      <c r="R57" s="2099"/>
      <c r="S57" s="2621"/>
      <c r="T57" s="2099"/>
      <c r="U57" s="2621"/>
      <c r="V57" s="2099"/>
      <c r="W57" s="2621"/>
      <c r="X57" s="2099"/>
      <c r="Y57" s="2621"/>
      <c r="Z57" s="2099"/>
      <c r="AA57" s="2099"/>
      <c r="AB57" s="2062">
        <v>0</v>
      </c>
      <c r="AC57" s="2106"/>
      <c r="AD57" s="2067">
        <f t="shared" si="12"/>
        <v>908.4</v>
      </c>
      <c r="AE57" s="2062"/>
      <c r="AF57" s="2106"/>
      <c r="AG57" s="2099">
        <f>'Exhibit G State'!AG57</f>
        <v>804.8</v>
      </c>
      <c r="AH57" s="3681"/>
      <c r="AI57" s="2043"/>
      <c r="AJ57" s="2067">
        <f>ROUND(SUM(+AD57-AG57),1)</f>
        <v>103.6</v>
      </c>
      <c r="AK57" s="2630"/>
      <c r="AL57" s="1786">
        <f>ROUND(IF(AG57=0,0,AJ57/ABS(AG57)),3)</f>
        <v>0.129</v>
      </c>
    </row>
    <row r="58" spans="1:38" s="2260" customFormat="1" ht="15" customHeight="1">
      <c r="A58" s="2542"/>
      <c r="B58" s="2563" t="s">
        <v>1080</v>
      </c>
      <c r="C58" s="2542"/>
      <c r="D58" s="2099">
        <f>'Exhibit G State'!D58</f>
        <v>76.599999999999994</v>
      </c>
      <c r="E58" s="2099"/>
      <c r="F58" s="2099">
        <f>'Exhibit G State'!F58</f>
        <v>88.5</v>
      </c>
      <c r="G58" s="2099"/>
      <c r="H58" s="2099">
        <f>'Exhibit G State'!H58</f>
        <v>63.200000000000017</v>
      </c>
      <c r="I58" s="2608"/>
      <c r="J58" s="2099">
        <f>'Exhibit G State'!J58</f>
        <v>89.5</v>
      </c>
      <c r="K58" s="2621"/>
      <c r="L58" s="2099"/>
      <c r="M58" s="2621"/>
      <c r="N58" s="2099"/>
      <c r="O58" s="2621"/>
      <c r="P58" s="2099"/>
      <c r="Q58" s="2621"/>
      <c r="R58" s="2099"/>
      <c r="S58" s="2621"/>
      <c r="T58" s="2099"/>
      <c r="U58" s="2621"/>
      <c r="V58" s="2099"/>
      <c r="W58" s="2621"/>
      <c r="X58" s="2099"/>
      <c r="Y58" s="2621"/>
      <c r="Z58" s="2099"/>
      <c r="AA58" s="2099"/>
      <c r="AB58" s="2062">
        <v>0</v>
      </c>
      <c r="AC58" s="2106"/>
      <c r="AD58" s="2067">
        <f t="shared" si="12"/>
        <v>317.8</v>
      </c>
      <c r="AE58" s="2062"/>
      <c r="AF58" s="2106"/>
      <c r="AG58" s="2099">
        <f>'Exhibit G State'!AG58</f>
        <v>298</v>
      </c>
      <c r="AH58" s="3681"/>
      <c r="AI58" s="2043"/>
      <c r="AJ58" s="2067">
        <f>ROUND(SUM(+AD58-AG58),1)</f>
        <v>19.8</v>
      </c>
      <c r="AK58" s="2630"/>
      <c r="AL58" s="1786">
        <f>ROUND(IF(AG58=0,0,AJ58/ABS(AG58)),3)</f>
        <v>6.6000000000000003E-2</v>
      </c>
    </row>
    <row r="59" spans="1:38" s="2260" customFormat="1" ht="15" customHeight="1">
      <c r="A59" s="2542"/>
      <c r="B59" s="2563" t="s">
        <v>1036</v>
      </c>
      <c r="C59" s="2542"/>
      <c r="D59" s="2099">
        <f>'Exhibit G State'!D59+'Exhibit G Federal'!D32</f>
        <v>20.9</v>
      </c>
      <c r="E59" s="2099"/>
      <c r="F59" s="2099">
        <f>'Exhibit G State'!F59+'Exhibit G Federal'!F32</f>
        <v>21.000000000000004</v>
      </c>
      <c r="G59" s="2099"/>
      <c r="H59" s="2099">
        <f>'Exhibit G State'!H59+'Exhibit G Federal'!H32</f>
        <v>23.8</v>
      </c>
      <c r="I59" s="2608"/>
      <c r="J59" s="2099">
        <f>'Exhibit G State'!J59+'Exhibit G Federal'!J32</f>
        <v>21.699999999999996</v>
      </c>
      <c r="K59" s="2621"/>
      <c r="L59" s="2099"/>
      <c r="M59" s="2621"/>
      <c r="N59" s="2099"/>
      <c r="O59" s="2621"/>
      <c r="P59" s="2099"/>
      <c r="Q59" s="2621"/>
      <c r="R59" s="2099"/>
      <c r="S59" s="2621"/>
      <c r="T59" s="2099"/>
      <c r="U59" s="2621"/>
      <c r="V59" s="2099"/>
      <c r="W59" s="2621"/>
      <c r="X59" s="2099"/>
      <c r="Y59" s="2621"/>
      <c r="Z59" s="2099"/>
      <c r="AA59" s="2099"/>
      <c r="AB59" s="2062">
        <v>0</v>
      </c>
      <c r="AC59" s="2106"/>
      <c r="AD59" s="2067">
        <f>ROUND(SUM(D59:Z59),1)</f>
        <v>87.4</v>
      </c>
      <c r="AE59" s="2062"/>
      <c r="AF59" s="2106"/>
      <c r="AG59" s="2099">
        <f>'Exhibit G State'!AG59+'Exhibit G Federal'!AG32</f>
        <v>47.2</v>
      </c>
      <c r="AH59" s="3681"/>
      <c r="AI59" s="2043"/>
      <c r="AJ59" s="2067">
        <f>ROUND(SUM(+AD59-AG59),1)</f>
        <v>40.200000000000003</v>
      </c>
      <c r="AK59" s="2630"/>
      <c r="AL59" s="1786">
        <f>ROUND(IF(AG59=0,0,AJ59/ABS(AG59)),3)</f>
        <v>0.85199999999999998</v>
      </c>
    </row>
    <row r="60" spans="1:38" s="2260" customFormat="1" ht="15" customHeight="1">
      <c r="A60" s="2542"/>
      <c r="B60" s="2563" t="s">
        <v>1159</v>
      </c>
      <c r="C60" s="2542"/>
      <c r="D60" s="2099"/>
      <c r="E60" s="2608"/>
      <c r="F60" s="2099"/>
      <c r="G60" s="2608"/>
      <c r="H60" s="2099"/>
      <c r="I60" s="2608"/>
      <c r="J60" s="2099"/>
      <c r="K60" s="2621"/>
      <c r="L60" s="2099"/>
      <c r="M60" s="2621"/>
      <c r="N60" s="2099"/>
      <c r="O60" s="2621"/>
      <c r="P60" s="2099"/>
      <c r="Q60" s="2621"/>
      <c r="R60" s="2099"/>
      <c r="S60" s="2621"/>
      <c r="T60" s="2099"/>
      <c r="U60" s="2621"/>
      <c r="V60" s="2099"/>
      <c r="W60" s="2621"/>
      <c r="X60" s="2099"/>
      <c r="Y60" s="2621"/>
      <c r="Z60" s="2099"/>
      <c r="AA60" s="2099"/>
      <c r="AB60" s="2062"/>
      <c r="AC60" s="2106"/>
      <c r="AD60" s="2067"/>
      <c r="AE60" s="2062"/>
      <c r="AF60" s="2106"/>
      <c r="AG60" s="2099"/>
      <c r="AH60" s="3681"/>
      <c r="AI60" s="2043"/>
      <c r="AJ60" s="2067"/>
      <c r="AK60" s="2630"/>
      <c r="AL60" s="1880"/>
    </row>
    <row r="61" spans="1:38" s="2260" customFormat="1" ht="15" customHeight="1">
      <c r="A61" s="2542"/>
      <c r="B61" s="2563" t="s">
        <v>1081</v>
      </c>
      <c r="C61" s="2542"/>
      <c r="D61" s="2099">
        <f>'Exhibit G State'!D61+'Exhibit G Federal'!D34</f>
        <v>0</v>
      </c>
      <c r="E61" s="2099"/>
      <c r="F61" s="2099">
        <f>'Exhibit G State'!F61+'Exhibit G Federal'!F34</f>
        <v>0</v>
      </c>
      <c r="G61" s="2099"/>
      <c r="H61" s="2099">
        <f>'Exhibit G State'!H61+'Exhibit G Federal'!H34</f>
        <v>0</v>
      </c>
      <c r="I61" s="2608"/>
      <c r="J61" s="2099">
        <f>'Exhibit G State'!J61+'Exhibit G Federal'!J34</f>
        <v>0</v>
      </c>
      <c r="K61" s="2621"/>
      <c r="L61" s="2099"/>
      <c r="M61" s="2621"/>
      <c r="N61" s="2099"/>
      <c r="O61" s="2621"/>
      <c r="P61" s="2099"/>
      <c r="Q61" s="2621"/>
      <c r="R61" s="2099"/>
      <c r="S61" s="2621"/>
      <c r="T61" s="2099"/>
      <c r="U61" s="2621"/>
      <c r="V61" s="2099"/>
      <c r="W61" s="2621"/>
      <c r="X61" s="2099"/>
      <c r="Y61" s="2621"/>
      <c r="Z61" s="2099"/>
      <c r="AA61" s="2099"/>
      <c r="AB61" s="2062">
        <v>0</v>
      </c>
      <c r="AC61" s="2106"/>
      <c r="AD61" s="2067">
        <f t="shared" si="12"/>
        <v>0</v>
      </c>
      <c r="AE61" s="2062"/>
      <c r="AF61" s="2106"/>
      <c r="AG61" s="2099">
        <f>'Exhibit G State'!AG61+'Exhibit G Federal'!AG34</f>
        <v>0</v>
      </c>
      <c r="AH61" s="3681"/>
      <c r="AI61" s="2043"/>
      <c r="AJ61" s="2067">
        <f t="shared" ref="AJ61:AJ66" si="15">ROUND(SUM(+AD61-AG61),1)</f>
        <v>0</v>
      </c>
      <c r="AK61" s="2630"/>
      <c r="AL61" s="1786">
        <f>ROUND(IF(AG61=0,0,AJ61/ABS(AG61)),3)</f>
        <v>0</v>
      </c>
    </row>
    <row r="62" spans="1:38" s="2260" customFormat="1" ht="15" customHeight="1">
      <c r="A62" s="2542"/>
      <c r="B62" s="2563" t="s">
        <v>1082</v>
      </c>
      <c r="C62" s="2542"/>
      <c r="D62" s="2099">
        <f>'Exhibit G State'!D62+'Exhibit G Federal'!D35</f>
        <v>0</v>
      </c>
      <c r="E62" s="2099"/>
      <c r="F62" s="2099">
        <f>'Exhibit G State'!F62+'Exhibit G Federal'!F35</f>
        <v>0</v>
      </c>
      <c r="G62" s="2099"/>
      <c r="H62" s="2099">
        <f>'Exhibit G State'!H62+'Exhibit G Federal'!H35</f>
        <v>0</v>
      </c>
      <c r="I62" s="2608"/>
      <c r="J62" s="2099">
        <f>'Exhibit G State'!J62+'Exhibit G Federal'!J35</f>
        <v>0</v>
      </c>
      <c r="K62" s="2621"/>
      <c r="L62" s="2099"/>
      <c r="M62" s="2621"/>
      <c r="N62" s="2099"/>
      <c r="O62" s="2621"/>
      <c r="P62" s="2099"/>
      <c r="Q62" s="2621"/>
      <c r="R62" s="2099"/>
      <c r="S62" s="2621"/>
      <c r="T62" s="2099"/>
      <c r="U62" s="2621"/>
      <c r="V62" s="2099"/>
      <c r="W62" s="2621"/>
      <c r="X62" s="2099"/>
      <c r="Y62" s="2621"/>
      <c r="Z62" s="2099"/>
      <c r="AA62" s="2099"/>
      <c r="AB62" s="2062">
        <v>0</v>
      </c>
      <c r="AC62" s="2106"/>
      <c r="AD62" s="2067">
        <f t="shared" si="12"/>
        <v>0</v>
      </c>
      <c r="AE62" s="2062"/>
      <c r="AF62" s="2106"/>
      <c r="AG62" s="2099">
        <f>'Exhibit G State'!AG62+'Exhibit G Federal'!AG35</f>
        <v>20.399999999999999</v>
      </c>
      <c r="AH62" s="3681"/>
      <c r="AI62" s="2043"/>
      <c r="AJ62" s="2067">
        <f t="shared" si="15"/>
        <v>-20.399999999999999</v>
      </c>
      <c r="AK62" s="2630"/>
      <c r="AL62" s="1786">
        <f>ROUND(IF(AG62=0,0,AJ62/ABS(AG62)),3)</f>
        <v>-1</v>
      </c>
    </row>
    <row r="63" spans="1:38" s="2260" customFormat="1" ht="15" customHeight="1">
      <c r="A63" s="2542"/>
      <c r="B63" s="2563" t="s">
        <v>1083</v>
      </c>
      <c r="C63" s="2542"/>
      <c r="D63" s="2099">
        <f>'Exhibit G State'!D63+'Exhibit G Federal'!D36</f>
        <v>2</v>
      </c>
      <c r="E63" s="2099"/>
      <c r="F63" s="2099">
        <f>'Exhibit G State'!F63+'Exhibit G Federal'!F36</f>
        <v>1</v>
      </c>
      <c r="G63" s="2099"/>
      <c r="H63" s="2099">
        <f>'Exhibit G State'!H63+'Exhibit G Federal'!H36</f>
        <v>4.2</v>
      </c>
      <c r="I63" s="2608"/>
      <c r="J63" s="2099">
        <f>'Exhibit G State'!J63+'Exhibit G Federal'!J36</f>
        <v>0</v>
      </c>
      <c r="K63" s="2621"/>
      <c r="L63" s="2099"/>
      <c r="M63" s="2621"/>
      <c r="N63" s="2099"/>
      <c r="O63" s="2621"/>
      <c r="P63" s="2099"/>
      <c r="Q63" s="2621"/>
      <c r="R63" s="2099"/>
      <c r="S63" s="2621"/>
      <c r="T63" s="2099"/>
      <c r="U63" s="2621"/>
      <c r="V63" s="2099"/>
      <c r="W63" s="2621"/>
      <c r="X63" s="2099"/>
      <c r="Y63" s="2621"/>
      <c r="Z63" s="2099"/>
      <c r="AA63" s="2099"/>
      <c r="AB63" s="2062">
        <v>0</v>
      </c>
      <c r="AC63" s="2106"/>
      <c r="AD63" s="2067">
        <f t="shared" si="12"/>
        <v>7.2</v>
      </c>
      <c r="AE63" s="2062"/>
      <c r="AF63" s="2106"/>
      <c r="AG63" s="2099">
        <f>'Exhibit G State'!AG63+'Exhibit G Federal'!AG36</f>
        <v>7.2</v>
      </c>
      <c r="AH63" s="3681"/>
      <c r="AI63" s="2043"/>
      <c r="AJ63" s="2067">
        <f t="shared" si="15"/>
        <v>0</v>
      </c>
      <c r="AK63" s="2630"/>
      <c r="AL63" s="1791">
        <f t="shared" ref="AL63:AL66" si="16">ROUND(IF(AG63=0,0,AJ63/ABS(AG63)),3)</f>
        <v>0</v>
      </c>
    </row>
    <row r="64" spans="1:38" s="2260" customFormat="1" ht="15" customHeight="1">
      <c r="A64" s="2542"/>
      <c r="B64" s="2563" t="s">
        <v>1084</v>
      </c>
      <c r="C64" s="2542"/>
      <c r="D64" s="2099">
        <f>'Exhibit G State'!D64+'Exhibit G Federal'!D37</f>
        <v>0.6</v>
      </c>
      <c r="E64" s="2099"/>
      <c r="F64" s="2099">
        <f>'Exhibit G State'!F64+'Exhibit G Federal'!F37</f>
        <v>4.7</v>
      </c>
      <c r="G64" s="2099"/>
      <c r="H64" s="2099">
        <f>'Exhibit G State'!H64+'Exhibit G Federal'!H37</f>
        <v>4.3</v>
      </c>
      <c r="I64" s="2608"/>
      <c r="J64" s="2099">
        <f>'Exhibit G State'!J64+'Exhibit G Federal'!J37</f>
        <v>13.5</v>
      </c>
      <c r="K64" s="2621"/>
      <c r="L64" s="2099"/>
      <c r="M64" s="2621"/>
      <c r="N64" s="2099"/>
      <c r="O64" s="2621"/>
      <c r="P64" s="2099"/>
      <c r="Q64" s="2621"/>
      <c r="R64" s="2099"/>
      <c r="S64" s="2621"/>
      <c r="T64" s="2099"/>
      <c r="U64" s="2621"/>
      <c r="V64" s="2099"/>
      <c r="W64" s="2621"/>
      <c r="X64" s="2099"/>
      <c r="Y64" s="2621"/>
      <c r="Z64" s="2099"/>
      <c r="AA64" s="2099"/>
      <c r="AB64" s="2062">
        <v>0</v>
      </c>
      <c r="AC64" s="2106"/>
      <c r="AD64" s="2067">
        <f t="shared" si="12"/>
        <v>23.1</v>
      </c>
      <c r="AE64" s="2062"/>
      <c r="AF64" s="2106"/>
      <c r="AG64" s="2099">
        <f>'Exhibit G State'!AG64+'Exhibit G Federal'!AG37</f>
        <v>22.4</v>
      </c>
      <c r="AH64" s="3681"/>
      <c r="AI64" s="2043"/>
      <c r="AJ64" s="2067">
        <f t="shared" si="15"/>
        <v>0.7</v>
      </c>
      <c r="AK64" s="2630"/>
      <c r="AL64" s="1786">
        <f t="shared" si="16"/>
        <v>3.1E-2</v>
      </c>
    </row>
    <row r="65" spans="1:38" s="2260" customFormat="1" ht="15" customHeight="1">
      <c r="A65" s="2542"/>
      <c r="B65" s="2563" t="s">
        <v>1054</v>
      </c>
      <c r="C65" s="2542"/>
      <c r="D65" s="2099">
        <f>'Exhibit G State'!D65+'Exhibit G Federal'!D38</f>
        <v>9.4</v>
      </c>
      <c r="E65" s="2099"/>
      <c r="F65" s="2099">
        <f>'Exhibit G State'!F65+'Exhibit G Federal'!F38</f>
        <v>2.6999999999999993</v>
      </c>
      <c r="G65" s="2099"/>
      <c r="H65" s="2099">
        <f>'Exhibit G State'!H65+'Exhibit G Federal'!H38</f>
        <v>6.2999999999999989</v>
      </c>
      <c r="I65" s="2608"/>
      <c r="J65" s="2099">
        <f>'Exhibit G State'!J65+'Exhibit G Federal'!J38</f>
        <v>3.6000000000000014</v>
      </c>
      <c r="K65" s="2621"/>
      <c r="L65" s="2099"/>
      <c r="M65" s="2621"/>
      <c r="N65" s="2099"/>
      <c r="O65" s="2621"/>
      <c r="P65" s="2099"/>
      <c r="Q65" s="2621"/>
      <c r="R65" s="2099"/>
      <c r="S65" s="2621"/>
      <c r="T65" s="2099"/>
      <c r="U65" s="2621"/>
      <c r="V65" s="2099"/>
      <c r="W65" s="2621"/>
      <c r="X65" s="2099"/>
      <c r="Y65" s="2621"/>
      <c r="Z65" s="2099"/>
      <c r="AA65" s="2099"/>
      <c r="AB65" s="2062">
        <v>0</v>
      </c>
      <c r="AC65" s="2106"/>
      <c r="AD65" s="2067">
        <f t="shared" si="12"/>
        <v>22</v>
      </c>
      <c r="AE65" s="2062"/>
      <c r="AF65" s="2106"/>
      <c r="AG65" s="2099">
        <f>'Exhibit G State'!AG65+'Exhibit G Federal'!AG38</f>
        <v>28.8</v>
      </c>
      <c r="AH65" s="3681"/>
      <c r="AI65" s="2043"/>
      <c r="AJ65" s="2067">
        <f t="shared" si="15"/>
        <v>-6.8</v>
      </c>
      <c r="AK65" s="2630"/>
      <c r="AL65" s="1786">
        <f t="shared" si="16"/>
        <v>-0.23599999999999999</v>
      </c>
    </row>
    <row r="66" spans="1:38" s="2260" customFormat="1" ht="15" customHeight="1">
      <c r="A66" s="2542"/>
      <c r="B66" s="2563" t="s">
        <v>1055</v>
      </c>
      <c r="C66" s="2542"/>
      <c r="D66" s="2099">
        <f>'Exhibit G State'!D66+'Exhibit G Federal'!D39</f>
        <v>39</v>
      </c>
      <c r="E66" s="2099"/>
      <c r="F66" s="2099">
        <f>'Exhibit G State'!F66+'Exhibit G Federal'!F39</f>
        <v>28.200000000000003</v>
      </c>
      <c r="G66" s="2099"/>
      <c r="H66" s="2099">
        <f>'Exhibit G State'!H66+'Exhibit G Federal'!H39</f>
        <v>8.3999999999999915</v>
      </c>
      <c r="I66" s="2608"/>
      <c r="J66" s="2099">
        <f>'Exhibit G State'!J66+'Exhibit G Federal'!J39</f>
        <v>29.300000000000011</v>
      </c>
      <c r="K66" s="2621"/>
      <c r="L66" s="2099"/>
      <c r="M66" s="2621"/>
      <c r="N66" s="2099"/>
      <c r="O66" s="2621"/>
      <c r="P66" s="2099"/>
      <c r="Q66" s="2621"/>
      <c r="R66" s="2099"/>
      <c r="S66" s="2621"/>
      <c r="T66" s="2099"/>
      <c r="U66" s="2621"/>
      <c r="V66" s="2099"/>
      <c r="W66" s="2621"/>
      <c r="X66" s="2099"/>
      <c r="Y66" s="2621"/>
      <c r="Z66" s="2099"/>
      <c r="AA66" s="2099"/>
      <c r="AB66" s="2062">
        <v>0</v>
      </c>
      <c r="AC66" s="2106"/>
      <c r="AD66" s="2067">
        <f t="shared" si="12"/>
        <v>104.9</v>
      </c>
      <c r="AE66" s="2062"/>
      <c r="AF66" s="2106"/>
      <c r="AG66" s="2099">
        <f>'Exhibit G State'!AG66+'Exhibit G Federal'!AG39</f>
        <v>121.1</v>
      </c>
      <c r="AH66" s="3681"/>
      <c r="AI66" s="2043"/>
      <c r="AJ66" s="2067">
        <f t="shared" si="15"/>
        <v>-16.2</v>
      </c>
      <c r="AK66" s="2630"/>
      <c r="AL66" s="1791">
        <f t="shared" si="16"/>
        <v>-0.13400000000000001</v>
      </c>
    </row>
    <row r="67" spans="1:38" s="2260" customFormat="1" ht="15" customHeight="1">
      <c r="A67" s="2542"/>
      <c r="B67" s="2563" t="s">
        <v>1160</v>
      </c>
      <c r="C67" s="2542"/>
      <c r="D67" s="2099"/>
      <c r="E67" s="2099"/>
      <c r="F67" s="2099"/>
      <c r="G67" s="2608"/>
      <c r="H67" s="2099"/>
      <c r="I67" s="2608"/>
      <c r="J67" s="2099"/>
      <c r="K67" s="2621"/>
      <c r="L67" s="2099"/>
      <c r="M67" s="2621"/>
      <c r="N67" s="2099"/>
      <c r="O67" s="2621"/>
      <c r="P67" s="2099"/>
      <c r="Q67" s="2621"/>
      <c r="R67" s="2099"/>
      <c r="S67" s="2621"/>
      <c r="T67" s="2099"/>
      <c r="U67" s="2621"/>
      <c r="V67" s="2099"/>
      <c r="W67" s="2621"/>
      <c r="X67" s="2099"/>
      <c r="Y67" s="2621"/>
      <c r="Z67" s="2099"/>
      <c r="AA67" s="2099"/>
      <c r="AB67" s="2062"/>
      <c r="AC67" s="2106"/>
      <c r="AD67" s="2067"/>
      <c r="AE67" s="2062"/>
      <c r="AF67" s="2106"/>
      <c r="AG67" s="2099"/>
      <c r="AH67" s="3681"/>
      <c r="AI67" s="2043"/>
      <c r="AJ67" s="2067"/>
      <c r="AK67" s="2630"/>
      <c r="AL67" s="1880"/>
    </row>
    <row r="68" spans="1:38" s="2260" customFormat="1" ht="15" customHeight="1">
      <c r="A68" s="2542"/>
      <c r="B68" s="2563" t="s">
        <v>1085</v>
      </c>
      <c r="C68" s="2542"/>
      <c r="D68" s="2099">
        <f>'Exhibit G State'!D68+'Exhibit G Federal'!D41</f>
        <v>1.4</v>
      </c>
      <c r="E68" s="2099"/>
      <c r="F68" s="2099">
        <f>'Exhibit G State'!F68+'Exhibit G Federal'!F41</f>
        <v>1.8000000000000003</v>
      </c>
      <c r="G68" s="2099"/>
      <c r="H68" s="2099">
        <f>'Exhibit G State'!H68+'Exhibit G Federal'!H41</f>
        <v>4.5999999999999996</v>
      </c>
      <c r="I68" s="2608"/>
      <c r="J68" s="2099">
        <f>'Exhibit G State'!J68+'Exhibit G Federal'!J41</f>
        <v>17.600000000000001</v>
      </c>
      <c r="K68" s="2621"/>
      <c r="L68" s="2099"/>
      <c r="M68" s="2621"/>
      <c r="N68" s="2099"/>
      <c r="O68" s="2621"/>
      <c r="P68" s="2099"/>
      <c r="Q68" s="2621"/>
      <c r="R68" s="2099"/>
      <c r="S68" s="2621"/>
      <c r="T68" s="2099"/>
      <c r="U68" s="2621"/>
      <c r="V68" s="2099"/>
      <c r="W68" s="2621"/>
      <c r="X68" s="2099"/>
      <c r="Y68" s="2621"/>
      <c r="Z68" s="2099"/>
      <c r="AA68" s="2099"/>
      <c r="AB68" s="2062">
        <v>0</v>
      </c>
      <c r="AC68" s="2106"/>
      <c r="AD68" s="2067">
        <f t="shared" si="12"/>
        <v>25.4</v>
      </c>
      <c r="AE68" s="2062"/>
      <c r="AF68" s="2106"/>
      <c r="AG68" s="2099">
        <f>'Exhibit G State'!AG68+'Exhibit G Federal'!AG41</f>
        <v>25.5</v>
      </c>
      <c r="AH68" s="3681"/>
      <c r="AI68" s="2043"/>
      <c r="AJ68" s="2067">
        <f t="shared" ref="AJ68:AJ79" si="17">ROUND(SUM(+AD68-AG68),1)</f>
        <v>-0.1</v>
      </c>
      <c r="AK68" s="2630"/>
      <c r="AL68" s="1791">
        <f>ROUND(IF(AG68=0,0,AJ68/ABS(AG68)),3)</f>
        <v>-4.0000000000000001E-3</v>
      </c>
    </row>
    <row r="69" spans="1:38" s="2260" customFormat="1" ht="15" customHeight="1">
      <c r="A69" s="2542"/>
      <c r="B69" s="2563" t="s">
        <v>1086</v>
      </c>
      <c r="C69" s="2542"/>
      <c r="D69" s="2099">
        <f>'Exhibit G State'!D69+'Exhibit G Federal'!D42</f>
        <v>0.5</v>
      </c>
      <c r="E69" s="2099"/>
      <c r="F69" s="2099">
        <f>'Exhibit G State'!F69+'Exhibit G Federal'!F42</f>
        <v>0.4</v>
      </c>
      <c r="G69" s="2099"/>
      <c r="H69" s="2099">
        <f>'Exhibit G State'!H69+'Exhibit G Federal'!H42</f>
        <v>0.6</v>
      </c>
      <c r="I69" s="2608"/>
      <c r="J69" s="2099">
        <f>'Exhibit G State'!J69+'Exhibit G Federal'!J42</f>
        <v>0.4000000000000058</v>
      </c>
      <c r="K69" s="2621"/>
      <c r="L69" s="2099"/>
      <c r="M69" s="2621"/>
      <c r="N69" s="2099"/>
      <c r="O69" s="2621"/>
      <c r="P69" s="2099"/>
      <c r="Q69" s="2621"/>
      <c r="R69" s="2099"/>
      <c r="S69" s="2621"/>
      <c r="T69" s="2099"/>
      <c r="U69" s="2621"/>
      <c r="V69" s="2099"/>
      <c r="W69" s="2621"/>
      <c r="X69" s="2099"/>
      <c r="Y69" s="2621"/>
      <c r="Z69" s="2099"/>
      <c r="AA69" s="2099"/>
      <c r="AB69" s="2062">
        <v>0</v>
      </c>
      <c r="AC69" s="2106"/>
      <c r="AD69" s="2067">
        <f t="shared" si="12"/>
        <v>1.9</v>
      </c>
      <c r="AE69" s="2062"/>
      <c r="AF69" s="2106"/>
      <c r="AG69" s="2099">
        <f>'Exhibit G State'!AG69+'Exhibit G Federal'!AG42</f>
        <v>1.7</v>
      </c>
      <c r="AH69" s="3681"/>
      <c r="AI69" s="2043"/>
      <c r="AJ69" s="2067">
        <f t="shared" si="17"/>
        <v>0.2</v>
      </c>
      <c r="AK69" s="2630"/>
      <c r="AL69" s="1786">
        <f>ROUND(IF(AG69=0,1,AJ69/ABS(AG69)),3)</f>
        <v>0.11799999999999999</v>
      </c>
    </row>
    <row r="70" spans="1:38" s="2260" customFormat="1" ht="15" customHeight="1">
      <c r="A70" s="2542"/>
      <c r="B70" s="2563" t="s">
        <v>1397</v>
      </c>
      <c r="C70" s="2542"/>
      <c r="D70" s="2099">
        <v>0</v>
      </c>
      <c r="E70" s="2099"/>
      <c r="F70" s="2099">
        <v>0</v>
      </c>
      <c r="G70" s="2099"/>
      <c r="H70" s="2099">
        <v>0</v>
      </c>
      <c r="I70" s="2608"/>
      <c r="J70" s="2099">
        <v>0</v>
      </c>
      <c r="K70" s="2621"/>
      <c r="L70" s="2099"/>
      <c r="M70" s="2621"/>
      <c r="N70" s="2099"/>
      <c r="O70" s="2621"/>
      <c r="P70" s="2099"/>
      <c r="Q70" s="2621"/>
      <c r="R70" s="2099"/>
      <c r="S70" s="2621"/>
      <c r="T70" s="2099"/>
      <c r="U70" s="2621"/>
      <c r="V70" s="2099"/>
      <c r="W70" s="2621"/>
      <c r="X70" s="2099"/>
      <c r="Y70" s="2621"/>
      <c r="Z70" s="2099"/>
      <c r="AA70" s="2099"/>
      <c r="AB70" s="2062">
        <v>0</v>
      </c>
      <c r="AC70" s="2106"/>
      <c r="AD70" s="2067">
        <f t="shared" si="12"/>
        <v>0</v>
      </c>
      <c r="AE70" s="2062"/>
      <c r="AF70" s="2106"/>
      <c r="AG70" s="2099">
        <f>'Exhibit G State'!AG70</f>
        <v>1000</v>
      </c>
      <c r="AH70" s="3681"/>
      <c r="AI70" s="2043"/>
      <c r="AJ70" s="2067">
        <f t="shared" ref="AJ70" si="18">ROUND(SUM(+AD70-AG70),1)</f>
        <v>-1000</v>
      </c>
      <c r="AK70" s="2630"/>
      <c r="AL70" s="1786">
        <f>ROUND(IF(AG70=0,0,AJ70/ABS(AG70)),3)</f>
        <v>-1</v>
      </c>
    </row>
    <row r="71" spans="1:38" s="2260" customFormat="1" ht="15" customHeight="1">
      <c r="A71" s="2542"/>
      <c r="B71" s="2563" t="s">
        <v>1087</v>
      </c>
      <c r="C71" s="2542"/>
      <c r="D71" s="2099">
        <f>'Exhibit G State'!D71+'Exhibit G Federal'!D43</f>
        <v>0.8</v>
      </c>
      <c r="E71" s="2099"/>
      <c r="F71" s="2099">
        <f>'Exhibit G State'!F71+'Exhibit G Federal'!F43</f>
        <v>1</v>
      </c>
      <c r="G71" s="2099"/>
      <c r="H71" s="2099">
        <f>'Exhibit G State'!H71+'Exhibit G Federal'!H43</f>
        <v>2.8</v>
      </c>
      <c r="I71" s="2608"/>
      <c r="J71" s="2099">
        <f>'Exhibit G State'!J71+'Exhibit G Federal'!J43</f>
        <v>0.30000000000000071</v>
      </c>
      <c r="K71" s="2621"/>
      <c r="L71" s="2099"/>
      <c r="M71" s="2621"/>
      <c r="N71" s="2099"/>
      <c r="O71" s="2621"/>
      <c r="P71" s="2099"/>
      <c r="Q71" s="2621"/>
      <c r="R71" s="2099"/>
      <c r="S71" s="2621"/>
      <c r="T71" s="2099"/>
      <c r="U71" s="2621"/>
      <c r="V71" s="2099"/>
      <c r="W71" s="2621"/>
      <c r="X71" s="2099"/>
      <c r="Y71" s="2621"/>
      <c r="Z71" s="2099"/>
      <c r="AA71" s="2099"/>
      <c r="AB71" s="2062">
        <v>0</v>
      </c>
      <c r="AC71" s="2106"/>
      <c r="AD71" s="2067">
        <f t="shared" si="12"/>
        <v>4.9000000000000004</v>
      </c>
      <c r="AE71" s="2062"/>
      <c r="AF71" s="2106"/>
      <c r="AG71" s="2099">
        <f>'Exhibit G State'!AG71+'Exhibit G Federal'!AG43</f>
        <v>7.9</v>
      </c>
      <c r="AH71" s="3681"/>
      <c r="AI71" s="2043"/>
      <c r="AJ71" s="2067">
        <f t="shared" si="17"/>
        <v>-3</v>
      </c>
      <c r="AK71" s="2630"/>
      <c r="AL71" s="1791">
        <f t="shared" ref="AL71:AL74" si="19">ROUND(IF(AG71=0,0,AJ71/ABS(AG71)),3)</f>
        <v>-0.38</v>
      </c>
    </row>
    <row r="72" spans="1:38" s="2260" customFormat="1" ht="15" customHeight="1">
      <c r="A72" s="2542"/>
      <c r="B72" s="2563" t="s">
        <v>1088</v>
      </c>
      <c r="C72" s="2542"/>
      <c r="D72" s="2099">
        <f>'Exhibit G State'!D72+'Exhibit G Federal'!D44</f>
        <v>0.9</v>
      </c>
      <c r="E72" s="2099"/>
      <c r="F72" s="2099">
        <f>'Exhibit G State'!F72+'Exhibit G Federal'!F44</f>
        <v>0</v>
      </c>
      <c r="G72" s="2099"/>
      <c r="H72" s="2099">
        <f>'Exhibit G State'!H72+'Exhibit G Federal'!H44</f>
        <v>0</v>
      </c>
      <c r="I72" s="2608"/>
      <c r="J72" s="2099">
        <f>'Exhibit G State'!J72+'Exhibit G Federal'!J44</f>
        <v>0</v>
      </c>
      <c r="K72" s="2621"/>
      <c r="L72" s="2099"/>
      <c r="M72" s="2621"/>
      <c r="N72" s="2099"/>
      <c r="O72" s="2621"/>
      <c r="P72" s="2099"/>
      <c r="Q72" s="2621"/>
      <c r="R72" s="2099"/>
      <c r="S72" s="2621"/>
      <c r="T72" s="2099"/>
      <c r="U72" s="2621"/>
      <c r="V72" s="2099"/>
      <c r="W72" s="2621"/>
      <c r="X72" s="2099"/>
      <c r="Y72" s="2621"/>
      <c r="Z72" s="2099"/>
      <c r="AA72" s="2099"/>
      <c r="AB72" s="2062">
        <v>0</v>
      </c>
      <c r="AC72" s="2106"/>
      <c r="AD72" s="2067">
        <f t="shared" si="12"/>
        <v>0.9</v>
      </c>
      <c r="AE72" s="2062"/>
      <c r="AF72" s="2106"/>
      <c r="AG72" s="2099">
        <f>'Exhibit G State'!AG72+'Exhibit G Federal'!AG44</f>
        <v>0</v>
      </c>
      <c r="AH72" s="3681"/>
      <c r="AI72" s="2043"/>
      <c r="AJ72" s="2067">
        <f t="shared" si="17"/>
        <v>0.9</v>
      </c>
      <c r="AK72" s="2630"/>
      <c r="AL72" s="1786">
        <f>ROUND(IF(AG72=0,1,AJ72/ABS(AG72)),3)</f>
        <v>1</v>
      </c>
    </row>
    <row r="73" spans="1:38" s="2260" customFormat="1" ht="15" customHeight="1">
      <c r="A73" s="2542"/>
      <c r="B73" s="2563" t="s">
        <v>1089</v>
      </c>
      <c r="C73" s="2542"/>
      <c r="D73" s="2099">
        <f>'Exhibit G State'!D73+'Exhibit G Federal'!D45</f>
        <v>204.3</v>
      </c>
      <c r="E73" s="2099"/>
      <c r="F73" s="2099">
        <f>'Exhibit G State'!F73+'Exhibit G Federal'!F45</f>
        <v>156.19999999999999</v>
      </c>
      <c r="G73" s="2099"/>
      <c r="H73" s="2099">
        <f>'Exhibit G State'!H73+'Exhibit G Federal'!H45</f>
        <v>154.89999999999998</v>
      </c>
      <c r="I73" s="2608"/>
      <c r="J73" s="2099">
        <f>'Exhibit G State'!J73+'Exhibit G Federal'!J45</f>
        <v>222.30000000000013</v>
      </c>
      <c r="K73" s="2621"/>
      <c r="L73" s="2099"/>
      <c r="M73" s="2621"/>
      <c r="N73" s="2099"/>
      <c r="O73" s="2621"/>
      <c r="P73" s="2099"/>
      <c r="Q73" s="2621"/>
      <c r="R73" s="2099"/>
      <c r="S73" s="2621"/>
      <c r="T73" s="2099"/>
      <c r="U73" s="2621"/>
      <c r="V73" s="2099"/>
      <c r="W73" s="2621"/>
      <c r="X73" s="2099"/>
      <c r="Y73" s="2621"/>
      <c r="Z73" s="2099"/>
      <c r="AA73" s="2099"/>
      <c r="AB73" s="2062">
        <v>0</v>
      </c>
      <c r="AC73" s="2106"/>
      <c r="AD73" s="2067">
        <f t="shared" si="12"/>
        <v>737.7</v>
      </c>
      <c r="AE73" s="2062"/>
      <c r="AF73" s="2106"/>
      <c r="AG73" s="2099">
        <f>'Exhibit G State'!AG73+'Exhibit G Federal'!AG45</f>
        <v>763.2</v>
      </c>
      <c r="AH73" s="3681"/>
      <c r="AI73" s="2043"/>
      <c r="AJ73" s="2067">
        <f t="shared" si="17"/>
        <v>-25.5</v>
      </c>
      <c r="AK73" s="2630"/>
      <c r="AL73" s="1786">
        <f t="shared" si="19"/>
        <v>-3.3000000000000002E-2</v>
      </c>
    </row>
    <row r="74" spans="1:38" s="2260" customFormat="1" ht="15" customHeight="1">
      <c r="A74" s="2542"/>
      <c r="B74" s="2563" t="s">
        <v>1090</v>
      </c>
      <c r="C74" s="2542"/>
      <c r="D74" s="2099">
        <f>'Exhibit G State'!D74+'Exhibit G Federal'!D46</f>
        <v>12.9</v>
      </c>
      <c r="E74" s="2099"/>
      <c r="F74" s="2099">
        <f>'Exhibit G State'!F74+'Exhibit G Federal'!F46</f>
        <v>9.6999999999999993</v>
      </c>
      <c r="G74" s="2099"/>
      <c r="H74" s="2099">
        <f>'Exhibit G State'!H74+'Exhibit G Federal'!H46</f>
        <v>15.2</v>
      </c>
      <c r="I74" s="2608"/>
      <c r="J74" s="2099">
        <f>'Exhibit G State'!J74+'Exhibit G Federal'!J46</f>
        <v>22.300000000000004</v>
      </c>
      <c r="K74" s="2621"/>
      <c r="L74" s="2099"/>
      <c r="M74" s="2621"/>
      <c r="N74" s="2099"/>
      <c r="O74" s="2621"/>
      <c r="P74" s="2099"/>
      <c r="Q74" s="2621"/>
      <c r="R74" s="2099"/>
      <c r="S74" s="2621"/>
      <c r="T74" s="2099"/>
      <c r="U74" s="2621"/>
      <c r="V74" s="2099"/>
      <c r="W74" s="2621"/>
      <c r="X74" s="2099"/>
      <c r="Y74" s="2621"/>
      <c r="Z74" s="2099"/>
      <c r="AA74" s="2099"/>
      <c r="AB74" s="2062">
        <v>0</v>
      </c>
      <c r="AC74" s="2106"/>
      <c r="AD74" s="2067">
        <f t="shared" si="12"/>
        <v>60.1</v>
      </c>
      <c r="AE74" s="2062"/>
      <c r="AF74" s="2106"/>
      <c r="AG74" s="2099">
        <f>'Exhibit G State'!AG74+'Exhibit G Federal'!AG46</f>
        <v>49.8</v>
      </c>
      <c r="AH74" s="3681"/>
      <c r="AI74" s="2043"/>
      <c r="AJ74" s="2067">
        <f t="shared" si="17"/>
        <v>10.3</v>
      </c>
      <c r="AK74" s="2630"/>
      <c r="AL74" s="1786">
        <f t="shared" si="19"/>
        <v>0.20699999999999999</v>
      </c>
    </row>
    <row r="75" spans="1:38" s="2260" customFormat="1" ht="15" customHeight="1">
      <c r="A75" s="2542"/>
      <c r="B75" s="2563" t="s">
        <v>1091</v>
      </c>
      <c r="C75" s="2542"/>
      <c r="D75" s="2099">
        <f>'Exhibit G State'!D75+'Exhibit G Federal'!D47</f>
        <v>7.6</v>
      </c>
      <c r="E75" s="2099"/>
      <c r="F75" s="2099">
        <f>'Exhibit G State'!F75+'Exhibit G Federal'!F47</f>
        <v>1.2000000000000011</v>
      </c>
      <c r="G75" s="2099"/>
      <c r="H75" s="2099">
        <f>'Exhibit G State'!H75+'Exhibit G Federal'!H47</f>
        <v>0.79999999999999893</v>
      </c>
      <c r="I75" s="2608"/>
      <c r="J75" s="2099">
        <f>'Exhibit G State'!J75+'Exhibit G Federal'!J47</f>
        <v>1</v>
      </c>
      <c r="K75" s="2621"/>
      <c r="L75" s="2099"/>
      <c r="M75" s="2621"/>
      <c r="N75" s="2099"/>
      <c r="O75" s="2621"/>
      <c r="P75" s="2099"/>
      <c r="Q75" s="2621"/>
      <c r="R75" s="2099"/>
      <c r="S75" s="2621"/>
      <c r="T75" s="2099"/>
      <c r="U75" s="2621"/>
      <c r="V75" s="2099"/>
      <c r="W75" s="2621"/>
      <c r="X75" s="2099"/>
      <c r="Y75" s="2621"/>
      <c r="Z75" s="2099"/>
      <c r="AA75" s="2099"/>
      <c r="AB75" s="2062">
        <v>0</v>
      </c>
      <c r="AC75" s="2106"/>
      <c r="AD75" s="2067">
        <f t="shared" si="12"/>
        <v>10.6</v>
      </c>
      <c r="AE75" s="2062"/>
      <c r="AF75" s="2106"/>
      <c r="AG75" s="2099">
        <f>'Exhibit G State'!AG75+'Exhibit G Federal'!AG47</f>
        <v>56.2</v>
      </c>
      <c r="AH75" s="3681"/>
      <c r="AI75" s="2043"/>
      <c r="AJ75" s="2067">
        <f t="shared" si="17"/>
        <v>-45.6</v>
      </c>
      <c r="AK75" s="2630"/>
      <c r="AL75" s="1791">
        <f>ROUND(IF(AG75=0,1,AJ75/ABS(AG75)),3)</f>
        <v>-0.81100000000000005</v>
      </c>
    </row>
    <row r="76" spans="1:38" s="2260" customFormat="1" ht="15" customHeight="1">
      <c r="A76" s="2542"/>
      <c r="B76" s="2563" t="s">
        <v>1092</v>
      </c>
      <c r="C76" s="2542"/>
      <c r="D76" s="2099">
        <f>'Exhibit G State'!D76+'Exhibit G Federal'!D48</f>
        <v>7.5</v>
      </c>
      <c r="E76" s="2099"/>
      <c r="F76" s="2099">
        <f>'Exhibit G State'!F76+'Exhibit G Federal'!F48</f>
        <v>3.0999999999999996</v>
      </c>
      <c r="G76" s="2099"/>
      <c r="H76" s="2099">
        <f>'Exhibit G State'!H76+'Exhibit G Federal'!H48</f>
        <v>8.5000000000000018</v>
      </c>
      <c r="I76" s="2608"/>
      <c r="J76" s="2099">
        <f>'Exhibit G State'!J76+'Exhibit G Federal'!J48</f>
        <v>7.4999999999999982</v>
      </c>
      <c r="K76" s="2621"/>
      <c r="L76" s="2099"/>
      <c r="M76" s="2621"/>
      <c r="N76" s="2099"/>
      <c r="O76" s="2621"/>
      <c r="P76" s="2099"/>
      <c r="Q76" s="2621"/>
      <c r="R76" s="2099"/>
      <c r="S76" s="2621"/>
      <c r="T76" s="2099"/>
      <c r="U76" s="2621"/>
      <c r="V76" s="2099"/>
      <c r="W76" s="2621"/>
      <c r="X76" s="2099"/>
      <c r="Y76" s="2621"/>
      <c r="Z76" s="2099"/>
      <c r="AA76" s="2099"/>
      <c r="AB76" s="2062">
        <v>0</v>
      </c>
      <c r="AC76" s="2106"/>
      <c r="AD76" s="2067">
        <f t="shared" si="12"/>
        <v>26.6</v>
      </c>
      <c r="AE76" s="2062"/>
      <c r="AF76" s="2106"/>
      <c r="AG76" s="2099">
        <f>'Exhibit G State'!AG76+'Exhibit G Federal'!AG48</f>
        <v>38.299999999999997</v>
      </c>
      <c r="AH76" s="3681"/>
      <c r="AI76" s="2043"/>
      <c r="AJ76" s="2067">
        <f t="shared" si="17"/>
        <v>-11.7</v>
      </c>
      <c r="AK76" s="2630"/>
      <c r="AL76" s="1786">
        <f>ROUND(IF(AG76=0,0,AJ76/ABS(AG76)),3)</f>
        <v>-0.30499999999999999</v>
      </c>
    </row>
    <row r="77" spans="1:38" s="2260" customFormat="1" ht="15" customHeight="1">
      <c r="A77" s="2542"/>
      <c r="B77" s="2563" t="s">
        <v>1093</v>
      </c>
      <c r="C77" s="2542"/>
      <c r="D77" s="2099">
        <f>'Exhibit G State'!D77+'Exhibit G Federal'!D49</f>
        <v>41.199999999999996</v>
      </c>
      <c r="E77" s="2099"/>
      <c r="F77" s="2099">
        <f>'Exhibit G State'!F77+'Exhibit G Federal'!F49</f>
        <v>36.9</v>
      </c>
      <c r="G77" s="2099"/>
      <c r="H77" s="2099">
        <f>'Exhibit G State'!H77+'Exhibit G Federal'!H49</f>
        <v>57.599999999999987</v>
      </c>
      <c r="I77" s="2608"/>
      <c r="J77" s="2099">
        <f>'Exhibit G State'!J77+'Exhibit G Federal'!J49</f>
        <v>39.20000000000001</v>
      </c>
      <c r="K77" s="2621"/>
      <c r="L77" s="2099"/>
      <c r="M77" s="2621"/>
      <c r="N77" s="2099"/>
      <c r="O77" s="2621"/>
      <c r="P77" s="2099"/>
      <c r="Q77" s="2621"/>
      <c r="R77" s="2099"/>
      <c r="S77" s="2621"/>
      <c r="T77" s="2099"/>
      <c r="U77" s="2621"/>
      <c r="V77" s="2099"/>
      <c r="W77" s="2621"/>
      <c r="X77" s="2099"/>
      <c r="Y77" s="2621"/>
      <c r="Z77" s="2099"/>
      <c r="AA77" s="2099"/>
      <c r="AB77" s="2062">
        <v>0</v>
      </c>
      <c r="AC77" s="2106"/>
      <c r="AD77" s="2067">
        <f t="shared" si="12"/>
        <v>174.9</v>
      </c>
      <c r="AE77" s="2062"/>
      <c r="AF77" s="2106"/>
      <c r="AG77" s="2099">
        <f>'Exhibit G State'!AG77+'Exhibit G Federal'!AG49</f>
        <v>160.19999999999999</v>
      </c>
      <c r="AH77" s="3681"/>
      <c r="AI77" s="2043"/>
      <c r="AJ77" s="2067">
        <f t="shared" si="17"/>
        <v>14.7</v>
      </c>
      <c r="AK77" s="2630"/>
      <c r="AL77" s="1791">
        <f>ROUND(IF(AG77=0,0,AJ77/ABS(AG77)),3)</f>
        <v>9.1999999999999998E-2</v>
      </c>
    </row>
    <row r="78" spans="1:38" s="2260" customFormat="1" ht="15" customHeight="1">
      <c r="A78" s="2542"/>
      <c r="B78" s="2563" t="s">
        <v>1065</v>
      </c>
      <c r="C78" s="2542"/>
      <c r="D78" s="2099">
        <f>'Exhibit G State'!D78+'Exhibit G Federal'!D50</f>
        <v>0.9</v>
      </c>
      <c r="E78" s="2099"/>
      <c r="F78" s="2099">
        <f>'Exhibit G State'!F78+'Exhibit G Federal'!F50</f>
        <v>0.79999999999999993</v>
      </c>
      <c r="G78" s="2099"/>
      <c r="H78" s="2099">
        <f>'Exhibit G State'!H78+'Exhibit G Federal'!H50</f>
        <v>1.5000000000000004</v>
      </c>
      <c r="I78" s="2608"/>
      <c r="J78" s="2099">
        <f>'Exhibit G State'!J78+'Exhibit G Federal'!J50</f>
        <v>2.4999999999999996</v>
      </c>
      <c r="K78" s="2621"/>
      <c r="L78" s="2099"/>
      <c r="M78" s="2621"/>
      <c r="N78" s="2099"/>
      <c r="O78" s="2621"/>
      <c r="P78" s="2099"/>
      <c r="Q78" s="2621"/>
      <c r="R78" s="2099"/>
      <c r="S78" s="2621"/>
      <c r="T78" s="2099"/>
      <c r="U78" s="2621"/>
      <c r="V78" s="2099"/>
      <c r="W78" s="2621"/>
      <c r="X78" s="2099"/>
      <c r="Y78" s="2621"/>
      <c r="Z78" s="2099"/>
      <c r="AA78" s="2099"/>
      <c r="AB78" s="2062">
        <v>0</v>
      </c>
      <c r="AC78" s="2106"/>
      <c r="AD78" s="2062">
        <f t="shared" si="12"/>
        <v>5.7</v>
      </c>
      <c r="AE78" s="2062"/>
      <c r="AF78" s="2106"/>
      <c r="AG78" s="2099">
        <f>'Exhibit G State'!AG78+'Exhibit G Federal'!AG50</f>
        <v>7.7999999999999545</v>
      </c>
      <c r="AH78" s="3681"/>
      <c r="AI78" s="2043"/>
      <c r="AJ78" s="2067">
        <f t="shared" si="17"/>
        <v>-2.1</v>
      </c>
      <c r="AK78" s="2630"/>
      <c r="AL78" s="1786">
        <f>ROUND(IF(AG78=0,0,AJ78/ABS(AG78)),3)</f>
        <v>-0.26900000000000002</v>
      </c>
    </row>
    <row r="79" spans="1:38" s="2260" customFormat="1" ht="15" customHeight="1">
      <c r="A79" s="2542"/>
      <c r="B79" s="2563" t="s">
        <v>1066</v>
      </c>
      <c r="C79" s="2542"/>
      <c r="D79" s="2099">
        <f>'Exhibit G State'!D79+'Exhibit G Federal'!D51</f>
        <v>52</v>
      </c>
      <c r="E79" s="2099"/>
      <c r="F79" s="2099">
        <f>'Exhibit G State'!F79+'Exhibit G Federal'!F51</f>
        <v>48.099999999999994</v>
      </c>
      <c r="G79" s="2099"/>
      <c r="H79" s="2099">
        <f>'Exhibit G State'!H79+'Exhibit G Federal'!H51</f>
        <v>34.900000000000006</v>
      </c>
      <c r="I79" s="2608"/>
      <c r="J79" s="2099">
        <f>'Exhibit G State'!J79+'Exhibit G Federal'!J51</f>
        <v>45</v>
      </c>
      <c r="K79" s="2621"/>
      <c r="L79" s="2099"/>
      <c r="M79" s="2621"/>
      <c r="N79" s="2099"/>
      <c r="O79" s="2621"/>
      <c r="P79" s="2099"/>
      <c r="Q79" s="2621"/>
      <c r="R79" s="2099"/>
      <c r="S79" s="2621"/>
      <c r="T79" s="2099"/>
      <c r="U79" s="2621"/>
      <c r="V79" s="2099"/>
      <c r="W79" s="2621"/>
      <c r="X79" s="2099"/>
      <c r="Y79" s="2621"/>
      <c r="Z79" s="2099"/>
      <c r="AA79" s="2099"/>
      <c r="AB79" s="2062">
        <v>0</v>
      </c>
      <c r="AC79" s="2106"/>
      <c r="AD79" s="2062">
        <f t="shared" si="12"/>
        <v>180</v>
      </c>
      <c r="AE79" s="2062"/>
      <c r="AF79" s="2106"/>
      <c r="AG79" s="2099">
        <f>'Exhibit G State'!AG79+'Exhibit G Federal'!AG51</f>
        <v>218.7</v>
      </c>
      <c r="AH79" s="3681"/>
      <c r="AI79" s="2043"/>
      <c r="AJ79" s="2067">
        <f t="shared" si="17"/>
        <v>-38.700000000000003</v>
      </c>
      <c r="AK79" s="2630"/>
      <c r="AL79" s="1786">
        <f>ROUND(IF(AG79=0,0,AJ79/ABS(AG79)),3)</f>
        <v>-0.17699999999999999</v>
      </c>
    </row>
    <row r="80" spans="1:38" s="2636" customFormat="1" ht="15" customHeight="1">
      <c r="A80" s="2633"/>
      <c r="B80" s="2550" t="s">
        <v>1234</v>
      </c>
      <c r="C80" s="2633"/>
      <c r="D80" s="1500">
        <f>ROUND(SUM(D41:D79),1)</f>
        <v>1571.9</v>
      </c>
      <c r="E80" s="2608"/>
      <c r="F80" s="1500">
        <f>ROUND(SUM(F41:F79),1)</f>
        <v>1462.6</v>
      </c>
      <c r="G80" s="2608"/>
      <c r="H80" s="2109">
        <f>ROUND(SUM(H41:H79),1)</f>
        <v>1521.3</v>
      </c>
      <c r="I80" s="2608"/>
      <c r="J80" s="2109">
        <f>ROUND(SUM(J41:J79),1)</f>
        <v>1545.8</v>
      </c>
      <c r="K80" s="2621"/>
      <c r="L80" s="1500">
        <f>ROUND(SUM(L41:L79),1)</f>
        <v>0</v>
      </c>
      <c r="M80" s="2621"/>
      <c r="N80" s="1500">
        <f>ROUND(SUM(N41:N79),1)</f>
        <v>0</v>
      </c>
      <c r="O80" s="2621"/>
      <c r="P80" s="1500">
        <f>ROUND(SUM(P41:P79),1)</f>
        <v>0</v>
      </c>
      <c r="Q80" s="2621"/>
      <c r="R80" s="1500">
        <f>ROUND(SUM(R41:R79),1)</f>
        <v>0</v>
      </c>
      <c r="S80" s="2621"/>
      <c r="T80" s="1500">
        <f>ROUND(SUM(T41:T79),1)</f>
        <v>0</v>
      </c>
      <c r="U80" s="2621"/>
      <c r="V80" s="1500">
        <f>ROUND(SUM(V41:V79),1)</f>
        <v>0</v>
      </c>
      <c r="W80" s="2621"/>
      <c r="X80" s="1500">
        <f>ROUND(SUM(X41:X79),1)</f>
        <v>0</v>
      </c>
      <c r="Y80" s="2621"/>
      <c r="Z80" s="1500">
        <f>ROUND(SUM(Z41:Z79),1)</f>
        <v>0</v>
      </c>
      <c r="AA80" s="1502"/>
      <c r="AB80" s="2100">
        <f>SUM(AB41:AB79)</f>
        <v>0</v>
      </c>
      <c r="AC80" s="2634"/>
      <c r="AD80" s="1500">
        <f>ROUND(SUM(AD41:AD79),1)</f>
        <v>6101.6</v>
      </c>
      <c r="AE80" s="2117"/>
      <c r="AF80" s="2634"/>
      <c r="AG80" s="1500">
        <f>ROUND(SUM(AG41:AG79),1)</f>
        <v>6799</v>
      </c>
      <c r="AH80" s="3680"/>
      <c r="AI80" s="1502"/>
      <c r="AJ80" s="1500">
        <f>ROUND(SUM(AJ41:AJ79),1)</f>
        <v>-697.4</v>
      </c>
      <c r="AK80" s="2635"/>
      <c r="AL80" s="1882">
        <f>ROUND(SUM(+AJ80/AG80),3)</f>
        <v>-0.10299999999999999</v>
      </c>
    </row>
    <row r="81" spans="1:45" ht="15" customHeight="1">
      <c r="A81" s="2111"/>
      <c r="B81" s="2637"/>
      <c r="C81" s="2111"/>
      <c r="D81" s="2630"/>
      <c r="F81" s="2630"/>
      <c r="H81" s="1483"/>
      <c r="J81" s="1483"/>
      <c r="L81" s="2073"/>
      <c r="N81" s="2073"/>
      <c r="P81" s="2073"/>
      <c r="R81" s="2073"/>
      <c r="T81" s="2061"/>
      <c r="V81" s="2082"/>
      <c r="X81" s="2082"/>
      <c r="Z81" s="2082"/>
      <c r="AA81" s="2630"/>
      <c r="AB81" s="2073"/>
      <c r="AC81" s="2104"/>
      <c r="AD81" s="2062"/>
      <c r="AE81" s="2062"/>
      <c r="AF81" s="2106"/>
      <c r="AG81" s="2062"/>
      <c r="AH81" s="3677"/>
      <c r="AI81" s="2074"/>
      <c r="AJ81" s="1483"/>
      <c r="AK81" s="2622"/>
      <c r="AL81" s="1471"/>
    </row>
    <row r="82" spans="1:45" s="2260" customFormat="1" ht="15" customHeight="1">
      <c r="A82" s="2542"/>
      <c r="B82" s="2638" t="s">
        <v>150</v>
      </c>
      <c r="C82" s="2542"/>
      <c r="D82" s="2099">
        <f>'Exhibit G State'!D82+'Exhibit G Federal'!D54</f>
        <v>6203.7</v>
      </c>
      <c r="E82" s="2632"/>
      <c r="F82" s="2099">
        <f>'Exhibit G State'!F82+'Exhibit G Federal'!F54</f>
        <v>4816.3</v>
      </c>
      <c r="G82" s="2632"/>
      <c r="H82" s="2099">
        <f>'Exhibit G State'!H82+'Exhibit G Federal'!H54</f>
        <v>5671.5999999999995</v>
      </c>
      <c r="I82" s="2608"/>
      <c r="J82" s="2099">
        <f>'Exhibit G State'!J82+'Exhibit G Federal'!J54</f>
        <v>3118.1000000000008</v>
      </c>
      <c r="K82" s="2621"/>
      <c r="L82" s="2099"/>
      <c r="M82" s="2621"/>
      <c r="N82" s="2099"/>
      <c r="O82" s="2621"/>
      <c r="P82" s="2099"/>
      <c r="Q82" s="2621"/>
      <c r="R82" s="2099"/>
      <c r="S82" s="2621"/>
      <c r="T82" s="2099"/>
      <c r="U82" s="2621"/>
      <c r="V82" s="2099"/>
      <c r="W82" s="2621"/>
      <c r="X82" s="2099"/>
      <c r="Y82" s="2621"/>
      <c r="Z82" s="2099"/>
      <c r="AA82" s="2099"/>
      <c r="AB82" s="2639">
        <v>0</v>
      </c>
      <c r="AC82" s="2106"/>
      <c r="AD82" s="2062">
        <f t="shared" si="12"/>
        <v>19809.7</v>
      </c>
      <c r="AE82" s="2062"/>
      <c r="AF82" s="2106"/>
      <c r="AG82" s="2099">
        <f>'Exhibit G State'!AG82+'Exhibit G Federal'!AG54</f>
        <v>17500.899999999998</v>
      </c>
      <c r="AH82" s="3677"/>
      <c r="AI82" s="2043"/>
      <c r="AJ82" s="2108">
        <f>ROUND(SUM(+AD82-AG82),1)</f>
        <v>2308.8000000000002</v>
      </c>
      <c r="AK82" s="2640"/>
      <c r="AL82" s="1786">
        <f>ROUND(IF(AG82=0,0,AJ82/ABS(AG82)),3)</f>
        <v>0.13200000000000001</v>
      </c>
    </row>
    <row r="83" spans="1:45" ht="15" customHeight="1">
      <c r="A83" s="2111"/>
      <c r="B83" s="2111"/>
      <c r="C83" s="2111"/>
      <c r="D83" s="2072"/>
      <c r="F83" s="2072"/>
      <c r="H83" s="2571"/>
      <c r="J83" s="2571"/>
      <c r="L83" s="2072"/>
      <c r="N83" s="2072"/>
      <c r="P83" s="2072"/>
      <c r="R83" s="2072"/>
      <c r="T83" s="2118"/>
      <c r="V83" s="2072"/>
      <c r="X83" s="2072"/>
      <c r="Z83" s="2072"/>
      <c r="AA83" s="2074"/>
      <c r="AB83" s="2641"/>
      <c r="AC83" s="2074"/>
      <c r="AD83" s="2118"/>
      <c r="AE83" s="2062"/>
      <c r="AF83" s="2106"/>
      <c r="AG83" s="2118"/>
      <c r="AH83" s="3677"/>
      <c r="AI83" s="2074"/>
      <c r="AJ83" s="2642"/>
      <c r="AL83" s="1486"/>
    </row>
    <row r="84" spans="1:45" ht="15" customHeight="1">
      <c r="A84" s="2111"/>
      <c r="B84" s="2504" t="s">
        <v>151</v>
      </c>
      <c r="C84" s="2111"/>
      <c r="D84" s="1501">
        <f>ROUND(SUM(D82+D80+D37),1)</f>
        <v>8177.4</v>
      </c>
      <c r="F84" s="1501">
        <f>ROUND(SUM(F82+F80+F37),1)</f>
        <v>6466.2</v>
      </c>
      <c r="H84" s="1501">
        <f>ROUND(SUM(H82+H80+H37),1)</f>
        <v>7656.3</v>
      </c>
      <c r="J84" s="1501">
        <f>ROUND(SUM(J82+J80+J37),1)</f>
        <v>4912.1000000000004</v>
      </c>
      <c r="L84" s="1501">
        <f t="shared" ref="L84:V84" si="20">ROUND(SUM(L82+L80+L37),1)</f>
        <v>0</v>
      </c>
      <c r="N84" s="1501">
        <f t="shared" ref="N84" si="21">ROUND(SUM(N82+N80+N37),1)</f>
        <v>0</v>
      </c>
      <c r="P84" s="1501">
        <f>ROUND(SUM(P82+P80+P37),1)</f>
        <v>0</v>
      </c>
      <c r="R84" s="1501">
        <f t="shared" ref="R84" si="22">ROUND(SUM(R82+R80+R37),1)</f>
        <v>0</v>
      </c>
      <c r="T84" s="2117">
        <f t="shared" si="20"/>
        <v>0</v>
      </c>
      <c r="V84" s="1501">
        <f t="shared" si="20"/>
        <v>0</v>
      </c>
      <c r="X84" s="1501">
        <f t="shared" ref="X84:Z84" si="23">ROUND(SUM(X82+X80+X37),1)</f>
        <v>0</v>
      </c>
      <c r="Z84" s="1501">
        <f t="shared" si="23"/>
        <v>0</v>
      </c>
      <c r="AA84" s="1501"/>
      <c r="AB84" s="2643">
        <f t="shared" ref="AB84" si="24">ROUND(SUM(AB82+AB80+AB37),1)</f>
        <v>0</v>
      </c>
      <c r="AC84" s="2107"/>
      <c r="AD84" s="2117">
        <f>ROUND(SUM(AD82+AD80+AD37),1)</f>
        <v>27212</v>
      </c>
      <c r="AE84" s="2117"/>
      <c r="AF84" s="2634"/>
      <c r="AG84" s="2117">
        <f>ROUND(SUM(AG82+AG80+AG37),1)</f>
        <v>25578.7</v>
      </c>
      <c r="AH84" s="3680"/>
      <c r="AI84" s="1484"/>
      <c r="AJ84" s="2119">
        <f>ROUND(SUM(AJ82+AJ80+AJ37),1)</f>
        <v>1633.3</v>
      </c>
      <c r="AK84" s="2644"/>
      <c r="AL84" s="1476">
        <f>ROUND(SUM(+AJ84/AG84),3)</f>
        <v>6.4000000000000001E-2</v>
      </c>
    </row>
    <row r="85" spans="1:45" ht="15" customHeight="1">
      <c r="A85" s="2111"/>
      <c r="B85" s="2111"/>
      <c r="C85" s="2111"/>
      <c r="D85" s="2072"/>
      <c r="F85" s="2072"/>
      <c r="H85" s="2571"/>
      <c r="J85" s="2571"/>
      <c r="L85" s="2072"/>
      <c r="N85" s="2072"/>
      <c r="P85" s="2072"/>
      <c r="R85" s="2072"/>
      <c r="T85" s="2118"/>
      <c r="V85" s="2072"/>
      <c r="X85" s="2072"/>
      <c r="Z85" s="2072"/>
      <c r="AA85" s="2074"/>
      <c r="AB85" s="2073"/>
      <c r="AC85" s="2104"/>
      <c r="AD85" s="2118"/>
      <c r="AE85" s="2062"/>
      <c r="AF85" s="2106"/>
      <c r="AG85" s="2118"/>
      <c r="AH85" s="3677"/>
      <c r="AI85" s="2074"/>
      <c r="AJ85" s="1483"/>
      <c r="AL85" s="1471"/>
    </row>
    <row r="86" spans="1:45" ht="15" customHeight="1">
      <c r="A86" s="2111"/>
      <c r="B86" s="2615" t="s">
        <v>23</v>
      </c>
      <c r="C86" s="2111"/>
      <c r="D86" s="2073"/>
      <c r="F86" s="2073"/>
      <c r="H86" s="1483"/>
      <c r="J86" s="1483"/>
      <c r="L86" s="2073"/>
      <c r="N86" s="2073"/>
      <c r="P86" s="2073"/>
      <c r="R86" s="2073"/>
      <c r="T86" s="2062"/>
      <c r="V86" s="2073"/>
      <c r="X86" s="2073"/>
      <c r="Z86" s="2073"/>
      <c r="AA86" s="2073"/>
      <c r="AB86" s="2073"/>
      <c r="AC86" s="2104"/>
      <c r="AD86" s="2062"/>
      <c r="AE86" s="3334"/>
      <c r="AF86" s="3326"/>
      <c r="AG86" s="2062"/>
      <c r="AH86" s="3677"/>
      <c r="AI86" s="2074"/>
      <c r="AJ86" s="1483"/>
      <c r="AL86" s="1471"/>
    </row>
    <row r="87" spans="1:45" ht="15" customHeight="1">
      <c r="A87" s="2111"/>
      <c r="B87" s="2546" t="s">
        <v>152</v>
      </c>
      <c r="C87" s="2111"/>
      <c r="D87" s="2630"/>
      <c r="F87" s="2630"/>
      <c r="H87" s="2067"/>
      <c r="J87" s="2067"/>
      <c r="L87" s="2062"/>
      <c r="N87" s="2062"/>
      <c r="P87" s="2062"/>
      <c r="R87" s="2062"/>
      <c r="T87" s="2061"/>
      <c r="V87" s="2082"/>
      <c r="X87" s="2082"/>
      <c r="Z87" s="2082"/>
      <c r="AA87" s="2630"/>
      <c r="AB87" s="2073"/>
      <c r="AC87" s="2104"/>
      <c r="AD87" s="2062"/>
      <c r="AE87" s="2062"/>
      <c r="AF87" s="2106"/>
      <c r="AG87" s="2062"/>
      <c r="AH87" s="3677"/>
      <c r="AI87" s="2074"/>
      <c r="AJ87" s="1483"/>
      <c r="AL87" s="1487"/>
    </row>
    <row r="88" spans="1:45" s="2260" customFormat="1" ht="15" customHeight="1">
      <c r="A88" s="2542"/>
      <c r="B88" s="2645" t="s">
        <v>25</v>
      </c>
      <c r="C88" s="2542"/>
      <c r="D88" s="2099">
        <f>'Exhibit G State'!D88+'Exhibit G Federal'!D60</f>
        <v>337.7</v>
      </c>
      <c r="E88" s="2632"/>
      <c r="F88" s="2099">
        <f>'Exhibit G State'!F88+'Exhibit G Federal'!F60</f>
        <v>591.1</v>
      </c>
      <c r="G88" s="2632"/>
      <c r="H88" s="2099">
        <f>'Exhibit G State'!H88+'Exhibit G Federal'!H60</f>
        <v>611.40000000000009</v>
      </c>
      <c r="I88" s="2608"/>
      <c r="J88" s="2099">
        <f>'Exhibit G State'!J88+'Exhibit G Federal'!J60</f>
        <v>288.09999999999985</v>
      </c>
      <c r="K88" s="2621"/>
      <c r="L88" s="2099"/>
      <c r="M88" s="2621"/>
      <c r="N88" s="2099"/>
      <c r="O88" s="2621"/>
      <c r="P88" s="2099"/>
      <c r="Q88" s="2621"/>
      <c r="R88" s="2099"/>
      <c r="S88" s="2621"/>
      <c r="T88" s="2099"/>
      <c r="U88" s="2621"/>
      <c r="V88" s="2099"/>
      <c r="W88" s="2621"/>
      <c r="X88" s="2099"/>
      <c r="Y88" s="2621"/>
      <c r="Z88" s="2099"/>
      <c r="AA88" s="2099"/>
      <c r="AB88" s="2062">
        <v>0</v>
      </c>
      <c r="AC88" s="2106"/>
      <c r="AD88" s="2062">
        <f>ROUND(SUM(D88:Z88),1)</f>
        <v>1828.3</v>
      </c>
      <c r="AE88" s="2062"/>
      <c r="AF88" s="2106"/>
      <c r="AG88" s="2099">
        <f>'Exhibit G State'!AG88+'Exhibit G Federal'!AG60</f>
        <v>1992.0000000000002</v>
      </c>
      <c r="AH88" s="3677"/>
      <c r="AI88" s="2043"/>
      <c r="AJ88" s="2067">
        <f>ROUND(SUM(+AD88-AG88),1)</f>
        <v>-163.69999999999999</v>
      </c>
      <c r="AK88" s="2640"/>
      <c r="AL88" s="1786">
        <f>ROUND(IF(AG88=0,0,AJ88/ABS(AG88)),3)</f>
        <v>-8.2000000000000003E-2</v>
      </c>
      <c r="AR88" s="2058"/>
      <c r="AS88" s="2646"/>
    </row>
    <row r="89" spans="1:45" s="2260" customFormat="1" ht="15" customHeight="1">
      <c r="A89" s="2542"/>
      <c r="B89" s="2645" t="s">
        <v>26</v>
      </c>
      <c r="C89" s="2542"/>
      <c r="D89" s="2099">
        <f>'Exhibit G State'!D89+'Exhibit G Federal'!D61</f>
        <v>0.2</v>
      </c>
      <c r="E89" s="2632"/>
      <c r="F89" s="2099">
        <f>'Exhibit G State'!F89+'Exhibit G Federal'!F61</f>
        <v>0.1</v>
      </c>
      <c r="G89" s="2632"/>
      <c r="H89" s="2099">
        <f>'Exhibit G State'!H89+'Exhibit G Federal'!H61</f>
        <v>0.5</v>
      </c>
      <c r="I89" s="2608"/>
      <c r="J89" s="2099">
        <f>'Exhibit G State'!J89+'Exhibit G Federal'!J61</f>
        <v>-9.9999999999999978E-2</v>
      </c>
      <c r="K89" s="2621"/>
      <c r="L89" s="2099"/>
      <c r="M89" s="2621"/>
      <c r="N89" s="2099"/>
      <c r="O89" s="2621"/>
      <c r="P89" s="2099"/>
      <c r="Q89" s="2621"/>
      <c r="R89" s="2099"/>
      <c r="S89" s="2621"/>
      <c r="T89" s="2099"/>
      <c r="U89" s="2621"/>
      <c r="V89" s="2099"/>
      <c r="W89" s="2621"/>
      <c r="X89" s="2099"/>
      <c r="Y89" s="2621"/>
      <c r="Z89" s="2099"/>
      <c r="AA89" s="2099"/>
      <c r="AB89" s="2062">
        <v>0</v>
      </c>
      <c r="AC89" s="2106"/>
      <c r="AD89" s="2062">
        <f>ROUND(SUM(D89:Z89),1)</f>
        <v>0.7</v>
      </c>
      <c r="AE89" s="2062"/>
      <c r="AF89" s="2106"/>
      <c r="AG89" s="2099">
        <f>'Exhibit G State'!AG89+'Exhibit G Federal'!AG61</f>
        <v>0.89999999999999991</v>
      </c>
      <c r="AH89" s="3677"/>
      <c r="AI89" s="2043"/>
      <c r="AJ89" s="2067">
        <f>ROUND(SUM(+AD89-AG89),1)</f>
        <v>-0.2</v>
      </c>
      <c r="AK89" s="2640"/>
      <c r="AL89" s="1791">
        <f>ROUND(IF(AG89=0,1,AJ89/ABS(AG89)),3)</f>
        <v>-0.222</v>
      </c>
      <c r="AR89" s="2646"/>
      <c r="AS89" s="2646"/>
    </row>
    <row r="90" spans="1:45" s="2260" customFormat="1" ht="15" customHeight="1">
      <c r="A90" s="2542"/>
      <c r="B90" s="2645" t="s">
        <v>27</v>
      </c>
      <c r="C90" s="2542"/>
      <c r="D90" s="2099">
        <f>'Exhibit G State'!D90+'Exhibit G Federal'!D62</f>
        <v>27.4</v>
      </c>
      <c r="E90" s="2632"/>
      <c r="F90" s="2099">
        <f>'Exhibit G State'!F90+'Exhibit G Federal'!F62</f>
        <v>22.200000000000003</v>
      </c>
      <c r="G90" s="2632"/>
      <c r="H90" s="2099">
        <f>'Exhibit G State'!H90+'Exhibit G Federal'!H62</f>
        <v>10.499999999999996</v>
      </c>
      <c r="I90" s="2608"/>
      <c r="J90" s="2099">
        <f>'Exhibit G State'!J90+'Exhibit G Federal'!J62</f>
        <v>21.4</v>
      </c>
      <c r="K90" s="2621"/>
      <c r="L90" s="2099"/>
      <c r="M90" s="2621"/>
      <c r="N90" s="2099"/>
      <c r="O90" s="2621"/>
      <c r="P90" s="2099"/>
      <c r="Q90" s="2621"/>
      <c r="R90" s="2099"/>
      <c r="S90" s="2621"/>
      <c r="T90" s="2099"/>
      <c r="U90" s="2621"/>
      <c r="V90" s="2099"/>
      <c r="W90" s="2621"/>
      <c r="X90" s="2099"/>
      <c r="Y90" s="2621"/>
      <c r="Z90" s="2099"/>
      <c r="AA90" s="2099"/>
      <c r="AB90" s="2062">
        <v>0</v>
      </c>
      <c r="AC90" s="2106"/>
      <c r="AD90" s="2062">
        <f>ROUND(SUM(D90:Z90),1)</f>
        <v>81.5</v>
      </c>
      <c r="AE90" s="2062"/>
      <c r="AF90" s="2106"/>
      <c r="AG90" s="2099">
        <f>'Exhibit G State'!AG90+'Exhibit G Federal'!AG62</f>
        <v>72.3</v>
      </c>
      <c r="AH90" s="3677"/>
      <c r="AI90" s="2043"/>
      <c r="AJ90" s="2067">
        <f>ROUND(SUM(+AD90-AG90),1)</f>
        <v>9.1999999999999993</v>
      </c>
      <c r="AK90" s="2640"/>
      <c r="AL90" s="1786">
        <f>ROUND(IF(AG90=0,0,AJ90/ABS(AG90)),3)</f>
        <v>0.127</v>
      </c>
      <c r="AR90" s="2646"/>
      <c r="AS90" s="2646"/>
    </row>
    <row r="91" spans="1:45" s="2260" customFormat="1" ht="15" customHeight="1">
      <c r="A91" s="2542"/>
      <c r="B91" s="2645" t="s">
        <v>28</v>
      </c>
      <c r="C91" s="2542"/>
      <c r="D91" s="2043"/>
      <c r="E91" s="2608"/>
      <c r="F91" s="2043"/>
      <c r="G91" s="2608"/>
      <c r="H91" s="2043"/>
      <c r="I91" s="2608"/>
      <c r="J91" s="2043"/>
      <c r="K91" s="2621"/>
      <c r="L91" s="2043"/>
      <c r="M91" s="2621"/>
      <c r="N91" s="2043"/>
      <c r="O91" s="2621"/>
      <c r="P91" s="2043"/>
      <c r="Q91" s="2621"/>
      <c r="R91" s="2043"/>
      <c r="S91" s="2621"/>
      <c r="T91" s="2043"/>
      <c r="U91" s="2621"/>
      <c r="V91" s="2043"/>
      <c r="W91" s="2621"/>
      <c r="X91" s="2043"/>
      <c r="Y91" s="2621"/>
      <c r="Z91" s="2043"/>
      <c r="AA91" s="2043"/>
      <c r="AB91" s="2062"/>
      <c r="AC91" s="2106"/>
      <c r="AD91" s="2062"/>
      <c r="AE91" s="2062"/>
      <c r="AF91" s="2106"/>
      <c r="AG91" s="2043"/>
      <c r="AH91" s="3677"/>
      <c r="AI91" s="2043"/>
      <c r="AJ91" s="2067" t="s">
        <v>15</v>
      </c>
      <c r="AK91" s="2647" t="s">
        <v>15</v>
      </c>
      <c r="AL91" s="1488" t="s">
        <v>15</v>
      </c>
      <c r="AR91" s="2058"/>
      <c r="AS91" s="2058"/>
    </row>
    <row r="92" spans="1:45" s="2260" customFormat="1" ht="15" customHeight="1">
      <c r="A92" s="2542"/>
      <c r="B92" s="2648" t="s">
        <v>29</v>
      </c>
      <c r="C92" s="2542"/>
      <c r="D92" s="2099">
        <f>'Exhibit G State'!D92+'Exhibit G Federal'!D64</f>
        <v>3115.4</v>
      </c>
      <c r="E92" s="2632"/>
      <c r="F92" s="2099">
        <f>'Exhibit G State'!F92+'Exhibit G Federal'!F64</f>
        <v>4563.0999999999995</v>
      </c>
      <c r="G92" s="2632"/>
      <c r="H92" s="2099">
        <f>'Exhibit G State'!H92+'Exhibit G Federal'!H64</f>
        <v>3463.9999999999995</v>
      </c>
      <c r="I92" s="2608"/>
      <c r="J92" s="2099">
        <f>'Exhibit G State'!J92+'Exhibit G Federal'!J64</f>
        <v>3585.5000000000009</v>
      </c>
      <c r="K92" s="2621"/>
      <c r="L92" s="2099"/>
      <c r="M92" s="2621"/>
      <c r="N92" s="2099"/>
      <c r="O92" s="2621"/>
      <c r="P92" s="2099"/>
      <c r="Q92" s="2621"/>
      <c r="R92" s="2099"/>
      <c r="S92" s="2621"/>
      <c r="T92" s="2099"/>
      <c r="U92" s="2621"/>
      <c r="V92" s="2099"/>
      <c r="W92" s="2621"/>
      <c r="X92" s="2099"/>
      <c r="Y92" s="2621"/>
      <c r="Z92" s="2099"/>
      <c r="AA92" s="2099"/>
      <c r="AB92" s="2062">
        <v>0</v>
      </c>
      <c r="AC92" s="2106"/>
      <c r="AD92" s="2062">
        <f t="shared" ref="AD92:AD97" si="25">ROUND(SUM(D92:Z92),1)</f>
        <v>14728</v>
      </c>
      <c r="AE92" s="2062"/>
      <c r="AF92" s="2106"/>
      <c r="AG92" s="2099">
        <f>'Exhibit G State'!AG92+'Exhibit G Federal'!AG64</f>
        <v>13416.9</v>
      </c>
      <c r="AH92" s="3677"/>
      <c r="AI92" s="2043"/>
      <c r="AJ92" s="2067">
        <f t="shared" ref="AJ92:AJ97" si="26">ROUND(SUM(+AD92-AG92),1)</f>
        <v>1311.1</v>
      </c>
      <c r="AK92" s="2640"/>
      <c r="AL92" s="1786">
        <f t="shared" ref="AL92:AL97" si="27">ROUND(IF(AG92=0,0,AJ92/ABS(AG92)),3)</f>
        <v>9.8000000000000004E-2</v>
      </c>
      <c r="AR92" s="2058"/>
      <c r="AS92" s="2058"/>
    </row>
    <row r="93" spans="1:45" s="2260" customFormat="1" ht="15" customHeight="1">
      <c r="A93" s="2542"/>
      <c r="B93" s="2645" t="s">
        <v>30</v>
      </c>
      <c r="C93" s="2542"/>
      <c r="D93" s="2099">
        <f>'Exhibit G State'!D93+'Exhibit G Federal'!D65</f>
        <v>543.4</v>
      </c>
      <c r="E93" s="2632"/>
      <c r="F93" s="2099">
        <f>'Exhibit G State'!F93+'Exhibit G Federal'!F65</f>
        <v>520.5</v>
      </c>
      <c r="G93" s="2632"/>
      <c r="H93" s="2099">
        <f>'Exhibit G State'!H93+'Exhibit G Federal'!H65</f>
        <v>805.50000000000023</v>
      </c>
      <c r="I93" s="2608"/>
      <c r="J93" s="2099">
        <f>'Exhibit G State'!J93+'Exhibit G Federal'!J65</f>
        <v>508.59999999999991</v>
      </c>
      <c r="K93" s="2621"/>
      <c r="L93" s="2099"/>
      <c r="M93" s="2621"/>
      <c r="N93" s="2099"/>
      <c r="O93" s="2621"/>
      <c r="P93" s="2099"/>
      <c r="Q93" s="2621"/>
      <c r="R93" s="2099"/>
      <c r="S93" s="2621"/>
      <c r="T93" s="2099"/>
      <c r="U93" s="2621"/>
      <c r="V93" s="2099"/>
      <c r="W93" s="2621"/>
      <c r="X93" s="2099"/>
      <c r="Y93" s="2621"/>
      <c r="Z93" s="2099"/>
      <c r="AA93" s="2099"/>
      <c r="AB93" s="2062">
        <v>0</v>
      </c>
      <c r="AC93" s="2106"/>
      <c r="AD93" s="2062">
        <f t="shared" si="25"/>
        <v>2378</v>
      </c>
      <c r="AE93" s="2062"/>
      <c r="AF93" s="2106"/>
      <c r="AG93" s="2099">
        <f>'Exhibit G State'!AG93+'Exhibit G Federal'!AG65</f>
        <v>2407.1</v>
      </c>
      <c r="AH93" s="3677"/>
      <c r="AI93" s="2043"/>
      <c r="AJ93" s="2067">
        <f t="shared" si="26"/>
        <v>-29.1</v>
      </c>
      <c r="AK93" s="2640"/>
      <c r="AL93" s="1786">
        <f t="shared" si="27"/>
        <v>-1.2E-2</v>
      </c>
      <c r="AR93" s="2058"/>
      <c r="AS93" s="2058"/>
    </row>
    <row r="94" spans="1:45" s="2260" customFormat="1" ht="15" customHeight="1">
      <c r="A94" s="2542"/>
      <c r="B94" s="2645" t="s">
        <v>31</v>
      </c>
      <c r="C94" s="2542"/>
      <c r="D94" s="2099">
        <f>'Exhibit G State'!D94+'Exhibit G Federal'!D66</f>
        <v>136.30000000000001</v>
      </c>
      <c r="E94" s="2632"/>
      <c r="F94" s="2099">
        <f>'Exhibit G State'!F94+'Exhibit G Federal'!F66</f>
        <v>164.9</v>
      </c>
      <c r="G94" s="2632"/>
      <c r="H94" s="2099">
        <f>'Exhibit G State'!H94+'Exhibit G Federal'!H66</f>
        <v>58.79999999999999</v>
      </c>
      <c r="I94" s="2608"/>
      <c r="J94" s="2099">
        <f>'Exhibit G State'!J94+'Exhibit G Federal'!J66</f>
        <v>69.300000000000011</v>
      </c>
      <c r="K94" s="2621"/>
      <c r="L94" s="2099"/>
      <c r="M94" s="2621"/>
      <c r="N94" s="2099"/>
      <c r="O94" s="2621"/>
      <c r="P94" s="2099"/>
      <c r="Q94" s="2621"/>
      <c r="R94" s="2099"/>
      <c r="S94" s="2621"/>
      <c r="T94" s="2099"/>
      <c r="U94" s="2621"/>
      <c r="V94" s="2099"/>
      <c r="W94" s="2621"/>
      <c r="X94" s="2099"/>
      <c r="Y94" s="2621"/>
      <c r="Z94" s="2099"/>
      <c r="AA94" s="2099"/>
      <c r="AB94" s="2062">
        <v>0</v>
      </c>
      <c r="AC94" s="2106"/>
      <c r="AD94" s="2062">
        <f t="shared" si="25"/>
        <v>429.3</v>
      </c>
      <c r="AE94" s="2062"/>
      <c r="AF94" s="2106"/>
      <c r="AG94" s="2099">
        <f>'Exhibit G State'!AG94+'Exhibit G Federal'!AG66</f>
        <v>400.7</v>
      </c>
      <c r="AH94" s="3677"/>
      <c r="AI94" s="2043"/>
      <c r="AJ94" s="2067">
        <f t="shared" si="26"/>
        <v>28.6</v>
      </c>
      <c r="AK94" s="2640"/>
      <c r="AL94" s="1786">
        <f t="shared" si="27"/>
        <v>7.0999999999999994E-2</v>
      </c>
      <c r="AR94" s="2058"/>
      <c r="AS94" s="2058"/>
    </row>
    <row r="95" spans="1:45" s="2260" customFormat="1" ht="15" customHeight="1">
      <c r="A95" s="2542"/>
      <c r="B95" s="2645" t="s">
        <v>32</v>
      </c>
      <c r="C95" s="2542"/>
      <c r="D95" s="2099">
        <f>'Exhibit G State'!D95+'Exhibit G Federal'!D67</f>
        <v>152.30000000000001</v>
      </c>
      <c r="E95" s="2632"/>
      <c r="F95" s="2099">
        <f>'Exhibit G State'!F95+'Exhibit G Federal'!F67</f>
        <v>120.00000000000001</v>
      </c>
      <c r="G95" s="2632"/>
      <c r="H95" s="2099">
        <f>'Exhibit G State'!H95+'Exhibit G Federal'!H67</f>
        <v>271.19999999999993</v>
      </c>
      <c r="I95" s="2608"/>
      <c r="J95" s="2099">
        <f>'Exhibit G State'!J95+'Exhibit G Federal'!J67</f>
        <v>318.40000000000009</v>
      </c>
      <c r="K95" s="2621"/>
      <c r="L95" s="2099"/>
      <c r="M95" s="2621"/>
      <c r="N95" s="2099"/>
      <c r="O95" s="2621"/>
      <c r="P95" s="2099"/>
      <c r="Q95" s="2621"/>
      <c r="R95" s="2099"/>
      <c r="S95" s="2621"/>
      <c r="T95" s="2099"/>
      <c r="U95" s="2621"/>
      <c r="V95" s="2099"/>
      <c r="W95" s="2621"/>
      <c r="X95" s="2099"/>
      <c r="Y95" s="2621"/>
      <c r="Z95" s="2099"/>
      <c r="AA95" s="2099"/>
      <c r="AB95" s="2062">
        <v>0</v>
      </c>
      <c r="AC95" s="2106"/>
      <c r="AD95" s="2062">
        <f t="shared" si="25"/>
        <v>861.9</v>
      </c>
      <c r="AE95" s="2062"/>
      <c r="AF95" s="2106"/>
      <c r="AG95" s="2099">
        <f>'Exhibit G State'!AG95+'Exhibit G Federal'!AG67</f>
        <v>1078.9000000000001</v>
      </c>
      <c r="AH95" s="3677"/>
      <c r="AI95" s="2043"/>
      <c r="AJ95" s="2067">
        <f t="shared" si="26"/>
        <v>-217</v>
      </c>
      <c r="AK95" s="2640"/>
      <c r="AL95" s="1786">
        <f t="shared" si="27"/>
        <v>-0.20100000000000001</v>
      </c>
      <c r="AR95" s="2058"/>
      <c r="AS95" s="2058"/>
    </row>
    <row r="96" spans="1:45" s="2260" customFormat="1" ht="15" customHeight="1">
      <c r="A96" s="2542"/>
      <c r="B96" s="2645" t="s">
        <v>33</v>
      </c>
      <c r="C96" s="2542"/>
      <c r="D96" s="2099">
        <f>'Exhibit G State'!D96+'Exhibit G Federal'!D68</f>
        <v>1.4000000000000001</v>
      </c>
      <c r="E96" s="2632"/>
      <c r="F96" s="2099">
        <f>'Exhibit G State'!F96+'Exhibit G Federal'!F68</f>
        <v>7.8999999999999995</v>
      </c>
      <c r="G96" s="2632"/>
      <c r="H96" s="2099">
        <f>'Exhibit G State'!H96+'Exhibit G Federal'!H68</f>
        <v>1.5000000000000007</v>
      </c>
      <c r="I96" s="2608"/>
      <c r="J96" s="2099">
        <f>'Exhibit G State'!J96+'Exhibit G Federal'!J68</f>
        <v>6.6000000000000014</v>
      </c>
      <c r="K96" s="2621"/>
      <c r="L96" s="2099"/>
      <c r="M96" s="2621"/>
      <c r="N96" s="2099"/>
      <c r="O96" s="2621"/>
      <c r="P96" s="2099"/>
      <c r="Q96" s="2621"/>
      <c r="R96" s="2099"/>
      <c r="S96" s="2621"/>
      <c r="T96" s="2099"/>
      <c r="U96" s="2621"/>
      <c r="V96" s="2099"/>
      <c r="W96" s="2621"/>
      <c r="X96" s="2099"/>
      <c r="Y96" s="2621"/>
      <c r="Z96" s="2099"/>
      <c r="AA96" s="2099"/>
      <c r="AB96" s="2062">
        <v>0</v>
      </c>
      <c r="AC96" s="2106"/>
      <c r="AD96" s="2062">
        <f t="shared" si="25"/>
        <v>17.399999999999999</v>
      </c>
      <c r="AE96" s="2062"/>
      <c r="AF96" s="2106"/>
      <c r="AG96" s="2099">
        <f>'Exhibit G State'!AG96+'Exhibit G Federal'!AG68</f>
        <v>12.8</v>
      </c>
      <c r="AH96" s="3677"/>
      <c r="AI96" s="2043"/>
      <c r="AJ96" s="2067">
        <f t="shared" si="26"/>
        <v>4.5999999999999996</v>
      </c>
      <c r="AK96" s="2640"/>
      <c r="AL96" s="1791">
        <f>ROUND(IF(AG96=0,0,AJ96/ABS(AG96)),3)</f>
        <v>0.35899999999999999</v>
      </c>
      <c r="AR96" s="2646"/>
      <c r="AS96" s="2646"/>
    </row>
    <row r="97" spans="1:46" s="2260" customFormat="1" ht="15" customHeight="1">
      <c r="A97" s="2542"/>
      <c r="B97" s="2645" t="s">
        <v>34</v>
      </c>
      <c r="C97" s="2542"/>
      <c r="D97" s="2099">
        <f>'Exhibit G State'!D97+'Exhibit G Federal'!D69</f>
        <v>72.3</v>
      </c>
      <c r="E97" s="2632"/>
      <c r="F97" s="2099">
        <f>'Exhibit G State'!F97+'Exhibit G Federal'!F69</f>
        <v>408.5</v>
      </c>
      <c r="G97" s="2632"/>
      <c r="H97" s="2099">
        <f>'Exhibit G State'!H97+'Exhibit G Federal'!H69</f>
        <v>269.7</v>
      </c>
      <c r="I97" s="2608"/>
      <c r="J97" s="2099">
        <f>'Exhibit G State'!J97+'Exhibit G Federal'!J69</f>
        <v>278.10000000000008</v>
      </c>
      <c r="K97" s="2621"/>
      <c r="L97" s="2099"/>
      <c r="M97" s="2621"/>
      <c r="N97" s="2099"/>
      <c r="O97" s="2621"/>
      <c r="P97" s="2099"/>
      <c r="Q97" s="2621"/>
      <c r="R97" s="2099"/>
      <c r="S97" s="2621"/>
      <c r="T97" s="2099"/>
      <c r="U97" s="2621"/>
      <c r="V97" s="2099"/>
      <c r="W97" s="2621"/>
      <c r="X97" s="2099"/>
      <c r="Y97" s="2621"/>
      <c r="Z97" s="2099"/>
      <c r="AA97" s="2099"/>
      <c r="AB97" s="2062">
        <v>0</v>
      </c>
      <c r="AC97" s="2106"/>
      <c r="AD97" s="2043">
        <f t="shared" si="25"/>
        <v>1028.5999999999999</v>
      </c>
      <c r="AE97" s="2062"/>
      <c r="AF97" s="2106"/>
      <c r="AG97" s="2099">
        <f>'Exhibit G State'!AG97+'Exhibit G Federal'!AG69</f>
        <v>1173.3999999999999</v>
      </c>
      <c r="AH97" s="3677"/>
      <c r="AI97" s="2043"/>
      <c r="AJ97" s="2108">
        <f t="shared" si="26"/>
        <v>-144.80000000000001</v>
      </c>
      <c r="AK97" s="2640"/>
      <c r="AL97" s="1874">
        <f t="shared" si="27"/>
        <v>-0.123</v>
      </c>
      <c r="AM97" s="2649"/>
      <c r="AR97" s="2085"/>
      <c r="AS97" s="2085"/>
      <c r="AT97" s="2259"/>
    </row>
    <row r="98" spans="1:46" ht="15" customHeight="1">
      <c r="A98" s="2111"/>
      <c r="B98" s="2504" t="s">
        <v>1199</v>
      </c>
      <c r="C98" s="2111"/>
      <c r="D98" s="2100">
        <f>ROUND(SUM(D88:D97),1)</f>
        <v>4386.3999999999996</v>
      </c>
      <c r="F98" s="2100">
        <f>ROUND(SUM(F88:F97),1)</f>
        <v>6398.3</v>
      </c>
      <c r="H98" s="2551">
        <f>ROUND(SUM(H88:H97),1)</f>
        <v>5493.1</v>
      </c>
      <c r="J98" s="2551">
        <f>ROUND(SUM(J88:J97),1)</f>
        <v>5075.8999999999996</v>
      </c>
      <c r="L98" s="2100">
        <f t="shared" ref="L98:V98" si="28">ROUND(SUM(L88:L97),1)</f>
        <v>0</v>
      </c>
      <c r="N98" s="2100">
        <f t="shared" ref="N98:P98" si="29">ROUND(SUM(N88:N97),1)</f>
        <v>0</v>
      </c>
      <c r="P98" s="2100">
        <f t="shared" si="29"/>
        <v>0</v>
      </c>
      <c r="R98" s="2100">
        <f t="shared" ref="R98" si="30">ROUND(SUM(R88:R97),1)</f>
        <v>0</v>
      </c>
      <c r="T98" s="2084">
        <f t="shared" si="28"/>
        <v>0</v>
      </c>
      <c r="V98" s="2100">
        <f t="shared" si="28"/>
        <v>0</v>
      </c>
      <c r="X98" s="2100">
        <f t="shared" ref="X98:Z98" si="31">ROUND(SUM(X88:X97),1)</f>
        <v>0</v>
      </c>
      <c r="Z98" s="2100">
        <f t="shared" si="31"/>
        <v>0</v>
      </c>
      <c r="AA98" s="1484"/>
      <c r="AB98" s="2100">
        <f>ROUND(SUM(AB88:AB97),1)</f>
        <v>0</v>
      </c>
      <c r="AC98" s="2107"/>
      <c r="AD98" s="2084">
        <f>ROUND(SUM(AD88:AD97),1)</f>
        <v>21353.7</v>
      </c>
      <c r="AE98" s="2117"/>
      <c r="AF98" s="2634"/>
      <c r="AG98" s="2084">
        <f>ROUND(SUM(AG88:AG97),1)</f>
        <v>20555</v>
      </c>
      <c r="AH98" s="3680"/>
      <c r="AI98" s="1484"/>
      <c r="AJ98" s="2100">
        <f>ROUND(SUM(AJ88:AJ97),1)</f>
        <v>798.7</v>
      </c>
      <c r="AK98" s="2120"/>
      <c r="AL98" s="1476">
        <f>ROUND(SUM(+AJ98/AG98),3)</f>
        <v>3.9E-2</v>
      </c>
      <c r="AR98" s="2088"/>
      <c r="AS98" s="2085"/>
      <c r="AT98" s="2088"/>
    </row>
    <row r="99" spans="1:46" s="2260" customFormat="1" ht="15" customHeight="1">
      <c r="A99" s="2542"/>
      <c r="B99" s="2542" t="s">
        <v>170</v>
      </c>
      <c r="C99" s="2542"/>
      <c r="D99" s="2062"/>
      <c r="E99" s="2608"/>
      <c r="F99" s="2062"/>
      <c r="G99" s="2608"/>
      <c r="H99" s="1483"/>
      <c r="I99" s="2608"/>
      <c r="J99" s="1483"/>
      <c r="K99" s="2621"/>
      <c r="L99" s="2062"/>
      <c r="M99" s="2621"/>
      <c r="N99" s="2062"/>
      <c r="O99" s="2621"/>
      <c r="P99" s="2062"/>
      <c r="Q99" s="2621"/>
      <c r="R99" s="2062"/>
      <c r="S99" s="2621"/>
      <c r="T99" s="2062"/>
      <c r="U99" s="2621"/>
      <c r="V99" s="2062"/>
      <c r="W99" s="2621"/>
      <c r="X99" s="2062"/>
      <c r="Y99" s="2621"/>
      <c r="Z99" s="2062"/>
      <c r="AA99" s="2062"/>
      <c r="AB99" s="2062"/>
      <c r="AC99" s="2106"/>
      <c r="AD99" s="2062"/>
      <c r="AE99" s="2062"/>
      <c r="AF99" s="2106"/>
      <c r="AG99" s="2062"/>
      <c r="AH99" s="3677"/>
      <c r="AI99" s="2043"/>
      <c r="AJ99" s="2067"/>
      <c r="AL99" s="1880"/>
      <c r="AS99" s="2058"/>
    </row>
    <row r="100" spans="1:46" s="2260" customFormat="1" ht="15" customHeight="1">
      <c r="A100" s="2542"/>
      <c r="B100" s="2542" t="s">
        <v>154</v>
      </c>
      <c r="C100" s="2542"/>
      <c r="D100" s="2099">
        <f>'Exhibit G State'!D100+'Exhibit G Federal'!D72</f>
        <v>451</v>
      </c>
      <c r="E100" s="2632"/>
      <c r="F100" s="2099">
        <f>'Exhibit G State'!F100+'Exhibit G Federal'!F72</f>
        <v>645.79999999999995</v>
      </c>
      <c r="G100" s="2632"/>
      <c r="H100" s="2099">
        <f>'Exhibit G State'!H100+'Exhibit G Federal'!H72</f>
        <v>448.69999999999993</v>
      </c>
      <c r="I100" s="2608"/>
      <c r="J100" s="2099">
        <f>'Exhibit G State'!J100+'Exhibit G Federal'!J72</f>
        <v>493.7000000000001</v>
      </c>
      <c r="K100" s="2621"/>
      <c r="L100" s="2099"/>
      <c r="M100" s="2621"/>
      <c r="N100" s="2099"/>
      <c r="O100" s="2621"/>
      <c r="P100" s="2099"/>
      <c r="Q100" s="2621"/>
      <c r="R100" s="2099"/>
      <c r="S100" s="2621"/>
      <c r="T100" s="2099"/>
      <c r="U100" s="2621"/>
      <c r="V100" s="2099"/>
      <c r="W100" s="2621"/>
      <c r="X100" s="2099"/>
      <c r="Y100" s="2621"/>
      <c r="Z100" s="2099"/>
      <c r="AA100" s="2099"/>
      <c r="AB100" s="2062">
        <v>0</v>
      </c>
      <c r="AC100" s="2106"/>
      <c r="AD100" s="2062">
        <f>ROUND(SUM(D100:Z100),1)</f>
        <v>2039.2</v>
      </c>
      <c r="AE100" s="2062"/>
      <c r="AF100" s="2106"/>
      <c r="AG100" s="2099">
        <f>'Exhibit G State'!AG100+'Exhibit G Federal'!AG72</f>
        <v>1878.6</v>
      </c>
      <c r="AH100" s="3677"/>
      <c r="AI100" s="2043"/>
      <c r="AJ100" s="2067">
        <f>ROUND(SUM(+AD100-AG100),1)</f>
        <v>160.6</v>
      </c>
      <c r="AK100" s="2630"/>
      <c r="AL100" s="1786">
        <f>ROUND(IF(AG100=0,0,AJ100/ABS(AG100)),3)</f>
        <v>8.5000000000000006E-2</v>
      </c>
    </row>
    <row r="101" spans="1:46" s="2260" customFormat="1" ht="15" customHeight="1">
      <c r="A101" s="2542"/>
      <c r="B101" s="2542" t="s">
        <v>171</v>
      </c>
      <c r="C101" s="2542"/>
      <c r="D101" s="2099">
        <f>'Exhibit G State'!D101+'Exhibit G Federal'!D73</f>
        <v>314.39999999999998</v>
      </c>
      <c r="E101" s="2632"/>
      <c r="F101" s="2099">
        <f>'Exhibit G State'!F101+'Exhibit G Federal'!F73</f>
        <v>324.8</v>
      </c>
      <c r="G101" s="2632"/>
      <c r="H101" s="2099">
        <f>'Exhibit G State'!H101+'Exhibit G Federal'!H73</f>
        <v>294.39999999999998</v>
      </c>
      <c r="I101" s="2608"/>
      <c r="J101" s="2099">
        <f>'Exhibit G State'!J101+'Exhibit G Federal'!J73</f>
        <v>310.00000000000011</v>
      </c>
      <c r="K101" s="2621"/>
      <c r="L101" s="2099"/>
      <c r="M101" s="2621"/>
      <c r="N101" s="2099"/>
      <c r="O101" s="2621"/>
      <c r="P101" s="2099"/>
      <c r="Q101" s="2621"/>
      <c r="R101" s="2099"/>
      <c r="S101" s="2621"/>
      <c r="T101" s="2099"/>
      <c r="U101" s="2621"/>
      <c r="V101" s="2099"/>
      <c r="W101" s="2621"/>
      <c r="X101" s="2099"/>
      <c r="Y101" s="2621"/>
      <c r="Z101" s="2099"/>
      <c r="AA101" s="2099"/>
      <c r="AB101" s="2062">
        <v>0</v>
      </c>
      <c r="AC101" s="2106"/>
      <c r="AD101" s="2062">
        <f>ROUND(SUM(D101:Z101),1)</f>
        <v>1243.5999999999999</v>
      </c>
      <c r="AE101" s="2062"/>
      <c r="AF101" s="2106"/>
      <c r="AG101" s="2099">
        <f>'Exhibit G State'!AG101+'Exhibit G Federal'!AG73</f>
        <v>1172.9000000000001</v>
      </c>
      <c r="AH101" s="3677"/>
      <c r="AI101" s="2043"/>
      <c r="AJ101" s="2067">
        <f>ROUND(SUM(+AD101-AG101),1)</f>
        <v>70.7</v>
      </c>
      <c r="AK101" s="2630"/>
      <c r="AL101" s="1786">
        <f>ROUND(IF(AG101=0,0,AJ101/ABS(AG101)),3)</f>
        <v>0.06</v>
      </c>
    </row>
    <row r="102" spans="1:46" s="2260" customFormat="1" ht="15" customHeight="1">
      <c r="A102" s="2542"/>
      <c r="B102" s="2542" t="s">
        <v>172</v>
      </c>
      <c r="C102" s="2542"/>
      <c r="D102" s="2099">
        <f>'Exhibit G State'!D102+'Exhibit G Federal'!D74</f>
        <v>85.4</v>
      </c>
      <c r="E102" s="2632"/>
      <c r="F102" s="2099">
        <f>'Exhibit G State'!F102+'Exhibit G Federal'!F74</f>
        <v>111.29999999999998</v>
      </c>
      <c r="G102" s="2632"/>
      <c r="H102" s="2099">
        <f>'Exhibit G State'!H102+'Exhibit G Federal'!H74</f>
        <v>89.700000000000017</v>
      </c>
      <c r="I102" s="2608"/>
      <c r="J102" s="2099">
        <f>'Exhibit G State'!J102+'Exhibit G Federal'!J74</f>
        <v>114.19999999999999</v>
      </c>
      <c r="K102" s="2621"/>
      <c r="L102" s="2099"/>
      <c r="M102" s="2621"/>
      <c r="N102" s="2099"/>
      <c r="O102" s="2621"/>
      <c r="P102" s="2099"/>
      <c r="Q102" s="2621"/>
      <c r="R102" s="2099"/>
      <c r="S102" s="2621"/>
      <c r="T102" s="2099"/>
      <c r="U102" s="2621"/>
      <c r="V102" s="2099"/>
      <c r="W102" s="2621"/>
      <c r="X102" s="2099"/>
      <c r="Y102" s="2621"/>
      <c r="Z102" s="2099"/>
      <c r="AA102" s="2099"/>
      <c r="AB102" s="2062">
        <v>0</v>
      </c>
      <c r="AC102" s="2106"/>
      <c r="AD102" s="2062">
        <f>ROUND(SUM(D102:Z102),1)</f>
        <v>400.6</v>
      </c>
      <c r="AE102" s="2062"/>
      <c r="AF102" s="2106"/>
      <c r="AG102" s="2099">
        <f>'Exhibit G State'!AG102+'Exhibit G Federal'!AG74</f>
        <v>411.5</v>
      </c>
      <c r="AH102" s="3677"/>
      <c r="AI102" s="2043"/>
      <c r="AJ102" s="2067">
        <f>ROUND(SUM(+AD102-AG102),1)</f>
        <v>-10.9</v>
      </c>
      <c r="AK102" s="2630"/>
      <c r="AL102" s="1786">
        <f>ROUND(IF(AG102=0,0,AJ102/ABS(AG102)),3)</f>
        <v>-2.5999999999999999E-2</v>
      </c>
    </row>
    <row r="103" spans="1:46" s="2260" customFormat="1" ht="15" customHeight="1">
      <c r="A103" s="2542"/>
      <c r="B103" s="2542" t="s">
        <v>173</v>
      </c>
      <c r="C103" s="2542"/>
      <c r="D103" s="2099">
        <f>'Exhibit G State'!D103+'Exhibit G Federal'!D75</f>
        <v>0</v>
      </c>
      <c r="E103" s="2632"/>
      <c r="F103" s="2099">
        <f>'Exhibit G State'!F103+'Exhibit G Federal'!F75</f>
        <v>0</v>
      </c>
      <c r="G103" s="2632"/>
      <c r="H103" s="2099">
        <f>'Exhibit G State'!H103+'Exhibit G Federal'!H75</f>
        <v>0.1</v>
      </c>
      <c r="I103" s="2608"/>
      <c r="J103" s="2099">
        <f>'Exhibit G State'!J103+'Exhibit G Federal'!J75</f>
        <v>0</v>
      </c>
      <c r="K103" s="2621"/>
      <c r="L103" s="2099"/>
      <c r="M103" s="2621"/>
      <c r="N103" s="2099"/>
      <c r="O103" s="2621"/>
      <c r="P103" s="2099"/>
      <c r="Q103" s="2621"/>
      <c r="R103" s="2099"/>
      <c r="S103" s="2621"/>
      <c r="T103" s="2099"/>
      <c r="U103" s="2621"/>
      <c r="V103" s="2099"/>
      <c r="W103" s="2621"/>
      <c r="X103" s="2099"/>
      <c r="Y103" s="2621"/>
      <c r="Z103" s="2099"/>
      <c r="AA103" s="2099"/>
      <c r="AB103" s="2639">
        <v>0</v>
      </c>
      <c r="AC103" s="2106"/>
      <c r="AD103" s="2062">
        <f>ROUND(SUM(D103:Z103),1)</f>
        <v>0.1</v>
      </c>
      <c r="AE103" s="2062"/>
      <c r="AF103" s="2106"/>
      <c r="AG103" s="2099">
        <f>'Exhibit G State'!AG103+'Exhibit G Federal'!AG75</f>
        <v>0</v>
      </c>
      <c r="AH103" s="3677"/>
      <c r="AI103" s="2043"/>
      <c r="AJ103" s="2108">
        <f>ROUND(SUM(+AD103-AG103),1)</f>
        <v>0.1</v>
      </c>
      <c r="AK103" s="2640"/>
      <c r="AL103" s="1786">
        <f>ROUND(IF(AG103=0,1,AJ103/ABS(AG103)),3)</f>
        <v>1</v>
      </c>
    </row>
    <row r="104" spans="1:46" s="2260" customFormat="1" ht="15" customHeight="1">
      <c r="A104" s="2542"/>
      <c r="B104" s="2542"/>
      <c r="C104" s="2542"/>
      <c r="D104" s="2118"/>
      <c r="E104" s="2608"/>
      <c r="F104" s="2118"/>
      <c r="G104" s="2608"/>
      <c r="H104" s="2571"/>
      <c r="I104" s="2608"/>
      <c r="J104" s="2571"/>
      <c r="K104" s="2621"/>
      <c r="L104" s="2118"/>
      <c r="M104" s="2621"/>
      <c r="N104" s="2118"/>
      <c r="O104" s="2621"/>
      <c r="P104" s="2118"/>
      <c r="Q104" s="2621"/>
      <c r="R104" s="2118"/>
      <c r="S104" s="2621"/>
      <c r="T104" s="2118"/>
      <c r="U104" s="2621"/>
      <c r="V104" s="2118"/>
      <c r="W104" s="2621"/>
      <c r="X104" s="2118"/>
      <c r="Y104" s="2621"/>
      <c r="Z104" s="2118"/>
      <c r="AA104" s="2043"/>
      <c r="AB104" s="2062"/>
      <c r="AC104" s="2106"/>
      <c r="AD104" s="2118"/>
      <c r="AE104" s="2062"/>
      <c r="AF104" s="2106"/>
      <c r="AG104" s="2118"/>
      <c r="AH104" s="3677"/>
      <c r="AI104" s="2043"/>
      <c r="AJ104" s="2650"/>
      <c r="AL104" s="2651"/>
    </row>
    <row r="105" spans="1:46" s="2260" customFormat="1" ht="15" customHeight="1">
      <c r="A105" s="2542"/>
      <c r="B105" s="2633" t="s">
        <v>157</v>
      </c>
      <c r="C105" s="2542"/>
      <c r="D105" s="2117">
        <f>ROUND(SUM(D98:D103),1)</f>
        <v>5237.2</v>
      </c>
      <c r="E105" s="2608"/>
      <c r="F105" s="2117">
        <f>ROUND(SUM(F98:F103),1)</f>
        <v>7480.2</v>
      </c>
      <c r="G105" s="2608"/>
      <c r="H105" s="1501">
        <f>ROUND(SUM(H98:H103),1)</f>
        <v>6326</v>
      </c>
      <c r="I105" s="2608"/>
      <c r="J105" s="1501">
        <f>ROUND(SUM(J98:J103),1)</f>
        <v>5993.8</v>
      </c>
      <c r="K105" s="2621"/>
      <c r="L105" s="2117">
        <f t="shared" ref="L105:V105" si="32">ROUND(SUM(L98:L103),1)</f>
        <v>0</v>
      </c>
      <c r="M105" s="2621"/>
      <c r="N105" s="2117">
        <f t="shared" ref="N105:P105" si="33">ROUND(SUM(N98:N103),1)</f>
        <v>0</v>
      </c>
      <c r="O105" s="2621"/>
      <c r="P105" s="2117">
        <f t="shared" si="33"/>
        <v>0</v>
      </c>
      <c r="Q105" s="2621"/>
      <c r="R105" s="2117">
        <f t="shared" ref="R105" si="34">ROUND(SUM(R98:R103),1)</f>
        <v>0</v>
      </c>
      <c r="S105" s="2621"/>
      <c r="T105" s="2117">
        <f t="shared" si="32"/>
        <v>0</v>
      </c>
      <c r="U105" s="2621"/>
      <c r="V105" s="2117">
        <f t="shared" si="32"/>
        <v>0</v>
      </c>
      <c r="W105" s="2621"/>
      <c r="X105" s="2117">
        <f t="shared" ref="X105:Z105" si="35">ROUND(SUM(X98:X103),1)</f>
        <v>0</v>
      </c>
      <c r="Y105" s="2621"/>
      <c r="Z105" s="2117">
        <f t="shared" si="35"/>
        <v>0</v>
      </c>
      <c r="AA105" s="2117"/>
      <c r="AB105" s="2652">
        <v>0</v>
      </c>
      <c r="AC105" s="2634"/>
      <c r="AD105" s="2117">
        <f>ROUND(SUM(AD98:AD103),1)</f>
        <v>25037.200000000001</v>
      </c>
      <c r="AE105" s="2117"/>
      <c r="AF105" s="2634"/>
      <c r="AG105" s="2117">
        <f>ROUND(SUM(AG98:AG103),1)</f>
        <v>24018</v>
      </c>
      <c r="AH105" s="3680"/>
      <c r="AI105" s="1502"/>
      <c r="AJ105" s="2121">
        <f>ROUND(SUM(AJ98:AJ103),1)</f>
        <v>1019.2</v>
      </c>
      <c r="AK105" s="2514"/>
      <c r="AL105" s="2653">
        <f>ROUND(SUM(+AJ105/AG105),3)</f>
        <v>4.2000000000000003E-2</v>
      </c>
    </row>
    <row r="106" spans="1:46" ht="15" customHeight="1">
      <c r="A106" s="2111"/>
      <c r="B106" s="2111"/>
      <c r="C106" s="2111"/>
      <c r="D106" s="2072"/>
      <c r="F106" s="2072"/>
      <c r="H106" s="2571"/>
      <c r="J106" s="2571"/>
      <c r="L106" s="2072"/>
      <c r="N106" s="2072"/>
      <c r="P106" s="2072"/>
      <c r="R106" s="2072"/>
      <c r="T106" s="2118"/>
      <c r="V106" s="2072"/>
      <c r="X106" s="2072"/>
      <c r="Z106" s="2072"/>
      <c r="AA106" s="2074"/>
      <c r="AB106" s="2073"/>
      <c r="AC106" s="2104"/>
      <c r="AD106" s="2118"/>
      <c r="AE106" s="2062"/>
      <c r="AF106" s="2106"/>
      <c r="AG106" s="2118"/>
      <c r="AH106" s="3677"/>
      <c r="AI106" s="2074"/>
      <c r="AJ106" s="1483"/>
      <c r="AL106" s="1471"/>
    </row>
    <row r="107" spans="1:46" ht="15" customHeight="1">
      <c r="A107" s="2111"/>
      <c r="B107" s="2504" t="s">
        <v>158</v>
      </c>
      <c r="C107" s="2111"/>
      <c r="D107" s="2073"/>
      <c r="F107" s="2073"/>
      <c r="H107" s="1483"/>
      <c r="J107" s="1483"/>
      <c r="L107" s="2073"/>
      <c r="N107" s="2073"/>
      <c r="P107" s="2073"/>
      <c r="R107" s="2073"/>
      <c r="T107" s="2062"/>
      <c r="V107" s="2073"/>
      <c r="X107" s="2073"/>
      <c r="Z107" s="2073"/>
      <c r="AA107" s="2073"/>
      <c r="AB107" s="2073"/>
      <c r="AC107" s="2104"/>
      <c r="AD107" s="2062" t="s">
        <v>159</v>
      </c>
      <c r="AE107" s="3651"/>
      <c r="AF107" s="3652"/>
      <c r="AG107" s="2062"/>
      <c r="AH107" s="3682"/>
      <c r="AI107" s="2654"/>
      <c r="AJ107" s="1483"/>
      <c r="AL107" s="1471"/>
    </row>
    <row r="108" spans="1:46" ht="15" customHeight="1">
      <c r="A108" s="2111"/>
      <c r="B108" s="2504" t="s">
        <v>45</v>
      </c>
      <c r="C108" s="2111"/>
      <c r="D108" s="1501">
        <f>ROUND(SUM(D84-D105),1)</f>
        <v>2940.2</v>
      </c>
      <c r="F108" s="1501">
        <f>ROUND(SUM(F84-F105),1)</f>
        <v>-1014</v>
      </c>
      <c r="G108" s="1501">
        <f>ROUND(SUM(G84-G105),1)</f>
        <v>0</v>
      </c>
      <c r="H108" s="1501">
        <f>ROUND(SUM(H84-H105),1)</f>
        <v>1330.3</v>
      </c>
      <c r="J108" s="1501">
        <f>ROUND(SUM(J84-J105),1)</f>
        <v>-1081.7</v>
      </c>
      <c r="L108" s="1501">
        <f>ROUND(SUM(L84-L105),1)</f>
        <v>0</v>
      </c>
      <c r="N108" s="1501">
        <f>ROUND(SUM(N84-N105),1)</f>
        <v>0</v>
      </c>
      <c r="P108" s="1501">
        <f>ROUND(SUM(P84-P105),1)</f>
        <v>0</v>
      </c>
      <c r="R108" s="1501">
        <f>ROUND(SUM(R84-R105),1)</f>
        <v>0</v>
      </c>
      <c r="T108" s="2117">
        <f>ROUND(SUM(T84-T105),1)</f>
        <v>0</v>
      </c>
      <c r="V108" s="1501">
        <f>ROUND(SUM(V84-V105),1)</f>
        <v>0</v>
      </c>
      <c r="X108" s="1501">
        <f>ROUND(SUM(X84-X105),1)</f>
        <v>0</v>
      </c>
      <c r="Z108" s="2117">
        <f>ROUND(SUM(Z84-Z105),1)</f>
        <v>0</v>
      </c>
      <c r="AA108" s="2117"/>
      <c r="AB108" s="2652">
        <v>0</v>
      </c>
      <c r="AC108" s="2634"/>
      <c r="AD108" s="2117">
        <f>ROUND(SUM(AD84-AD105),1)</f>
        <v>2174.8000000000002</v>
      </c>
      <c r="AE108" s="2117"/>
      <c r="AF108" s="2634"/>
      <c r="AG108" s="2117">
        <f>ROUND(SUM(AG84-AG105),1)</f>
        <v>1560.7</v>
      </c>
      <c r="AH108" s="3680"/>
      <c r="AI108" s="1502"/>
      <c r="AJ108" s="1613">
        <f>ROUND(SUM(AJ84-AJ105),1)</f>
        <v>614.1</v>
      </c>
      <c r="AK108" s="2505"/>
      <c r="AL108" s="1922">
        <f>ROUND(SUM(+AJ108/ABS(AG108)),3)</f>
        <v>0.39300000000000002</v>
      </c>
    </row>
    <row r="109" spans="1:46" ht="15" customHeight="1">
      <c r="A109" s="2111"/>
      <c r="B109" s="2111"/>
      <c r="C109" s="2111"/>
      <c r="D109" s="2072"/>
      <c r="F109" s="2072"/>
      <c r="H109" s="2571"/>
      <c r="J109" s="2571"/>
      <c r="L109" s="2072"/>
      <c r="N109" s="2072"/>
      <c r="P109" s="2072"/>
      <c r="R109" s="2072"/>
      <c r="T109" s="2118"/>
      <c r="V109" s="2072"/>
      <c r="X109" s="2072"/>
      <c r="Z109" s="2118"/>
      <c r="AA109" s="2043"/>
      <c r="AB109" s="2062"/>
      <c r="AC109" s="2106"/>
      <c r="AD109" s="2118"/>
      <c r="AE109" s="2062"/>
      <c r="AF109" s="2106"/>
      <c r="AG109" s="2118"/>
      <c r="AH109" s="3677"/>
      <c r="AI109" s="2043"/>
      <c r="AJ109" s="2067"/>
      <c r="AL109" s="1471"/>
    </row>
    <row r="110" spans="1:46" ht="15" customHeight="1">
      <c r="A110" s="2111"/>
      <c r="B110" s="2504" t="s">
        <v>46</v>
      </c>
      <c r="C110" s="2111"/>
      <c r="D110" s="2073"/>
      <c r="F110" s="2073"/>
      <c r="H110" s="1483"/>
      <c r="J110" s="1483"/>
      <c r="L110" s="2073"/>
      <c r="N110" s="2073"/>
      <c r="P110" s="2073"/>
      <c r="R110" s="2073"/>
      <c r="T110" s="2062"/>
      <c r="V110" s="2073"/>
      <c r="X110" s="2073"/>
      <c r="Z110" s="2062"/>
      <c r="AA110" s="2062"/>
      <c r="AB110" s="2062"/>
      <c r="AC110" s="2106"/>
      <c r="AD110" s="2062"/>
      <c r="AE110" s="2062"/>
      <c r="AF110" s="2106"/>
      <c r="AG110" s="2062"/>
      <c r="AH110" s="3677"/>
      <c r="AI110" s="2043"/>
      <c r="AJ110" s="2067"/>
      <c r="AL110" s="1471"/>
    </row>
    <row r="111" spans="1:46" s="2260" customFormat="1" ht="15" customHeight="1">
      <c r="A111" s="2542"/>
      <c r="B111" s="2542" t="s">
        <v>174</v>
      </c>
      <c r="C111" s="2542"/>
      <c r="D111" s="2655">
        <f>+'Exhibit G State'!D111+'Exhibit G Federal'!D83</f>
        <v>308.3</v>
      </c>
      <c r="E111" s="2099"/>
      <c r="F111" s="2655">
        <f>+'Exhibit G State'!F111+'Exhibit G Federal'!F83</f>
        <v>585.29999999999995</v>
      </c>
      <c r="G111" s="2099"/>
      <c r="H111" s="2655">
        <f>+'Exhibit G State'!H111+'Exhibit G Federal'!H83</f>
        <v>566.5</v>
      </c>
      <c r="I111" s="2621"/>
      <c r="J111" s="2655">
        <f>+'Exhibit G State'!J111+'Exhibit G Federal'!J83</f>
        <v>215.40000000000009</v>
      </c>
      <c r="K111" s="2621"/>
      <c r="L111" s="2655"/>
      <c r="M111" s="2621"/>
      <c r="N111" s="2655"/>
      <c r="O111" s="2621"/>
      <c r="P111" s="2655"/>
      <c r="Q111" s="2621"/>
      <c r="R111" s="2655"/>
      <c r="S111" s="2621"/>
      <c r="T111" s="2655"/>
      <c r="U111" s="2621"/>
      <c r="V111" s="2655"/>
      <c r="W111" s="2621"/>
      <c r="X111" s="2655"/>
      <c r="Y111" s="2621"/>
      <c r="Z111" s="2655"/>
      <c r="AA111" s="2190"/>
      <c r="AB111" s="1851">
        <v>-264.5</v>
      </c>
      <c r="AC111" s="2106"/>
      <c r="AD111" s="2062">
        <f>ROUND(SUM(D111:AB111),1)</f>
        <v>1411</v>
      </c>
      <c r="AE111" s="2062"/>
      <c r="AF111" s="2106"/>
      <c r="AG111" s="2099">
        <f>'Exhibit G State'!AG111+'Exhibit G Federal'!AG83-273.7</f>
        <v>1203.3999999999999</v>
      </c>
      <c r="AH111" s="3677"/>
      <c r="AI111" s="2043"/>
      <c r="AJ111" s="2108">
        <f>ROUND(SUM(+AD111-AG111),1)</f>
        <v>207.6</v>
      </c>
      <c r="AK111" s="2640"/>
      <c r="AL111" s="1786">
        <f>ROUND(IF(AG111=0,0,AJ111/ABS(AG111)),3)</f>
        <v>0.17299999999999999</v>
      </c>
    </row>
    <row r="112" spans="1:46" s="2260" customFormat="1" ht="15" customHeight="1">
      <c r="A112" s="2542"/>
      <c r="B112" s="2542" t="s">
        <v>175</v>
      </c>
      <c r="C112" s="2542"/>
      <c r="D112" s="2655">
        <f>+'Exhibit G State'!D112+'Exhibit G Federal'!D84</f>
        <v>-88.5</v>
      </c>
      <c r="E112" s="2099"/>
      <c r="F112" s="2655">
        <f>+'Exhibit G State'!F112+'Exhibit G Federal'!F84</f>
        <v>-304.8</v>
      </c>
      <c r="G112" s="2099"/>
      <c r="H112" s="2655">
        <f>+'Exhibit G State'!H112+'Exhibit G Federal'!H84</f>
        <v>-179.10000000000002</v>
      </c>
      <c r="I112" s="2621"/>
      <c r="J112" s="2655">
        <f>+'Exhibit G State'!J112+'Exhibit G Federal'!J84</f>
        <v>-239.69999999999987</v>
      </c>
      <c r="K112" s="2621"/>
      <c r="L112" s="2655"/>
      <c r="M112" s="2621"/>
      <c r="N112" s="2655"/>
      <c r="O112" s="2621"/>
      <c r="P112" s="2655"/>
      <c r="Q112" s="2621"/>
      <c r="R112" s="2655"/>
      <c r="S112" s="2621"/>
      <c r="T112" s="2655"/>
      <c r="U112" s="2621"/>
      <c r="V112" s="2655"/>
      <c r="W112" s="2621"/>
      <c r="X112" s="2655"/>
      <c r="Y112" s="2621"/>
      <c r="Z112" s="2655"/>
      <c r="AA112" s="2190"/>
      <c r="AB112" s="3625">
        <v>264.5</v>
      </c>
      <c r="AC112" s="2106"/>
      <c r="AD112" s="2062">
        <f>ROUND(SUM(D112:AB112),1)</f>
        <v>-547.6</v>
      </c>
      <c r="AE112" s="2062"/>
      <c r="AF112" s="2106"/>
      <c r="AG112" s="2099">
        <f>'Exhibit G State'!AG112+'Exhibit G Federal'!AG84+273.7</f>
        <v>-282.8</v>
      </c>
      <c r="AH112" s="3677"/>
      <c r="AI112" s="2043"/>
      <c r="AJ112" s="2108">
        <f>ROUND(SUM(+AD112-AG112)*-1,1)</f>
        <v>264.8</v>
      </c>
      <c r="AK112" s="2640"/>
      <c r="AL112" s="1786">
        <f>ROUND(IF(AG112=0,0,AJ112/ABS(AG112)),3)</f>
        <v>0.93600000000000005</v>
      </c>
    </row>
    <row r="113" spans="1:49" ht="15" customHeight="1">
      <c r="A113" s="2111"/>
      <c r="B113" s="2111"/>
      <c r="C113" s="2111"/>
      <c r="D113" s="2072"/>
      <c r="F113" s="2072"/>
      <c r="H113" s="2072"/>
      <c r="J113" s="2072"/>
      <c r="L113" s="2072"/>
      <c r="N113" s="2072"/>
      <c r="P113" s="2072"/>
      <c r="R113" s="2072"/>
      <c r="T113" s="2118"/>
      <c r="V113" s="2072"/>
      <c r="X113" s="2072"/>
      <c r="Z113" s="2118"/>
      <c r="AA113" s="2043"/>
      <c r="AB113" s="2062"/>
      <c r="AC113" s="2106"/>
      <c r="AD113" s="2118"/>
      <c r="AE113" s="2062"/>
      <c r="AF113" s="2106"/>
      <c r="AG113" s="2118"/>
      <c r="AH113" s="3677"/>
      <c r="AI113" s="2043"/>
      <c r="AJ113" s="2650"/>
      <c r="AL113" s="1486"/>
    </row>
    <row r="114" spans="1:49" ht="15" customHeight="1">
      <c r="A114" s="2111"/>
      <c r="B114" s="2504" t="s">
        <v>1200</v>
      </c>
      <c r="C114" s="2111"/>
      <c r="D114" s="1501">
        <f>ROUND(SUM(D111:D112),1)</f>
        <v>219.8</v>
      </c>
      <c r="F114" s="1501">
        <f>ROUND(SUM(F111:F112),1)</f>
        <v>280.5</v>
      </c>
      <c r="H114" s="1501">
        <f>ROUND(SUM(H111:H112),1)</f>
        <v>387.4</v>
      </c>
      <c r="J114" s="1501">
        <f>ROUND(SUM(J111:J112),1)</f>
        <v>-24.3</v>
      </c>
      <c r="L114" s="1501">
        <f>ROUND(SUM(L111:L112),1)</f>
        <v>0</v>
      </c>
      <c r="N114" s="1501">
        <f>ROUND(SUM(N111:N112),1)</f>
        <v>0</v>
      </c>
      <c r="P114" s="1501">
        <f>ROUND(SUM(P111:P112),1)</f>
        <v>0</v>
      </c>
      <c r="R114" s="1501">
        <f>ROUND(SUM(R111:R112),1)</f>
        <v>0</v>
      </c>
      <c r="T114" s="2117">
        <f>ROUND(SUM(T111:T112),1)</f>
        <v>0</v>
      </c>
      <c r="V114" s="1501">
        <f>ROUND(SUM(V111:V112),1)</f>
        <v>0</v>
      </c>
      <c r="X114" s="1501">
        <f>ROUND(SUM(X111:X112),1)</f>
        <v>0</v>
      </c>
      <c r="Z114" s="1501">
        <f>ROUND(SUM(Z111:Z112),1)</f>
        <v>0</v>
      </c>
      <c r="AA114" s="1501"/>
      <c r="AB114" s="2643">
        <f>ROUND(SUM(AB111:AB112),1)</f>
        <v>0</v>
      </c>
      <c r="AC114" s="2107"/>
      <c r="AD114" s="2117">
        <f>ROUND(SUM(AD111:AD112),1)</f>
        <v>863.4</v>
      </c>
      <c r="AE114" s="2117"/>
      <c r="AF114" s="2634"/>
      <c r="AG114" s="2117">
        <f>ROUND(SUM(AG111:AG112),1)</f>
        <v>920.6</v>
      </c>
      <c r="AH114" s="3680"/>
      <c r="AI114" s="1484"/>
      <c r="AJ114" s="2119">
        <f>ROUND(SUM(AD114-AG114),1)</f>
        <v>-57.2</v>
      </c>
      <c r="AK114" s="2120"/>
      <c r="AL114" s="1476">
        <f>ROUND(SUM(+AJ114/AG114),3)</f>
        <v>-6.2E-2</v>
      </c>
    </row>
    <row r="115" spans="1:49" ht="15" customHeight="1">
      <c r="A115" s="2111"/>
      <c r="B115" s="2111"/>
      <c r="C115" s="2111"/>
      <c r="D115" s="2072"/>
      <c r="F115" s="2072"/>
      <c r="H115" s="2072"/>
      <c r="J115" s="2072"/>
      <c r="L115" s="2072"/>
      <c r="N115" s="2072"/>
      <c r="P115" s="2072"/>
      <c r="R115" s="2072"/>
      <c r="T115" s="2118"/>
      <c r="V115" s="2072"/>
      <c r="X115" s="2072"/>
      <c r="Z115" s="2072"/>
      <c r="AA115" s="2074"/>
      <c r="AB115" s="2073"/>
      <c r="AC115" s="2104"/>
      <c r="AD115" s="2118"/>
      <c r="AE115" s="2062"/>
      <c r="AF115" s="2106"/>
      <c r="AG115" s="2118"/>
      <c r="AH115" s="3677"/>
      <c r="AI115" s="2074"/>
      <c r="AJ115" s="1483"/>
      <c r="AL115" s="1471"/>
    </row>
    <row r="116" spans="1:49" ht="15" customHeight="1">
      <c r="A116" s="2111"/>
      <c r="B116" s="2504" t="s">
        <v>166</v>
      </c>
      <c r="C116" s="2111"/>
      <c r="D116" s="2073"/>
      <c r="F116" s="2073"/>
      <c r="H116" s="2073"/>
      <c r="J116" s="2073"/>
      <c r="L116" s="2073"/>
      <c r="N116" s="2073"/>
      <c r="P116" s="2073"/>
      <c r="R116" s="2073"/>
      <c r="T116" s="2062"/>
      <c r="V116" s="2073"/>
      <c r="X116" s="2073"/>
      <c r="Z116" s="2073"/>
      <c r="AA116" s="2073"/>
      <c r="AB116" s="2073"/>
      <c r="AC116" s="2104"/>
      <c r="AD116" s="2062"/>
      <c r="AE116" s="2062"/>
      <c r="AF116" s="2106"/>
      <c r="AG116" s="2062"/>
      <c r="AH116" s="3677"/>
      <c r="AI116" s="2074"/>
      <c r="AJ116" s="1483"/>
      <c r="AL116" s="1471"/>
    </row>
    <row r="117" spans="1:49" ht="15" customHeight="1">
      <c r="A117" s="2111"/>
      <c r="B117" s="2504" t="s">
        <v>167</v>
      </c>
      <c r="C117" s="2111"/>
      <c r="D117" s="2073"/>
      <c r="F117" s="2073"/>
      <c r="H117" s="2073"/>
      <c r="J117" s="2073"/>
      <c r="L117" s="2073"/>
      <c r="N117" s="2073"/>
      <c r="P117" s="2073"/>
      <c r="R117" s="2073"/>
      <c r="T117" s="2062"/>
      <c r="V117" s="2073"/>
      <c r="X117" s="2073"/>
      <c r="Z117" s="2073"/>
      <c r="AA117" s="2073"/>
      <c r="AB117" s="2073"/>
      <c r="AC117" s="2104"/>
      <c r="AD117" s="2062"/>
      <c r="AE117" s="2062"/>
      <c r="AF117" s="2106"/>
      <c r="AG117" s="2062"/>
      <c r="AH117" s="3677"/>
      <c r="AI117" s="2074"/>
      <c r="AJ117" s="1483"/>
      <c r="AL117" s="1471"/>
    </row>
    <row r="118" spans="1:49" ht="15" customHeight="1">
      <c r="A118" s="2111"/>
      <c r="B118" s="2504" t="s">
        <v>1201</v>
      </c>
      <c r="C118" s="2111"/>
      <c r="D118" s="1501">
        <f>ROUND(SUM(D108+D114),1)</f>
        <v>3160</v>
      </c>
      <c r="F118" s="1501">
        <f>ROUND(SUM(F108+F114),1)</f>
        <v>-733.5</v>
      </c>
      <c r="H118" s="1501">
        <f>ROUND(SUM(H108+H114),1)</f>
        <v>1717.7</v>
      </c>
      <c r="J118" s="1501">
        <f>ROUND(SUM(J108+J114),1)</f>
        <v>-1106</v>
      </c>
      <c r="L118" s="1501">
        <f>ROUND(SUM(L108+L114),1)</f>
        <v>0</v>
      </c>
      <c r="N118" s="1501">
        <f>ROUND(SUM(N108+N114),1)</f>
        <v>0</v>
      </c>
      <c r="P118" s="1501">
        <f>ROUND(SUM(P108+P114),1)</f>
        <v>0</v>
      </c>
      <c r="R118" s="1501">
        <f>ROUND(SUM(R108+R114),1)</f>
        <v>0</v>
      </c>
      <c r="T118" s="2117">
        <f>ROUND(SUM(T108+T114),1)</f>
        <v>0</v>
      </c>
      <c r="V118" s="1501">
        <f>ROUND(SUM(V108+V114),1)</f>
        <v>0</v>
      </c>
      <c r="X118" s="1501">
        <f>ROUND(SUM(X108+X114),1)</f>
        <v>0</v>
      </c>
      <c r="Z118" s="1501">
        <f>ROUND(SUM(Z108+Z114),1)</f>
        <v>0</v>
      </c>
      <c r="AA118" s="1501"/>
      <c r="AB118" s="2643">
        <f>ROUND(SUM(AB108+AB114),1)</f>
        <v>0</v>
      </c>
      <c r="AC118" s="2107"/>
      <c r="AD118" s="2117">
        <f>ROUND(SUM(AD108+AD114),1)</f>
        <v>3038.2</v>
      </c>
      <c r="AE118" s="2117"/>
      <c r="AF118" s="2634"/>
      <c r="AG118" s="2117">
        <f>ROUND(SUM(AG108+AG114),1)</f>
        <v>2481.3000000000002</v>
      </c>
      <c r="AH118" s="3680"/>
      <c r="AI118" s="1484"/>
      <c r="AJ118" s="2119">
        <f>ROUND(SUM(AD118-AG118),1)</f>
        <v>556.9</v>
      </c>
      <c r="AK118" s="2505"/>
      <c r="AL118" s="1922">
        <f>ROUND(SUM(AJ118/ABS(AG118)),3)</f>
        <v>0.224</v>
      </c>
    </row>
    <row r="119" spans="1:49" ht="15" customHeight="1">
      <c r="A119" s="2111"/>
      <c r="B119" s="2111"/>
      <c r="C119" s="2111"/>
      <c r="D119" s="2525"/>
      <c r="F119" s="2525"/>
      <c r="H119" s="2525"/>
      <c r="J119" s="2525"/>
      <c r="L119" s="2525"/>
      <c r="N119" s="2525"/>
      <c r="P119" s="2525"/>
      <c r="R119" s="2525"/>
      <c r="T119" s="3200"/>
      <c r="V119" s="2525"/>
      <c r="X119" s="2525"/>
      <c r="Z119" s="2525"/>
      <c r="AA119" s="2088"/>
      <c r="AC119" s="2619"/>
      <c r="AD119" s="3200"/>
      <c r="AF119" s="3649"/>
      <c r="AG119" s="3200"/>
      <c r="AH119" s="3676"/>
      <c r="AI119" s="2088"/>
      <c r="AJ119" s="1473"/>
      <c r="AL119" s="1471"/>
    </row>
    <row r="120" spans="1:49" ht="15" customHeight="1" thickBot="1">
      <c r="A120" s="2111"/>
      <c r="B120" s="2504" t="s">
        <v>1202</v>
      </c>
      <c r="C120" s="2111"/>
      <c r="D120" s="2532">
        <f>ROUND(SUM(D13+D118),1)</f>
        <v>7002.4</v>
      </c>
      <c r="F120" s="2532">
        <f>ROUND(SUM(F13+F118),1)</f>
        <v>6268.9</v>
      </c>
      <c r="H120" s="2532">
        <f>ROUND(SUM(H13+H118),1)</f>
        <v>7986.6</v>
      </c>
      <c r="J120" s="2532">
        <f>ROUND(SUM(J13+J118),1)</f>
        <v>6880.6</v>
      </c>
      <c r="L120" s="2532">
        <f>ROUND(SUM(L13+L118),1)</f>
        <v>0</v>
      </c>
      <c r="N120" s="2532">
        <f>ROUND(SUM(N13+N118),1)</f>
        <v>0</v>
      </c>
      <c r="P120" s="2532">
        <f>ROUND(SUM(P13+P118),1)</f>
        <v>0</v>
      </c>
      <c r="R120" s="2532">
        <f>ROUND(SUM(R13+R118),1)</f>
        <v>0</v>
      </c>
      <c r="T120" s="2096">
        <f>ROUND(SUM(T13+T118),1)</f>
        <v>0</v>
      </c>
      <c r="V120" s="2532">
        <f>ROUND(SUM(V13+V118),1)</f>
        <v>0</v>
      </c>
      <c r="X120" s="2532">
        <f>ROUND(SUM(X13+X118),1)</f>
        <v>0</v>
      </c>
      <c r="Z120" s="2532">
        <f>ROUND(SUM(Z13+Z118),1)</f>
        <v>0</v>
      </c>
      <c r="AA120" s="2532"/>
      <c r="AB120" s="2656">
        <f>ROUND(SUM(AB13+AB118),1)</f>
        <v>0</v>
      </c>
      <c r="AC120" s="2616"/>
      <c r="AD120" s="2096">
        <f>ROUND(SUM(AD13+AD118),1)</f>
        <v>6880.6</v>
      </c>
      <c r="AE120" s="2096"/>
      <c r="AF120" s="3648"/>
      <c r="AG120" s="2591">
        <f>ROUND(SUM(AG13+AG118),1)</f>
        <v>6783.4</v>
      </c>
      <c r="AH120" s="3675"/>
      <c r="AI120" s="2086"/>
      <c r="AJ120" s="2595">
        <f>ROUND(SUM(AD120-AG120),1)</f>
        <v>97.2</v>
      </c>
      <c r="AK120" s="2594"/>
      <c r="AL120" s="2596">
        <f>ROUND(SUM(+AJ120/AG120),3)</f>
        <v>1.4E-2</v>
      </c>
      <c r="AM120" s="2091"/>
      <c r="AN120" s="2091"/>
      <c r="AO120" s="2091"/>
      <c r="AP120" s="2091"/>
      <c r="AQ120" s="2091"/>
      <c r="AR120" s="2091"/>
      <c r="AS120" s="2091"/>
      <c r="AT120" s="2091"/>
      <c r="AU120" s="2091"/>
      <c r="AV120" s="2091"/>
      <c r="AW120" s="2091"/>
    </row>
    <row r="121" spans="1:49" ht="15" customHeight="1" thickTop="1">
      <c r="A121" s="2111"/>
      <c r="B121" s="2111"/>
      <c r="C121" s="2111"/>
      <c r="D121" s="2657"/>
      <c r="F121" s="2657"/>
      <c r="H121" s="2657"/>
      <c r="J121" s="2657"/>
      <c r="L121" s="2657"/>
      <c r="N121" s="2657"/>
      <c r="P121" s="2657"/>
      <c r="R121" s="2657"/>
      <c r="T121" s="3201"/>
      <c r="V121" s="2657"/>
      <c r="X121" s="2657"/>
      <c r="Z121" s="2657"/>
      <c r="AA121" s="2658"/>
      <c r="AB121" s="2091"/>
      <c r="AC121" s="2091"/>
      <c r="AD121" s="3201"/>
      <c r="AE121" s="2266"/>
      <c r="AF121" s="2266"/>
      <c r="AG121" s="3202"/>
      <c r="AH121" s="3202"/>
      <c r="AI121" s="2091"/>
      <c r="AJ121" s="2659"/>
      <c r="AK121" s="2091"/>
      <c r="AL121" s="1471"/>
      <c r="AM121" s="2091"/>
      <c r="AN121" s="2091"/>
      <c r="AO121" s="2091"/>
      <c r="AP121" s="2091"/>
      <c r="AQ121" s="2091"/>
      <c r="AR121" s="2091"/>
      <c r="AS121" s="2091"/>
      <c r="AT121" s="2091"/>
      <c r="AU121" s="2091"/>
      <c r="AV121" s="2091"/>
      <c r="AW121" s="2091"/>
    </row>
    <row r="122" spans="1:49" ht="15" customHeight="1">
      <c r="A122" s="2111"/>
      <c r="B122" s="2111"/>
      <c r="C122" s="2111"/>
      <c r="D122" s="2658"/>
      <c r="F122" s="2658"/>
      <c r="H122" s="2658"/>
      <c r="J122" s="2658"/>
      <c r="L122" s="2658"/>
      <c r="N122" s="2658"/>
      <c r="P122" s="2658"/>
      <c r="R122" s="2658"/>
      <c r="T122" s="3202"/>
      <c r="V122" s="2658"/>
      <c r="X122" s="2658"/>
      <c r="Z122" s="2658"/>
      <c r="AA122" s="2658"/>
      <c r="AB122" s="2658"/>
      <c r="AC122" s="2658"/>
      <c r="AD122" s="3202"/>
      <c r="AE122" s="3202"/>
      <c r="AF122" s="3202"/>
      <c r="AG122" s="3202"/>
      <c r="AH122" s="3202"/>
      <c r="AI122" s="2091"/>
      <c r="AJ122" s="2659"/>
      <c r="AK122" s="2091"/>
      <c r="AL122" s="1471"/>
      <c r="AM122" s="2091"/>
      <c r="AN122" s="2091"/>
      <c r="AO122" s="2091"/>
      <c r="AP122" s="2091"/>
      <c r="AQ122" s="2091"/>
      <c r="AR122" s="2091"/>
      <c r="AS122" s="2091"/>
      <c r="AT122" s="2091"/>
      <c r="AU122" s="2091"/>
      <c r="AV122" s="2091"/>
      <c r="AW122" s="2091"/>
    </row>
    <row r="123" spans="1:49" ht="15" customHeight="1">
      <c r="A123" s="2605"/>
      <c r="B123" s="1473" t="s">
        <v>1291</v>
      </c>
      <c r="D123" s="2091"/>
      <c r="F123" s="2091"/>
      <c r="H123" s="2091"/>
      <c r="J123" s="2091"/>
      <c r="L123" s="2091"/>
      <c r="N123" s="2091"/>
      <c r="P123" s="2091"/>
      <c r="R123" s="2091"/>
      <c r="T123" s="2266"/>
      <c r="V123" s="2091"/>
      <c r="X123" s="2091"/>
      <c r="Z123" s="2091"/>
      <c r="AA123" s="2091"/>
      <c r="AB123" s="2091"/>
      <c r="AC123" s="2091"/>
      <c r="AD123" s="2266"/>
      <c r="AE123" s="2266"/>
      <c r="AF123" s="2266"/>
      <c r="AG123" s="2266"/>
      <c r="AH123" s="2266"/>
      <c r="AI123" s="2091"/>
      <c r="AJ123" s="2659"/>
      <c r="AK123" s="2091"/>
      <c r="AL123" s="1471"/>
      <c r="AM123" s="2091"/>
      <c r="AN123" s="2091"/>
      <c r="AO123" s="2091"/>
      <c r="AP123" s="2091"/>
      <c r="AQ123" s="2091"/>
      <c r="AR123" s="2091"/>
      <c r="AS123" s="2091"/>
      <c r="AT123" s="2091"/>
      <c r="AU123" s="2091"/>
      <c r="AV123" s="2091"/>
      <c r="AW123" s="2091"/>
    </row>
    <row r="124" spans="1:49" ht="15" customHeight="1">
      <c r="D124" s="2091"/>
      <c r="F124" s="2091"/>
      <c r="H124" s="2091"/>
      <c r="J124" s="2091"/>
      <c r="L124" s="2091"/>
      <c r="N124" s="2091"/>
      <c r="P124" s="2091"/>
      <c r="R124" s="2091"/>
      <c r="T124" s="2266"/>
      <c r="V124" s="2091"/>
      <c r="X124" s="2091"/>
      <c r="Z124" s="2091"/>
      <c r="AA124" s="2091"/>
      <c r="AB124" s="2091"/>
      <c r="AC124" s="2091"/>
      <c r="AD124" s="2266"/>
      <c r="AE124" s="2266"/>
      <c r="AF124" s="2266"/>
      <c r="AG124" s="2266"/>
      <c r="AH124" s="2266"/>
      <c r="AI124" s="2091"/>
      <c r="AJ124" s="2659"/>
      <c r="AK124" s="2091"/>
      <c r="AL124" s="1471"/>
      <c r="AM124" s="2091"/>
      <c r="AN124" s="2091"/>
      <c r="AO124" s="2091"/>
      <c r="AP124" s="2091"/>
      <c r="AQ124" s="2091"/>
      <c r="AR124" s="2091"/>
      <c r="AS124" s="2091"/>
      <c r="AT124" s="2091"/>
      <c r="AU124" s="2091"/>
      <c r="AV124" s="2091"/>
      <c r="AW124" s="2091"/>
    </row>
    <row r="125" spans="1:49" ht="15" customHeight="1">
      <c r="AJ125" s="1473"/>
      <c r="AL125" s="1471"/>
    </row>
    <row r="126" spans="1:49" ht="15" customHeight="1">
      <c r="AJ126" s="1473"/>
      <c r="AL126" s="1471"/>
    </row>
    <row r="127" spans="1:49" ht="15" customHeight="1">
      <c r="AJ127" s="1473"/>
      <c r="AL127" s="1471"/>
    </row>
    <row r="128" spans="1:49" ht="15" customHeight="1">
      <c r="AJ128" s="1473"/>
      <c r="AL128" s="1471"/>
    </row>
    <row r="129" spans="36:38" ht="15" customHeight="1">
      <c r="AJ129" s="1473"/>
      <c r="AL129" s="1471"/>
    </row>
    <row r="130" spans="36:38" ht="15" customHeight="1">
      <c r="AJ130" s="1473"/>
      <c r="AL130" s="1471"/>
    </row>
    <row r="131" spans="36:38" ht="15" customHeight="1">
      <c r="AJ131" s="1473"/>
      <c r="AL131" s="1471"/>
    </row>
    <row r="132" spans="36:38" ht="15" customHeight="1">
      <c r="AJ132" s="1473"/>
      <c r="AL132" s="1471"/>
    </row>
    <row r="133" spans="36:38" ht="15" customHeight="1">
      <c r="AJ133" s="1473"/>
      <c r="AL133" s="1471"/>
    </row>
    <row r="134" spans="36:38" ht="15" customHeight="1">
      <c r="AJ134" s="1473"/>
      <c r="AL134" s="1471"/>
    </row>
    <row r="135" spans="36:38" ht="15" customHeight="1">
      <c r="AJ135" s="1473"/>
      <c r="AL135" s="1471"/>
    </row>
    <row r="136" spans="36:38" ht="15" customHeight="1">
      <c r="AJ136" s="1473"/>
      <c r="AL136" s="1471"/>
    </row>
    <row r="137" spans="36:38" ht="15" customHeight="1">
      <c r="AJ137" s="1473"/>
      <c r="AL137" s="1471"/>
    </row>
    <row r="138" spans="36:38" ht="15" customHeight="1">
      <c r="AJ138" s="1473"/>
      <c r="AL138" s="1471"/>
    </row>
    <row r="139" spans="36:38" ht="15" customHeight="1">
      <c r="AJ139" s="1473"/>
      <c r="AL139" s="1471"/>
    </row>
    <row r="140" spans="36:38" ht="15" customHeight="1">
      <c r="AJ140" s="1473"/>
      <c r="AL140" s="1471"/>
    </row>
    <row r="141" spans="36:38" ht="15" customHeight="1">
      <c r="AJ141" s="1473"/>
      <c r="AL141" s="1471"/>
    </row>
    <row r="142" spans="36:38" ht="15" customHeight="1">
      <c r="AJ142" s="1473"/>
      <c r="AL142" s="1471"/>
    </row>
    <row r="143" spans="36:38" ht="15" customHeight="1">
      <c r="AJ143" s="1473"/>
      <c r="AL143" s="1471"/>
    </row>
    <row r="144" spans="36:38" ht="15" customHeight="1">
      <c r="AJ144" s="1473"/>
      <c r="AL144" s="1471"/>
    </row>
    <row r="145" spans="36:38" ht="15" customHeight="1">
      <c r="AJ145" s="1473"/>
      <c r="AL145" s="1471"/>
    </row>
    <row r="146" spans="36:38" ht="15" customHeight="1">
      <c r="AJ146" s="1473"/>
      <c r="AL146" s="1471"/>
    </row>
    <row r="147" spans="36:38" ht="15" customHeight="1">
      <c r="AJ147" s="1473"/>
      <c r="AL147" s="1471"/>
    </row>
    <row r="148" spans="36:38" ht="15" customHeight="1">
      <c r="AJ148" s="1473"/>
      <c r="AL148" s="1471"/>
    </row>
    <row r="149" spans="36:38" ht="15" customHeight="1">
      <c r="AJ149" s="1473"/>
      <c r="AL149" s="1471"/>
    </row>
    <row r="150" spans="36:38" ht="15" customHeight="1">
      <c r="AJ150" s="1473"/>
      <c r="AL150" s="1471"/>
    </row>
    <row r="151" spans="36:38" ht="15" customHeight="1">
      <c r="AJ151" s="1473"/>
      <c r="AL151" s="1471"/>
    </row>
    <row r="152" spans="36:38" ht="15" customHeight="1">
      <c r="AJ152" s="1473"/>
      <c r="AL152" s="1471"/>
    </row>
    <row r="153" spans="36:38" ht="15" customHeight="1">
      <c r="AJ153" s="1473"/>
      <c r="AL153" s="1471"/>
    </row>
    <row r="154" spans="36:38" ht="15" customHeight="1">
      <c r="AJ154" s="1473"/>
      <c r="AL154" s="1471"/>
    </row>
    <row r="155" spans="36:38" ht="15" customHeight="1">
      <c r="AJ155" s="1473"/>
      <c r="AL155" s="1471"/>
    </row>
    <row r="156" spans="36:38" ht="15" customHeight="1">
      <c r="AJ156" s="1473"/>
      <c r="AL156" s="1471"/>
    </row>
    <row r="157" spans="36:38" ht="15" customHeight="1">
      <c r="AJ157" s="1473"/>
      <c r="AL157" s="1471"/>
    </row>
    <row r="158" spans="36:38" ht="15" customHeight="1">
      <c r="AJ158" s="1473"/>
      <c r="AL158" s="1471"/>
    </row>
    <row r="159" spans="36:38" ht="15" customHeight="1">
      <c r="AJ159" s="1473"/>
      <c r="AL159" s="1471"/>
    </row>
    <row r="160" spans="36:38" ht="15" customHeight="1">
      <c r="AJ160" s="1473"/>
      <c r="AL160" s="1471"/>
    </row>
    <row r="161" spans="36:38" ht="15" customHeight="1">
      <c r="AJ161" s="1473"/>
      <c r="AL161" s="1471"/>
    </row>
    <row r="162" spans="36:38" ht="15" customHeight="1">
      <c r="AJ162" s="1473"/>
      <c r="AL162" s="1471"/>
    </row>
    <row r="163" spans="36:38" ht="15" customHeight="1">
      <c r="AJ163" s="1473"/>
      <c r="AL163" s="1471"/>
    </row>
    <row r="164" spans="36:38" ht="15" customHeight="1">
      <c r="AJ164" s="1473"/>
      <c r="AL164" s="1471"/>
    </row>
    <row r="165" spans="36:38" ht="15" customHeight="1">
      <c r="AJ165" s="1473"/>
      <c r="AL165" s="1471"/>
    </row>
    <row r="166" spans="36:38" ht="15" customHeight="1">
      <c r="AJ166" s="1473"/>
      <c r="AL166" s="1471"/>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L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10.6640625" style="247" bestFit="1" customWidth="1"/>
    <col min="27" max="27" width="1.21875" style="247" customWidth="1"/>
    <col min="28" max="29" width="1.77734375" style="247" customWidth="1"/>
    <col min="30" max="30" width="11.77734375" style="906" customWidth="1"/>
    <col min="31" max="32" width="1.44140625" style="906" customWidth="1"/>
    <col min="33" max="33" width="12.77734375" style="906"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7" t="s">
        <v>980</v>
      </c>
    </row>
    <row r="2" spans="1:40" ht="15.75">
      <c r="A2" s="246"/>
      <c r="M2" s="29"/>
      <c r="N2" s="29"/>
      <c r="O2" s="265"/>
    </row>
    <row r="3" spans="1:40" ht="20.25" customHeight="1">
      <c r="A3" s="246"/>
      <c r="B3" s="249" t="s">
        <v>0</v>
      </c>
      <c r="M3" s="29"/>
      <c r="N3" s="29"/>
      <c r="O3" s="265"/>
      <c r="AF3" s="3646"/>
      <c r="AG3" s="3647"/>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1" t="str">
        <f>'Cashflow Governmental'!A6</f>
        <v>FISCAL YEAR 2019-2020</v>
      </c>
      <c r="L6" s="265"/>
      <c r="M6" s="265"/>
      <c r="O6" s="265"/>
      <c r="AL6" s="270"/>
    </row>
    <row r="7" spans="1:40" ht="18">
      <c r="A7" s="246"/>
      <c r="B7" s="249" t="s">
        <v>1436</v>
      </c>
      <c r="AI7" s="150"/>
      <c r="AJ7" s="150"/>
      <c r="AK7" s="150"/>
      <c r="AL7" s="150"/>
    </row>
    <row r="8" spans="1:40" ht="13.5" customHeight="1">
      <c r="A8" s="246"/>
      <c r="D8" s="2210"/>
      <c r="L8" s="265"/>
      <c r="M8" s="265"/>
      <c r="N8" s="265"/>
      <c r="O8" s="265"/>
      <c r="AC8" s="150"/>
      <c r="AD8" s="3314"/>
      <c r="AE8" s="3314"/>
      <c r="AF8" s="1090"/>
      <c r="AG8" s="1090"/>
      <c r="AH8" s="150"/>
      <c r="AI8" s="265"/>
      <c r="AJ8" s="265"/>
      <c r="AK8" s="265"/>
      <c r="AL8" s="265"/>
    </row>
    <row r="9" spans="1:40" ht="20.25" customHeight="1">
      <c r="A9" s="246"/>
      <c r="L9" s="265"/>
      <c r="M9" s="265"/>
      <c r="N9" s="265"/>
      <c r="O9" s="265"/>
      <c r="AC9" s="3809" t="str">
        <f>'Exhibit G'!AC9:AL9</f>
        <v>4 Months Ended July 31</v>
      </c>
      <c r="AD9" s="3809"/>
      <c r="AE9" s="3809"/>
      <c r="AF9" s="3809"/>
      <c r="AG9" s="3809"/>
      <c r="AH9" s="3809"/>
      <c r="AI9" s="3809"/>
      <c r="AJ9" s="3809"/>
      <c r="AK9" s="3809"/>
      <c r="AL9" s="3809"/>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15"/>
      <c r="AE10" s="3315"/>
      <c r="AF10" s="3315"/>
      <c r="AG10" s="3315"/>
      <c r="AH10" s="210"/>
      <c r="AI10" s="209"/>
      <c r="AJ10" s="767" t="s">
        <v>8</v>
      </c>
      <c r="AK10" s="767"/>
      <c r="AL10" s="767" t="s">
        <v>9</v>
      </c>
      <c r="AM10" s="770"/>
      <c r="AN10" s="770"/>
    </row>
    <row r="11" spans="1:40" ht="15.75">
      <c r="A11" s="246"/>
      <c r="B11" s="30"/>
      <c r="C11" s="30"/>
      <c r="D11" s="1077" t="s">
        <v>125</v>
      </c>
      <c r="E11" s="29"/>
      <c r="F11" s="1077" t="s">
        <v>126</v>
      </c>
      <c r="G11" s="29"/>
      <c r="H11" s="1077" t="s">
        <v>127</v>
      </c>
      <c r="I11" s="29"/>
      <c r="J11" s="1077" t="s">
        <v>128</v>
      </c>
      <c r="K11" s="29"/>
      <c r="L11" s="1077" t="s">
        <v>129</v>
      </c>
      <c r="M11" s="29"/>
      <c r="N11" s="1077" t="s">
        <v>144</v>
      </c>
      <c r="O11" s="29"/>
      <c r="P11" s="1077" t="s">
        <v>145</v>
      </c>
      <c r="Q11" s="29"/>
      <c r="R11" s="1077" t="s">
        <v>132</v>
      </c>
      <c r="S11" s="29"/>
      <c r="T11" s="1077" t="s">
        <v>133</v>
      </c>
      <c r="U11" s="29"/>
      <c r="V11" s="1077" t="s">
        <v>134</v>
      </c>
      <c r="W11" s="29"/>
      <c r="X11" s="1077" t="s">
        <v>135</v>
      </c>
      <c r="Y11" s="29"/>
      <c r="Z11" s="1077" t="s">
        <v>186</v>
      </c>
      <c r="AA11" s="771"/>
      <c r="AB11" s="29"/>
      <c r="AC11" s="29"/>
      <c r="AD11" s="3316" t="str">
        <f>'Cashflow Governmental'!AB14</f>
        <v>2019</v>
      </c>
      <c r="AE11" s="758"/>
      <c r="AF11" s="757" t="s">
        <v>15</v>
      </c>
      <c r="AG11" s="3316" t="str">
        <f>'Cashflow Governmental'!AE14</f>
        <v>2018</v>
      </c>
      <c r="AH11" s="753"/>
      <c r="AI11" s="209"/>
      <c r="AJ11" s="1083" t="s">
        <v>12</v>
      </c>
      <c r="AK11" s="766"/>
      <c r="AL11" s="1083"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317"/>
      <c r="AE12" s="758"/>
      <c r="AF12" s="757"/>
      <c r="AG12" s="3317"/>
      <c r="AH12" s="753"/>
      <c r="AI12" s="209"/>
      <c r="AJ12" s="766"/>
      <c r="AK12" s="766"/>
      <c r="AL12" s="766"/>
      <c r="AM12" s="770"/>
      <c r="AN12" s="770"/>
    </row>
    <row r="13" spans="1:40" s="1082" customFormat="1" ht="15.75">
      <c r="A13" s="1080"/>
      <c r="B13" s="1915" t="s">
        <v>1282</v>
      </c>
      <c r="C13" s="37"/>
      <c r="D13" s="308">
        <v>5090.8</v>
      </c>
      <c r="E13" s="254"/>
      <c r="F13" s="1918">
        <f>D120</f>
        <v>6434.7</v>
      </c>
      <c r="G13" s="254"/>
      <c r="H13" s="1918">
        <f>F120</f>
        <v>6338.1</v>
      </c>
      <c r="I13" s="254"/>
      <c r="J13" s="1918">
        <f>H120</f>
        <v>7095.2</v>
      </c>
      <c r="K13" s="254"/>
      <c r="L13" s="1918"/>
      <c r="M13" s="254"/>
      <c r="N13" s="1918"/>
      <c r="O13" s="254"/>
      <c r="P13" s="1918"/>
      <c r="Q13" s="254"/>
      <c r="R13" s="1918"/>
      <c r="S13" s="254"/>
      <c r="T13" s="1918"/>
      <c r="U13" s="254"/>
      <c r="V13" s="1918"/>
      <c r="W13" s="254"/>
      <c r="X13" s="1918"/>
      <c r="Y13" s="254"/>
      <c r="Z13" s="1918"/>
      <c r="AA13" s="771"/>
      <c r="AB13" s="254"/>
      <c r="AC13" s="2208"/>
      <c r="AD13" s="3318">
        <f>D13</f>
        <v>5090.8</v>
      </c>
      <c r="AE13" s="3317"/>
      <c r="AF13" s="3321"/>
      <c r="AG13" s="139">
        <v>4008.5</v>
      </c>
      <c r="AH13" s="753"/>
      <c r="AI13" s="272"/>
      <c r="AJ13" s="1916">
        <f>ROUND(SUM(+AD13-AG13),1)</f>
        <v>1082.3</v>
      </c>
      <c r="AK13" s="112"/>
      <c r="AL13" s="1919">
        <f>ROUND(IF(AG13=0,1,AJ13/ABS(AG13)),3)</f>
        <v>0.27</v>
      </c>
      <c r="AM13" s="1081"/>
      <c r="AN13" s="1081"/>
    </row>
    <row r="14" spans="1:40" s="1082" customFormat="1" ht="15.75">
      <c r="A14" s="1080"/>
      <c r="B14" s="1915"/>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208"/>
      <c r="AD14" s="3317"/>
      <c r="AE14" s="3317"/>
      <c r="AF14" s="3321"/>
      <c r="AG14" s="3317"/>
      <c r="AH14" s="753"/>
      <c r="AI14" s="272"/>
      <c r="AJ14" s="766"/>
      <c r="AK14" s="766"/>
      <c r="AL14" s="766"/>
      <c r="AM14" s="1081"/>
      <c r="AN14" s="108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9"/>
      <c r="AD15" s="1111"/>
      <c r="AE15" s="106"/>
      <c r="AF15" s="3322"/>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1"/>
      <c r="AE16" s="106"/>
      <c r="AF16" s="3323"/>
      <c r="AG16" s="106"/>
      <c r="AH16" s="275"/>
      <c r="AI16" s="37"/>
      <c r="AJ16" s="30"/>
      <c r="AK16" s="30"/>
      <c r="AL16" s="30"/>
    </row>
    <row r="17" spans="1:38" s="1889" customFormat="1" ht="15" customHeight="1">
      <c r="A17" s="1886"/>
      <c r="B17" s="1224" t="s">
        <v>1101</v>
      </c>
      <c r="C17" s="105"/>
      <c r="D17" s="915">
        <v>0</v>
      </c>
      <c r="E17" s="1578"/>
      <c r="F17" s="915">
        <v>0</v>
      </c>
      <c r="G17" s="1578"/>
      <c r="H17" s="915">
        <v>0</v>
      </c>
      <c r="I17" s="1578"/>
      <c r="J17" s="915">
        <f>$AD17-$D17-$F17-$H17</f>
        <v>0</v>
      </c>
      <c r="K17" s="1584"/>
      <c r="L17" s="915"/>
      <c r="M17" s="1858"/>
      <c r="N17" s="915"/>
      <c r="O17" s="1858"/>
      <c r="P17" s="1851"/>
      <c r="Q17" s="2054"/>
      <c r="R17" s="1851"/>
      <c r="S17" s="2054"/>
      <c r="T17" s="1851"/>
      <c r="U17" s="2054"/>
      <c r="V17" s="1851"/>
      <c r="W17" s="2054"/>
      <c r="X17" s="1851"/>
      <c r="Y17" s="2054"/>
      <c r="Z17" s="1851"/>
      <c r="AA17" s="2055"/>
      <c r="AB17" s="2093"/>
      <c r="AC17" s="2094"/>
      <c r="AD17" s="1851">
        <v>0</v>
      </c>
      <c r="AE17" s="2095"/>
      <c r="AF17" s="3324"/>
      <c r="AG17" s="1851">
        <v>0</v>
      </c>
      <c r="AH17" s="1887"/>
      <c r="AI17" s="1034"/>
      <c r="AJ17" s="914">
        <f>ROUND(SUM(+AD17-AG17),1)</f>
        <v>0</v>
      </c>
      <c r="AK17" s="914"/>
      <c r="AL17" s="1880">
        <f>ROUND(IF(AG17=0,0,AJ17/ABS(AG17)),3)</f>
        <v>0</v>
      </c>
    </row>
    <row r="18" spans="1:38" s="1889" customFormat="1" ht="6" customHeight="1">
      <c r="A18" s="1886"/>
      <c r="B18" s="1224"/>
      <c r="C18" s="105"/>
      <c r="D18" s="915" t="s">
        <v>15</v>
      </c>
      <c r="E18" s="94"/>
      <c r="F18" s="915"/>
      <c r="G18" s="94"/>
      <c r="H18" s="915"/>
      <c r="I18" s="94"/>
      <c r="J18" s="915"/>
      <c r="K18" s="135"/>
      <c r="L18" s="1710"/>
      <c r="M18" s="135"/>
      <c r="N18" s="1710"/>
      <c r="O18" s="135"/>
      <c r="P18" s="1851"/>
      <c r="Q18" s="2096"/>
      <c r="R18" s="1851"/>
      <c r="S18" s="2096"/>
      <c r="T18" s="2097"/>
      <c r="U18" s="2096"/>
      <c r="V18" s="1851"/>
      <c r="W18" s="2096"/>
      <c r="X18" s="1851"/>
      <c r="Y18" s="2096"/>
      <c r="Z18" s="1851"/>
      <c r="AA18" s="2097"/>
      <c r="AB18" s="2096"/>
      <c r="AC18" s="2098"/>
      <c r="AD18" s="2096"/>
      <c r="AE18" s="2095"/>
      <c r="AF18" s="3325"/>
      <c r="AG18" s="2096"/>
      <c r="AH18" s="1887"/>
      <c r="AI18" s="1034"/>
      <c r="AJ18" s="135"/>
      <c r="AK18" s="112"/>
      <c r="AL18" s="1888"/>
    </row>
    <row r="19" spans="1:38" s="906" customFormat="1" ht="15" customHeight="1">
      <c r="A19" s="1090"/>
      <c r="B19" s="1224" t="s">
        <v>1162</v>
      </c>
      <c r="C19" s="107"/>
      <c r="D19" s="915" t="s">
        <v>15</v>
      </c>
      <c r="E19" s="1578"/>
      <c r="F19" s="915"/>
      <c r="G19" s="1578"/>
      <c r="H19" s="915"/>
      <c r="I19" s="1578"/>
      <c r="J19" s="915"/>
      <c r="K19" s="118"/>
      <c r="L19" s="1710"/>
      <c r="M19" s="118"/>
      <c r="N19" s="1710"/>
      <c r="O19" s="118"/>
      <c r="P19" s="1851"/>
      <c r="Q19" s="2062"/>
      <c r="R19" s="1851"/>
      <c r="S19" s="2062"/>
      <c r="T19" s="2062"/>
      <c r="U19" s="2062"/>
      <c r="V19" s="1851"/>
      <c r="W19" s="2062"/>
      <c r="X19" s="1851"/>
      <c r="Y19" s="2062"/>
      <c r="Z19" s="1851"/>
      <c r="AA19" s="2062"/>
      <c r="AB19" s="2062"/>
      <c r="AC19" s="2064"/>
      <c r="AD19" s="2062"/>
      <c r="AE19" s="2062"/>
      <c r="AF19" s="3326"/>
      <c r="AG19" s="2062"/>
      <c r="AH19" s="1093"/>
      <c r="AI19" s="67"/>
      <c r="AJ19" s="914"/>
      <c r="AK19" s="907"/>
      <c r="AL19" s="1890"/>
    </row>
    <row r="20" spans="1:38" s="906" customFormat="1" ht="15" customHeight="1">
      <c r="A20" s="1090"/>
      <c r="B20" s="1098" t="s">
        <v>1113</v>
      </c>
      <c r="C20" s="107"/>
      <c r="D20" s="915">
        <v>124.1</v>
      </c>
      <c r="E20" s="1903"/>
      <c r="F20" s="915">
        <v>76.400000000000006</v>
      </c>
      <c r="G20" s="1903"/>
      <c r="H20" s="915">
        <v>102.80000000000001</v>
      </c>
      <c r="I20" s="1903"/>
      <c r="J20" s="915">
        <f t="shared" ref="J20:J27" si="0">$AD20-$D20-$F20-$H20</f>
        <v>79.099999999999937</v>
      </c>
      <c r="K20" s="1584"/>
      <c r="L20" s="915"/>
      <c r="M20" s="1584"/>
      <c r="N20" s="915"/>
      <c r="O20" s="1584"/>
      <c r="P20" s="1851"/>
      <c r="Q20" s="2065"/>
      <c r="R20" s="1851"/>
      <c r="S20" s="2065"/>
      <c r="T20" s="1851"/>
      <c r="U20" s="2065"/>
      <c r="V20" s="1851"/>
      <c r="W20" s="2065"/>
      <c r="X20" s="1851"/>
      <c r="Y20" s="2065"/>
      <c r="Z20" s="1851"/>
      <c r="AA20" s="2066"/>
      <c r="AB20" s="2067"/>
      <c r="AC20" s="2069"/>
      <c r="AD20" s="1851">
        <v>382.4</v>
      </c>
      <c r="AE20" s="2099"/>
      <c r="AF20" s="3327"/>
      <c r="AG20" s="1851">
        <v>346</v>
      </c>
      <c r="AH20" s="1093"/>
      <c r="AI20" s="67"/>
      <c r="AJ20" s="914">
        <f t="shared" ref="AJ20:AJ27" si="1">ROUND(SUM(+AD20-AG20),1)</f>
        <v>36.4</v>
      </c>
      <c r="AK20" s="907"/>
      <c r="AL20" s="1884">
        <f t="shared" ref="AL20:AL28" si="2">ROUND(IF(AG20=0,0,AJ20/ABS(AG20)),3)</f>
        <v>0.105</v>
      </c>
    </row>
    <row r="21" spans="1:38" s="906" customFormat="1" ht="15" customHeight="1">
      <c r="A21" s="1090"/>
      <c r="B21" s="1098" t="s">
        <v>1114</v>
      </c>
      <c r="C21" s="107"/>
      <c r="D21" s="915">
        <v>0</v>
      </c>
      <c r="E21" s="1903"/>
      <c r="F21" s="915">
        <v>0</v>
      </c>
      <c r="G21" s="1903"/>
      <c r="H21" s="915">
        <v>0</v>
      </c>
      <c r="I21" s="1903"/>
      <c r="J21" s="915">
        <f t="shared" si="0"/>
        <v>0</v>
      </c>
      <c r="K21" s="1584"/>
      <c r="L21" s="915"/>
      <c r="M21" s="1584"/>
      <c r="N21" s="915"/>
      <c r="O21" s="1584"/>
      <c r="P21" s="1851"/>
      <c r="Q21" s="2065"/>
      <c r="R21" s="1851"/>
      <c r="S21" s="2065"/>
      <c r="T21" s="1851"/>
      <c r="U21" s="2065"/>
      <c r="V21" s="1851"/>
      <c r="W21" s="2065"/>
      <c r="X21" s="1851"/>
      <c r="Y21" s="2065"/>
      <c r="Z21" s="1851"/>
      <c r="AA21" s="2066"/>
      <c r="AB21" s="2067"/>
      <c r="AC21" s="2069"/>
      <c r="AD21" s="1851">
        <v>0</v>
      </c>
      <c r="AE21" s="2099"/>
      <c r="AF21" s="3327"/>
      <c r="AG21" s="1851">
        <v>12</v>
      </c>
      <c r="AH21" s="1093"/>
      <c r="AI21" s="67"/>
      <c r="AJ21" s="914">
        <f t="shared" si="1"/>
        <v>-12</v>
      </c>
      <c r="AK21" s="907"/>
      <c r="AL21" s="1884">
        <f t="shared" si="2"/>
        <v>-1</v>
      </c>
    </row>
    <row r="22" spans="1:38" s="906" customFormat="1" ht="15" customHeight="1">
      <c r="A22" s="1090"/>
      <c r="B22" s="1098" t="s">
        <v>1115</v>
      </c>
      <c r="C22" s="107"/>
      <c r="D22" s="915">
        <v>63.2</v>
      </c>
      <c r="E22" s="1903"/>
      <c r="F22" s="915">
        <v>59.399999999999991</v>
      </c>
      <c r="G22" s="1903"/>
      <c r="H22" s="915">
        <v>57.300000000000011</v>
      </c>
      <c r="I22" s="1903"/>
      <c r="J22" s="915">
        <f t="shared" si="0"/>
        <v>75.400000000000034</v>
      </c>
      <c r="K22" s="1584"/>
      <c r="L22" s="915"/>
      <c r="M22" s="1584"/>
      <c r="N22" s="915"/>
      <c r="O22" s="1584"/>
      <c r="P22" s="1851"/>
      <c r="Q22" s="2065"/>
      <c r="R22" s="1851"/>
      <c r="S22" s="2065"/>
      <c r="T22" s="1851"/>
      <c r="U22" s="2065"/>
      <c r="V22" s="1851"/>
      <c r="W22" s="2065"/>
      <c r="X22" s="1851"/>
      <c r="Y22" s="2065"/>
      <c r="Z22" s="1851"/>
      <c r="AA22" s="2066"/>
      <c r="AB22" s="2067"/>
      <c r="AC22" s="2069"/>
      <c r="AD22" s="1851">
        <v>255.3</v>
      </c>
      <c r="AE22" s="2099"/>
      <c r="AF22" s="3327"/>
      <c r="AG22" s="1851">
        <v>283.5</v>
      </c>
      <c r="AH22" s="1093"/>
      <c r="AI22" s="67"/>
      <c r="AJ22" s="914">
        <f t="shared" si="1"/>
        <v>-28.2</v>
      </c>
      <c r="AK22" s="907"/>
      <c r="AL22" s="1884">
        <f t="shared" si="2"/>
        <v>-9.9000000000000005E-2</v>
      </c>
    </row>
    <row r="23" spans="1:38" s="906" customFormat="1" ht="15" customHeight="1">
      <c r="A23" s="1090"/>
      <c r="B23" s="1857" t="s">
        <v>1265</v>
      </c>
      <c r="C23" s="107"/>
      <c r="D23" s="915">
        <v>0.5</v>
      </c>
      <c r="E23" s="1903"/>
      <c r="F23" s="915">
        <v>0.4</v>
      </c>
      <c r="G23" s="1903"/>
      <c r="H23" s="915">
        <v>0.49999999999999989</v>
      </c>
      <c r="I23" s="1903"/>
      <c r="J23" s="915">
        <f t="shared" si="0"/>
        <v>0.5</v>
      </c>
      <c r="K23" s="1584"/>
      <c r="L23" s="915"/>
      <c r="M23" s="1584"/>
      <c r="N23" s="915"/>
      <c r="O23" s="1584"/>
      <c r="P23" s="1851"/>
      <c r="Q23" s="2065"/>
      <c r="R23" s="1851"/>
      <c r="S23" s="2065"/>
      <c r="T23" s="1851"/>
      <c r="U23" s="2065"/>
      <c r="V23" s="1851"/>
      <c r="W23" s="2065"/>
      <c r="X23" s="1851"/>
      <c r="Y23" s="2065"/>
      <c r="Z23" s="1851"/>
      <c r="AA23" s="2066"/>
      <c r="AB23" s="2067"/>
      <c r="AC23" s="2069"/>
      <c r="AD23" s="1851">
        <v>1.9</v>
      </c>
      <c r="AE23" s="2099"/>
      <c r="AF23" s="3327"/>
      <c r="AG23" s="1851">
        <v>1</v>
      </c>
      <c r="AH23" s="1093"/>
      <c r="AI23" s="67"/>
      <c r="AJ23" s="914">
        <f>ROUND(SUM(+AD23-AG23),1)</f>
        <v>0.9</v>
      </c>
      <c r="AK23" s="907"/>
      <c r="AL23" s="1786">
        <f>ROUND(IF(AG23=0,1,AJ23/ABS(AG23)),3)</f>
        <v>0.9</v>
      </c>
    </row>
    <row r="24" spans="1:38" s="906" customFormat="1" ht="15" customHeight="1">
      <c r="A24" s="1090"/>
      <c r="B24" s="1098" t="s">
        <v>1116</v>
      </c>
      <c r="C24" s="107"/>
      <c r="D24" s="915">
        <v>9.6</v>
      </c>
      <c r="E24" s="1903"/>
      <c r="F24" s="915">
        <v>9.4</v>
      </c>
      <c r="G24" s="1903"/>
      <c r="H24" s="915">
        <v>9.4999999999999982</v>
      </c>
      <c r="I24" s="1903"/>
      <c r="J24" s="915">
        <f t="shared" si="0"/>
        <v>8.7999999999999989</v>
      </c>
      <c r="K24" s="1584"/>
      <c r="L24" s="915"/>
      <c r="M24" s="1584"/>
      <c r="N24" s="915"/>
      <c r="O24" s="1584"/>
      <c r="P24" s="1851"/>
      <c r="Q24" s="2065"/>
      <c r="R24" s="1851"/>
      <c r="S24" s="2065"/>
      <c r="T24" s="1851"/>
      <c r="U24" s="2065"/>
      <c r="V24" s="1851"/>
      <c r="W24" s="2065"/>
      <c r="X24" s="1851"/>
      <c r="Y24" s="2065"/>
      <c r="Z24" s="1851"/>
      <c r="AA24" s="2066"/>
      <c r="AB24" s="2067"/>
      <c r="AC24" s="2069"/>
      <c r="AD24" s="1851">
        <v>37.299999999999997</v>
      </c>
      <c r="AE24" s="2099"/>
      <c r="AF24" s="3327"/>
      <c r="AG24" s="1851">
        <v>36.9</v>
      </c>
      <c r="AH24" s="1093"/>
      <c r="AI24" s="67"/>
      <c r="AJ24" s="914">
        <f t="shared" si="1"/>
        <v>0.4</v>
      </c>
      <c r="AK24" s="907"/>
      <c r="AL24" s="1884">
        <f t="shared" si="2"/>
        <v>1.0999999999999999E-2</v>
      </c>
    </row>
    <row r="25" spans="1:38" s="906" customFormat="1" ht="15" customHeight="1">
      <c r="A25" s="1090"/>
      <c r="B25" s="1098" t="s">
        <v>1117</v>
      </c>
      <c r="C25" s="107"/>
      <c r="D25" s="915">
        <v>0</v>
      </c>
      <c r="E25" s="1903"/>
      <c r="F25" s="915">
        <v>0</v>
      </c>
      <c r="G25" s="1903"/>
      <c r="H25" s="915">
        <v>0</v>
      </c>
      <c r="I25" s="1903"/>
      <c r="J25" s="915">
        <f t="shared" si="0"/>
        <v>0</v>
      </c>
      <c r="K25" s="1584"/>
      <c r="L25" s="915"/>
      <c r="M25" s="1584"/>
      <c r="N25" s="915"/>
      <c r="O25" s="1584"/>
      <c r="P25" s="1851"/>
      <c r="Q25" s="2065"/>
      <c r="R25" s="1851"/>
      <c r="S25" s="2065"/>
      <c r="T25" s="1851"/>
      <c r="U25" s="2065"/>
      <c r="V25" s="1851"/>
      <c r="W25" s="2065"/>
      <c r="X25" s="1851"/>
      <c r="Y25" s="2065"/>
      <c r="Z25" s="1851"/>
      <c r="AA25" s="2066"/>
      <c r="AB25" s="2067"/>
      <c r="AC25" s="2069"/>
      <c r="AD25" s="1851">
        <v>0</v>
      </c>
      <c r="AE25" s="2099"/>
      <c r="AF25" s="3327"/>
      <c r="AG25" s="1851">
        <v>0</v>
      </c>
      <c r="AH25" s="1093"/>
      <c r="AI25" s="67"/>
      <c r="AJ25" s="914">
        <f t="shared" si="1"/>
        <v>0</v>
      </c>
      <c r="AK25" s="907"/>
      <c r="AL25" s="1884">
        <f t="shared" si="2"/>
        <v>0</v>
      </c>
    </row>
    <row r="26" spans="1:38" s="906" customFormat="1" ht="15" customHeight="1">
      <c r="A26" s="1090"/>
      <c r="B26" s="1098" t="s">
        <v>1118</v>
      </c>
      <c r="C26" s="107"/>
      <c r="D26" s="915">
        <v>0</v>
      </c>
      <c r="E26" s="1903"/>
      <c r="F26" s="915">
        <v>0.1</v>
      </c>
      <c r="G26" s="1903"/>
      <c r="H26" s="915">
        <v>0.1</v>
      </c>
      <c r="I26" s="1903"/>
      <c r="J26" s="915">
        <f t="shared" si="0"/>
        <v>0</v>
      </c>
      <c r="K26" s="1584"/>
      <c r="L26" s="915"/>
      <c r="M26" s="1584"/>
      <c r="N26" s="915"/>
      <c r="O26" s="1584"/>
      <c r="P26" s="1851"/>
      <c r="Q26" s="2065"/>
      <c r="R26" s="1851"/>
      <c r="S26" s="2065"/>
      <c r="T26" s="1851"/>
      <c r="U26" s="2065"/>
      <c r="V26" s="1851"/>
      <c r="W26" s="2065"/>
      <c r="X26" s="1851"/>
      <c r="Y26" s="2065"/>
      <c r="Z26" s="1851"/>
      <c r="AA26" s="2066"/>
      <c r="AB26" s="2067"/>
      <c r="AC26" s="2069"/>
      <c r="AD26" s="1851">
        <v>0.2</v>
      </c>
      <c r="AE26" s="2099"/>
      <c r="AF26" s="3327"/>
      <c r="AG26" s="1851">
        <v>0.7</v>
      </c>
      <c r="AH26" s="1093"/>
      <c r="AI26" s="67"/>
      <c r="AJ26" s="914">
        <f t="shared" si="1"/>
        <v>-0.5</v>
      </c>
      <c r="AK26" s="907"/>
      <c r="AL26" s="1891">
        <f>ROUND(IF(AG26=0,1,AJ26/ABS(AG26)),3)</f>
        <v>-0.71399999999999997</v>
      </c>
    </row>
    <row r="27" spans="1:38" s="906" customFormat="1" ht="15" customHeight="1">
      <c r="A27" s="1090"/>
      <c r="B27" s="1100" t="s">
        <v>1119</v>
      </c>
      <c r="C27" s="107"/>
      <c r="D27" s="915">
        <v>0</v>
      </c>
      <c r="E27" s="1903"/>
      <c r="F27" s="915">
        <v>0</v>
      </c>
      <c r="G27" s="1903"/>
      <c r="H27" s="915">
        <v>0</v>
      </c>
      <c r="I27" s="1903"/>
      <c r="J27" s="915">
        <f t="shared" si="0"/>
        <v>0</v>
      </c>
      <c r="K27" s="1584"/>
      <c r="L27" s="915"/>
      <c r="M27" s="1584"/>
      <c r="N27" s="915"/>
      <c r="O27" s="1584"/>
      <c r="P27" s="1851"/>
      <c r="Q27" s="2065"/>
      <c r="R27" s="1851"/>
      <c r="S27" s="2065"/>
      <c r="T27" s="1851"/>
      <c r="U27" s="2065"/>
      <c r="V27" s="1851"/>
      <c r="W27" s="2065"/>
      <c r="X27" s="1851"/>
      <c r="Y27" s="2065"/>
      <c r="Z27" s="1851"/>
      <c r="AA27" s="2066"/>
      <c r="AB27" s="2067"/>
      <c r="AC27" s="2069"/>
      <c r="AD27" s="1851">
        <v>0</v>
      </c>
      <c r="AE27" s="2099"/>
      <c r="AF27" s="3327"/>
      <c r="AG27" s="1851">
        <v>26.3</v>
      </c>
      <c r="AH27" s="1093"/>
      <c r="AI27" s="67"/>
      <c r="AJ27" s="914">
        <f t="shared" si="1"/>
        <v>-26.3</v>
      </c>
      <c r="AK27" s="907"/>
      <c r="AL27" s="1884">
        <f t="shared" si="2"/>
        <v>-1</v>
      </c>
    </row>
    <row r="28" spans="1:38" s="770" customFormat="1" ht="15" customHeight="1">
      <c r="A28" s="1088"/>
      <c r="B28" s="1099" t="s">
        <v>1235</v>
      </c>
      <c r="C28" s="29"/>
      <c r="D28" s="1901">
        <f>ROUND(SUM(D20:D27),1)</f>
        <v>197.4</v>
      </c>
      <c r="E28" s="941"/>
      <c r="F28" s="1901">
        <f>ROUND(SUM(F20:F27),1)</f>
        <v>145.69999999999999</v>
      </c>
      <c r="G28" s="941"/>
      <c r="H28" s="1901">
        <f>ROUND(SUM(H20:H27),1)</f>
        <v>170.2</v>
      </c>
      <c r="I28" s="941"/>
      <c r="J28" s="1901">
        <f>ROUND(SUM(J20:J27),1)</f>
        <v>163.80000000000001</v>
      </c>
      <c r="K28" s="941"/>
      <c r="L28" s="61">
        <f>ROUND(SUM(L20:L27),1)</f>
        <v>0</v>
      </c>
      <c r="M28" s="941"/>
      <c r="N28" s="61">
        <f>ROUND(SUM(N20:N27),1)</f>
        <v>0</v>
      </c>
      <c r="O28" s="941"/>
      <c r="P28" s="2100">
        <f>ROUND(SUM(P20:P27),1)</f>
        <v>0</v>
      </c>
      <c r="Q28" s="1501"/>
      <c r="R28" s="2100">
        <f>ROUND(SUM(R20:R27),1)</f>
        <v>0</v>
      </c>
      <c r="S28" s="1501"/>
      <c r="T28" s="2100">
        <f>ROUND(SUM(T20:T27),1)</f>
        <v>0</v>
      </c>
      <c r="U28" s="1501"/>
      <c r="V28" s="2100">
        <f>ROUND(SUM(V20:V27),1)</f>
        <v>0</v>
      </c>
      <c r="W28" s="1501"/>
      <c r="X28" s="2100">
        <f>ROUND(SUM(X20:X27),1)</f>
        <v>0</v>
      </c>
      <c r="Y28" s="1501"/>
      <c r="Z28" s="2100">
        <f>ROUND(SUM(Z20:Z27),1)</f>
        <v>0</v>
      </c>
      <c r="AA28" s="1484"/>
      <c r="AB28" s="1501"/>
      <c r="AC28" s="2079"/>
      <c r="AD28" s="2084">
        <f>ROUND(SUM(AD20:AD27),1)</f>
        <v>677.1</v>
      </c>
      <c r="AE28" s="2117"/>
      <c r="AF28" s="3328"/>
      <c r="AG28" s="2084">
        <f>ROUND(SUM(AG20:AG27),1)</f>
        <v>706.4</v>
      </c>
      <c r="AH28" s="283"/>
      <c r="AI28" s="76"/>
      <c r="AJ28" s="61">
        <f>ROUND(SUM(AJ20:AJ27),1)</f>
        <v>-29.3</v>
      </c>
      <c r="AK28" s="209"/>
      <c r="AL28" s="1069">
        <f t="shared" si="2"/>
        <v>-4.1000000000000002E-2</v>
      </c>
    </row>
    <row r="29" spans="1:38" ht="15" customHeight="1">
      <c r="A29" s="150"/>
      <c r="B29" s="1224" t="s">
        <v>1102</v>
      </c>
      <c r="C29" s="31"/>
      <c r="D29" s="1578"/>
      <c r="E29" s="1578"/>
      <c r="F29" s="1578"/>
      <c r="G29" s="1578"/>
      <c r="H29" s="1578"/>
      <c r="I29" s="1578"/>
      <c r="J29" s="1578"/>
      <c r="K29" s="66"/>
      <c r="L29" s="66"/>
      <c r="M29" s="66"/>
      <c r="N29" s="66"/>
      <c r="O29" s="66"/>
      <c r="P29" s="2073"/>
      <c r="Q29" s="2073"/>
      <c r="R29" s="2073"/>
      <c r="S29" s="2073"/>
      <c r="T29" s="2073"/>
      <c r="U29" s="2073"/>
      <c r="V29" s="2073"/>
      <c r="W29" s="2073"/>
      <c r="X29" s="2073"/>
      <c r="Y29" s="2073"/>
      <c r="Z29" s="2073"/>
      <c r="AA29" s="2073"/>
      <c r="AB29" s="2073"/>
      <c r="AC29" s="2076"/>
      <c r="AD29" s="2062"/>
      <c r="AE29" s="2062"/>
      <c r="AF29" s="3326"/>
      <c r="AG29" s="2062"/>
      <c r="AH29" s="276"/>
      <c r="AI29" s="56"/>
      <c r="AJ29" s="656"/>
      <c r="AK29" s="939"/>
      <c r="AL29" s="939"/>
    </row>
    <row r="30" spans="1:38" s="906" customFormat="1" ht="15" customHeight="1">
      <c r="A30" s="1090"/>
      <c r="B30" s="1098" t="s">
        <v>1121</v>
      </c>
      <c r="C30" s="107"/>
      <c r="D30" s="915">
        <v>102.60000000000001</v>
      </c>
      <c r="E30" s="1903"/>
      <c r="F30" s="1063">
        <v>6</v>
      </c>
      <c r="G30" s="1903"/>
      <c r="H30" s="915">
        <v>175.39999999999998</v>
      </c>
      <c r="I30" s="1578"/>
      <c r="J30" s="915">
        <f t="shared" ref="J30:J34" si="3">$AD30-$D30-$F30-$H30</f>
        <v>36.899999999999977</v>
      </c>
      <c r="K30" s="1584"/>
      <c r="L30" s="915"/>
      <c r="M30" s="1584"/>
      <c r="N30" s="915"/>
      <c r="O30" s="1584"/>
      <c r="P30" s="1851"/>
      <c r="Q30" s="2065"/>
      <c r="R30" s="1851"/>
      <c r="S30" s="2065"/>
      <c r="T30" s="1851"/>
      <c r="U30" s="2065"/>
      <c r="V30" s="1851"/>
      <c r="W30" s="2065"/>
      <c r="X30" s="1851"/>
      <c r="Y30" s="2065"/>
      <c r="Z30" s="1851"/>
      <c r="AA30" s="2066"/>
      <c r="AB30" s="2067"/>
      <c r="AC30" s="2069"/>
      <c r="AD30" s="1851">
        <v>320.89999999999998</v>
      </c>
      <c r="AE30" s="2099"/>
      <c r="AF30" s="3327"/>
      <c r="AG30" s="1851">
        <v>300.39999999999998</v>
      </c>
      <c r="AH30" s="1093"/>
      <c r="AI30" s="67"/>
      <c r="AJ30" s="914">
        <f>ROUND(SUM(+AD30-AG30),1)</f>
        <v>20.5</v>
      </c>
      <c r="AK30" s="907"/>
      <c r="AL30" s="1884">
        <f t="shared" ref="AL30:AL35" si="4">ROUND(IF(AG30=0,0,AJ30/ABS(AG30)),3)</f>
        <v>6.8000000000000005E-2</v>
      </c>
    </row>
    <row r="31" spans="1:38" s="906" customFormat="1" ht="15" customHeight="1">
      <c r="A31" s="1090"/>
      <c r="B31" s="1098" t="s">
        <v>1122</v>
      </c>
      <c r="C31" s="107"/>
      <c r="D31" s="915">
        <v>23.4</v>
      </c>
      <c r="E31" s="1903"/>
      <c r="F31" s="915">
        <v>-0.5</v>
      </c>
      <c r="G31" s="1903"/>
      <c r="H31" s="915">
        <v>23.5</v>
      </c>
      <c r="I31" s="1578"/>
      <c r="J31" s="915">
        <f t="shared" si="3"/>
        <v>0.20000000000000284</v>
      </c>
      <c r="K31" s="1584"/>
      <c r="L31" s="915"/>
      <c r="M31" s="1584"/>
      <c r="N31" s="915"/>
      <c r="O31" s="1584"/>
      <c r="P31" s="1851"/>
      <c r="Q31" s="2065"/>
      <c r="R31" s="1851"/>
      <c r="S31" s="2065"/>
      <c r="T31" s="1851"/>
      <c r="U31" s="2065"/>
      <c r="V31" s="1851"/>
      <c r="W31" s="2065"/>
      <c r="X31" s="1851"/>
      <c r="Y31" s="2065"/>
      <c r="Z31" s="1851"/>
      <c r="AA31" s="2066"/>
      <c r="AB31" s="2067"/>
      <c r="AC31" s="2069"/>
      <c r="AD31" s="1851">
        <v>46.6</v>
      </c>
      <c r="AE31" s="2099"/>
      <c r="AF31" s="3327"/>
      <c r="AG31" s="1851">
        <v>51</v>
      </c>
      <c r="AH31" s="1093"/>
      <c r="AI31" s="67"/>
      <c r="AJ31" s="914">
        <f>ROUND(SUM(+AD31-AG31),1)</f>
        <v>-4.4000000000000004</v>
      </c>
      <c r="AK31" s="907"/>
      <c r="AL31" s="1884">
        <f t="shared" si="4"/>
        <v>-8.5999999999999993E-2</v>
      </c>
    </row>
    <row r="32" spans="1:38" s="906" customFormat="1" ht="15" customHeight="1">
      <c r="A32" s="1090"/>
      <c r="B32" s="1098" t="s">
        <v>1123</v>
      </c>
      <c r="C32" s="107"/>
      <c r="D32" s="915">
        <v>14.4</v>
      </c>
      <c r="E32" s="1903"/>
      <c r="F32" s="915">
        <v>8.6</v>
      </c>
      <c r="G32" s="1903"/>
      <c r="H32" s="915">
        <v>48.5</v>
      </c>
      <c r="I32" s="1578"/>
      <c r="J32" s="915">
        <f t="shared" si="3"/>
        <v>5.9000000000000057</v>
      </c>
      <c r="K32" s="1584"/>
      <c r="L32" s="915"/>
      <c r="M32" s="1584"/>
      <c r="N32" s="915"/>
      <c r="O32" s="1584"/>
      <c r="P32" s="1851"/>
      <c r="Q32" s="2065"/>
      <c r="R32" s="1851"/>
      <c r="S32" s="2065"/>
      <c r="T32" s="1851"/>
      <c r="U32" s="2065"/>
      <c r="V32" s="1851"/>
      <c r="W32" s="2065"/>
      <c r="X32" s="1851"/>
      <c r="Y32" s="2065"/>
      <c r="Z32" s="1851"/>
      <c r="AA32" s="2066"/>
      <c r="AB32" s="2067"/>
      <c r="AC32" s="2069"/>
      <c r="AD32" s="1851">
        <v>77.400000000000006</v>
      </c>
      <c r="AE32" s="2099"/>
      <c r="AF32" s="3327"/>
      <c r="AG32" s="1851">
        <v>44.9</v>
      </c>
      <c r="AH32" s="1093"/>
      <c r="AI32" s="67"/>
      <c r="AJ32" s="914">
        <f>ROUND(SUM(+AD32-AG32),1)</f>
        <v>32.5</v>
      </c>
      <c r="AK32" s="907"/>
      <c r="AL32" s="1885">
        <f t="shared" si="4"/>
        <v>0.72399999999999998</v>
      </c>
    </row>
    <row r="33" spans="1:39" s="906" customFormat="1" ht="15" customHeight="1">
      <c r="A33" s="1090"/>
      <c r="B33" s="1098" t="s">
        <v>1124</v>
      </c>
      <c r="C33" s="107"/>
      <c r="D33" s="915">
        <v>19.899999999999999</v>
      </c>
      <c r="E33" s="1903"/>
      <c r="F33" s="915">
        <v>-16.399999999999999</v>
      </c>
      <c r="G33" s="1903"/>
      <c r="H33" s="915">
        <v>0.40000000000000036</v>
      </c>
      <c r="I33" s="1578"/>
      <c r="J33" s="915">
        <f t="shared" si="3"/>
        <v>9.9999999999999645E-2</v>
      </c>
      <c r="K33" s="1584"/>
      <c r="L33" s="915"/>
      <c r="M33" s="1584"/>
      <c r="N33" s="915"/>
      <c r="O33" s="1584"/>
      <c r="P33" s="1851"/>
      <c r="Q33" s="2065"/>
      <c r="R33" s="1851"/>
      <c r="S33" s="2065"/>
      <c r="T33" s="1851"/>
      <c r="U33" s="2065"/>
      <c r="V33" s="1851"/>
      <c r="W33" s="2065"/>
      <c r="X33" s="1851"/>
      <c r="Y33" s="2065"/>
      <c r="Z33" s="1851"/>
      <c r="AA33" s="2066"/>
      <c r="AB33" s="2067"/>
      <c r="AC33" s="2069"/>
      <c r="AD33" s="1851">
        <v>4</v>
      </c>
      <c r="AE33" s="2099"/>
      <c r="AF33" s="3327"/>
      <c r="AG33" s="1851">
        <v>7.1</v>
      </c>
      <c r="AH33" s="1093"/>
      <c r="AI33" s="67"/>
      <c r="AJ33" s="914">
        <f>ROUND(SUM(+AD33-AG33),1)</f>
        <v>-3.1</v>
      </c>
      <c r="AK33" s="907"/>
      <c r="AL33" s="1885">
        <f t="shared" si="4"/>
        <v>-0.437</v>
      </c>
    </row>
    <row r="34" spans="1:39" s="906" customFormat="1" ht="15" customHeight="1">
      <c r="A34" s="1090"/>
      <c r="B34" s="1098" t="s">
        <v>1125</v>
      </c>
      <c r="C34" s="107"/>
      <c r="D34" s="915">
        <v>44.1</v>
      </c>
      <c r="E34" s="1903"/>
      <c r="F34" s="915">
        <v>43.9</v>
      </c>
      <c r="G34" s="1903"/>
      <c r="H34" s="915">
        <v>45.400000000000013</v>
      </c>
      <c r="I34" s="1578"/>
      <c r="J34" s="915">
        <f t="shared" si="3"/>
        <v>41.299999999999976</v>
      </c>
      <c r="K34" s="1584"/>
      <c r="L34" s="915"/>
      <c r="M34" s="1584"/>
      <c r="N34" s="915"/>
      <c r="O34" s="1584"/>
      <c r="P34" s="1851"/>
      <c r="Q34" s="2065"/>
      <c r="R34" s="1851"/>
      <c r="S34" s="2065"/>
      <c r="T34" s="1851"/>
      <c r="U34" s="2065"/>
      <c r="V34" s="1851"/>
      <c r="W34" s="2065"/>
      <c r="X34" s="1851"/>
      <c r="Y34" s="2065"/>
      <c r="Z34" s="1851"/>
      <c r="AA34" s="2066"/>
      <c r="AB34" s="2067"/>
      <c r="AC34" s="2069"/>
      <c r="AD34" s="1851">
        <v>174.7</v>
      </c>
      <c r="AE34" s="2099"/>
      <c r="AF34" s="3327"/>
      <c r="AG34" s="1851">
        <v>169</v>
      </c>
      <c r="AH34" s="1093"/>
      <c r="AI34" s="67"/>
      <c r="AJ34" s="914">
        <f>ROUND(SUM(+AD34-AG34),1)</f>
        <v>5.7</v>
      </c>
      <c r="AK34" s="907"/>
      <c r="AL34" s="1884">
        <f t="shared" si="4"/>
        <v>3.4000000000000002E-2</v>
      </c>
    </row>
    <row r="35" spans="1:39" s="770" customFormat="1" ht="15" customHeight="1">
      <c r="A35" s="1088"/>
      <c r="B35" s="1099" t="s">
        <v>1238</v>
      </c>
      <c r="C35" s="29"/>
      <c r="D35" s="1901">
        <f>ROUND(SUM(D30:D34),1)</f>
        <v>204.4</v>
      </c>
      <c r="E35" s="941"/>
      <c r="F35" s="1901">
        <f>ROUND(SUM(F30:F34),1)</f>
        <v>41.6</v>
      </c>
      <c r="G35" s="941"/>
      <c r="H35" s="1901">
        <f>ROUND(SUM(H30:H34),1)</f>
        <v>293.2</v>
      </c>
      <c r="I35" s="941"/>
      <c r="J35" s="1901">
        <f>ROUND(SUM(J30:J34),1)</f>
        <v>84.4</v>
      </c>
      <c r="K35" s="941"/>
      <c r="L35" s="61">
        <f>ROUND(SUM(L30:L34),1)</f>
        <v>0</v>
      </c>
      <c r="M35" s="941"/>
      <c r="N35" s="61">
        <f>ROUND(SUM(N30:N34),1)</f>
        <v>0</v>
      </c>
      <c r="O35" s="941"/>
      <c r="P35" s="2100">
        <f>ROUND(SUM(P30:P34),1)</f>
        <v>0</v>
      </c>
      <c r="Q35" s="1501"/>
      <c r="R35" s="2100">
        <f>ROUND(SUM(R30:R34),1)</f>
        <v>0</v>
      </c>
      <c r="S35" s="1501"/>
      <c r="T35" s="2100">
        <f>ROUND(SUM(T30:T34),1)</f>
        <v>0</v>
      </c>
      <c r="U35" s="1501"/>
      <c r="V35" s="2100">
        <f>ROUND(SUM(V30:V34),1)</f>
        <v>0</v>
      </c>
      <c r="W35" s="1501"/>
      <c r="X35" s="2100">
        <f>ROUND(SUM(X30:X34),1)</f>
        <v>0</v>
      </c>
      <c r="Y35" s="1501"/>
      <c r="Z35" s="2100">
        <f>ROUND(SUM(Z30:Z34),1)</f>
        <v>0</v>
      </c>
      <c r="AA35" s="1484"/>
      <c r="AB35" s="1501"/>
      <c r="AC35" s="2079"/>
      <c r="AD35" s="2084">
        <f>ROUND(SUM(AD30:AD34),1)</f>
        <v>623.6</v>
      </c>
      <c r="AE35" s="2117"/>
      <c r="AF35" s="3328"/>
      <c r="AG35" s="2084">
        <f>ROUND(SUM(AG30:AG34),1)</f>
        <v>572.4</v>
      </c>
      <c r="AH35" s="283"/>
      <c r="AI35" s="76"/>
      <c r="AJ35" s="61">
        <f>ROUND(SUM(AJ30:AJ34),1)</f>
        <v>51.2</v>
      </c>
      <c r="AK35" s="209"/>
      <c r="AL35" s="1447">
        <f t="shared" si="4"/>
        <v>8.8999999999999996E-2</v>
      </c>
    </row>
    <row r="36" spans="1:39" ht="15" customHeight="1">
      <c r="A36" s="150"/>
      <c r="B36" s="1099"/>
      <c r="C36" s="31"/>
      <c r="D36" s="1578"/>
      <c r="E36" s="1578"/>
      <c r="F36" s="1578"/>
      <c r="G36" s="1578"/>
      <c r="H36" s="1578"/>
      <c r="I36" s="1578"/>
      <c r="J36" s="1578"/>
      <c r="K36" s="66"/>
      <c r="L36" s="66"/>
      <c r="M36" s="66"/>
      <c r="N36" s="66"/>
      <c r="O36" s="66"/>
      <c r="P36" s="2073"/>
      <c r="Q36" s="2073"/>
      <c r="R36" s="2073"/>
      <c r="S36" s="2073"/>
      <c r="T36" s="2073"/>
      <c r="U36" s="2073"/>
      <c r="V36" s="2073"/>
      <c r="W36" s="2073"/>
      <c r="X36" s="2073"/>
      <c r="Y36" s="2073"/>
      <c r="Z36" s="2073"/>
      <c r="AA36" s="2073"/>
      <c r="AB36" s="2073"/>
      <c r="AC36" s="2101"/>
      <c r="AD36" s="2043"/>
      <c r="AE36" s="2062"/>
      <c r="AF36" s="3326"/>
      <c r="AG36" s="2043"/>
      <c r="AH36" s="276"/>
      <c r="AI36" s="56"/>
      <c r="AJ36" s="656"/>
      <c r="AK36" s="939"/>
      <c r="AL36" s="1473"/>
    </row>
    <row r="37" spans="1:39" ht="15" customHeight="1">
      <c r="A37" s="150"/>
      <c r="B37" s="312" t="s">
        <v>1099</v>
      </c>
      <c r="C37" s="31"/>
      <c r="D37" s="3740">
        <f>ROUND(SUM(D17+D28+D35),1)</f>
        <v>401.8</v>
      </c>
      <c r="E37" s="1578"/>
      <c r="F37" s="3740">
        <f>ROUND(SUM(F17+F28+F35),1)</f>
        <v>187.3</v>
      </c>
      <c r="G37" s="1578"/>
      <c r="H37" s="3740">
        <f>ROUND(SUM(H17+H28+H35),1)</f>
        <v>463.4</v>
      </c>
      <c r="I37" s="1578"/>
      <c r="J37" s="3740">
        <f>ROUND(SUM(J17+J28+J35),1)</f>
        <v>248.2</v>
      </c>
      <c r="K37" s="66"/>
      <c r="L37" s="3740">
        <f>ROUND(SUM(L17+L28+L35),1)</f>
        <v>0</v>
      </c>
      <c r="M37" s="1578"/>
      <c r="N37" s="3740">
        <f>ROUND(SUM(N17+N28+N35),1)</f>
        <v>0</v>
      </c>
      <c r="O37" s="1578"/>
      <c r="P37" s="3740">
        <f>ROUND(SUM(P17+P28+P35),1)</f>
        <v>0</v>
      </c>
      <c r="Q37" s="1578"/>
      <c r="R37" s="3740">
        <f>ROUND(SUM(R17+R28+R35),1)</f>
        <v>0</v>
      </c>
      <c r="S37" s="2073"/>
      <c r="T37" s="3740">
        <f>ROUND(SUM(T17+T28+T35),1)</f>
        <v>0</v>
      </c>
      <c r="U37" s="1578"/>
      <c r="V37" s="3740">
        <f>ROUND(SUM(V17+V28+V35),1)</f>
        <v>0</v>
      </c>
      <c r="W37" s="1578"/>
      <c r="X37" s="3740">
        <f>ROUND(SUM(X17+X28+X35),1)</f>
        <v>0</v>
      </c>
      <c r="Y37" s="1578"/>
      <c r="Z37" s="3740">
        <f>ROUND(SUM(Z17+Z28+Z35),1)</f>
        <v>0</v>
      </c>
      <c r="AA37" s="2103"/>
      <c r="AB37" s="2073"/>
      <c r="AC37" s="2104"/>
      <c r="AD37" s="3740">
        <f>ROUND(SUM(AD17+AD28+AD35),1)</f>
        <v>1300.7</v>
      </c>
      <c r="AE37" s="2062"/>
      <c r="AF37" s="2106"/>
      <c r="AG37" s="3740">
        <f>ROUND(SUM(AG17+AG28+AG35),1)</f>
        <v>1278.8</v>
      </c>
      <c r="AH37" s="280"/>
      <c r="AI37" s="56"/>
      <c r="AJ37" s="3740">
        <f>ROUND(SUM(AJ17+AJ28+AJ35),1)</f>
        <v>21.9</v>
      </c>
      <c r="AK37" s="656"/>
      <c r="AL37" s="3741">
        <f>ROUND(IF(AG37=0,0,AJ37/ABS(AG37)),3)</f>
        <v>1.7000000000000001E-2</v>
      </c>
      <c r="AM37" s="802"/>
    </row>
    <row r="38" spans="1:39" ht="15" customHeight="1">
      <c r="A38" s="150"/>
      <c r="B38" s="31"/>
      <c r="C38" s="31"/>
      <c r="D38" s="695"/>
      <c r="E38" s="1578"/>
      <c r="F38" s="695"/>
      <c r="G38" s="1578"/>
      <c r="H38" s="1578"/>
      <c r="I38" s="1578"/>
      <c r="J38" s="695"/>
      <c r="K38" s="66"/>
      <c r="L38" s="77"/>
      <c r="M38" s="66"/>
      <c r="N38" s="77"/>
      <c r="O38" s="66"/>
      <c r="P38" s="2082"/>
      <c r="Q38" s="2073"/>
      <c r="R38" s="2082"/>
      <c r="S38" s="2073"/>
      <c r="T38" s="2082"/>
      <c r="U38" s="2073"/>
      <c r="V38" s="2082"/>
      <c r="W38" s="2073"/>
      <c r="X38" s="2082"/>
      <c r="Y38" s="2073"/>
      <c r="Z38" s="2082"/>
      <c r="AA38" s="2082"/>
      <c r="AB38" s="2073"/>
      <c r="AC38" s="2104"/>
      <c r="AD38" s="2190"/>
      <c r="AE38" s="2738"/>
      <c r="AF38" s="2064"/>
      <c r="AG38" s="2190"/>
      <c r="AH38" s="280"/>
      <c r="AI38" s="56"/>
      <c r="AJ38" s="656"/>
      <c r="AK38" s="656"/>
      <c r="AL38" s="1471"/>
      <c r="AM38" s="802"/>
    </row>
    <row r="39" spans="1:39" ht="15" customHeight="1">
      <c r="A39" s="150"/>
      <c r="B39" s="261" t="s">
        <v>1034</v>
      </c>
      <c r="C39" s="31"/>
      <c r="D39" s="695"/>
      <c r="E39" s="1578"/>
      <c r="F39" s="695"/>
      <c r="G39" s="1578"/>
      <c r="H39" s="1578"/>
      <c r="I39" s="1578"/>
      <c r="J39" s="695"/>
      <c r="K39" s="66"/>
      <c r="L39" s="77"/>
      <c r="M39" s="66"/>
      <c r="N39" s="77"/>
      <c r="O39" s="66"/>
      <c r="P39" s="2082"/>
      <c r="Q39" s="2073"/>
      <c r="R39" s="2082"/>
      <c r="S39" s="2073"/>
      <c r="T39" s="2082"/>
      <c r="U39" s="2073"/>
      <c r="V39" s="2082"/>
      <c r="W39" s="2073"/>
      <c r="X39" s="2082"/>
      <c r="Y39" s="2073"/>
      <c r="Z39" s="2082"/>
      <c r="AA39" s="2082"/>
      <c r="AB39" s="2073"/>
      <c r="AC39" s="2104"/>
      <c r="AD39" s="2062"/>
      <c r="AE39" s="2062"/>
      <c r="AF39" s="2064"/>
      <c r="AG39" s="2062"/>
      <c r="AH39" s="276"/>
      <c r="AI39" s="56"/>
      <c r="AJ39" s="656"/>
      <c r="AK39" s="656"/>
      <c r="AL39" s="1471"/>
      <c r="AM39" s="802"/>
    </row>
    <row r="40" spans="1:39" ht="15" customHeight="1">
      <c r="A40" s="150"/>
      <c r="B40" s="911" t="s">
        <v>1155</v>
      </c>
      <c r="C40" s="31"/>
      <c r="D40" s="695"/>
      <c r="E40" s="1578"/>
      <c r="F40" s="695"/>
      <c r="G40" s="1578"/>
      <c r="H40" s="1578"/>
      <c r="I40" s="1578"/>
      <c r="J40" s="695"/>
      <c r="K40" s="66"/>
      <c r="L40" s="77"/>
      <c r="M40" s="66"/>
      <c r="N40" s="77"/>
      <c r="O40" s="66"/>
      <c r="P40" s="2082"/>
      <c r="Q40" s="2073"/>
      <c r="R40" s="2082"/>
      <c r="S40" s="2073"/>
      <c r="T40" s="2082"/>
      <c r="U40" s="2073"/>
      <c r="V40" s="2082"/>
      <c r="W40" s="2073"/>
      <c r="X40" s="2082"/>
      <c r="Y40" s="2073"/>
      <c r="Z40" s="2082"/>
      <c r="AA40" s="2082"/>
      <c r="AB40" s="2073"/>
      <c r="AC40" s="2104"/>
      <c r="AD40" s="2062"/>
      <c r="AE40" s="2062"/>
      <c r="AF40" s="2064"/>
      <c r="AG40" s="2062"/>
      <c r="AH40" s="276"/>
      <c r="AI40" s="56"/>
      <c r="AJ40" s="656"/>
      <c r="AK40" s="656"/>
      <c r="AL40" s="1471"/>
      <c r="AM40" s="802"/>
    </row>
    <row r="41" spans="1:39" s="906" customFormat="1" ht="15" customHeight="1">
      <c r="A41" s="1090"/>
      <c r="B41" s="911" t="s">
        <v>1067</v>
      </c>
      <c r="C41" s="107"/>
      <c r="D41" s="915">
        <v>1.1000000000000001</v>
      </c>
      <c r="E41" s="914"/>
      <c r="F41" s="915">
        <v>1.1000000000000001</v>
      </c>
      <c r="G41" s="914"/>
      <c r="H41" s="915">
        <v>0.89999999999999991</v>
      </c>
      <c r="I41" s="914"/>
      <c r="J41" s="915">
        <f t="shared" ref="J41:J82" si="5">$AD41-$D41-$F41-$H41</f>
        <v>0.89999999999999991</v>
      </c>
      <c r="K41" s="1584"/>
      <c r="L41" s="915"/>
      <c r="M41" s="1584"/>
      <c r="N41" s="915"/>
      <c r="O41" s="1584"/>
      <c r="P41" s="1851"/>
      <c r="Q41" s="2065"/>
      <c r="R41" s="1851"/>
      <c r="S41" s="2065"/>
      <c r="T41" s="1851"/>
      <c r="U41" s="2065"/>
      <c r="V41" s="1851"/>
      <c r="W41" s="2065"/>
      <c r="X41" s="1851"/>
      <c r="Y41" s="2065"/>
      <c r="Z41" s="1851"/>
      <c r="AA41" s="2066"/>
      <c r="AB41" s="2067"/>
      <c r="AC41" s="2069"/>
      <c r="AD41" s="1851">
        <v>4</v>
      </c>
      <c r="AE41" s="2099"/>
      <c r="AF41" s="3327"/>
      <c r="AG41" s="1851">
        <v>3.4</v>
      </c>
      <c r="AH41" s="1093"/>
      <c r="AI41" s="67"/>
      <c r="AJ41" s="914">
        <f t="shared" ref="AJ41:AJ79" si="6">ROUND(SUM(+AD41-AG41),1)</f>
        <v>0.6</v>
      </c>
      <c r="AK41" s="914"/>
      <c r="AL41" s="1880">
        <f>ROUND(IF(AG41=0,0,AJ41/ABS(AG41)),3)</f>
        <v>0.17599999999999999</v>
      </c>
      <c r="AM41" s="1881"/>
    </row>
    <row r="42" spans="1:39" s="906" customFormat="1" ht="15" customHeight="1">
      <c r="A42" s="1090"/>
      <c r="B42" s="911" t="s">
        <v>1156</v>
      </c>
      <c r="C42" s="107"/>
      <c r="D42" s="915" t="s">
        <v>15</v>
      </c>
      <c r="E42" s="1578"/>
      <c r="F42" s="915"/>
      <c r="G42" s="1578"/>
      <c r="H42" s="915"/>
      <c r="I42" s="1578"/>
      <c r="J42" s="915"/>
      <c r="K42" s="118"/>
      <c r="L42" s="915"/>
      <c r="M42" s="914"/>
      <c r="N42" s="915"/>
      <c r="O42" s="118"/>
      <c r="P42" s="1851"/>
      <c r="Q42" s="2062"/>
      <c r="R42" s="1851"/>
      <c r="S42" s="2062"/>
      <c r="T42" s="1851"/>
      <c r="U42" s="2062"/>
      <c r="V42" s="1851"/>
      <c r="W42" s="2062"/>
      <c r="X42" s="1851"/>
      <c r="Y42" s="2062"/>
      <c r="Z42" s="1851"/>
      <c r="AA42" s="2061"/>
      <c r="AB42" s="2062"/>
      <c r="AC42" s="2106"/>
      <c r="AD42" s="2062"/>
      <c r="AE42" s="2062"/>
      <c r="AF42" s="2064"/>
      <c r="AG42" s="2062"/>
      <c r="AH42" s="1093"/>
      <c r="AI42" s="67"/>
      <c r="AJ42" s="914"/>
      <c r="AK42" s="914"/>
      <c r="AL42" s="1880"/>
      <c r="AM42" s="1881"/>
    </row>
    <row r="43" spans="1:39" s="906" customFormat="1" ht="15" customHeight="1">
      <c r="A43" s="1090"/>
      <c r="B43" s="911" t="s">
        <v>1069</v>
      </c>
      <c r="C43" s="107"/>
      <c r="D43" s="915">
        <v>66.400000000000006</v>
      </c>
      <c r="E43" s="1578"/>
      <c r="F43" s="915">
        <v>33.599999999999994</v>
      </c>
      <c r="G43" s="1578"/>
      <c r="H43" s="915">
        <v>94.199999999999989</v>
      </c>
      <c r="I43" s="1578"/>
      <c r="J43" s="915">
        <f t="shared" si="5"/>
        <v>49.200000000000017</v>
      </c>
      <c r="K43" s="1584"/>
      <c r="L43" s="915"/>
      <c r="M43" s="1584"/>
      <c r="N43" s="915"/>
      <c r="O43" s="1584"/>
      <c r="P43" s="1851"/>
      <c r="Q43" s="2065"/>
      <c r="R43" s="1851"/>
      <c r="S43" s="2065"/>
      <c r="T43" s="1851"/>
      <c r="U43" s="2065"/>
      <c r="V43" s="1851"/>
      <c r="W43" s="2065"/>
      <c r="X43" s="1851"/>
      <c r="Y43" s="2065"/>
      <c r="Z43" s="1851"/>
      <c r="AA43" s="2066"/>
      <c r="AB43" s="2067"/>
      <c r="AC43" s="2069"/>
      <c r="AD43" s="1851">
        <v>243.4</v>
      </c>
      <c r="AE43" s="2099"/>
      <c r="AF43" s="3327"/>
      <c r="AG43" s="1851">
        <v>249.2</v>
      </c>
      <c r="AH43" s="1093"/>
      <c r="AI43" s="67"/>
      <c r="AJ43" s="914">
        <f t="shared" si="6"/>
        <v>-5.8</v>
      </c>
      <c r="AK43" s="914"/>
      <c r="AL43" s="1880">
        <f>ROUND(IF(AG43=0,0,AJ43/ABS(AG43)),3)</f>
        <v>-2.3E-2</v>
      </c>
      <c r="AM43" s="1881"/>
    </row>
    <row r="44" spans="1:39" s="906" customFormat="1" ht="15" customHeight="1">
      <c r="A44" s="1090"/>
      <c r="B44" s="911" t="s">
        <v>1070</v>
      </c>
      <c r="C44" s="107"/>
      <c r="D44" s="915">
        <v>625.70000000000005</v>
      </c>
      <c r="E44" s="1578"/>
      <c r="F44" s="915">
        <v>519.70000000000005</v>
      </c>
      <c r="G44" s="1578"/>
      <c r="H44" s="915">
        <v>504.69999999999982</v>
      </c>
      <c r="I44" s="1578"/>
      <c r="J44" s="915">
        <f t="shared" si="5"/>
        <v>567.5</v>
      </c>
      <c r="K44" s="1584"/>
      <c r="L44" s="915"/>
      <c r="M44" s="1584"/>
      <c r="N44" s="915"/>
      <c r="O44" s="1584"/>
      <c r="P44" s="1851"/>
      <c r="Q44" s="2065"/>
      <c r="R44" s="1851"/>
      <c r="S44" s="2065"/>
      <c r="T44" s="1851"/>
      <c r="U44" s="2065"/>
      <c r="V44" s="1851"/>
      <c r="W44" s="2065"/>
      <c r="X44" s="1851"/>
      <c r="Y44" s="2065"/>
      <c r="Z44" s="1851"/>
      <c r="AA44" s="2066"/>
      <c r="AB44" s="2067"/>
      <c r="AC44" s="2069"/>
      <c r="AD44" s="1851">
        <v>2217.6</v>
      </c>
      <c r="AE44" s="2099"/>
      <c r="AF44" s="3327"/>
      <c r="AG44" s="1851">
        <v>2036.4</v>
      </c>
      <c r="AH44" s="1093"/>
      <c r="AI44" s="67"/>
      <c r="AJ44" s="914">
        <f t="shared" si="6"/>
        <v>181.2</v>
      </c>
      <c r="AK44" s="914"/>
      <c r="AL44" s="1880">
        <f>ROUND(IF(AG44=0,0,AJ44/ABS(AG44)),3)</f>
        <v>8.8999999999999996E-2</v>
      </c>
      <c r="AM44" s="1881"/>
    </row>
    <row r="45" spans="1:39" ht="15" customHeight="1">
      <c r="A45" s="150"/>
      <c r="B45" s="911" t="s">
        <v>1071</v>
      </c>
      <c r="C45" s="31"/>
      <c r="D45" s="915">
        <v>5.0999999999999996</v>
      </c>
      <c r="E45" s="1578"/>
      <c r="F45" s="915">
        <v>0</v>
      </c>
      <c r="G45" s="1578"/>
      <c r="H45" s="915">
        <v>0.70000000000000018</v>
      </c>
      <c r="I45" s="1578"/>
      <c r="J45" s="915">
        <f t="shared" si="5"/>
        <v>0</v>
      </c>
      <c r="K45" s="1584"/>
      <c r="L45" s="915"/>
      <c r="M45" s="1584"/>
      <c r="N45" s="915"/>
      <c r="O45" s="1584"/>
      <c r="P45" s="1851"/>
      <c r="Q45" s="2065"/>
      <c r="R45" s="1851"/>
      <c r="S45" s="2065"/>
      <c r="T45" s="1851"/>
      <c r="U45" s="2065"/>
      <c r="V45" s="1851"/>
      <c r="W45" s="2065"/>
      <c r="X45" s="1851"/>
      <c r="Y45" s="2065"/>
      <c r="Z45" s="1851"/>
      <c r="AA45" s="2066"/>
      <c r="AB45" s="2067"/>
      <c r="AC45" s="2069"/>
      <c r="AD45" s="1851">
        <v>5.8</v>
      </c>
      <c r="AE45" s="2099"/>
      <c r="AF45" s="3327"/>
      <c r="AG45" s="1851">
        <v>2.4</v>
      </c>
      <c r="AH45" s="276"/>
      <c r="AI45" s="56"/>
      <c r="AJ45" s="656">
        <f t="shared" si="6"/>
        <v>3.4</v>
      </c>
      <c r="AK45" s="656"/>
      <c r="AL45" s="1471">
        <f>ROUND(IF(AG45=0,0,AJ45/ABS(AG45)),3)</f>
        <v>1.417</v>
      </c>
      <c r="AM45" s="802"/>
    </row>
    <row r="46" spans="1:39" ht="15" customHeight="1">
      <c r="A46" s="150"/>
      <c r="B46" s="911" t="s">
        <v>1072</v>
      </c>
      <c r="C46" s="31"/>
      <c r="D46" s="915">
        <v>0</v>
      </c>
      <c r="E46" s="1578"/>
      <c r="F46" s="915">
        <v>0.1</v>
      </c>
      <c r="G46" s="1578"/>
      <c r="H46" s="915">
        <v>0</v>
      </c>
      <c r="I46" s="1578"/>
      <c r="J46" s="915">
        <f t="shared" si="5"/>
        <v>0</v>
      </c>
      <c r="K46" s="1584"/>
      <c r="L46" s="915"/>
      <c r="M46" s="1584"/>
      <c r="N46" s="915"/>
      <c r="O46" s="1584"/>
      <c r="P46" s="1851"/>
      <c r="Q46" s="2065"/>
      <c r="R46" s="1851"/>
      <c r="S46" s="2065"/>
      <c r="T46" s="1851"/>
      <c r="U46" s="2065"/>
      <c r="V46" s="1851"/>
      <c r="W46" s="2065"/>
      <c r="X46" s="1851"/>
      <c r="Y46" s="2065"/>
      <c r="Z46" s="1851"/>
      <c r="AA46" s="2066"/>
      <c r="AB46" s="2067"/>
      <c r="AC46" s="2069"/>
      <c r="AD46" s="1851">
        <v>0.1</v>
      </c>
      <c r="AE46" s="2099"/>
      <c r="AF46" s="3327"/>
      <c r="AG46" s="1851">
        <v>0.9</v>
      </c>
      <c r="AH46" s="276"/>
      <c r="AI46" s="56"/>
      <c r="AJ46" s="656">
        <f t="shared" si="6"/>
        <v>-0.8</v>
      </c>
      <c r="AK46" s="656"/>
      <c r="AL46" s="1471">
        <f>ROUND(IF(AG46=0,0,AJ46/ABS(AG46)),3)</f>
        <v>-0.88900000000000001</v>
      </c>
      <c r="AM46" s="802"/>
    </row>
    <row r="47" spans="1:39" s="906" customFormat="1" ht="15" customHeight="1">
      <c r="A47" s="1090"/>
      <c r="B47" s="911" t="s">
        <v>1161</v>
      </c>
      <c r="C47" s="107"/>
      <c r="D47" s="915" t="s">
        <v>15</v>
      </c>
      <c r="E47" s="1578"/>
      <c r="F47" s="915"/>
      <c r="G47" s="1578"/>
      <c r="H47" s="915"/>
      <c r="I47" s="1578"/>
      <c r="J47" s="915"/>
      <c r="K47" s="118"/>
      <c r="L47" s="915"/>
      <c r="M47" s="118"/>
      <c r="N47" s="915"/>
      <c r="O47" s="118"/>
      <c r="P47" s="1851"/>
      <c r="Q47" s="2062"/>
      <c r="R47" s="1851"/>
      <c r="S47" s="2062"/>
      <c r="T47" s="1851"/>
      <c r="U47" s="2062"/>
      <c r="V47" s="1851"/>
      <c r="W47" s="2062"/>
      <c r="X47" s="1851"/>
      <c r="Y47" s="2062"/>
      <c r="Z47" s="1851"/>
      <c r="AA47" s="2061"/>
      <c r="AB47" s="2062"/>
      <c r="AC47" s="2106"/>
      <c r="AD47" s="3319"/>
      <c r="AE47" s="2062"/>
      <c r="AF47" s="2064"/>
      <c r="AG47" s="3319"/>
      <c r="AH47" s="1093"/>
      <c r="AI47" s="67"/>
      <c r="AJ47" s="914"/>
      <c r="AK47" s="914"/>
      <c r="AL47" s="1880"/>
      <c r="AM47" s="1881"/>
    </row>
    <row r="48" spans="1:39" s="906" customFormat="1" ht="15" customHeight="1">
      <c r="A48" s="1090"/>
      <c r="B48" s="911" t="s">
        <v>1258</v>
      </c>
      <c r="C48" s="107"/>
      <c r="D48" s="915">
        <v>0</v>
      </c>
      <c r="E48" s="1578"/>
      <c r="F48" s="915">
        <v>0.8</v>
      </c>
      <c r="G48" s="1578"/>
      <c r="H48" s="915">
        <v>1.4999999999999998</v>
      </c>
      <c r="I48" s="1578"/>
      <c r="J48" s="915">
        <f t="shared" si="5"/>
        <v>0</v>
      </c>
      <c r="K48" s="1584"/>
      <c r="L48" s="915"/>
      <c r="M48" s="1584"/>
      <c r="N48" s="915"/>
      <c r="O48" s="1584"/>
      <c r="P48" s="1851"/>
      <c r="Q48" s="2065"/>
      <c r="R48" s="1851"/>
      <c r="S48" s="2065"/>
      <c r="T48" s="1851"/>
      <c r="U48" s="2065"/>
      <c r="V48" s="1851"/>
      <c r="W48" s="2065"/>
      <c r="X48" s="1851"/>
      <c r="Y48" s="2065"/>
      <c r="Z48" s="1851"/>
      <c r="AA48" s="2066"/>
      <c r="AB48" s="2067"/>
      <c r="AC48" s="2069"/>
      <c r="AD48" s="1851">
        <v>2.2999999999999998</v>
      </c>
      <c r="AE48" s="2099"/>
      <c r="AF48" s="3327"/>
      <c r="AG48" s="1851">
        <v>2.1</v>
      </c>
      <c r="AH48" s="1093"/>
      <c r="AI48" s="67"/>
      <c r="AJ48" s="914">
        <f>ROUND(SUM(+AD48-AG48),1)</f>
        <v>0.2</v>
      </c>
      <c r="AK48" s="914"/>
      <c r="AL48" s="1786">
        <f>ROUND(IF(AG48=0,0,AJ48/ABS(AG48)),3)</f>
        <v>9.5000000000000001E-2</v>
      </c>
      <c r="AM48" s="1881"/>
    </row>
    <row r="49" spans="1:39" s="906" customFormat="1" ht="15" customHeight="1">
      <c r="A49" s="1090"/>
      <c r="B49" s="911" t="s">
        <v>1073</v>
      </c>
      <c r="C49" s="107"/>
      <c r="D49" s="915">
        <v>48.6</v>
      </c>
      <c r="E49" s="1578"/>
      <c r="F49" s="915">
        <v>36.9</v>
      </c>
      <c r="G49" s="1578"/>
      <c r="H49" s="915">
        <v>98</v>
      </c>
      <c r="I49" s="1578"/>
      <c r="J49" s="915">
        <f t="shared" si="5"/>
        <v>47.5</v>
      </c>
      <c r="K49" s="1584"/>
      <c r="L49" s="915"/>
      <c r="M49" s="1584"/>
      <c r="N49" s="915"/>
      <c r="O49" s="1584"/>
      <c r="P49" s="1851"/>
      <c r="Q49" s="2065"/>
      <c r="R49" s="1851"/>
      <c r="S49" s="2065"/>
      <c r="T49" s="1851"/>
      <c r="U49" s="2065"/>
      <c r="V49" s="1851"/>
      <c r="W49" s="2065"/>
      <c r="X49" s="1851"/>
      <c r="Y49" s="2065"/>
      <c r="Z49" s="1851"/>
      <c r="AA49" s="2066"/>
      <c r="AB49" s="2067"/>
      <c r="AC49" s="2069"/>
      <c r="AD49" s="1851">
        <v>231</v>
      </c>
      <c r="AE49" s="2099"/>
      <c r="AF49" s="3327"/>
      <c r="AG49" s="1851">
        <v>204.4</v>
      </c>
      <c r="AH49" s="1093"/>
      <c r="AI49" s="67"/>
      <c r="AJ49" s="914">
        <f t="shared" si="6"/>
        <v>26.6</v>
      </c>
      <c r="AK49" s="914"/>
      <c r="AL49" s="1880">
        <f t="shared" ref="AL49:AL54" si="7">ROUND(IF(AG49=0,0,AJ49/ABS(AG49)),3)</f>
        <v>0.13</v>
      </c>
      <c r="AM49" s="1881"/>
    </row>
    <row r="50" spans="1:39" s="906" customFormat="1" ht="15" customHeight="1">
      <c r="A50" s="1090"/>
      <c r="B50" s="911" t="s">
        <v>1074</v>
      </c>
      <c r="C50" s="107"/>
      <c r="D50" s="915">
        <v>3.6</v>
      </c>
      <c r="E50" s="1578"/>
      <c r="F50" s="915">
        <v>4.5999999999999996</v>
      </c>
      <c r="G50" s="1578"/>
      <c r="H50" s="915">
        <v>5.1000000000000014</v>
      </c>
      <c r="I50" s="1578"/>
      <c r="J50" s="915">
        <f t="shared" si="5"/>
        <v>4.1999999999999993</v>
      </c>
      <c r="K50" s="1584"/>
      <c r="L50" s="915"/>
      <c r="M50" s="1584"/>
      <c r="N50" s="915"/>
      <c r="O50" s="1584"/>
      <c r="P50" s="1851"/>
      <c r="Q50" s="2065"/>
      <c r="R50" s="1851"/>
      <c r="S50" s="2065"/>
      <c r="T50" s="1851"/>
      <c r="U50" s="2065"/>
      <c r="V50" s="1851"/>
      <c r="W50" s="2065"/>
      <c r="X50" s="1851"/>
      <c r="Y50" s="2065"/>
      <c r="Z50" s="1851"/>
      <c r="AA50" s="2066"/>
      <c r="AB50" s="2067"/>
      <c r="AC50" s="2069"/>
      <c r="AD50" s="1851">
        <v>17.5</v>
      </c>
      <c r="AE50" s="2099"/>
      <c r="AF50" s="3327"/>
      <c r="AG50" s="1851">
        <v>18.600000000000001</v>
      </c>
      <c r="AH50" s="1093"/>
      <c r="AI50" s="67"/>
      <c r="AJ50" s="914">
        <f t="shared" si="6"/>
        <v>-1.1000000000000001</v>
      </c>
      <c r="AK50" s="914"/>
      <c r="AL50" s="1880">
        <f t="shared" si="7"/>
        <v>-5.8999999999999997E-2</v>
      </c>
      <c r="AM50" s="1881"/>
    </row>
    <row r="51" spans="1:39" s="906" customFormat="1" ht="15" customHeight="1">
      <c r="A51" s="1090"/>
      <c r="B51" s="911" t="s">
        <v>1075</v>
      </c>
      <c r="C51" s="107"/>
      <c r="D51" s="915">
        <v>0.3</v>
      </c>
      <c r="E51" s="1578"/>
      <c r="F51" s="915">
        <v>0.39999999999999997</v>
      </c>
      <c r="G51" s="1578"/>
      <c r="H51" s="915">
        <v>1.1000000000000001</v>
      </c>
      <c r="I51" s="1578"/>
      <c r="J51" s="915">
        <f t="shared" si="5"/>
        <v>0</v>
      </c>
      <c r="K51" s="1584"/>
      <c r="L51" s="915"/>
      <c r="M51" s="1584"/>
      <c r="N51" s="915"/>
      <c r="O51" s="1584"/>
      <c r="P51" s="1851"/>
      <c r="Q51" s="2065"/>
      <c r="R51" s="1851"/>
      <c r="S51" s="2065"/>
      <c r="T51" s="1851"/>
      <c r="U51" s="2065"/>
      <c r="V51" s="1851"/>
      <c r="W51" s="2065"/>
      <c r="X51" s="1851"/>
      <c r="Y51" s="2065"/>
      <c r="Z51" s="1851"/>
      <c r="AA51" s="2066"/>
      <c r="AB51" s="2067"/>
      <c r="AC51" s="2069"/>
      <c r="AD51" s="1851">
        <v>1.8</v>
      </c>
      <c r="AE51" s="2099"/>
      <c r="AF51" s="3327"/>
      <c r="AG51" s="1851">
        <v>3</v>
      </c>
      <c r="AH51" s="1093"/>
      <c r="AI51" s="67"/>
      <c r="AJ51" s="914">
        <f t="shared" si="6"/>
        <v>-1.2</v>
      </c>
      <c r="AK51" s="914"/>
      <c r="AL51" s="1880">
        <f>ROUND(IF(AG51=0,1,AJ51/ABS(AG51)),3)</f>
        <v>-0.4</v>
      </c>
      <c r="AM51" s="1881"/>
    </row>
    <row r="52" spans="1:39" s="906" customFormat="1" ht="15" customHeight="1">
      <c r="A52" s="1090"/>
      <c r="B52" s="911" t="s">
        <v>1076</v>
      </c>
      <c r="C52" s="107"/>
      <c r="D52" s="915">
        <v>26</v>
      </c>
      <c r="E52" s="1578"/>
      <c r="F52" s="915">
        <v>26.6</v>
      </c>
      <c r="G52" s="1578"/>
      <c r="H52" s="915">
        <v>28.699999999999996</v>
      </c>
      <c r="I52" s="1578"/>
      <c r="J52" s="915">
        <f t="shared" si="5"/>
        <v>23.5</v>
      </c>
      <c r="K52" s="1584"/>
      <c r="L52" s="915"/>
      <c r="M52" s="1584"/>
      <c r="N52" s="915"/>
      <c r="O52" s="1584"/>
      <c r="P52" s="1851"/>
      <c r="Q52" s="2065"/>
      <c r="R52" s="1851"/>
      <c r="S52" s="2065"/>
      <c r="T52" s="1851"/>
      <c r="U52" s="2065"/>
      <c r="V52" s="1851"/>
      <c r="W52" s="2065"/>
      <c r="X52" s="1851"/>
      <c r="Y52" s="2065"/>
      <c r="Z52" s="1851"/>
      <c r="AA52" s="2066"/>
      <c r="AB52" s="2067"/>
      <c r="AC52" s="2069"/>
      <c r="AD52" s="1851">
        <v>104.8</v>
      </c>
      <c r="AE52" s="2099"/>
      <c r="AF52" s="3327"/>
      <c r="AG52" s="1851">
        <v>176.6</v>
      </c>
      <c r="AH52" s="1093"/>
      <c r="AI52" s="67"/>
      <c r="AJ52" s="914">
        <f t="shared" si="6"/>
        <v>-71.8</v>
      </c>
      <c r="AK52" s="914"/>
      <c r="AL52" s="1880">
        <f t="shared" si="7"/>
        <v>-0.40699999999999997</v>
      </c>
      <c r="AM52" s="1881"/>
    </row>
    <row r="53" spans="1:39" s="906" customFormat="1" ht="15" customHeight="1">
      <c r="A53" s="1090"/>
      <c r="B53" s="911" t="s">
        <v>1077</v>
      </c>
      <c r="C53" s="107"/>
      <c r="D53" s="915">
        <v>54</v>
      </c>
      <c r="E53" s="1578"/>
      <c r="F53" s="915">
        <v>45.599999999999994</v>
      </c>
      <c r="G53" s="1578"/>
      <c r="H53" s="915">
        <v>65.400000000000006</v>
      </c>
      <c r="I53" s="1578"/>
      <c r="J53" s="915">
        <f t="shared" si="5"/>
        <v>65.900000000000006</v>
      </c>
      <c r="K53" s="1584"/>
      <c r="L53" s="915"/>
      <c r="M53" s="1584"/>
      <c r="N53" s="915"/>
      <c r="O53" s="1584"/>
      <c r="P53" s="1851"/>
      <c r="Q53" s="2065"/>
      <c r="R53" s="1851"/>
      <c r="S53" s="2065"/>
      <c r="T53" s="1851"/>
      <c r="U53" s="2065"/>
      <c r="V53" s="1851"/>
      <c r="W53" s="2065"/>
      <c r="X53" s="1851"/>
      <c r="Y53" s="2065"/>
      <c r="Z53" s="1851"/>
      <c r="AA53" s="2066"/>
      <c r="AB53" s="2067"/>
      <c r="AC53" s="2069"/>
      <c r="AD53" s="1851">
        <v>230.9</v>
      </c>
      <c r="AE53" s="2099"/>
      <c r="AF53" s="3327"/>
      <c r="AG53" s="1851">
        <v>199.2</v>
      </c>
      <c r="AH53" s="1093"/>
      <c r="AI53" s="67"/>
      <c r="AJ53" s="914">
        <f t="shared" si="6"/>
        <v>31.7</v>
      </c>
      <c r="AK53" s="914"/>
      <c r="AL53" s="1880">
        <f t="shared" si="7"/>
        <v>0.159</v>
      </c>
      <c r="AM53" s="1881"/>
    </row>
    <row r="54" spans="1:39" s="906" customFormat="1" ht="15" customHeight="1">
      <c r="A54" s="1090"/>
      <c r="B54" s="911" t="s">
        <v>1035</v>
      </c>
      <c r="C54" s="107"/>
      <c r="D54" s="915">
        <v>7.6</v>
      </c>
      <c r="E54" s="1578"/>
      <c r="F54" s="915">
        <v>67.2</v>
      </c>
      <c r="G54" s="1578"/>
      <c r="H54" s="915">
        <v>106.7</v>
      </c>
      <c r="I54" s="1578"/>
      <c r="J54" s="915">
        <f t="shared" si="5"/>
        <v>4.8000000000000114</v>
      </c>
      <c r="K54" s="1584"/>
      <c r="L54" s="915"/>
      <c r="M54" s="1584"/>
      <c r="N54" s="915"/>
      <c r="O54" s="1584"/>
      <c r="P54" s="1851"/>
      <c r="Q54" s="2065"/>
      <c r="R54" s="1851"/>
      <c r="S54" s="2065"/>
      <c r="T54" s="1851"/>
      <c r="U54" s="2065"/>
      <c r="V54" s="1851"/>
      <c r="W54" s="2065"/>
      <c r="X54" s="1851"/>
      <c r="Y54" s="2065"/>
      <c r="Z54" s="1851"/>
      <c r="AA54" s="2066"/>
      <c r="AB54" s="2067"/>
      <c r="AC54" s="2069"/>
      <c r="AD54" s="1851">
        <v>186.3</v>
      </c>
      <c r="AE54" s="2099"/>
      <c r="AF54" s="3327"/>
      <c r="AG54" s="1851">
        <v>85.5</v>
      </c>
      <c r="AH54" s="1093"/>
      <c r="AI54" s="67"/>
      <c r="AJ54" s="914">
        <f t="shared" si="6"/>
        <v>100.8</v>
      </c>
      <c r="AK54" s="914"/>
      <c r="AL54" s="1791">
        <f t="shared" si="7"/>
        <v>1.179</v>
      </c>
      <c r="AM54" s="1881"/>
    </row>
    <row r="55" spans="1:39" s="906" customFormat="1" ht="15" customHeight="1">
      <c r="A55" s="1090"/>
      <c r="B55" s="911" t="s">
        <v>1158</v>
      </c>
      <c r="C55" s="107"/>
      <c r="D55" s="915" t="s">
        <v>15</v>
      </c>
      <c r="E55" s="1578"/>
      <c r="F55" s="915"/>
      <c r="G55" s="1578"/>
      <c r="H55" s="915"/>
      <c r="I55" s="1578"/>
      <c r="J55" s="915"/>
      <c r="K55" s="118"/>
      <c r="L55" s="915"/>
      <c r="M55" s="118"/>
      <c r="N55" s="915"/>
      <c r="O55" s="118"/>
      <c r="P55" s="1851"/>
      <c r="Q55" s="2062"/>
      <c r="R55" s="1851"/>
      <c r="S55" s="2062"/>
      <c r="T55" s="1851"/>
      <c r="U55" s="2062"/>
      <c r="V55" s="1851"/>
      <c r="W55" s="2062"/>
      <c r="X55" s="1851"/>
      <c r="Y55" s="2062"/>
      <c r="Z55" s="1851"/>
      <c r="AA55" s="2061"/>
      <c r="AB55" s="2062"/>
      <c r="AC55" s="2106"/>
      <c r="AD55" s="2062"/>
      <c r="AE55" s="2062"/>
      <c r="AF55" s="2064"/>
      <c r="AG55" s="2062"/>
      <c r="AH55" s="1093"/>
      <c r="AI55" s="67"/>
      <c r="AJ55" s="914"/>
      <c r="AK55" s="914"/>
      <c r="AL55" s="1880"/>
      <c r="AM55" s="1881"/>
    </row>
    <row r="56" spans="1:39" s="906" customFormat="1" ht="15" customHeight="1">
      <c r="A56" s="1090"/>
      <c r="B56" s="911" t="s">
        <v>1078</v>
      </c>
      <c r="C56" s="107"/>
      <c r="D56" s="915">
        <v>31.4</v>
      </c>
      <c r="E56" s="1578"/>
      <c r="F56" s="915">
        <v>18.800000000000004</v>
      </c>
      <c r="G56" s="1578"/>
      <c r="H56" s="915">
        <v>19.700000000000003</v>
      </c>
      <c r="I56" s="1578"/>
      <c r="J56" s="915">
        <f t="shared" si="5"/>
        <v>37.699999999999982</v>
      </c>
      <c r="K56" s="1584"/>
      <c r="L56" s="915"/>
      <c r="M56" s="1584"/>
      <c r="N56" s="915"/>
      <c r="O56" s="1584"/>
      <c r="P56" s="1851"/>
      <c r="Q56" s="2065"/>
      <c r="R56" s="1851"/>
      <c r="S56" s="2065"/>
      <c r="T56" s="1851"/>
      <c r="U56" s="2065"/>
      <c r="V56" s="1851"/>
      <c r="W56" s="2065"/>
      <c r="X56" s="1851"/>
      <c r="Y56" s="2065"/>
      <c r="Z56" s="1851"/>
      <c r="AA56" s="2066"/>
      <c r="AB56" s="2067"/>
      <c r="AC56" s="2069"/>
      <c r="AD56" s="1851">
        <v>107.6</v>
      </c>
      <c r="AE56" s="2099"/>
      <c r="AF56" s="3327"/>
      <c r="AG56" s="1851">
        <v>91.2</v>
      </c>
      <c r="AH56" s="1093"/>
      <c r="AI56" s="67"/>
      <c r="AJ56" s="914">
        <f t="shared" si="6"/>
        <v>16.399999999999999</v>
      </c>
      <c r="AK56" s="914"/>
      <c r="AL56" s="1791">
        <f>ROUND(IF(AG56=0,0,AJ56/ABS(AG56)),3)</f>
        <v>0.18</v>
      </c>
      <c r="AM56" s="1881"/>
    </row>
    <row r="57" spans="1:39" s="906" customFormat="1" ht="15" customHeight="1">
      <c r="A57" s="1090"/>
      <c r="B57" s="911" t="s">
        <v>1079</v>
      </c>
      <c r="C57" s="107"/>
      <c r="D57" s="915">
        <v>218.4</v>
      </c>
      <c r="E57" s="1578"/>
      <c r="F57" s="915">
        <v>262</v>
      </c>
      <c r="G57" s="1578"/>
      <c r="H57" s="915">
        <v>202.30000000000007</v>
      </c>
      <c r="I57" s="1578"/>
      <c r="J57" s="915">
        <f t="shared" si="5"/>
        <v>225.69999999999993</v>
      </c>
      <c r="K57" s="1584"/>
      <c r="L57" s="915"/>
      <c r="M57" s="1584"/>
      <c r="N57" s="915"/>
      <c r="O57" s="1584"/>
      <c r="P57" s="1851"/>
      <c r="Q57" s="2065"/>
      <c r="R57" s="1851"/>
      <c r="S57" s="2065"/>
      <c r="T57" s="1851"/>
      <c r="U57" s="2065"/>
      <c r="V57" s="1851"/>
      <c r="W57" s="2065"/>
      <c r="X57" s="1851"/>
      <c r="Y57" s="2065"/>
      <c r="Z57" s="1851"/>
      <c r="AA57" s="2066"/>
      <c r="AB57" s="2067"/>
      <c r="AC57" s="2069"/>
      <c r="AD57" s="1851">
        <v>908.4</v>
      </c>
      <c r="AE57" s="2099"/>
      <c r="AF57" s="3327"/>
      <c r="AG57" s="1851">
        <v>804.8</v>
      </c>
      <c r="AH57" s="1093"/>
      <c r="AI57" s="67"/>
      <c r="AJ57" s="914">
        <f t="shared" si="6"/>
        <v>103.6</v>
      </c>
      <c r="AK57" s="914"/>
      <c r="AL57" s="1880">
        <f>ROUND(IF(AG57=0,0,AJ57/ABS(AG57)),3)</f>
        <v>0.129</v>
      </c>
      <c r="AM57" s="1881"/>
    </row>
    <row r="58" spans="1:39" s="906" customFormat="1" ht="15" customHeight="1">
      <c r="A58" s="1090"/>
      <c r="B58" s="911" t="s">
        <v>1080</v>
      </c>
      <c r="C58" s="107"/>
      <c r="D58" s="915">
        <v>76.599999999999994</v>
      </c>
      <c r="E58" s="1578"/>
      <c r="F58" s="915">
        <v>88.5</v>
      </c>
      <c r="G58" s="1578"/>
      <c r="H58" s="915">
        <v>63.200000000000017</v>
      </c>
      <c r="I58" s="1578"/>
      <c r="J58" s="915">
        <f t="shared" si="5"/>
        <v>89.5</v>
      </c>
      <c r="K58" s="1584"/>
      <c r="L58" s="915"/>
      <c r="M58" s="1584"/>
      <c r="N58" s="915"/>
      <c r="O58" s="1584"/>
      <c r="P58" s="1851"/>
      <c r="Q58" s="2065"/>
      <c r="R58" s="1851"/>
      <c r="S58" s="2065"/>
      <c r="T58" s="1851"/>
      <c r="U58" s="2065"/>
      <c r="V58" s="1851"/>
      <c r="W58" s="2065"/>
      <c r="X58" s="1851"/>
      <c r="Y58" s="2065"/>
      <c r="Z58" s="1851"/>
      <c r="AA58" s="2066"/>
      <c r="AB58" s="2067"/>
      <c r="AC58" s="2069"/>
      <c r="AD58" s="1851">
        <v>317.8</v>
      </c>
      <c r="AE58" s="2099"/>
      <c r="AF58" s="3327"/>
      <c r="AG58" s="1851">
        <v>298</v>
      </c>
      <c r="AH58" s="1093"/>
      <c r="AI58" s="67"/>
      <c r="AJ58" s="914">
        <f t="shared" si="6"/>
        <v>19.8</v>
      </c>
      <c r="AK58" s="914"/>
      <c r="AL58" s="1880">
        <f>ROUND(IF(AG58=0,0,AJ58/ABS(AG58)),3)</f>
        <v>6.6000000000000003E-2</v>
      </c>
      <c r="AM58" s="1881"/>
    </row>
    <row r="59" spans="1:39" ht="15" customHeight="1">
      <c r="A59" s="150"/>
      <c r="B59" s="911" t="s">
        <v>1036</v>
      </c>
      <c r="C59" s="31"/>
      <c r="D59" s="915">
        <v>19.399999999999999</v>
      </c>
      <c r="E59" s="1578"/>
      <c r="F59" s="915">
        <v>18.200000000000003</v>
      </c>
      <c r="G59" s="1578"/>
      <c r="H59" s="915">
        <v>21.5</v>
      </c>
      <c r="I59" s="1578"/>
      <c r="J59" s="915">
        <f t="shared" si="5"/>
        <v>19.699999999999996</v>
      </c>
      <c r="K59" s="1584"/>
      <c r="L59" s="915"/>
      <c r="M59" s="1584"/>
      <c r="N59" s="915"/>
      <c r="O59" s="1584"/>
      <c r="P59" s="1851"/>
      <c r="Q59" s="2065"/>
      <c r="R59" s="1851"/>
      <c r="S59" s="2065"/>
      <c r="T59" s="1851"/>
      <c r="U59" s="2065"/>
      <c r="V59" s="1851"/>
      <c r="W59" s="2065"/>
      <c r="X59" s="1851"/>
      <c r="Y59" s="2065"/>
      <c r="Z59" s="1851"/>
      <c r="AA59" s="2066"/>
      <c r="AB59" s="2067"/>
      <c r="AC59" s="2069"/>
      <c r="AD59" s="1851">
        <v>78.8</v>
      </c>
      <c r="AE59" s="2099"/>
      <c r="AF59" s="3327"/>
      <c r="AG59" s="1851">
        <v>45.1</v>
      </c>
      <c r="AH59" s="276"/>
      <c r="AI59" s="56"/>
      <c r="AJ59" s="656">
        <f t="shared" si="6"/>
        <v>33.700000000000003</v>
      </c>
      <c r="AK59" s="656"/>
      <c r="AL59" s="1471">
        <f>ROUND(IF(AG59=0,0,AJ59/ABS(AG59)),3)</f>
        <v>0.747</v>
      </c>
      <c r="AM59" s="802"/>
    </row>
    <row r="60" spans="1:39" s="906" customFormat="1" ht="15" customHeight="1">
      <c r="A60" s="1090"/>
      <c r="B60" s="911" t="s">
        <v>1159</v>
      </c>
      <c r="C60" s="107"/>
      <c r="D60" s="915" t="s">
        <v>15</v>
      </c>
      <c r="E60" s="1578"/>
      <c r="F60" s="915"/>
      <c r="G60" s="1578"/>
      <c r="H60" s="915"/>
      <c r="I60" s="1578"/>
      <c r="J60" s="915"/>
      <c r="K60" s="118"/>
      <c r="L60" s="915"/>
      <c r="M60" s="118"/>
      <c r="N60" s="915"/>
      <c r="O60" s="118"/>
      <c r="P60" s="1851"/>
      <c r="Q60" s="2062"/>
      <c r="R60" s="1851"/>
      <c r="S60" s="2062"/>
      <c r="T60" s="1851"/>
      <c r="U60" s="2062"/>
      <c r="V60" s="1851"/>
      <c r="W60" s="2062"/>
      <c r="X60" s="1851"/>
      <c r="Y60" s="2062"/>
      <c r="Z60" s="1851"/>
      <c r="AA60" s="2061"/>
      <c r="AB60" s="2062"/>
      <c r="AC60" s="2106"/>
      <c r="AD60" s="2062"/>
      <c r="AE60" s="2062"/>
      <c r="AF60" s="2064"/>
      <c r="AG60" s="2062"/>
      <c r="AH60" s="1093"/>
      <c r="AI60" s="67"/>
      <c r="AJ60" s="914"/>
      <c r="AK60" s="914"/>
      <c r="AL60" s="1880"/>
      <c r="AM60" s="1881"/>
    </row>
    <row r="61" spans="1:39" s="906" customFormat="1" ht="15" customHeight="1">
      <c r="A61" s="1090"/>
      <c r="B61" s="911" t="s">
        <v>1081</v>
      </c>
      <c r="C61" s="107"/>
      <c r="D61" s="915">
        <v>0</v>
      </c>
      <c r="E61" s="1578"/>
      <c r="F61" s="915">
        <v>0</v>
      </c>
      <c r="G61" s="1578"/>
      <c r="H61" s="915">
        <v>0</v>
      </c>
      <c r="I61" s="1578"/>
      <c r="J61" s="915">
        <f t="shared" si="5"/>
        <v>0</v>
      </c>
      <c r="K61" s="1584"/>
      <c r="L61" s="915"/>
      <c r="M61" s="1584"/>
      <c r="N61" s="915"/>
      <c r="O61" s="1584"/>
      <c r="P61" s="1851"/>
      <c r="Q61" s="2065"/>
      <c r="R61" s="1851"/>
      <c r="S61" s="2065"/>
      <c r="T61" s="1851"/>
      <c r="U61" s="2065"/>
      <c r="V61" s="1851"/>
      <c r="W61" s="2065"/>
      <c r="X61" s="1851"/>
      <c r="Y61" s="2065"/>
      <c r="Z61" s="1851"/>
      <c r="AA61" s="2066"/>
      <c r="AB61" s="2067"/>
      <c r="AC61" s="2069"/>
      <c r="AD61" s="1851">
        <v>0</v>
      </c>
      <c r="AE61" s="2099"/>
      <c r="AF61" s="3327"/>
      <c r="AG61" s="1851">
        <v>0</v>
      </c>
      <c r="AH61" s="1093"/>
      <c r="AI61" s="67"/>
      <c r="AJ61" s="914">
        <f t="shared" si="6"/>
        <v>0</v>
      </c>
      <c r="AK61" s="914"/>
      <c r="AL61" s="1880">
        <f>ROUND(IF(AG61=0,0,AJ61/ABS(AG61)),3)</f>
        <v>0</v>
      </c>
      <c r="AM61" s="1881"/>
    </row>
    <row r="62" spans="1:39" s="906" customFormat="1" ht="15" customHeight="1">
      <c r="A62" s="1090"/>
      <c r="B62" s="911" t="s">
        <v>1082</v>
      </c>
      <c r="C62" s="107"/>
      <c r="D62" s="915">
        <v>0</v>
      </c>
      <c r="E62" s="1578"/>
      <c r="F62" s="915">
        <v>0</v>
      </c>
      <c r="G62" s="1578"/>
      <c r="H62" s="915">
        <v>0</v>
      </c>
      <c r="I62" s="1578"/>
      <c r="J62" s="915">
        <f t="shared" si="5"/>
        <v>0</v>
      </c>
      <c r="K62" s="1584"/>
      <c r="L62" s="915"/>
      <c r="M62" s="1584"/>
      <c r="N62" s="915"/>
      <c r="O62" s="1584"/>
      <c r="P62" s="1851"/>
      <c r="Q62" s="2065"/>
      <c r="R62" s="1851"/>
      <c r="S62" s="2065"/>
      <c r="T62" s="1851"/>
      <c r="U62" s="2065"/>
      <c r="V62" s="1851"/>
      <c r="W62" s="2065"/>
      <c r="X62" s="1851"/>
      <c r="Y62" s="2065"/>
      <c r="Z62" s="1851"/>
      <c r="AA62" s="2066"/>
      <c r="AB62" s="2067"/>
      <c r="AC62" s="2069"/>
      <c r="AD62" s="1851">
        <v>0</v>
      </c>
      <c r="AE62" s="2099"/>
      <c r="AF62" s="3327"/>
      <c r="AG62" s="1851">
        <v>20.399999999999999</v>
      </c>
      <c r="AH62" s="1093"/>
      <c r="AI62" s="67"/>
      <c r="AJ62" s="914">
        <f t="shared" si="6"/>
        <v>-20.399999999999999</v>
      </c>
      <c r="AK62" s="914"/>
      <c r="AL62" s="1880">
        <f>ROUND(IF(AG62=0,0,AJ62/ABS(AG62)),3)</f>
        <v>-1</v>
      </c>
      <c r="AM62" s="1881"/>
    </row>
    <row r="63" spans="1:39" s="906" customFormat="1" ht="15" customHeight="1">
      <c r="A63" s="1090"/>
      <c r="B63" s="911" t="s">
        <v>1083</v>
      </c>
      <c r="C63" s="107"/>
      <c r="D63" s="915">
        <v>2</v>
      </c>
      <c r="E63" s="1578"/>
      <c r="F63" s="915">
        <v>1</v>
      </c>
      <c r="G63" s="1578"/>
      <c r="H63" s="915">
        <v>4.2</v>
      </c>
      <c r="I63" s="1578"/>
      <c r="J63" s="915">
        <f t="shared" si="5"/>
        <v>0</v>
      </c>
      <c r="K63" s="1584"/>
      <c r="L63" s="915"/>
      <c r="M63" s="1584"/>
      <c r="N63" s="915"/>
      <c r="O63" s="1584"/>
      <c r="P63" s="1851"/>
      <c r="Q63" s="2065"/>
      <c r="R63" s="1851"/>
      <c r="S63" s="2065"/>
      <c r="T63" s="1851"/>
      <c r="U63" s="2065"/>
      <c r="V63" s="1851"/>
      <c r="W63" s="2065"/>
      <c r="X63" s="1851"/>
      <c r="Y63" s="2065"/>
      <c r="Z63" s="1851"/>
      <c r="AA63" s="2066"/>
      <c r="AB63" s="2067"/>
      <c r="AC63" s="2069"/>
      <c r="AD63" s="1851">
        <v>7.2</v>
      </c>
      <c r="AE63" s="2099"/>
      <c r="AF63" s="3327"/>
      <c r="AG63" s="1851">
        <v>7.2</v>
      </c>
      <c r="AH63" s="1093"/>
      <c r="AI63" s="67"/>
      <c r="AJ63" s="914">
        <f t="shared" si="6"/>
        <v>0</v>
      </c>
      <c r="AK63" s="914"/>
      <c r="AL63" s="1891">
        <f>ROUND(IF(AG63=0,0,AJ63/ABS(AG63)),3)</f>
        <v>0</v>
      </c>
      <c r="AM63" s="1881"/>
    </row>
    <row r="64" spans="1:39" s="906" customFormat="1" ht="15" customHeight="1">
      <c r="A64" s="1090"/>
      <c r="B64" s="911" t="s">
        <v>1084</v>
      </c>
      <c r="C64" s="107"/>
      <c r="D64" s="915">
        <v>0.6</v>
      </c>
      <c r="E64" s="1578"/>
      <c r="F64" s="915">
        <v>4.7</v>
      </c>
      <c r="G64" s="1578"/>
      <c r="H64" s="915">
        <v>4.3</v>
      </c>
      <c r="I64" s="1578"/>
      <c r="J64" s="915">
        <f t="shared" si="5"/>
        <v>13.5</v>
      </c>
      <c r="K64" s="1584"/>
      <c r="L64" s="915"/>
      <c r="M64" s="1584"/>
      <c r="N64" s="915"/>
      <c r="O64" s="1584"/>
      <c r="P64" s="1851"/>
      <c r="Q64" s="2065"/>
      <c r="R64" s="1851"/>
      <c r="S64" s="2065"/>
      <c r="T64" s="1851"/>
      <c r="U64" s="2065"/>
      <c r="V64" s="1851"/>
      <c r="W64" s="2065"/>
      <c r="X64" s="1851"/>
      <c r="Y64" s="2065"/>
      <c r="Z64" s="1851"/>
      <c r="AA64" s="2066"/>
      <c r="AB64" s="2067"/>
      <c r="AC64" s="2069"/>
      <c r="AD64" s="1851">
        <v>23.1</v>
      </c>
      <c r="AE64" s="2099"/>
      <c r="AF64" s="3327"/>
      <c r="AG64" s="1851">
        <v>22.4</v>
      </c>
      <c r="AH64" s="1093"/>
      <c r="AI64" s="67"/>
      <c r="AJ64" s="914">
        <f t="shared" si="6"/>
        <v>0.7</v>
      </c>
      <c r="AK64" s="914"/>
      <c r="AL64" s="1786">
        <f t="shared" ref="AL64:AL66" si="8">ROUND(IF(AG64=0,0,AJ64/ABS(AG64)),3)</f>
        <v>3.1E-2</v>
      </c>
      <c r="AM64" s="1881"/>
    </row>
    <row r="65" spans="1:39" s="906" customFormat="1" ht="15" customHeight="1">
      <c r="A65" s="1090"/>
      <c r="B65" s="911" t="s">
        <v>1054</v>
      </c>
      <c r="C65" s="107"/>
      <c r="D65" s="915">
        <v>9.4</v>
      </c>
      <c r="E65" s="1578"/>
      <c r="F65" s="915">
        <v>2.6999999999999993</v>
      </c>
      <c r="G65" s="1578"/>
      <c r="H65" s="915">
        <v>6.2999999999999989</v>
      </c>
      <c r="I65" s="1578"/>
      <c r="J65" s="915">
        <f t="shared" si="5"/>
        <v>3.6000000000000014</v>
      </c>
      <c r="K65" s="1584"/>
      <c r="L65" s="915"/>
      <c r="M65" s="1584"/>
      <c r="N65" s="915"/>
      <c r="O65" s="1584"/>
      <c r="P65" s="1851"/>
      <c r="Q65" s="2065"/>
      <c r="R65" s="1851"/>
      <c r="S65" s="2065"/>
      <c r="T65" s="1851"/>
      <c r="U65" s="2065"/>
      <c r="V65" s="1851"/>
      <c r="W65" s="2065"/>
      <c r="X65" s="1851"/>
      <c r="Y65" s="2065"/>
      <c r="Z65" s="1851"/>
      <c r="AA65" s="2066"/>
      <c r="AB65" s="2067"/>
      <c r="AC65" s="2069"/>
      <c r="AD65" s="1851">
        <v>22</v>
      </c>
      <c r="AE65" s="2099"/>
      <c r="AF65" s="3327"/>
      <c r="AG65" s="1851">
        <v>28.8</v>
      </c>
      <c r="AH65" s="1093"/>
      <c r="AI65" s="67"/>
      <c r="AJ65" s="914">
        <f t="shared" si="6"/>
        <v>-6.8</v>
      </c>
      <c r="AK65" s="914"/>
      <c r="AL65" s="1880">
        <f t="shared" si="8"/>
        <v>-0.23599999999999999</v>
      </c>
      <c r="AM65" s="1881"/>
    </row>
    <row r="66" spans="1:39" s="906" customFormat="1" ht="15" customHeight="1">
      <c r="A66" s="1090"/>
      <c r="B66" s="911" t="s">
        <v>1055</v>
      </c>
      <c r="C66" s="107"/>
      <c r="D66" s="915">
        <v>39</v>
      </c>
      <c r="E66" s="1578"/>
      <c r="F66" s="915">
        <v>28.200000000000003</v>
      </c>
      <c r="G66" s="1578"/>
      <c r="H66" s="915">
        <v>8.3999999999999915</v>
      </c>
      <c r="I66" s="1578"/>
      <c r="J66" s="915">
        <f t="shared" si="5"/>
        <v>29.300000000000011</v>
      </c>
      <c r="K66" s="1584"/>
      <c r="L66" s="915"/>
      <c r="M66" s="1584"/>
      <c r="N66" s="915"/>
      <c r="O66" s="1584"/>
      <c r="P66" s="1851"/>
      <c r="Q66" s="2065"/>
      <c r="R66" s="1851"/>
      <c r="S66" s="2065"/>
      <c r="T66" s="1851"/>
      <c r="U66" s="2065"/>
      <c r="V66" s="1851"/>
      <c r="W66" s="2065"/>
      <c r="X66" s="1851"/>
      <c r="Y66" s="2065"/>
      <c r="Z66" s="1851"/>
      <c r="AA66" s="2066"/>
      <c r="AB66" s="2067"/>
      <c r="AC66" s="2069"/>
      <c r="AD66" s="1851">
        <v>104.9</v>
      </c>
      <c r="AE66" s="2099"/>
      <c r="AF66" s="3327"/>
      <c r="AG66" s="1851">
        <v>121.1</v>
      </c>
      <c r="AH66" s="1093"/>
      <c r="AI66" s="67"/>
      <c r="AJ66" s="914">
        <f t="shared" si="6"/>
        <v>-16.2</v>
      </c>
      <c r="AK66" s="914"/>
      <c r="AL66" s="1891">
        <f t="shared" si="8"/>
        <v>-0.13400000000000001</v>
      </c>
      <c r="AM66" s="1881"/>
    </row>
    <row r="67" spans="1:39" s="906" customFormat="1" ht="17.25" customHeight="1">
      <c r="A67" s="1090"/>
      <c r="B67" s="911" t="s">
        <v>1160</v>
      </c>
      <c r="C67" s="107"/>
      <c r="D67" s="915" t="s">
        <v>15</v>
      </c>
      <c r="E67" s="1578"/>
      <c r="F67" s="915"/>
      <c r="G67" s="1578"/>
      <c r="H67" s="915"/>
      <c r="I67" s="1578"/>
      <c r="J67" s="915"/>
      <c r="K67" s="118"/>
      <c r="L67" s="915"/>
      <c r="M67" s="118"/>
      <c r="N67" s="915"/>
      <c r="O67" s="118"/>
      <c r="P67" s="1851"/>
      <c r="Q67" s="2062"/>
      <c r="R67" s="1851"/>
      <c r="S67" s="2062"/>
      <c r="T67" s="1851"/>
      <c r="U67" s="2062"/>
      <c r="V67" s="1851"/>
      <c r="W67" s="2062"/>
      <c r="X67" s="1851"/>
      <c r="Y67" s="2062"/>
      <c r="Z67" s="1851"/>
      <c r="AA67" s="2061"/>
      <c r="AB67" s="2062"/>
      <c r="AC67" s="2106"/>
      <c r="AD67" s="2062"/>
      <c r="AE67" s="2062"/>
      <c r="AF67" s="2064"/>
      <c r="AG67" s="2062"/>
      <c r="AH67" s="1093"/>
      <c r="AI67" s="67"/>
      <c r="AJ67" s="914"/>
      <c r="AK67" s="914"/>
      <c r="AL67" s="1880"/>
      <c r="AM67" s="1881"/>
    </row>
    <row r="68" spans="1:39" s="906" customFormat="1" ht="15" customHeight="1">
      <c r="A68" s="1090"/>
      <c r="B68" s="911" t="s">
        <v>1085</v>
      </c>
      <c r="C68" s="107"/>
      <c r="D68" s="915">
        <v>1.4</v>
      </c>
      <c r="E68" s="1578"/>
      <c r="F68" s="915">
        <v>1.8000000000000003</v>
      </c>
      <c r="G68" s="1578"/>
      <c r="H68" s="915">
        <v>4.5999999999999996</v>
      </c>
      <c r="I68" s="1578"/>
      <c r="J68" s="915">
        <f t="shared" si="5"/>
        <v>17.600000000000001</v>
      </c>
      <c r="K68" s="1584"/>
      <c r="L68" s="915"/>
      <c r="M68" s="1584"/>
      <c r="N68" s="915"/>
      <c r="O68" s="1584"/>
      <c r="P68" s="1851"/>
      <c r="Q68" s="2065"/>
      <c r="R68" s="1851"/>
      <c r="S68" s="2065"/>
      <c r="T68" s="1851"/>
      <c r="U68" s="2065"/>
      <c r="V68" s="1851"/>
      <c r="W68" s="2065"/>
      <c r="X68" s="1851"/>
      <c r="Y68" s="2065"/>
      <c r="Z68" s="1851"/>
      <c r="AA68" s="2066"/>
      <c r="AB68" s="2067"/>
      <c r="AC68" s="2069"/>
      <c r="AD68" s="1851">
        <v>25.4</v>
      </c>
      <c r="AE68" s="2099"/>
      <c r="AF68" s="3327"/>
      <c r="AG68" s="1851">
        <v>25.5</v>
      </c>
      <c r="AH68" s="1093"/>
      <c r="AI68" s="67"/>
      <c r="AJ68" s="914">
        <f t="shared" si="6"/>
        <v>-0.1</v>
      </c>
      <c r="AK68" s="914"/>
      <c r="AL68" s="1891">
        <f>ROUND(IF(AG68=0,0,AJ68/ABS(AG68)),3)</f>
        <v>-4.0000000000000001E-3</v>
      </c>
      <c r="AM68" s="1881"/>
    </row>
    <row r="69" spans="1:39" s="906" customFormat="1" ht="15" customHeight="1">
      <c r="A69" s="1090"/>
      <c r="B69" s="911" t="s">
        <v>1086</v>
      </c>
      <c r="C69" s="107"/>
      <c r="D69" s="915">
        <v>0.5</v>
      </c>
      <c r="E69" s="1578"/>
      <c r="F69" s="1063">
        <v>0.4</v>
      </c>
      <c r="G69" s="1578"/>
      <c r="H69" s="915">
        <v>0.6</v>
      </c>
      <c r="I69" s="1578"/>
      <c r="J69" s="915">
        <f t="shared" si="5"/>
        <v>0.4000000000000058</v>
      </c>
      <c r="K69" s="1584"/>
      <c r="L69" s="915"/>
      <c r="M69" s="1584"/>
      <c r="N69" s="915"/>
      <c r="O69" s="1584"/>
      <c r="P69" s="1851"/>
      <c r="Q69" s="2065"/>
      <c r="R69" s="1851"/>
      <c r="S69" s="2065"/>
      <c r="T69" s="1851"/>
      <c r="U69" s="2065"/>
      <c r="V69" s="1851"/>
      <c r="W69" s="2065"/>
      <c r="X69" s="1851"/>
      <c r="Y69" s="2065"/>
      <c r="Z69" s="1851"/>
      <c r="AA69" s="2066"/>
      <c r="AB69" s="2067"/>
      <c r="AC69" s="2069"/>
      <c r="AD69" s="1851">
        <v>1.9000000000000057</v>
      </c>
      <c r="AE69" s="2099"/>
      <c r="AF69" s="3327"/>
      <c r="AG69" s="1851">
        <v>1.7</v>
      </c>
      <c r="AH69" s="1093"/>
      <c r="AI69" s="67"/>
      <c r="AJ69" s="914">
        <f t="shared" si="6"/>
        <v>0.2</v>
      </c>
      <c r="AK69" s="914"/>
      <c r="AL69" s="1880">
        <f>ROUND(IF(AG69=0,1,AJ69/ABS(AG69)),3)</f>
        <v>0.11799999999999999</v>
      </c>
      <c r="AM69" s="1881"/>
    </row>
    <row r="70" spans="1:39" s="906" customFormat="1" ht="15" customHeight="1">
      <c r="A70" s="1090"/>
      <c r="B70" s="911" t="s">
        <v>1397</v>
      </c>
      <c r="C70" s="107"/>
      <c r="D70" s="915">
        <v>0</v>
      </c>
      <c r="E70" s="1578"/>
      <c r="F70" s="915">
        <v>0</v>
      </c>
      <c r="G70" s="1578"/>
      <c r="H70" s="915">
        <v>0</v>
      </c>
      <c r="I70" s="1578"/>
      <c r="J70" s="915">
        <f t="shared" si="5"/>
        <v>0</v>
      </c>
      <c r="K70" s="1584"/>
      <c r="L70" s="915"/>
      <c r="M70" s="1584"/>
      <c r="N70" s="915"/>
      <c r="O70" s="1584"/>
      <c r="P70" s="1851"/>
      <c r="Q70" s="2065"/>
      <c r="R70" s="1851"/>
      <c r="S70" s="2065"/>
      <c r="T70" s="1851"/>
      <c r="U70" s="2065"/>
      <c r="V70" s="1851"/>
      <c r="W70" s="2065"/>
      <c r="X70" s="1851"/>
      <c r="Y70" s="2065"/>
      <c r="Z70" s="1851"/>
      <c r="AA70" s="2066"/>
      <c r="AB70" s="2067"/>
      <c r="AC70" s="2069"/>
      <c r="AD70" s="1851">
        <v>0</v>
      </c>
      <c r="AE70" s="2099"/>
      <c r="AF70" s="3329"/>
      <c r="AG70" s="1851">
        <v>1000</v>
      </c>
      <c r="AH70" s="1093"/>
      <c r="AI70" s="67"/>
      <c r="AJ70" s="914">
        <f t="shared" ref="AJ70" si="9">ROUND(SUM(+AD70-AG70),1)</f>
        <v>-1000</v>
      </c>
      <c r="AK70" s="914"/>
      <c r="AL70" s="1880">
        <f>ROUND(IF(AG70=0,0,AJ70/ABS(AG70)),3)</f>
        <v>-1</v>
      </c>
      <c r="AM70" s="1881"/>
    </row>
    <row r="71" spans="1:39" s="906" customFormat="1" ht="15" customHeight="1">
      <c r="A71" s="1090"/>
      <c r="B71" s="911" t="s">
        <v>1087</v>
      </c>
      <c r="C71" s="107"/>
      <c r="D71" s="915">
        <v>0.8</v>
      </c>
      <c r="E71" s="1578"/>
      <c r="F71" s="915">
        <v>1</v>
      </c>
      <c r="G71" s="1578"/>
      <c r="H71" s="915">
        <v>2.8</v>
      </c>
      <c r="I71" s="1578"/>
      <c r="J71" s="915">
        <f t="shared" si="5"/>
        <v>0.30000000000000071</v>
      </c>
      <c r="K71" s="1584"/>
      <c r="L71" s="915"/>
      <c r="M71" s="1584"/>
      <c r="N71" s="915"/>
      <c r="O71" s="1584"/>
      <c r="P71" s="1851"/>
      <c r="Q71" s="2065"/>
      <c r="R71" s="1851"/>
      <c r="S71" s="2065"/>
      <c r="T71" s="1851"/>
      <c r="U71" s="2065"/>
      <c r="V71" s="1851"/>
      <c r="W71" s="2065"/>
      <c r="X71" s="1851"/>
      <c r="Y71" s="2065"/>
      <c r="Z71" s="1851"/>
      <c r="AA71" s="2066"/>
      <c r="AB71" s="2067"/>
      <c r="AC71" s="2069"/>
      <c r="AD71" s="1851">
        <v>4.9000000000000004</v>
      </c>
      <c r="AE71" s="2099"/>
      <c r="AF71" s="3327"/>
      <c r="AG71" s="1851">
        <v>7.9</v>
      </c>
      <c r="AH71" s="1093"/>
      <c r="AI71" s="67"/>
      <c r="AJ71" s="914">
        <f t="shared" si="6"/>
        <v>-3</v>
      </c>
      <c r="AK71" s="914"/>
      <c r="AL71" s="1891">
        <f t="shared" ref="AL71:AL74" si="10">ROUND(IF(AG71=0,0,AJ71/ABS(AG71)),3)</f>
        <v>-0.38</v>
      </c>
      <c r="AM71" s="1881"/>
    </row>
    <row r="72" spans="1:39" s="906" customFormat="1" ht="15" customHeight="1">
      <c r="A72" s="1090"/>
      <c r="B72" s="911" t="s">
        <v>1088</v>
      </c>
      <c r="C72" s="107"/>
      <c r="D72" s="915">
        <v>0.9</v>
      </c>
      <c r="E72" s="1578"/>
      <c r="F72" s="915">
        <v>0</v>
      </c>
      <c r="G72" s="1578"/>
      <c r="H72" s="915">
        <v>0</v>
      </c>
      <c r="I72" s="1578"/>
      <c r="J72" s="915">
        <f t="shared" si="5"/>
        <v>0</v>
      </c>
      <c r="K72" s="1584"/>
      <c r="L72" s="915"/>
      <c r="M72" s="1584"/>
      <c r="N72" s="915"/>
      <c r="O72" s="1584"/>
      <c r="P72" s="1851"/>
      <c r="Q72" s="2065"/>
      <c r="R72" s="1851"/>
      <c r="S72" s="2065"/>
      <c r="T72" s="1851"/>
      <c r="U72" s="2065"/>
      <c r="V72" s="1851"/>
      <c r="W72" s="2065"/>
      <c r="X72" s="1851"/>
      <c r="Y72" s="2065"/>
      <c r="Z72" s="1851"/>
      <c r="AA72" s="2066"/>
      <c r="AB72" s="2067"/>
      <c r="AC72" s="2069"/>
      <c r="AD72" s="1851">
        <v>0.9</v>
      </c>
      <c r="AE72" s="2099"/>
      <c r="AF72" s="3327"/>
      <c r="AG72" s="1851">
        <v>0</v>
      </c>
      <c r="AH72" s="1093"/>
      <c r="AI72" s="67"/>
      <c r="AJ72" s="914">
        <f t="shared" si="6"/>
        <v>0.9</v>
      </c>
      <c r="AK72" s="914"/>
      <c r="AL72" s="1880">
        <f>ROUND(IF(AG72=0,1,AJ72/ABS(AG72)),3)</f>
        <v>1</v>
      </c>
      <c r="AM72" s="1881"/>
    </row>
    <row r="73" spans="1:39" s="906" customFormat="1" ht="15" customHeight="1">
      <c r="A73" s="1090"/>
      <c r="B73" s="911" t="s">
        <v>1089</v>
      </c>
      <c r="C73" s="107"/>
      <c r="D73" s="915">
        <v>204.3</v>
      </c>
      <c r="E73" s="1578"/>
      <c r="F73" s="915">
        <v>156.19999999999999</v>
      </c>
      <c r="G73" s="1578"/>
      <c r="H73" s="915">
        <v>154.89999999999998</v>
      </c>
      <c r="I73" s="1578"/>
      <c r="J73" s="915">
        <f t="shared" si="5"/>
        <v>222.30000000000013</v>
      </c>
      <c r="K73" s="1584"/>
      <c r="L73" s="915"/>
      <c r="M73" s="1584"/>
      <c r="N73" s="915"/>
      <c r="O73" s="1584"/>
      <c r="P73" s="1851"/>
      <c r="Q73" s="2065"/>
      <c r="R73" s="1851"/>
      <c r="S73" s="2065"/>
      <c r="T73" s="1851"/>
      <c r="U73" s="2065"/>
      <c r="V73" s="1851"/>
      <c r="W73" s="2065"/>
      <c r="X73" s="1851"/>
      <c r="Y73" s="2065"/>
      <c r="Z73" s="1851"/>
      <c r="AA73" s="2066"/>
      <c r="AB73" s="2067"/>
      <c r="AC73" s="2069"/>
      <c r="AD73" s="1851">
        <v>737.7</v>
      </c>
      <c r="AE73" s="2099"/>
      <c r="AF73" s="3327"/>
      <c r="AG73" s="1851">
        <v>763.2</v>
      </c>
      <c r="AH73" s="1093"/>
      <c r="AI73" s="67"/>
      <c r="AJ73" s="914">
        <f t="shared" si="6"/>
        <v>-25.5</v>
      </c>
      <c r="AK73" s="914"/>
      <c r="AL73" s="1880">
        <f t="shared" si="10"/>
        <v>-3.3000000000000002E-2</v>
      </c>
      <c r="AM73" s="1881"/>
    </row>
    <row r="74" spans="1:39" s="906" customFormat="1" ht="15" customHeight="1">
      <c r="A74" s="1090"/>
      <c r="B74" s="911" t="s">
        <v>1090</v>
      </c>
      <c r="C74" s="107"/>
      <c r="D74" s="915">
        <v>5.2</v>
      </c>
      <c r="E74" s="1578"/>
      <c r="F74" s="915">
        <v>1</v>
      </c>
      <c r="G74" s="1578"/>
      <c r="H74" s="915">
        <v>6.7</v>
      </c>
      <c r="I74" s="1578"/>
      <c r="J74" s="915">
        <f t="shared" si="5"/>
        <v>13.600000000000001</v>
      </c>
      <c r="K74" s="1584"/>
      <c r="L74" s="915"/>
      <c r="M74" s="1584"/>
      <c r="N74" s="915"/>
      <c r="O74" s="1584"/>
      <c r="P74" s="1851"/>
      <c r="Q74" s="2065"/>
      <c r="R74" s="1851"/>
      <c r="S74" s="2065"/>
      <c r="T74" s="1851"/>
      <c r="U74" s="2065"/>
      <c r="V74" s="1851"/>
      <c r="W74" s="2065"/>
      <c r="X74" s="1851"/>
      <c r="Y74" s="2065"/>
      <c r="Z74" s="1851"/>
      <c r="AA74" s="2066"/>
      <c r="AB74" s="2067"/>
      <c r="AC74" s="2069"/>
      <c r="AD74" s="1851">
        <v>26.5</v>
      </c>
      <c r="AE74" s="2099"/>
      <c r="AF74" s="3327"/>
      <c r="AG74" s="1851">
        <v>14.7</v>
      </c>
      <c r="AH74" s="1093"/>
      <c r="AI74" s="67"/>
      <c r="AJ74" s="914">
        <f t="shared" si="6"/>
        <v>11.8</v>
      </c>
      <c r="AK74" s="914"/>
      <c r="AL74" s="1891">
        <f t="shared" si="10"/>
        <v>0.80300000000000005</v>
      </c>
      <c r="AM74" s="1881"/>
    </row>
    <row r="75" spans="1:39" s="906" customFormat="1" ht="15" customHeight="1">
      <c r="A75" s="1090"/>
      <c r="B75" s="911" t="s">
        <v>1091</v>
      </c>
      <c r="C75" s="107"/>
      <c r="D75" s="915">
        <v>7.6</v>
      </c>
      <c r="E75" s="1578"/>
      <c r="F75" s="915">
        <v>1.2000000000000011</v>
      </c>
      <c r="G75" s="1578"/>
      <c r="H75" s="915">
        <v>0.79999999999999893</v>
      </c>
      <c r="I75" s="1578"/>
      <c r="J75" s="915">
        <f t="shared" si="5"/>
        <v>1</v>
      </c>
      <c r="K75" s="1584"/>
      <c r="L75" s="915"/>
      <c r="M75" s="1584"/>
      <c r="N75" s="915"/>
      <c r="O75" s="1584"/>
      <c r="P75" s="1851"/>
      <c r="Q75" s="2065"/>
      <c r="R75" s="1851"/>
      <c r="S75" s="2065"/>
      <c r="T75" s="1851"/>
      <c r="U75" s="2065"/>
      <c r="V75" s="1851"/>
      <c r="W75" s="2065"/>
      <c r="X75" s="1851"/>
      <c r="Y75" s="2065"/>
      <c r="Z75" s="1851"/>
      <c r="AA75" s="2066"/>
      <c r="AB75" s="2067"/>
      <c r="AC75" s="2069"/>
      <c r="AD75" s="1851">
        <v>10.6</v>
      </c>
      <c r="AE75" s="2099"/>
      <c r="AF75" s="3327"/>
      <c r="AG75" s="1851">
        <v>56.2</v>
      </c>
      <c r="AH75" s="1093"/>
      <c r="AI75" s="67"/>
      <c r="AJ75" s="914">
        <f t="shared" si="6"/>
        <v>-45.6</v>
      </c>
      <c r="AK75" s="914"/>
      <c r="AL75" s="1891">
        <f>ROUND(IF(AG75=0,1,AJ75/ABS(AG75)),3)</f>
        <v>-0.81100000000000005</v>
      </c>
      <c r="AM75" s="1881"/>
    </row>
    <row r="76" spans="1:39" s="906" customFormat="1" ht="15" customHeight="1">
      <c r="A76" s="1090"/>
      <c r="B76" s="911" t="s">
        <v>1092</v>
      </c>
      <c r="C76" s="107"/>
      <c r="D76" s="915">
        <v>7.5</v>
      </c>
      <c r="E76" s="914"/>
      <c r="F76" s="915">
        <v>3.0999999999999996</v>
      </c>
      <c r="G76" s="914"/>
      <c r="H76" s="915">
        <v>8.5000000000000018</v>
      </c>
      <c r="I76" s="914"/>
      <c r="J76" s="915">
        <f t="shared" si="5"/>
        <v>7.4999999999999982</v>
      </c>
      <c r="K76" s="1584"/>
      <c r="L76" s="915"/>
      <c r="M76" s="1584"/>
      <c r="N76" s="915"/>
      <c r="O76" s="1584"/>
      <c r="P76" s="1851"/>
      <c r="Q76" s="2065"/>
      <c r="R76" s="1851"/>
      <c r="S76" s="2065"/>
      <c r="T76" s="1851"/>
      <c r="U76" s="2065"/>
      <c r="V76" s="1851"/>
      <c r="W76" s="2065"/>
      <c r="X76" s="1851"/>
      <c r="Y76" s="2065"/>
      <c r="Z76" s="1851"/>
      <c r="AA76" s="2066"/>
      <c r="AB76" s="2067"/>
      <c r="AC76" s="2069"/>
      <c r="AD76" s="1851">
        <v>26.6</v>
      </c>
      <c r="AE76" s="2099"/>
      <c r="AF76" s="3327"/>
      <c r="AG76" s="1851">
        <v>38.299999999999997</v>
      </c>
      <c r="AH76" s="1093"/>
      <c r="AI76" s="67"/>
      <c r="AJ76" s="914">
        <f t="shared" si="6"/>
        <v>-11.7</v>
      </c>
      <c r="AK76" s="914"/>
      <c r="AL76" s="1880">
        <f>ROUND(IF(AG76=0,0,AJ76/ABS(AG76)),3)</f>
        <v>-0.30499999999999999</v>
      </c>
      <c r="AM76" s="1881"/>
    </row>
    <row r="77" spans="1:39" s="906" customFormat="1" ht="15" customHeight="1">
      <c r="A77" s="1090"/>
      <c r="B77" s="911" t="s">
        <v>1093</v>
      </c>
      <c r="C77" s="107"/>
      <c r="D77" s="1063">
        <v>40.9</v>
      </c>
      <c r="E77" s="914"/>
      <c r="F77" s="1063">
        <v>36.9</v>
      </c>
      <c r="G77" s="914"/>
      <c r="H77" s="915">
        <v>57.399999999999984</v>
      </c>
      <c r="I77" s="914"/>
      <c r="J77" s="915">
        <f t="shared" si="5"/>
        <v>39.20000000000001</v>
      </c>
      <c r="K77" s="1584"/>
      <c r="L77" s="1063"/>
      <c r="M77" s="1584"/>
      <c r="N77" s="1063"/>
      <c r="O77" s="1584"/>
      <c r="P77" s="1851"/>
      <c r="Q77" s="2065"/>
      <c r="R77" s="1851"/>
      <c r="S77" s="2065"/>
      <c r="T77" s="1851"/>
      <c r="U77" s="2065"/>
      <c r="V77" s="1851"/>
      <c r="W77" s="2065"/>
      <c r="X77" s="1851"/>
      <c r="Y77" s="2065"/>
      <c r="Z77" s="1851"/>
      <c r="AA77" s="2066"/>
      <c r="AB77" s="2067"/>
      <c r="AC77" s="2068"/>
      <c r="AD77" s="1851">
        <v>174.4</v>
      </c>
      <c r="AE77" s="2067"/>
      <c r="AF77" s="2069"/>
      <c r="AG77" s="1851">
        <v>159.1</v>
      </c>
      <c r="AH77" s="1093"/>
      <c r="AI77" s="67"/>
      <c r="AJ77" s="914">
        <f t="shared" si="6"/>
        <v>15.3</v>
      </c>
      <c r="AK77" s="914"/>
      <c r="AL77" s="1891">
        <f>ROUND(IF(AG77=0,0,AJ77/ABS(AG77)),3)</f>
        <v>9.6000000000000002E-2</v>
      </c>
      <c r="AM77" s="1881"/>
    </row>
    <row r="78" spans="1:39" ht="15" customHeight="1">
      <c r="A78" s="150"/>
      <c r="B78" s="911" t="s">
        <v>1065</v>
      </c>
      <c r="C78" s="31"/>
      <c r="D78" s="915">
        <v>0.9</v>
      </c>
      <c r="E78" s="914"/>
      <c r="F78" s="915">
        <v>0.79999999999999993</v>
      </c>
      <c r="G78" s="914"/>
      <c r="H78" s="915">
        <v>1.5000000000000004</v>
      </c>
      <c r="I78" s="914"/>
      <c r="J78" s="915">
        <f t="shared" si="5"/>
        <v>2.4999999999999996</v>
      </c>
      <c r="K78" s="1584"/>
      <c r="L78" s="915"/>
      <c r="M78" s="1584"/>
      <c r="N78" s="915"/>
      <c r="O78" s="1584"/>
      <c r="P78" s="1851"/>
      <c r="Q78" s="2065"/>
      <c r="R78" s="1851"/>
      <c r="S78" s="2065"/>
      <c r="T78" s="1851"/>
      <c r="U78" s="2065"/>
      <c r="V78" s="1851"/>
      <c r="W78" s="2065"/>
      <c r="X78" s="1851"/>
      <c r="Y78" s="2065"/>
      <c r="Z78" s="1851"/>
      <c r="AA78" s="2066"/>
      <c r="AB78" s="2067"/>
      <c r="AC78" s="2068"/>
      <c r="AD78" s="1851">
        <v>5.7</v>
      </c>
      <c r="AE78" s="2067"/>
      <c r="AF78" s="2069"/>
      <c r="AG78" s="1851">
        <v>7.7999999999999545</v>
      </c>
      <c r="AH78" s="276"/>
      <c r="AI78" s="56"/>
      <c r="AJ78" s="656">
        <f t="shared" si="6"/>
        <v>-2.1</v>
      </c>
      <c r="AK78" s="656"/>
      <c r="AL78" s="1471">
        <f>ROUND(IF(AG78=0,0,AJ78/ABS(AG78)),3)</f>
        <v>-0.26900000000000002</v>
      </c>
      <c r="AM78" s="802"/>
    </row>
    <row r="79" spans="1:39" s="906" customFormat="1" ht="15" customHeight="1">
      <c r="A79" s="1090"/>
      <c r="B79" s="911" t="s">
        <v>1066</v>
      </c>
      <c r="C79" s="107"/>
      <c r="D79" s="915">
        <v>52</v>
      </c>
      <c r="E79" s="914"/>
      <c r="F79" s="915">
        <v>48.099999999999994</v>
      </c>
      <c r="G79" s="914"/>
      <c r="H79" s="915">
        <v>34.900000000000006</v>
      </c>
      <c r="I79" s="914"/>
      <c r="J79" s="915">
        <f t="shared" si="5"/>
        <v>45</v>
      </c>
      <c r="K79" s="1584"/>
      <c r="L79" s="915"/>
      <c r="M79" s="1584"/>
      <c r="N79" s="915"/>
      <c r="O79" s="1584"/>
      <c r="P79" s="1851"/>
      <c r="Q79" s="2065"/>
      <c r="R79" s="1851"/>
      <c r="S79" s="2065"/>
      <c r="T79" s="1851"/>
      <c r="U79" s="2065"/>
      <c r="V79" s="1851"/>
      <c r="W79" s="2065"/>
      <c r="X79" s="1851"/>
      <c r="Y79" s="2065"/>
      <c r="Z79" s="1851"/>
      <c r="AA79" s="2066"/>
      <c r="AB79" s="2067"/>
      <c r="AC79" s="2069"/>
      <c r="AD79" s="1851">
        <v>180</v>
      </c>
      <c r="AE79" s="2099"/>
      <c r="AF79" s="3327"/>
      <c r="AG79" s="1851">
        <v>218.7</v>
      </c>
      <c r="AH79" s="1093"/>
      <c r="AI79" s="67"/>
      <c r="AJ79" s="914">
        <f t="shared" si="6"/>
        <v>-38.700000000000003</v>
      </c>
      <c r="AK79" s="914"/>
      <c r="AL79" s="1880">
        <f>ROUND(IF(AG79=0,0,AJ79/ABS(AG79)),3)</f>
        <v>-0.17699999999999999</v>
      </c>
      <c r="AM79" s="1881"/>
    </row>
    <row r="80" spans="1:39" s="906" customFormat="1" ht="15" customHeight="1">
      <c r="A80" s="1090"/>
      <c r="B80" s="312" t="s">
        <v>1203</v>
      </c>
      <c r="C80" s="107"/>
      <c r="D80" s="1902">
        <f>ROUND(SUM(D41:D79),1)</f>
        <v>1557.2</v>
      </c>
      <c r="E80" s="914"/>
      <c r="F80" s="1902">
        <f>ROUND(SUM(F41:F79),1)</f>
        <v>1411.2</v>
      </c>
      <c r="G80" s="914"/>
      <c r="H80" s="1902">
        <f>ROUND(SUM(H41:H79),1)</f>
        <v>1509.6</v>
      </c>
      <c r="I80" s="914"/>
      <c r="J80" s="1902">
        <f>ROUND(SUM(J41:J79),1)</f>
        <v>1531.9</v>
      </c>
      <c r="K80" s="118"/>
      <c r="L80" s="1586">
        <f>ROUND(SUM(L41:L79),1)</f>
        <v>0</v>
      </c>
      <c r="M80" s="118"/>
      <c r="N80" s="1586">
        <f>ROUND(SUM(N41:N79),1)</f>
        <v>0</v>
      </c>
      <c r="O80" s="118"/>
      <c r="P80" s="1500">
        <f>ROUND(SUM(P41:P79),1)</f>
        <v>0</v>
      </c>
      <c r="Q80" s="2062"/>
      <c r="R80" s="1500">
        <f>ROUND(SUM(R41:R79),1)</f>
        <v>0</v>
      </c>
      <c r="S80" s="2062"/>
      <c r="T80" s="1500">
        <f>ROUND(SUM(T41:T79),1)</f>
        <v>0</v>
      </c>
      <c r="U80" s="2062"/>
      <c r="V80" s="1500">
        <f>ROUND(SUM(V41:V79),1)</f>
        <v>0</v>
      </c>
      <c r="W80" s="2062"/>
      <c r="X80" s="1500">
        <f>ROUND(SUM(X41:X79),1)</f>
        <v>0</v>
      </c>
      <c r="Y80" s="2062"/>
      <c r="Z80" s="1500">
        <f>ROUND(SUM(Z41:Z79),1)</f>
        <v>0</v>
      </c>
      <c r="AA80" s="1502"/>
      <c r="AB80" s="2062"/>
      <c r="AC80" s="2106"/>
      <c r="AD80" s="1500">
        <f>ROUND(SUM(AD41:AD79),1)</f>
        <v>6009.9</v>
      </c>
      <c r="AE80" s="2062"/>
      <c r="AF80" s="2064"/>
      <c r="AG80" s="1500">
        <f>ROUND(SUM(AG41:AG79),1)</f>
        <v>6713.8</v>
      </c>
      <c r="AH80" s="1093"/>
      <c r="AI80" s="67"/>
      <c r="AJ80" s="1586">
        <f>ROUND(SUM(AJ41:AJ79),1)</f>
        <v>-703.9</v>
      </c>
      <c r="AK80" s="914"/>
      <c r="AL80" s="1882">
        <f>ROUND(SUM(+AJ80/AG80),3)</f>
        <v>-0.105</v>
      </c>
      <c r="AM80" s="1881"/>
    </row>
    <row r="81" spans="1:39" s="906" customFormat="1" ht="15" customHeight="1">
      <c r="A81" s="1090"/>
      <c r="B81" s="312"/>
      <c r="C81" s="107"/>
      <c r="D81" s="115"/>
      <c r="E81" s="914"/>
      <c r="F81" s="115"/>
      <c r="G81" s="914"/>
      <c r="H81" s="115"/>
      <c r="I81" s="914"/>
      <c r="J81" s="115"/>
      <c r="K81" s="118"/>
      <c r="L81" s="115"/>
      <c r="M81" s="118"/>
      <c r="N81" s="115"/>
      <c r="O81" s="118"/>
      <c r="P81" s="1502"/>
      <c r="Q81" s="2062"/>
      <c r="R81" s="1502"/>
      <c r="S81" s="2062"/>
      <c r="T81" s="1502"/>
      <c r="U81" s="2062"/>
      <c r="V81" s="1502"/>
      <c r="W81" s="2062"/>
      <c r="X81" s="1502"/>
      <c r="Y81" s="2062"/>
      <c r="Z81" s="1502"/>
      <c r="AA81" s="1502"/>
      <c r="AB81" s="2062"/>
      <c r="AC81" s="2106"/>
      <c r="AD81" s="1502"/>
      <c r="AE81" s="2062"/>
      <c r="AF81" s="2064"/>
      <c r="AG81" s="1502"/>
      <c r="AH81" s="1093"/>
      <c r="AI81" s="67"/>
      <c r="AJ81" s="115"/>
      <c r="AK81" s="914"/>
      <c r="AL81" s="1883"/>
      <c r="AM81" s="1881"/>
    </row>
    <row r="82" spans="1:39" s="906" customFormat="1" ht="15" customHeight="1">
      <c r="A82" s="1090"/>
      <c r="B82" s="1878" t="s">
        <v>150</v>
      </c>
      <c r="C82" s="107"/>
      <c r="D82" s="915">
        <v>0</v>
      </c>
      <c r="E82" s="914"/>
      <c r="F82" s="915">
        <v>0</v>
      </c>
      <c r="G82" s="914"/>
      <c r="H82" s="915">
        <v>-0.9</v>
      </c>
      <c r="I82" s="914"/>
      <c r="J82" s="915">
        <f t="shared" si="5"/>
        <v>9.9999999999999978E-2</v>
      </c>
      <c r="K82" s="1584"/>
      <c r="L82" s="915"/>
      <c r="M82" s="1584"/>
      <c r="N82" s="915"/>
      <c r="O82" s="1584"/>
      <c r="P82" s="1851"/>
      <c r="Q82" s="2065"/>
      <c r="R82" s="1851"/>
      <c r="S82" s="2065"/>
      <c r="T82" s="1851"/>
      <c r="U82" s="2065"/>
      <c r="V82" s="3608"/>
      <c r="W82" s="2065"/>
      <c r="X82" s="1851"/>
      <c r="Y82" s="2065"/>
      <c r="Z82" s="1851"/>
      <c r="AA82" s="2066"/>
      <c r="AB82" s="2067"/>
      <c r="AC82" s="2069"/>
      <c r="AD82" s="1851">
        <v>-0.8</v>
      </c>
      <c r="AE82" s="2099"/>
      <c r="AF82" s="3327"/>
      <c r="AG82" s="1851">
        <v>-2.7</v>
      </c>
      <c r="AH82" s="1093"/>
      <c r="AI82" s="67"/>
      <c r="AJ82" s="1043">
        <f>ROUND(SUM(+AD82-AG82),1)</f>
        <v>1.9</v>
      </c>
      <c r="AK82" s="914"/>
      <c r="AL82" s="1786">
        <f>ROUND(IF(AG82=0,1,AJ82/ABS(AG82)),3)</f>
        <v>0.70399999999999996</v>
      </c>
      <c r="AM82" s="1881"/>
    </row>
    <row r="83" spans="1:39" ht="15" customHeight="1">
      <c r="A83" s="150"/>
      <c r="B83" s="31"/>
      <c r="C83" s="31"/>
      <c r="D83" s="704"/>
      <c r="E83" s="1578"/>
      <c r="F83" s="704"/>
      <c r="G83" s="1578"/>
      <c r="H83" s="704"/>
      <c r="I83" s="1578"/>
      <c r="J83" s="704"/>
      <c r="K83" s="66"/>
      <c r="L83" s="88"/>
      <c r="M83" s="66"/>
      <c r="N83" s="88"/>
      <c r="O83" s="66"/>
      <c r="P83" s="2072"/>
      <c r="Q83" s="2073"/>
      <c r="R83" s="2072"/>
      <c r="S83" s="2073"/>
      <c r="T83" s="2072"/>
      <c r="U83" s="2073"/>
      <c r="V83" s="2072"/>
      <c r="W83" s="2073"/>
      <c r="X83" s="2072"/>
      <c r="Y83" s="2073"/>
      <c r="Z83" s="2072"/>
      <c r="AA83" s="2074"/>
      <c r="AB83" s="2073"/>
      <c r="AC83" s="2104"/>
      <c r="AD83" s="2118"/>
      <c r="AE83" s="2043"/>
      <c r="AF83" s="2064"/>
      <c r="AG83" s="2118"/>
      <c r="AH83" s="276"/>
      <c r="AI83" s="56"/>
      <c r="AJ83" s="1443"/>
      <c r="AK83" s="939"/>
      <c r="AL83" s="1486"/>
      <c r="AM83" s="802"/>
    </row>
    <row r="84" spans="1:39" ht="15" customHeight="1">
      <c r="A84" s="150"/>
      <c r="B84" s="29" t="s">
        <v>151</v>
      </c>
      <c r="C84" s="31"/>
      <c r="D84" s="941">
        <f>ROUND(SUM(D37+D80+D82),1)</f>
        <v>1959</v>
      </c>
      <c r="E84" s="941"/>
      <c r="F84" s="941">
        <f>ROUND(SUM(F37+F80+F82),1)</f>
        <v>1598.5</v>
      </c>
      <c r="G84" s="941"/>
      <c r="H84" s="941">
        <f>ROUND(SUM(H37+H80+H82),1)</f>
        <v>1972.1</v>
      </c>
      <c r="I84" s="941"/>
      <c r="J84" s="941">
        <f>ROUND(SUM(J37+J80+J82),1)</f>
        <v>1780.2</v>
      </c>
      <c r="K84" s="941"/>
      <c r="L84" s="941">
        <f>ROUND(SUM(L37+L80+L82),1)</f>
        <v>0</v>
      </c>
      <c r="M84" s="941"/>
      <c r="N84" s="941">
        <f>ROUND(SUM(N37+N80+N82),1)</f>
        <v>0</v>
      </c>
      <c r="O84" s="941"/>
      <c r="P84" s="1501">
        <f>ROUND(SUM(P37+P80+P82),1)</f>
        <v>0</v>
      </c>
      <c r="Q84" s="1501"/>
      <c r="R84" s="1501">
        <f>ROUND(SUM(R37+R80+R82),1)</f>
        <v>0</v>
      </c>
      <c r="S84" s="1501"/>
      <c r="T84" s="1501">
        <f>ROUND(SUM(T37+T80+T82),1)</f>
        <v>0</v>
      </c>
      <c r="U84" s="1501"/>
      <c r="V84" s="1501">
        <f>ROUND(SUM(V37+V80+V82),1)</f>
        <v>0</v>
      </c>
      <c r="W84" s="1501"/>
      <c r="X84" s="1501">
        <f>ROUND(SUM(X37+X80+X82),1)</f>
        <v>0</v>
      </c>
      <c r="Y84" s="1501"/>
      <c r="Z84" s="1501">
        <f>ROUND(SUM(Z37+Z80+Z82),1)</f>
        <v>0</v>
      </c>
      <c r="AA84" s="1501"/>
      <c r="AB84" s="1501"/>
      <c r="AC84" s="2107"/>
      <c r="AD84" s="2117">
        <f>ROUND(SUM(AD37+AD80+AD82),1)</f>
        <v>7309.8</v>
      </c>
      <c r="AE84" s="1502"/>
      <c r="AF84" s="3311"/>
      <c r="AG84" s="2117">
        <f>ROUND(SUM(AG37+AG80+AG82),1)</f>
        <v>7989.9</v>
      </c>
      <c r="AH84" s="283"/>
      <c r="AI84" s="76"/>
      <c r="AJ84" s="847">
        <f>ROUND(SUM(AJ37+AJ80+AJ82),1)</f>
        <v>-680.1</v>
      </c>
      <c r="AK84" s="285"/>
      <c r="AL84" s="1475">
        <f>ROUND(SUM((AD84-AG84)/ABS(AG84)),3)</f>
        <v>-8.5000000000000006E-2</v>
      </c>
      <c r="AM84" s="802"/>
    </row>
    <row r="85" spans="1:39" ht="15" customHeight="1">
      <c r="A85" s="150"/>
      <c r="B85" s="31"/>
      <c r="C85" s="31"/>
      <c r="D85" s="704"/>
      <c r="E85" s="1578"/>
      <c r="F85" s="704"/>
      <c r="G85" s="1578"/>
      <c r="H85" s="704"/>
      <c r="I85" s="1578"/>
      <c r="J85" s="704"/>
      <c r="K85" s="66"/>
      <c r="L85" s="88"/>
      <c r="M85" s="66"/>
      <c r="N85" s="88"/>
      <c r="O85" s="66"/>
      <c r="P85" s="2072"/>
      <c r="Q85" s="2073"/>
      <c r="R85" s="2072"/>
      <c r="S85" s="2073"/>
      <c r="T85" s="2072"/>
      <c r="U85" s="2073"/>
      <c r="V85" s="2072"/>
      <c r="W85" s="2073"/>
      <c r="X85" s="2072"/>
      <c r="Y85" s="2073"/>
      <c r="Z85" s="2072"/>
      <c r="AA85" s="2074"/>
      <c r="AB85" s="2073"/>
      <c r="AC85" s="2104"/>
      <c r="AD85" s="2118"/>
      <c r="AE85" s="2043"/>
      <c r="AF85" s="2064"/>
      <c r="AG85" s="2118"/>
      <c r="AH85" s="276"/>
      <c r="AI85" s="56"/>
      <c r="AJ85" s="656"/>
      <c r="AK85" s="939"/>
      <c r="AL85" s="1471"/>
      <c r="AM85" s="802"/>
    </row>
    <row r="86" spans="1:39" ht="15" customHeight="1">
      <c r="A86" s="150"/>
      <c r="B86" s="173" t="s">
        <v>23</v>
      </c>
      <c r="C86" s="31"/>
      <c r="D86" s="1578"/>
      <c r="E86" s="1578"/>
      <c r="F86" s="1578"/>
      <c r="G86" s="1578"/>
      <c r="H86" s="1578"/>
      <c r="I86" s="1578"/>
      <c r="J86" s="1578"/>
      <c r="K86" s="66"/>
      <c r="L86" s="66"/>
      <c r="M86" s="66"/>
      <c r="N86" s="66"/>
      <c r="O86" s="66"/>
      <c r="P86" s="2073"/>
      <c r="Q86" s="2073"/>
      <c r="R86" s="2073"/>
      <c r="S86" s="2073"/>
      <c r="T86" s="2073"/>
      <c r="U86" s="2073"/>
      <c r="V86" s="2073"/>
      <c r="W86" s="2073"/>
      <c r="X86" s="2073"/>
      <c r="Y86" s="2073"/>
      <c r="Z86" s="2073"/>
      <c r="AA86" s="2073"/>
      <c r="AB86" s="2073"/>
      <c r="AC86" s="2104"/>
      <c r="AD86" s="2062"/>
      <c r="AE86" s="2043"/>
      <c r="AF86" s="2064"/>
      <c r="AG86" s="2062"/>
      <c r="AH86" s="276"/>
      <c r="AI86" s="56"/>
      <c r="AJ86" s="656"/>
      <c r="AK86" s="939"/>
      <c r="AL86" s="1471"/>
      <c r="AM86" s="802"/>
    </row>
    <row r="87" spans="1:39" ht="12.75" customHeight="1">
      <c r="A87" s="150"/>
      <c r="B87" s="706" t="s">
        <v>152</v>
      </c>
      <c r="C87" s="31"/>
      <c r="D87" s="695"/>
      <c r="E87" s="1578"/>
      <c r="F87" s="695"/>
      <c r="G87" s="1578"/>
      <c r="H87" s="1578"/>
      <c r="I87" s="1578"/>
      <c r="J87" s="695"/>
      <c r="K87" s="66"/>
      <c r="L87" s="77"/>
      <c r="M87" s="66"/>
      <c r="N87" s="77"/>
      <c r="O87" s="66"/>
      <c r="P87" s="2082"/>
      <c r="Q87" s="2073"/>
      <c r="R87" s="2082"/>
      <c r="S87" s="2073"/>
      <c r="T87" s="2082"/>
      <c r="U87" s="2073"/>
      <c r="V87" s="2073"/>
      <c r="W87" s="2073"/>
      <c r="X87" s="2082"/>
      <c r="Y87" s="2073"/>
      <c r="Z87" s="2073"/>
      <c r="AA87" s="2073"/>
      <c r="AB87" s="2073"/>
      <c r="AC87" s="2104"/>
      <c r="AD87" s="2060"/>
      <c r="AE87" s="2062"/>
      <c r="AF87" s="2064"/>
      <c r="AG87" s="2060"/>
      <c r="AH87" s="276"/>
      <c r="AI87" s="56"/>
      <c r="AJ87" s="656"/>
      <c r="AK87" s="939"/>
      <c r="AL87" s="1487"/>
      <c r="AM87" s="802"/>
    </row>
    <row r="88" spans="1:39" s="906" customFormat="1" ht="15" customHeight="1">
      <c r="A88" s="1090"/>
      <c r="B88" s="1875" t="s">
        <v>25</v>
      </c>
      <c r="C88" s="107"/>
      <c r="D88" s="915">
        <v>0.2</v>
      </c>
      <c r="E88" s="1578"/>
      <c r="F88" s="915">
        <v>0.49999999999999994</v>
      </c>
      <c r="G88" s="1578"/>
      <c r="H88" s="915">
        <v>349.3</v>
      </c>
      <c r="I88" s="1578"/>
      <c r="J88" s="915">
        <f t="shared" ref="J88:J97" si="11">$AD88-$D88-$F88-$H88</f>
        <v>0.19999999999998863</v>
      </c>
      <c r="K88" s="1584"/>
      <c r="L88" s="915"/>
      <c r="M88" s="1584"/>
      <c r="N88" s="915"/>
      <c r="O88" s="1584"/>
      <c r="P88" s="1851"/>
      <c r="Q88" s="2065"/>
      <c r="R88" s="1851"/>
      <c r="S88" s="2065"/>
      <c r="T88" s="1851"/>
      <c r="U88" s="2065"/>
      <c r="V88" s="1851"/>
      <c r="W88" s="2065"/>
      <c r="X88" s="1851"/>
      <c r="Y88" s="2065"/>
      <c r="Z88" s="1851"/>
      <c r="AA88" s="2066"/>
      <c r="AB88" s="2067"/>
      <c r="AC88" s="2069"/>
      <c r="AD88" s="1851">
        <v>350.2</v>
      </c>
      <c r="AE88" s="2099"/>
      <c r="AF88" s="3327"/>
      <c r="AG88" s="1851">
        <v>328.2</v>
      </c>
      <c r="AH88" s="1093"/>
      <c r="AI88" s="67"/>
      <c r="AJ88" s="914">
        <f>ROUND(SUM(+AD88-AG88),1)</f>
        <v>22</v>
      </c>
      <c r="AK88" s="914"/>
      <c r="AL88" s="1791">
        <f>ROUND(IF(AG88=0,1,AJ88/ABS(AG88)),3)</f>
        <v>6.7000000000000004E-2</v>
      </c>
      <c r="AM88" s="1881"/>
    </row>
    <row r="89" spans="1:39" s="906" customFormat="1" ht="15" customHeight="1">
      <c r="A89" s="1090"/>
      <c r="B89" s="1875" t="s">
        <v>26</v>
      </c>
      <c r="C89" s="107"/>
      <c r="D89" s="915">
        <v>0.1</v>
      </c>
      <c r="E89" s="1578"/>
      <c r="F89" s="915">
        <v>0</v>
      </c>
      <c r="G89" s="1578"/>
      <c r="H89" s="915">
        <v>0.5</v>
      </c>
      <c r="I89" s="1578"/>
      <c r="J89" s="915">
        <f t="shared" si="11"/>
        <v>-9.9999999999999978E-2</v>
      </c>
      <c r="K89" s="1584"/>
      <c r="L89" s="915"/>
      <c r="M89" s="1584"/>
      <c r="N89" s="915"/>
      <c r="O89" s="1584"/>
      <c r="P89" s="1851"/>
      <c r="Q89" s="2065"/>
      <c r="R89" s="1851"/>
      <c r="S89" s="2065"/>
      <c r="T89" s="1851"/>
      <c r="U89" s="2065"/>
      <c r="V89" s="1851"/>
      <c r="W89" s="2065"/>
      <c r="X89" s="1851"/>
      <c r="Y89" s="2065"/>
      <c r="Z89" s="1851"/>
      <c r="AA89" s="2066"/>
      <c r="AB89" s="2067"/>
      <c r="AC89" s="2069"/>
      <c r="AD89" s="1851">
        <v>0.5</v>
      </c>
      <c r="AE89" s="2099"/>
      <c r="AF89" s="3327"/>
      <c r="AG89" s="1851">
        <v>0.3</v>
      </c>
      <c r="AH89" s="1093"/>
      <c r="AI89" s="67"/>
      <c r="AJ89" s="914">
        <f>ROUND(SUM(+AD89-AG89),1)</f>
        <v>0.2</v>
      </c>
      <c r="AK89" s="914"/>
      <c r="AL89" s="1880">
        <f>ROUND(IF(AG89=0,1,AJ89/ABS(AG89)),3)</f>
        <v>0.66700000000000004</v>
      </c>
      <c r="AM89" s="1881"/>
    </row>
    <row r="90" spans="1:39" s="906" customFormat="1" ht="15" customHeight="1">
      <c r="A90" s="1090"/>
      <c r="B90" s="1875" t="s">
        <v>27</v>
      </c>
      <c r="C90" s="107"/>
      <c r="D90" s="915">
        <v>25.4</v>
      </c>
      <c r="E90" s="1578"/>
      <c r="F90" s="915">
        <v>18.700000000000003</v>
      </c>
      <c r="G90" s="1578"/>
      <c r="H90" s="915">
        <v>1.7999999999999972</v>
      </c>
      <c r="I90" s="1578"/>
      <c r="J90" s="915">
        <f t="shared" si="11"/>
        <v>20.199999999999996</v>
      </c>
      <c r="K90" s="1584"/>
      <c r="L90" s="915"/>
      <c r="M90" s="1584"/>
      <c r="N90" s="915"/>
      <c r="O90" s="1584"/>
      <c r="P90" s="1851"/>
      <c r="Q90" s="2065"/>
      <c r="R90" s="1851"/>
      <c r="S90" s="2065"/>
      <c r="T90" s="1851"/>
      <c r="U90" s="2065"/>
      <c r="V90" s="1851"/>
      <c r="W90" s="2065"/>
      <c r="X90" s="1851"/>
      <c r="Y90" s="2065"/>
      <c r="Z90" s="1851"/>
      <c r="AA90" s="2066"/>
      <c r="AB90" s="2067"/>
      <c r="AC90" s="2069"/>
      <c r="AD90" s="1851">
        <v>66.099999999999994</v>
      </c>
      <c r="AE90" s="2099"/>
      <c r="AF90" s="3327"/>
      <c r="AG90" s="1851">
        <v>55.1</v>
      </c>
      <c r="AH90" s="1093"/>
      <c r="AI90" s="67"/>
      <c r="AJ90" s="914">
        <f>ROUND(SUM(+AD90-AG90),1)</f>
        <v>11</v>
      </c>
      <c r="AK90" s="914"/>
      <c r="AL90" s="1880">
        <f>ROUND(IF(AG90=0,0,AJ90/ABS(AG90)),3)</f>
        <v>0.2</v>
      </c>
      <c r="AM90" s="1881"/>
    </row>
    <row r="91" spans="1:39" s="906" customFormat="1" ht="15" customHeight="1">
      <c r="A91" s="1090"/>
      <c r="B91" s="706" t="s">
        <v>1316</v>
      </c>
      <c r="C91" s="107"/>
      <c r="D91" s="915" t="s">
        <v>15</v>
      </c>
      <c r="E91" s="1578"/>
      <c r="F91" s="915"/>
      <c r="G91" s="1578"/>
      <c r="H91" s="915"/>
      <c r="I91" s="1578"/>
      <c r="J91" s="915"/>
      <c r="K91" s="1584"/>
      <c r="L91" s="915"/>
      <c r="M91" s="1584"/>
      <c r="N91" s="915"/>
      <c r="O91" s="1584"/>
      <c r="P91" s="1851"/>
      <c r="Q91" s="2065"/>
      <c r="R91" s="1851"/>
      <c r="S91" s="2065"/>
      <c r="T91" s="1851"/>
      <c r="U91" s="2065"/>
      <c r="V91" s="1851"/>
      <c r="W91" s="2065"/>
      <c r="X91" s="1851"/>
      <c r="Y91" s="2065"/>
      <c r="Z91" s="1851"/>
      <c r="AA91" s="2066"/>
      <c r="AB91" s="2067"/>
      <c r="AC91" s="2069"/>
      <c r="AD91" s="1851"/>
      <c r="AE91" s="2099"/>
      <c r="AF91" s="3327"/>
      <c r="AG91" s="1851"/>
      <c r="AH91" s="1093"/>
      <c r="AI91" s="67"/>
      <c r="AJ91" s="914"/>
      <c r="AK91" s="910"/>
      <c r="AL91" s="1880"/>
      <c r="AM91" s="1881"/>
    </row>
    <row r="92" spans="1:39" s="906" customFormat="1" ht="15" customHeight="1">
      <c r="A92" s="1090"/>
      <c r="B92" s="1876" t="s">
        <v>29</v>
      </c>
      <c r="C92" s="107"/>
      <c r="D92" s="915">
        <v>-1.1000000000000001</v>
      </c>
      <c r="E92" s="1578"/>
      <c r="F92" s="915">
        <v>881.9</v>
      </c>
      <c r="G92" s="1578"/>
      <c r="H92" s="915">
        <v>365.29999999999984</v>
      </c>
      <c r="I92" s="1578"/>
      <c r="J92" s="915">
        <f t="shared" si="11"/>
        <v>582.80000000000018</v>
      </c>
      <c r="K92" s="1584"/>
      <c r="L92" s="915"/>
      <c r="M92" s="1584"/>
      <c r="N92" s="915"/>
      <c r="O92" s="1584"/>
      <c r="P92" s="1851"/>
      <c r="Q92" s="2065"/>
      <c r="R92" s="1851"/>
      <c r="S92" s="2065"/>
      <c r="T92" s="1851"/>
      <c r="U92" s="2065"/>
      <c r="V92" s="1851"/>
      <c r="W92" s="2065"/>
      <c r="X92" s="1851"/>
      <c r="Y92" s="2065"/>
      <c r="Z92" s="1851"/>
      <c r="AA92" s="2066"/>
      <c r="AB92" s="2067"/>
      <c r="AC92" s="2069"/>
      <c r="AD92" s="1851">
        <v>1828.9</v>
      </c>
      <c r="AE92" s="2099"/>
      <c r="AF92" s="3327"/>
      <c r="AG92" s="1851">
        <v>1611.8</v>
      </c>
      <c r="AH92" s="1093"/>
      <c r="AI92" s="67"/>
      <c r="AJ92" s="914">
        <f t="shared" ref="AJ92:AJ97" si="12">ROUND(SUM(+AD92-AG92),1)</f>
        <v>217.1</v>
      </c>
      <c r="AK92" s="914"/>
      <c r="AL92" s="1880">
        <f t="shared" ref="AL92:AL97" si="13">ROUND(IF(AG92=0,0,AJ92/ABS(AG92)),3)</f>
        <v>0.13500000000000001</v>
      </c>
      <c r="AM92" s="1881"/>
    </row>
    <row r="93" spans="1:39" s="906" customFormat="1" ht="15" customHeight="1">
      <c r="A93" s="1090"/>
      <c r="B93" s="1875" t="s">
        <v>30</v>
      </c>
      <c r="C93" s="107"/>
      <c r="D93" s="915">
        <v>60.1</v>
      </c>
      <c r="E93" s="1578"/>
      <c r="F93" s="915">
        <v>32.699999999999996</v>
      </c>
      <c r="G93" s="1578"/>
      <c r="H93" s="915">
        <v>104.70000000000002</v>
      </c>
      <c r="I93" s="1578"/>
      <c r="J93" s="915">
        <f t="shared" si="11"/>
        <v>43.5</v>
      </c>
      <c r="K93" s="1584"/>
      <c r="L93" s="915"/>
      <c r="M93" s="1584"/>
      <c r="N93" s="915"/>
      <c r="O93" s="1584"/>
      <c r="P93" s="1851"/>
      <c r="Q93" s="2065"/>
      <c r="R93" s="1851"/>
      <c r="S93" s="2065"/>
      <c r="T93" s="1851"/>
      <c r="U93" s="2065"/>
      <c r="V93" s="1851"/>
      <c r="W93" s="2065"/>
      <c r="X93" s="1851"/>
      <c r="Y93" s="2065"/>
      <c r="Z93" s="1851"/>
      <c r="AA93" s="2066"/>
      <c r="AB93" s="2067"/>
      <c r="AC93" s="2069"/>
      <c r="AD93" s="1851">
        <v>241</v>
      </c>
      <c r="AE93" s="2099"/>
      <c r="AF93" s="3327"/>
      <c r="AG93" s="1851">
        <v>364.6</v>
      </c>
      <c r="AH93" s="1093"/>
      <c r="AI93" s="67"/>
      <c r="AJ93" s="914">
        <f t="shared" si="12"/>
        <v>-123.6</v>
      </c>
      <c r="AK93" s="914"/>
      <c r="AL93" s="1880">
        <f t="shared" si="13"/>
        <v>-0.33900000000000002</v>
      </c>
      <c r="AM93" s="1881"/>
    </row>
    <row r="94" spans="1:39" s="906" customFormat="1" ht="15" customHeight="1">
      <c r="A94" s="1090"/>
      <c r="B94" s="1875" t="s">
        <v>31</v>
      </c>
      <c r="C94" s="107"/>
      <c r="D94" s="915">
        <v>20.100000000000001</v>
      </c>
      <c r="E94" s="1578"/>
      <c r="F94" s="915">
        <v>14.399999999999999</v>
      </c>
      <c r="G94" s="1578"/>
      <c r="H94" s="915">
        <v>16.100000000000001</v>
      </c>
      <c r="I94" s="1578"/>
      <c r="J94" s="915">
        <f t="shared" si="11"/>
        <v>9.5</v>
      </c>
      <c r="K94" s="1584"/>
      <c r="L94" s="915"/>
      <c r="M94" s="1584"/>
      <c r="N94" s="915"/>
      <c r="O94" s="1584"/>
      <c r="P94" s="1851"/>
      <c r="Q94" s="2065"/>
      <c r="R94" s="1851"/>
      <c r="S94" s="2065"/>
      <c r="T94" s="1851"/>
      <c r="U94" s="2065"/>
      <c r="V94" s="1851"/>
      <c r="W94" s="2065"/>
      <c r="X94" s="1851"/>
      <c r="Y94" s="2065"/>
      <c r="Z94" s="1851"/>
      <c r="AA94" s="2066"/>
      <c r="AB94" s="2067"/>
      <c r="AC94" s="2069"/>
      <c r="AD94" s="1851">
        <v>60.1</v>
      </c>
      <c r="AE94" s="2099"/>
      <c r="AF94" s="3327"/>
      <c r="AG94" s="1851">
        <v>57.8</v>
      </c>
      <c r="AH94" s="1093"/>
      <c r="AI94" s="67"/>
      <c r="AJ94" s="914">
        <f t="shared" si="12"/>
        <v>2.2999999999999998</v>
      </c>
      <c r="AK94" s="914"/>
      <c r="AL94" s="1880">
        <f t="shared" si="13"/>
        <v>0.04</v>
      </c>
      <c r="AM94" s="1881"/>
    </row>
    <row r="95" spans="1:39" s="906" customFormat="1" ht="15" customHeight="1">
      <c r="A95" s="1090"/>
      <c r="B95" s="1875" t="s">
        <v>32</v>
      </c>
      <c r="C95" s="107"/>
      <c r="D95" s="915">
        <v>0.9</v>
      </c>
      <c r="E95" s="1578"/>
      <c r="F95" s="915">
        <v>0.79999999999999993</v>
      </c>
      <c r="G95" s="1578"/>
      <c r="H95" s="915">
        <v>0.50000000000000033</v>
      </c>
      <c r="I95" s="1578"/>
      <c r="J95" s="915">
        <f t="shared" si="11"/>
        <v>0.50000000000000011</v>
      </c>
      <c r="K95" s="1584"/>
      <c r="L95" s="915"/>
      <c r="M95" s="1584"/>
      <c r="N95" s="915"/>
      <c r="O95" s="1584"/>
      <c r="P95" s="1851"/>
      <c r="Q95" s="2065"/>
      <c r="R95" s="1851"/>
      <c r="S95" s="2065"/>
      <c r="T95" s="1851"/>
      <c r="U95" s="2065"/>
      <c r="V95" s="1851"/>
      <c r="W95" s="2065"/>
      <c r="X95" s="1851"/>
      <c r="Y95" s="2065"/>
      <c r="Z95" s="1851"/>
      <c r="AA95" s="2066"/>
      <c r="AB95" s="2067"/>
      <c r="AC95" s="2069"/>
      <c r="AD95" s="1851">
        <v>2.7</v>
      </c>
      <c r="AE95" s="2099"/>
      <c r="AF95" s="3327"/>
      <c r="AG95" s="1851">
        <v>2.4</v>
      </c>
      <c r="AH95" s="1093"/>
      <c r="AI95" s="67"/>
      <c r="AJ95" s="914">
        <f t="shared" si="12"/>
        <v>0.3</v>
      </c>
      <c r="AK95" s="914"/>
      <c r="AL95" s="1880">
        <f t="shared" si="13"/>
        <v>0.125</v>
      </c>
      <c r="AM95" s="1881"/>
    </row>
    <row r="96" spans="1:39" s="906" customFormat="1" ht="15" customHeight="1">
      <c r="A96" s="1090"/>
      <c r="B96" s="1875" t="s">
        <v>33</v>
      </c>
      <c r="C96" s="107"/>
      <c r="D96" s="915">
        <v>1.1000000000000001</v>
      </c>
      <c r="E96" s="1578"/>
      <c r="F96" s="915">
        <v>6.6999999999999993</v>
      </c>
      <c r="G96" s="1578"/>
      <c r="H96" s="915">
        <v>1.3000000000000007</v>
      </c>
      <c r="I96" s="1578"/>
      <c r="J96" s="915">
        <f t="shared" si="11"/>
        <v>5.8000000000000007</v>
      </c>
      <c r="K96" s="1584"/>
      <c r="L96" s="915"/>
      <c r="M96" s="1584"/>
      <c r="N96" s="915"/>
      <c r="O96" s="1584"/>
      <c r="P96" s="1851"/>
      <c r="Q96" s="2065"/>
      <c r="R96" s="1851"/>
      <c r="S96" s="2065"/>
      <c r="T96" s="1851"/>
      <c r="U96" s="2065"/>
      <c r="V96" s="1851"/>
      <c r="W96" s="2065"/>
      <c r="X96" s="1851"/>
      <c r="Y96" s="2065"/>
      <c r="Z96" s="1851"/>
      <c r="AA96" s="2066"/>
      <c r="AB96" s="2067"/>
      <c r="AC96" s="2069"/>
      <c r="AD96" s="1851">
        <v>14.9</v>
      </c>
      <c r="AE96" s="2099"/>
      <c r="AF96" s="3327"/>
      <c r="AG96" s="1851">
        <v>10.5</v>
      </c>
      <c r="AH96" s="1093"/>
      <c r="AI96" s="67"/>
      <c r="AJ96" s="914">
        <f t="shared" si="12"/>
        <v>4.4000000000000004</v>
      </c>
      <c r="AK96" s="914"/>
      <c r="AL96" s="1891">
        <f>ROUND(IF(AG96=0,0,AJ96/ABS(AG96)),3)</f>
        <v>0.41899999999999998</v>
      </c>
      <c r="AM96" s="1881"/>
    </row>
    <row r="97" spans="1:40" s="906" customFormat="1" ht="15" customHeight="1">
      <c r="A97" s="1090"/>
      <c r="B97" s="1875" t="s">
        <v>34</v>
      </c>
      <c r="C97" s="107"/>
      <c r="D97" s="915">
        <v>68.3</v>
      </c>
      <c r="E97" s="1578"/>
      <c r="F97" s="915">
        <v>402.7</v>
      </c>
      <c r="G97" s="1578"/>
      <c r="H97" s="915">
        <v>265.3</v>
      </c>
      <c r="I97" s="1578"/>
      <c r="J97" s="915">
        <f t="shared" si="11"/>
        <v>274.10000000000008</v>
      </c>
      <c r="K97" s="1584"/>
      <c r="L97" s="915"/>
      <c r="M97" s="1584"/>
      <c r="N97" s="915"/>
      <c r="O97" s="1584"/>
      <c r="P97" s="1851"/>
      <c r="Q97" s="2065"/>
      <c r="R97" s="1851"/>
      <c r="S97" s="2065"/>
      <c r="T97" s="1851"/>
      <c r="U97" s="2065"/>
      <c r="V97" s="1851"/>
      <c r="W97" s="2065"/>
      <c r="X97" s="1851"/>
      <c r="Y97" s="2065"/>
      <c r="Z97" s="1851"/>
      <c r="AA97" s="2066"/>
      <c r="AB97" s="2067"/>
      <c r="AC97" s="2069"/>
      <c r="AD97" s="1851">
        <v>1010.4</v>
      </c>
      <c r="AE97" s="2099"/>
      <c r="AF97" s="3327"/>
      <c r="AG97" s="1851">
        <v>1157.5999999999999</v>
      </c>
      <c r="AH97" s="1093"/>
      <c r="AI97" s="67"/>
      <c r="AJ97" s="914">
        <f t="shared" si="12"/>
        <v>-147.19999999999999</v>
      </c>
      <c r="AK97" s="914"/>
      <c r="AL97" s="1880">
        <f t="shared" si="13"/>
        <v>-0.127</v>
      </c>
      <c r="AM97" s="1881"/>
    </row>
    <row r="98" spans="1:40" ht="15" customHeight="1">
      <c r="A98" s="150"/>
      <c r="B98" s="29" t="s">
        <v>1204</v>
      </c>
      <c r="C98" s="31"/>
      <c r="D98" s="296">
        <f>ROUND(SUM(D88:D97),1)</f>
        <v>175.1</v>
      </c>
      <c r="E98" s="941"/>
      <c r="F98" s="296">
        <f>ROUND(SUM(F88:F97),1)</f>
        <v>1358.4</v>
      </c>
      <c r="G98" s="941"/>
      <c r="H98" s="296">
        <f>ROUND(SUM(H88:H97),1)</f>
        <v>1104.8</v>
      </c>
      <c r="I98" s="941"/>
      <c r="J98" s="296">
        <f>ROUND(SUM(J88:J97),1)</f>
        <v>936.5</v>
      </c>
      <c r="K98" s="941"/>
      <c r="L98" s="296">
        <f>ROUND(SUM(L88:L97),1)</f>
        <v>0</v>
      </c>
      <c r="M98" s="941"/>
      <c r="N98" s="296">
        <f>ROUND(SUM(N88:N97),1)</f>
        <v>0</v>
      </c>
      <c r="O98" s="941"/>
      <c r="P98" s="2083">
        <f>ROUND(SUM(P88:P97),1)</f>
        <v>0</v>
      </c>
      <c r="Q98" s="1501"/>
      <c r="R98" s="2083">
        <f>ROUND(SUM(R88:R97),1)</f>
        <v>0</v>
      </c>
      <c r="S98" s="1501"/>
      <c r="T98" s="2083">
        <f>ROUND(SUM(T88:T97),1)</f>
        <v>0</v>
      </c>
      <c r="U98" s="1501"/>
      <c r="V98" s="2083">
        <f>ROUND(SUM(V88:V97),1)</f>
        <v>0</v>
      </c>
      <c r="W98" s="1501"/>
      <c r="X98" s="2083">
        <f>ROUND(SUM(X88:X97),1)</f>
        <v>0</v>
      </c>
      <c r="Y98" s="1501"/>
      <c r="Z98" s="2083">
        <f>ROUND(SUM(Z88:Z97),1)</f>
        <v>0</v>
      </c>
      <c r="AA98" s="1484"/>
      <c r="AB98" s="1501"/>
      <c r="AC98" s="2107"/>
      <c r="AD98" s="2084">
        <f>ROUND(SUM(AD88:AD97),1)</f>
        <v>3574.8</v>
      </c>
      <c r="AE98" s="1502"/>
      <c r="AF98" s="3311"/>
      <c r="AG98" s="2084">
        <f>ROUND(SUM(AG88:AG97),1)</f>
        <v>3588.3</v>
      </c>
      <c r="AH98" s="283"/>
      <c r="AI98" s="76"/>
      <c r="AJ98" s="61">
        <f>ROUND(SUM(AD98-AG98),1)</f>
        <v>-13.5</v>
      </c>
      <c r="AK98" s="166"/>
      <c r="AL98" s="1474">
        <f>ROUND(SUM((AD98-AG98)/ABS(AG98)),3)</f>
        <v>-4.0000000000000001E-3</v>
      </c>
      <c r="AM98" s="802"/>
    </row>
    <row r="99" spans="1:40" ht="15" customHeight="1">
      <c r="A99" s="150"/>
      <c r="B99" s="31" t="s">
        <v>170</v>
      </c>
      <c r="C99" s="31"/>
      <c r="D99" s="1578"/>
      <c r="E99" s="1578"/>
      <c r="F99" s="1578"/>
      <c r="G99" s="1578"/>
      <c r="H99" s="1578"/>
      <c r="I99" s="1578"/>
      <c r="J99" s="1578"/>
      <c r="K99" s="66"/>
      <c r="L99" s="66"/>
      <c r="M99" s="66"/>
      <c r="N99" s="66"/>
      <c r="O99" s="66"/>
      <c r="P99" s="2073"/>
      <c r="Q99" s="2073"/>
      <c r="R99" s="2073"/>
      <c r="S99" s="2073"/>
      <c r="T99" s="2073"/>
      <c r="U99" s="2073"/>
      <c r="V99" s="2073"/>
      <c r="W99" s="2073"/>
      <c r="X99" s="2073"/>
      <c r="Y99" s="2073"/>
      <c r="Z99" s="2073"/>
      <c r="AA99" s="2073"/>
      <c r="AB99" s="2073"/>
      <c r="AC99" s="2104"/>
      <c r="AD99" s="2062"/>
      <c r="AE99" s="2062"/>
      <c r="AF99" s="2064"/>
      <c r="AG99" s="2062"/>
      <c r="AH99" s="276"/>
      <c r="AI99" s="56"/>
      <c r="AJ99" s="656"/>
      <c r="AK99" s="939"/>
      <c r="AL99" s="1471"/>
      <c r="AM99" s="802"/>
    </row>
    <row r="100" spans="1:40" s="906" customFormat="1" ht="15" customHeight="1">
      <c r="A100" s="1090"/>
      <c r="B100" s="107" t="s">
        <v>154</v>
      </c>
      <c r="C100" s="107"/>
      <c r="D100" s="915">
        <v>401.7</v>
      </c>
      <c r="E100" s="1578"/>
      <c r="F100" s="915">
        <v>580</v>
      </c>
      <c r="G100" s="1578"/>
      <c r="H100" s="915">
        <v>393.59999999999991</v>
      </c>
      <c r="I100" s="1578"/>
      <c r="J100" s="915">
        <f>$AD100-$D100-$F100-$H100</f>
        <v>449.40000000000009</v>
      </c>
      <c r="K100" s="1584"/>
      <c r="L100" s="915"/>
      <c r="M100" s="1584"/>
      <c r="N100" s="915"/>
      <c r="O100" s="1584"/>
      <c r="P100" s="1851"/>
      <c r="Q100" s="2065"/>
      <c r="R100" s="1851"/>
      <c r="S100" s="2065"/>
      <c r="T100" s="1851"/>
      <c r="U100" s="2065"/>
      <c r="V100" s="1851"/>
      <c r="W100" s="2065"/>
      <c r="X100" s="1851"/>
      <c r="Y100" s="2065"/>
      <c r="Z100" s="1851"/>
      <c r="AA100" s="2066"/>
      <c r="AB100" s="2067"/>
      <c r="AC100" s="2069"/>
      <c r="AD100" s="1851">
        <v>1824.7</v>
      </c>
      <c r="AE100" s="2099"/>
      <c r="AF100" s="3327"/>
      <c r="AG100" s="1851">
        <v>1649.8</v>
      </c>
      <c r="AH100" s="1093"/>
      <c r="AI100" s="67"/>
      <c r="AJ100" s="914">
        <f>ROUND(SUM(+AD100-AG100),1)</f>
        <v>174.9</v>
      </c>
      <c r="AK100" s="914"/>
      <c r="AL100" s="1880">
        <f>ROUND(IF(AG100=0,0,AJ100/ABS(AG100)),3)</f>
        <v>0.106</v>
      </c>
      <c r="AM100" s="1881"/>
    </row>
    <row r="101" spans="1:40" s="906" customFormat="1" ht="15" customHeight="1">
      <c r="A101" s="1090"/>
      <c r="B101" s="107" t="s">
        <v>171</v>
      </c>
      <c r="C101" s="107"/>
      <c r="D101" s="915">
        <v>244.3</v>
      </c>
      <c r="E101" s="1578"/>
      <c r="F101" s="915">
        <v>248.5</v>
      </c>
      <c r="G101" s="1578"/>
      <c r="H101" s="915">
        <v>197.99999999999994</v>
      </c>
      <c r="I101" s="1578"/>
      <c r="J101" s="915">
        <f t="shared" ref="J101:J103" si="14">$AD101-$D101-$F101-$H101</f>
        <v>228.40000000000015</v>
      </c>
      <c r="K101" s="1584"/>
      <c r="L101" s="915"/>
      <c r="M101" s="1584"/>
      <c r="N101" s="915"/>
      <c r="O101" s="1584"/>
      <c r="P101" s="1851"/>
      <c r="Q101" s="2065"/>
      <c r="R101" s="1851"/>
      <c r="S101" s="2065"/>
      <c r="T101" s="1851"/>
      <c r="U101" s="2065"/>
      <c r="V101" s="1851"/>
      <c r="W101" s="2065"/>
      <c r="X101" s="1851"/>
      <c r="Y101" s="2065"/>
      <c r="Z101" s="1851"/>
      <c r="AA101" s="2066"/>
      <c r="AB101" s="2067"/>
      <c r="AC101" s="2069"/>
      <c r="AD101" s="1851">
        <v>919.2</v>
      </c>
      <c r="AE101" s="2099"/>
      <c r="AF101" s="3327"/>
      <c r="AG101" s="1851">
        <v>861</v>
      </c>
      <c r="AH101" s="1093"/>
      <c r="AI101" s="67"/>
      <c r="AJ101" s="914">
        <f>ROUND(SUM(+AD101-AG101),1)</f>
        <v>58.2</v>
      </c>
      <c r="AK101" s="914"/>
      <c r="AL101" s="1880">
        <f>ROUND(IF(AG101=0,0,AJ101/ABS(AG101)),3)</f>
        <v>6.8000000000000005E-2</v>
      </c>
      <c r="AM101" s="1881"/>
    </row>
    <row r="102" spans="1:40" s="906" customFormat="1" ht="15" customHeight="1">
      <c r="A102" s="1090"/>
      <c r="B102" s="107" t="s">
        <v>172</v>
      </c>
      <c r="C102" s="107"/>
      <c r="D102" s="915">
        <v>64</v>
      </c>
      <c r="E102" s="1578"/>
      <c r="F102" s="915">
        <v>87.199999999999989</v>
      </c>
      <c r="G102" s="1578"/>
      <c r="H102" s="915">
        <v>55.700000000000017</v>
      </c>
      <c r="I102" s="1578"/>
      <c r="J102" s="915">
        <f t="shared" si="14"/>
        <v>78.599999999999994</v>
      </c>
      <c r="K102" s="1584"/>
      <c r="L102" s="915"/>
      <c r="M102" s="1584"/>
      <c r="N102" s="915"/>
      <c r="O102" s="1584"/>
      <c r="P102" s="1851"/>
      <c r="Q102" s="2065"/>
      <c r="R102" s="1851"/>
      <c r="S102" s="2065"/>
      <c r="T102" s="1851"/>
      <c r="U102" s="2065"/>
      <c r="V102" s="1851"/>
      <c r="W102" s="2065"/>
      <c r="X102" s="1851"/>
      <c r="Y102" s="2065"/>
      <c r="Z102" s="1851"/>
      <c r="AA102" s="2066"/>
      <c r="AB102" s="2067"/>
      <c r="AC102" s="2069"/>
      <c r="AD102" s="1851">
        <v>285.5</v>
      </c>
      <c r="AE102" s="2099"/>
      <c r="AF102" s="3327"/>
      <c r="AG102" s="1851">
        <v>313.2</v>
      </c>
      <c r="AH102" s="1093"/>
      <c r="AI102" s="67"/>
      <c r="AJ102" s="914">
        <f>ROUND(SUM(+AD102-AG102),1)</f>
        <v>-27.7</v>
      </c>
      <c r="AK102" s="914"/>
      <c r="AL102" s="1880">
        <f>ROUND(IF(AG102=0,0,AJ102/ABS(AG102)),3)</f>
        <v>-8.7999999999999995E-2</v>
      </c>
      <c r="AM102" s="1881"/>
    </row>
    <row r="103" spans="1:40" s="906" customFormat="1" ht="15" customHeight="1">
      <c r="A103" s="1090"/>
      <c r="B103" s="107" t="s">
        <v>173</v>
      </c>
      <c r="C103" s="107"/>
      <c r="D103" s="915">
        <v>0</v>
      </c>
      <c r="E103" s="1578"/>
      <c r="F103" s="915">
        <v>0</v>
      </c>
      <c r="G103" s="1578"/>
      <c r="H103" s="915">
        <v>0.1</v>
      </c>
      <c r="I103" s="1578"/>
      <c r="J103" s="915">
        <f t="shared" si="14"/>
        <v>0</v>
      </c>
      <c r="K103" s="1584"/>
      <c r="L103" s="915"/>
      <c r="M103" s="1584"/>
      <c r="N103" s="915"/>
      <c r="O103" s="1584"/>
      <c r="P103" s="1851"/>
      <c r="Q103" s="2065"/>
      <c r="R103" s="1851"/>
      <c r="S103" s="2065"/>
      <c r="T103" s="1851"/>
      <c r="U103" s="2065"/>
      <c r="V103" s="1851"/>
      <c r="W103" s="2065"/>
      <c r="X103" s="1851"/>
      <c r="Y103" s="2065"/>
      <c r="Z103" s="1851"/>
      <c r="AA103" s="2066"/>
      <c r="AB103" s="2067"/>
      <c r="AC103" s="2069"/>
      <c r="AD103" s="1851">
        <v>0.1</v>
      </c>
      <c r="AE103" s="2099"/>
      <c r="AF103" s="3327"/>
      <c r="AG103" s="1851">
        <v>0</v>
      </c>
      <c r="AH103" s="1093"/>
      <c r="AI103" s="67"/>
      <c r="AJ103" s="914">
        <f>ROUND(SUM(+AD103-AG103),1)</f>
        <v>0.1</v>
      </c>
      <c r="AK103" s="914"/>
      <c r="AL103" s="1786">
        <f>ROUND(IF(AG103=0,1,AJ103/ABS(AG103)),3)</f>
        <v>1</v>
      </c>
      <c r="AM103" s="1881"/>
    </row>
    <row r="104" spans="1:40" ht="15" customHeight="1">
      <c r="A104" s="150"/>
      <c r="B104" s="31"/>
      <c r="C104" s="31"/>
      <c r="D104" s="704"/>
      <c r="E104" s="1578"/>
      <c r="F104" s="704"/>
      <c r="G104" s="1578"/>
      <c r="H104" s="704"/>
      <c r="I104" s="1578"/>
      <c r="J104" s="704"/>
      <c r="K104" s="66"/>
      <c r="L104" s="88"/>
      <c r="M104" s="66"/>
      <c r="N104" s="88"/>
      <c r="O104" s="66"/>
      <c r="P104" s="2072"/>
      <c r="Q104" s="2073"/>
      <c r="R104" s="2072"/>
      <c r="S104" s="2073"/>
      <c r="T104" s="2072"/>
      <c r="U104" s="2073"/>
      <c r="V104" s="2072"/>
      <c r="W104" s="2073"/>
      <c r="X104" s="2072"/>
      <c r="Y104" s="2073"/>
      <c r="Z104" s="2072"/>
      <c r="AA104" s="2074"/>
      <c r="AB104" s="2073"/>
      <c r="AC104" s="2104"/>
      <c r="AD104" s="2118"/>
      <c r="AE104" s="2043"/>
      <c r="AF104" s="2064"/>
      <c r="AG104" s="2118"/>
      <c r="AH104" s="276"/>
      <c r="AI104" s="56"/>
      <c r="AJ104" s="1443"/>
      <c r="AK104" s="939"/>
      <c r="AL104" s="1486"/>
      <c r="AM104" s="802"/>
    </row>
    <row r="105" spans="1:40" ht="15" customHeight="1">
      <c r="A105" s="150"/>
      <c r="B105" s="29" t="s">
        <v>157</v>
      </c>
      <c r="C105" s="31"/>
      <c r="D105" s="941">
        <f>ROUND(SUM(D98:D103),1)</f>
        <v>885.1</v>
      </c>
      <c r="E105" s="941"/>
      <c r="F105" s="941">
        <f>ROUND(SUM(F98:F103),1)</f>
        <v>2274.1</v>
      </c>
      <c r="G105" s="941"/>
      <c r="H105" s="941">
        <f>ROUND(SUM(H98:H103),1)</f>
        <v>1752.2</v>
      </c>
      <c r="I105" s="941"/>
      <c r="J105" s="941">
        <f>ROUND(SUM(J98:J103),1)</f>
        <v>1692.9</v>
      </c>
      <c r="K105" s="941"/>
      <c r="L105" s="941">
        <f>ROUND(SUM(L98:L103),1)</f>
        <v>0</v>
      </c>
      <c r="M105" s="941"/>
      <c r="N105" s="941">
        <f>ROUND(SUM(N98:N103),1)</f>
        <v>0</v>
      </c>
      <c r="O105" s="941"/>
      <c r="P105" s="1501">
        <f>ROUND(SUM(P98:P103),1)</f>
        <v>0</v>
      </c>
      <c r="Q105" s="1501"/>
      <c r="R105" s="1501">
        <f>ROUND(SUM(R98:R103),1)</f>
        <v>0</v>
      </c>
      <c r="S105" s="1501"/>
      <c r="T105" s="1501">
        <f>ROUND(SUM(T98:T103),1)</f>
        <v>0</v>
      </c>
      <c r="U105" s="1501"/>
      <c r="V105" s="1501">
        <f>ROUND(SUM(V98:V103),1)</f>
        <v>0</v>
      </c>
      <c r="W105" s="1501"/>
      <c r="X105" s="1501">
        <f>ROUND(SUM(X98:X103),1)</f>
        <v>0</v>
      </c>
      <c r="Y105" s="1501"/>
      <c r="Z105" s="1501">
        <f>ROUND(SUM(Z98:Z103),1)</f>
        <v>0</v>
      </c>
      <c r="AA105" s="1501"/>
      <c r="AB105" s="1501"/>
      <c r="AC105" s="2107"/>
      <c r="AD105" s="2117">
        <f>ROUND(SUM(AD98:AD103),1)</f>
        <v>6604.3</v>
      </c>
      <c r="AE105" s="1502"/>
      <c r="AF105" s="3311"/>
      <c r="AG105" s="2117">
        <f>ROUND(SUM(AG98:AG103),1)</f>
        <v>6412.3</v>
      </c>
      <c r="AH105" s="283"/>
      <c r="AI105" s="76"/>
      <c r="AJ105" s="74">
        <f>ROUND(SUM(AD105-AG105),1)</f>
        <v>192</v>
      </c>
      <c r="AK105" s="210"/>
      <c r="AL105" s="1475">
        <f>ROUND(SUM((AD105-AG105)/ABS(AG105)),3)</f>
        <v>0.03</v>
      </c>
      <c r="AM105" s="802"/>
    </row>
    <row r="106" spans="1:40" ht="15" customHeight="1">
      <c r="A106" s="150"/>
      <c r="B106" s="31"/>
      <c r="C106" s="31"/>
      <c r="D106" s="704"/>
      <c r="E106" s="1578"/>
      <c r="F106" s="704"/>
      <c r="G106" s="1578"/>
      <c r="H106" s="704"/>
      <c r="I106" s="1578"/>
      <c r="J106" s="704"/>
      <c r="K106" s="66"/>
      <c r="L106" s="88"/>
      <c r="M106" s="66"/>
      <c r="N106" s="88"/>
      <c r="O106" s="66"/>
      <c r="P106" s="2072"/>
      <c r="Q106" s="2073"/>
      <c r="R106" s="2072"/>
      <c r="S106" s="2073"/>
      <c r="T106" s="2072"/>
      <c r="U106" s="2073"/>
      <c r="V106" s="2072"/>
      <c r="W106" s="2073"/>
      <c r="X106" s="2072"/>
      <c r="Y106" s="2073"/>
      <c r="Z106" s="2072"/>
      <c r="AA106" s="2074"/>
      <c r="AB106" s="2073"/>
      <c r="AC106" s="2104"/>
      <c r="AD106" s="2118"/>
      <c r="AE106" s="2043"/>
      <c r="AF106" s="2064"/>
      <c r="AG106" s="2118"/>
      <c r="AH106" s="276"/>
      <c r="AI106" s="56"/>
      <c r="AJ106" s="656"/>
      <c r="AK106" s="939"/>
      <c r="AL106" s="1471"/>
      <c r="AM106" s="802"/>
    </row>
    <row r="107" spans="1:40" ht="15" customHeight="1">
      <c r="A107" s="150"/>
      <c r="B107" s="29" t="s">
        <v>158</v>
      </c>
      <c r="C107" s="31"/>
      <c r="D107" s="1578"/>
      <c r="E107" s="1578"/>
      <c r="F107" s="1578"/>
      <c r="G107" s="1578"/>
      <c r="H107" s="1578"/>
      <c r="I107" s="1578"/>
      <c r="J107" s="1578"/>
      <c r="K107" s="66"/>
      <c r="L107" s="66"/>
      <c r="M107" s="66"/>
      <c r="N107" s="66"/>
      <c r="O107" s="66"/>
      <c r="P107" s="2073"/>
      <c r="Q107" s="2073"/>
      <c r="R107" s="2073"/>
      <c r="S107" s="2073"/>
      <c r="T107" s="2073"/>
      <c r="U107" s="2073"/>
      <c r="V107" s="2073"/>
      <c r="W107" s="2073"/>
      <c r="X107" s="2073"/>
      <c r="Y107" s="2073"/>
      <c r="Z107" s="2073"/>
      <c r="AA107" s="2073"/>
      <c r="AB107" s="2073"/>
      <c r="AC107" s="2104"/>
      <c r="AD107" s="2062"/>
      <c r="AE107" s="2043"/>
      <c r="AF107" s="2064"/>
      <c r="AG107" s="2062"/>
      <c r="AH107" s="276"/>
      <c r="AI107" s="56"/>
      <c r="AJ107" s="962"/>
      <c r="AK107" s="939"/>
      <c r="AL107" s="1471"/>
      <c r="AM107" s="802"/>
    </row>
    <row r="108" spans="1:40" ht="15" customHeight="1">
      <c r="A108" s="150"/>
      <c r="B108" s="29" t="s">
        <v>45</v>
      </c>
      <c r="C108" s="31"/>
      <c r="D108" s="941">
        <f>ROUND(SUM(D84-D105),1)</f>
        <v>1073.9000000000001</v>
      </c>
      <c r="E108" s="941"/>
      <c r="F108" s="941">
        <f>ROUND(SUM(F84-F105),1)</f>
        <v>-675.6</v>
      </c>
      <c r="G108" s="941"/>
      <c r="H108" s="941">
        <f>ROUND(SUM(H84-H105),1)</f>
        <v>219.9</v>
      </c>
      <c r="I108" s="941"/>
      <c r="J108" s="941">
        <f>ROUND(SUM(J84-J105),1)</f>
        <v>87.3</v>
      </c>
      <c r="K108" s="941"/>
      <c r="L108" s="941">
        <f>ROUND(SUM(L84-L105),1)</f>
        <v>0</v>
      </c>
      <c r="M108" s="941"/>
      <c r="N108" s="941">
        <f>ROUND(SUM(N84-N105),1)</f>
        <v>0</v>
      </c>
      <c r="O108" s="941"/>
      <c r="P108" s="1501">
        <f>ROUND(SUM(P84-P105),1)</f>
        <v>0</v>
      </c>
      <c r="Q108" s="1501"/>
      <c r="R108" s="1501">
        <f>ROUND(SUM(R84-R105),1)</f>
        <v>0</v>
      </c>
      <c r="S108" s="1501"/>
      <c r="T108" s="1501">
        <f>ROUND(SUM(T84-T105),1)</f>
        <v>0</v>
      </c>
      <c r="U108" s="1501"/>
      <c r="V108" s="1501">
        <f>ROUND(SUM(V84-V105),1)</f>
        <v>0</v>
      </c>
      <c r="W108" s="1501"/>
      <c r="X108" s="1501">
        <f>ROUND(SUM(X84-X105),1)</f>
        <v>0</v>
      </c>
      <c r="Y108" s="1501"/>
      <c r="Z108" s="1501">
        <f>ROUND(SUM(Z84-Z105),1)</f>
        <v>0</v>
      </c>
      <c r="AA108" s="1501"/>
      <c r="AB108" s="1501"/>
      <c r="AC108" s="2107"/>
      <c r="AD108" s="2117">
        <f>ROUND(SUM(AD84-AD105),1)</f>
        <v>705.5</v>
      </c>
      <c r="AE108" s="1502"/>
      <c r="AF108" s="3311"/>
      <c r="AG108" s="2117">
        <f>ROUND(SUM(AG84-AG105),1)</f>
        <v>1577.6</v>
      </c>
      <c r="AH108" s="283"/>
      <c r="AI108" s="76"/>
      <c r="AJ108" s="74">
        <f>ROUND(SUM(AD108-AG108),1)</f>
        <v>-872.1</v>
      </c>
      <c r="AK108" s="209"/>
      <c r="AL108" s="1642">
        <f>ROUND(IF(AG108=0,0,AJ108/ABS(AG108)),3)</f>
        <v>-0.55300000000000005</v>
      </c>
      <c r="AM108" s="802"/>
    </row>
    <row r="109" spans="1:40" ht="15" customHeight="1">
      <c r="A109" s="150"/>
      <c r="B109" s="31"/>
      <c r="C109" s="31"/>
      <c r="D109" s="704"/>
      <c r="E109" s="1578"/>
      <c r="F109" s="704"/>
      <c r="G109" s="1578"/>
      <c r="H109" s="704"/>
      <c r="I109" s="1578"/>
      <c r="J109" s="704"/>
      <c r="K109" s="66"/>
      <c r="L109" s="88"/>
      <c r="M109" s="66"/>
      <c r="N109" s="88"/>
      <c r="O109" s="66"/>
      <c r="P109" s="2072"/>
      <c r="Q109" s="2073"/>
      <c r="R109" s="2072"/>
      <c r="S109" s="2073"/>
      <c r="T109" s="2072"/>
      <c r="U109" s="2073"/>
      <c r="V109" s="2072"/>
      <c r="W109" s="2073"/>
      <c r="X109" s="2072"/>
      <c r="Y109" s="2073"/>
      <c r="Z109" s="2072"/>
      <c r="AA109" s="2074"/>
      <c r="AB109" s="2073"/>
      <c r="AC109" s="2104"/>
      <c r="AD109" s="2118"/>
      <c r="AE109" s="2043"/>
      <c r="AF109" s="2064"/>
      <c r="AG109" s="2118"/>
      <c r="AH109" s="276"/>
      <c r="AI109" s="56"/>
      <c r="AJ109" s="656"/>
      <c r="AK109" s="939"/>
      <c r="AL109" s="1471"/>
      <c r="AM109" s="802"/>
    </row>
    <row r="110" spans="1:40" ht="15" customHeight="1">
      <c r="A110" s="150"/>
      <c r="B110" s="29" t="s">
        <v>46</v>
      </c>
      <c r="C110" s="31"/>
      <c r="D110" s="1578"/>
      <c r="E110" s="1578"/>
      <c r="F110" s="1578"/>
      <c r="G110" s="1578"/>
      <c r="H110" s="1578"/>
      <c r="I110" s="1578"/>
      <c r="J110" s="1578"/>
      <c r="K110" s="66"/>
      <c r="L110" s="66"/>
      <c r="M110" s="66"/>
      <c r="N110" s="66"/>
      <c r="O110" s="66"/>
      <c r="P110" s="2073"/>
      <c r="Q110" s="2073"/>
      <c r="R110" s="2073"/>
      <c r="S110" s="2073"/>
      <c r="T110" s="2073"/>
      <c r="U110" s="2073"/>
      <c r="V110" s="2073"/>
      <c r="W110" s="2073"/>
      <c r="X110" s="2073"/>
      <c r="Y110" s="2073"/>
      <c r="Z110" s="2073"/>
      <c r="AA110" s="2073"/>
      <c r="AB110" s="2073"/>
      <c r="AC110" s="2104"/>
      <c r="AD110" s="2062"/>
      <c r="AE110" s="2043"/>
      <c r="AF110" s="2064"/>
      <c r="AG110" s="2062"/>
      <c r="AH110" s="276"/>
      <c r="AI110" s="56"/>
      <c r="AJ110" s="656"/>
      <c r="AK110" s="939"/>
      <c r="AL110" s="1471"/>
      <c r="AM110" s="802"/>
    </row>
    <row r="111" spans="1:40" s="906" customFormat="1" ht="15" customHeight="1">
      <c r="A111" s="1090"/>
      <c r="B111" s="107" t="s">
        <v>177</v>
      </c>
      <c r="C111" s="107"/>
      <c r="D111" s="915">
        <v>308.3</v>
      </c>
      <c r="E111" s="1578"/>
      <c r="F111" s="915">
        <v>585.29999999999995</v>
      </c>
      <c r="G111" s="1578"/>
      <c r="H111" s="915">
        <v>566.5</v>
      </c>
      <c r="I111" s="1578"/>
      <c r="J111" s="915">
        <f t="shared" ref="J111:J112" si="15">$AD111-$D111-$F111-$H111</f>
        <v>215.40000000000009</v>
      </c>
      <c r="K111" s="1584"/>
      <c r="L111" s="915"/>
      <c r="M111" s="1584"/>
      <c r="N111" s="915"/>
      <c r="O111" s="1584"/>
      <c r="P111" s="1851"/>
      <c r="Q111" s="2065"/>
      <c r="R111" s="1851"/>
      <c r="S111" s="2065"/>
      <c r="T111" s="1851"/>
      <c r="U111" s="2065"/>
      <c r="V111" s="1851"/>
      <c r="W111" s="2065"/>
      <c r="X111" s="1851"/>
      <c r="Y111" s="2065"/>
      <c r="Z111" s="1851"/>
      <c r="AA111" s="2066"/>
      <c r="AB111" s="2067"/>
      <c r="AC111" s="2069"/>
      <c r="AD111" s="1851">
        <v>1675.5</v>
      </c>
      <c r="AE111" s="2099"/>
      <c r="AF111" s="3327"/>
      <c r="AG111" s="1851">
        <v>1477.1</v>
      </c>
      <c r="AH111" s="1093"/>
      <c r="AI111" s="67"/>
      <c r="AJ111" s="914">
        <f>ROUND(SUM(+AD111-AG111),1)</f>
        <v>198.4</v>
      </c>
      <c r="AK111" s="914"/>
      <c r="AL111" s="1880">
        <f>ROUND(IF(AG111=0,0,AJ111/ABS(AG111)),3)</f>
        <v>0.13400000000000001</v>
      </c>
      <c r="AM111" s="1881"/>
    </row>
    <row r="112" spans="1:40" s="906" customFormat="1" ht="15" customHeight="1">
      <c r="A112" s="1090"/>
      <c r="B112" s="107" t="s">
        <v>175</v>
      </c>
      <c r="C112" s="107"/>
      <c r="D112" s="915">
        <v>-38.299999999999997</v>
      </c>
      <c r="E112" s="1578"/>
      <c r="F112" s="915">
        <v>-6.3000000000000043</v>
      </c>
      <c r="G112" s="1578"/>
      <c r="H112" s="915">
        <v>-29.300000000000004</v>
      </c>
      <c r="I112" s="1578"/>
      <c r="J112" s="915">
        <f t="shared" si="15"/>
        <v>-120.79999999999995</v>
      </c>
      <c r="K112" s="1584"/>
      <c r="L112" s="915"/>
      <c r="M112" s="1584"/>
      <c r="N112" s="915"/>
      <c r="O112" s="1584"/>
      <c r="P112" s="1851"/>
      <c r="Q112" s="2065"/>
      <c r="R112" s="1851"/>
      <c r="S112" s="2065"/>
      <c r="T112" s="1851"/>
      <c r="U112" s="2065"/>
      <c r="V112" s="1851"/>
      <c r="W112" s="2065"/>
      <c r="X112" s="1851"/>
      <c r="Y112" s="2065"/>
      <c r="Z112" s="1851"/>
      <c r="AA112" s="2066"/>
      <c r="AB112" s="2067"/>
      <c r="AC112" s="2069"/>
      <c r="AD112" s="1851">
        <v>-194.7</v>
      </c>
      <c r="AE112" s="2099"/>
      <c r="AF112" s="3327"/>
      <c r="AG112" s="3610">
        <v>0.1</v>
      </c>
      <c r="AH112" s="1093"/>
      <c r="AI112" s="67"/>
      <c r="AJ112" s="1043">
        <f>ROUND(SUM(+AD112-AG112)*-1,1)</f>
        <v>194.8</v>
      </c>
      <c r="AK112" s="1043"/>
      <c r="AL112" s="2197">
        <f>ROUND(IF(AG112=0,0,AJ112/ABS(AG112)),3)</f>
        <v>1948</v>
      </c>
      <c r="AM112" s="1881"/>
      <c r="AN112" s="1870"/>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2"/>
      <c r="AG113" s="67"/>
      <c r="AH113" s="276"/>
      <c r="AI113" s="56"/>
      <c r="AJ113" s="1443"/>
      <c r="AK113" s="939"/>
      <c r="AL113" s="1486"/>
      <c r="AM113" s="802"/>
    </row>
    <row r="114" spans="1:52" ht="15" customHeight="1">
      <c r="A114" s="150"/>
      <c r="B114" s="29" t="s">
        <v>1205</v>
      </c>
      <c r="C114" s="31"/>
      <c r="D114" s="941">
        <f>ROUND(SUM(D111:D113),1)</f>
        <v>270</v>
      </c>
      <c r="E114" s="941"/>
      <c r="F114" s="941">
        <f>ROUND(SUM(F111:F113),1)</f>
        <v>579</v>
      </c>
      <c r="G114" s="941"/>
      <c r="H114" s="941">
        <f>ROUND(SUM(H111:H113),1)</f>
        <v>537.20000000000005</v>
      </c>
      <c r="I114" s="941"/>
      <c r="J114" s="941">
        <f>ROUND(SUM(J111:J113),1)</f>
        <v>94.6</v>
      </c>
      <c r="K114" s="941"/>
      <c r="L114" s="941">
        <f>ROUND(SUM(L111:L113),1)</f>
        <v>0</v>
      </c>
      <c r="M114" s="941"/>
      <c r="N114" s="941">
        <f>ROUND(SUM(N111:N113),1)</f>
        <v>0</v>
      </c>
      <c r="O114" s="941"/>
      <c r="P114" s="941">
        <f>ROUND(SUM(P111:P113),1)</f>
        <v>0</v>
      </c>
      <c r="Q114" s="941"/>
      <c r="R114" s="941">
        <f>ROUND(SUM(R111:R113),1)</f>
        <v>0</v>
      </c>
      <c r="S114" s="941"/>
      <c r="T114" s="941">
        <f>ROUND(SUM(T111:T113),1)</f>
        <v>0</v>
      </c>
      <c r="U114" s="941"/>
      <c r="V114" s="941">
        <f>ROUND(SUM(V111:V113),1)</f>
        <v>0</v>
      </c>
      <c r="W114" s="941"/>
      <c r="X114" s="941">
        <f>ROUND(SUM(X111:X113),1)</f>
        <v>0</v>
      </c>
      <c r="Y114" s="941"/>
      <c r="Z114" s="941">
        <f>ROUND(SUM(Z111:Z113),1)</f>
        <v>0</v>
      </c>
      <c r="AA114" s="941"/>
      <c r="AB114" s="941"/>
      <c r="AC114" s="64"/>
      <c r="AD114" s="112">
        <f>ROUND(SUM(AD111:AD113),1)</f>
        <v>1480.8</v>
      </c>
      <c r="AE114" s="115"/>
      <c r="AF114" s="3330"/>
      <c r="AG114" s="112">
        <f>ROUND(SUM(AG111:AG113),1)</f>
        <v>1477.2</v>
      </c>
      <c r="AH114" s="283"/>
      <c r="AI114" s="76"/>
      <c r="AJ114" s="74">
        <f>ROUND(SUM(AD114-AG114),1)</f>
        <v>3.6</v>
      </c>
      <c r="AK114" s="166"/>
      <c r="AL114" s="1475">
        <f>ROUND(SUM((AD114-AG114)/ABS(AG114)),3)</f>
        <v>2E-3</v>
      </c>
      <c r="AM114" s="1408"/>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2"/>
      <c r="AG115" s="126"/>
      <c r="AH115" s="276"/>
      <c r="AI115" s="56"/>
      <c r="AJ115" s="656"/>
      <c r="AK115" s="939"/>
      <c r="AL115" s="1471"/>
      <c r="AM115" s="802"/>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2"/>
      <c r="AG116" s="118"/>
      <c r="AH116" s="276"/>
      <c r="AI116" s="56"/>
      <c r="AJ116" s="656"/>
      <c r="AK116" s="939"/>
      <c r="AL116" s="1471"/>
      <c r="AM116" s="802"/>
    </row>
    <row r="117" spans="1:52" ht="15" customHeight="1">
      <c r="A117" s="150"/>
      <c r="B117" s="29" t="s">
        <v>1255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2"/>
      <c r="AG117" s="139"/>
      <c r="AH117" s="276"/>
      <c r="AI117" s="56"/>
      <c r="AJ117" s="656"/>
      <c r="AK117" s="939"/>
      <c r="AL117" s="1471"/>
      <c r="AM117" s="802"/>
    </row>
    <row r="118" spans="1:52" ht="15" customHeight="1">
      <c r="A118" s="150"/>
      <c r="B118" s="29" t="s">
        <v>1201</v>
      </c>
      <c r="C118" s="31"/>
      <c r="D118" s="847">
        <f>ROUND(SUM(D108+D114),1)</f>
        <v>1343.9</v>
      </c>
      <c r="E118" s="1579"/>
      <c r="F118" s="847">
        <f>ROUND(SUM(F108+F114),1)</f>
        <v>-96.6</v>
      </c>
      <c r="G118" s="1579"/>
      <c r="H118" s="847">
        <f>ROUND(SUM(H108+H114),1)</f>
        <v>757.1</v>
      </c>
      <c r="I118" s="1579"/>
      <c r="J118" s="847">
        <f>ROUND(SUM(J108+J114),1)</f>
        <v>181.9</v>
      </c>
      <c r="K118" s="1579"/>
      <c r="L118" s="847">
        <f>ROUND(SUM(L108+L114),1)</f>
        <v>0</v>
      </c>
      <c r="M118" s="1579"/>
      <c r="N118" s="847">
        <f>ROUND(SUM(N108+N114),1)</f>
        <v>0</v>
      </c>
      <c r="O118" s="1579"/>
      <c r="P118" s="847">
        <f>ROUND(SUM(P108+P114),1)</f>
        <v>0</v>
      </c>
      <c r="Q118" s="1579"/>
      <c r="R118" s="847">
        <f>ROUND(SUM(R108+R114),1)</f>
        <v>0</v>
      </c>
      <c r="S118" s="1579"/>
      <c r="T118" s="847">
        <f>ROUND(SUM(T108+T114),1)</f>
        <v>0</v>
      </c>
      <c r="U118" s="1579"/>
      <c r="V118" s="847">
        <f>ROUND(SUM(V108+V114),1)</f>
        <v>0</v>
      </c>
      <c r="W118" s="1579"/>
      <c r="X118" s="847">
        <f>ROUND(SUM(X108+X114),1)</f>
        <v>0</v>
      </c>
      <c r="Y118" s="1579"/>
      <c r="Z118" s="847">
        <f>ROUND(SUM(Z108+Z114),1)</f>
        <v>0</v>
      </c>
      <c r="AA118" s="1579"/>
      <c r="AB118" s="1923"/>
      <c r="AC118" s="1579"/>
      <c r="AD118" s="1129">
        <f>ROUND(SUM(AD108+AD114),1)</f>
        <v>2186.3000000000002</v>
      </c>
      <c r="AE118" s="3320"/>
      <c r="AF118" s="115"/>
      <c r="AG118" s="1129">
        <f>ROUND(SUM(AG108+AG114),1)</f>
        <v>3054.8</v>
      </c>
      <c r="AH118" s="276"/>
      <c r="AI118" s="1579"/>
      <c r="AJ118" s="847">
        <f>ROUND(SUM(AJ108+AJ114),1)</f>
        <v>-868.5</v>
      </c>
      <c r="AK118" s="1579"/>
      <c r="AL118" s="1922">
        <f>ROUND(IF(AG118=0,0,AJ118/ABS(AG118)),3)</f>
        <v>-0.28399999999999997</v>
      </c>
      <c r="AM118" s="802"/>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41"/>
      <c r="AD119" s="117"/>
      <c r="AE119" s="117"/>
      <c r="AF119" s="3331"/>
      <c r="AG119" s="117"/>
      <c r="AH119" s="59"/>
      <c r="AI119" s="272"/>
      <c r="AJ119" s="1445"/>
      <c r="AK119" s="1445"/>
      <c r="AL119" s="1487"/>
      <c r="AM119" s="802"/>
    </row>
    <row r="120" spans="1:52" ht="17.25" customHeight="1" thickBot="1">
      <c r="A120" s="150"/>
      <c r="B120" s="29" t="s">
        <v>1211</v>
      </c>
      <c r="C120" s="31"/>
      <c r="D120" s="267">
        <f>ROUND(SUM(+D118+D13),1)</f>
        <v>6434.7</v>
      </c>
      <c r="E120" s="165"/>
      <c r="F120" s="267">
        <f>ROUND(SUM(+F118+F13),1)</f>
        <v>6338.1</v>
      </c>
      <c r="G120" s="165"/>
      <c r="H120" s="267">
        <f>ROUND(SUM(+H118+H13),1)</f>
        <v>7095.2</v>
      </c>
      <c r="I120" s="165"/>
      <c r="J120" s="267">
        <f>ROUND(SUM(+J118+J13),1)</f>
        <v>7277.1</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41"/>
      <c r="AD120" s="262">
        <f>ROUND(SUM(+AD118+AD13),1)</f>
        <v>7277.1</v>
      </c>
      <c r="AE120" s="117"/>
      <c r="AF120" s="3331"/>
      <c r="AG120" s="262">
        <f>ROUND(SUM(+AG118+AG13),1)</f>
        <v>7063.3</v>
      </c>
      <c r="AH120" s="59"/>
      <c r="AI120" s="272"/>
      <c r="AJ120" s="267">
        <f>ROUND(SUM(+AJ118+AJ13),1)</f>
        <v>213.8</v>
      </c>
      <c r="AK120" s="1445"/>
      <c r="AL120" s="1920">
        <f>ROUND(IF(AG120=0,0,AJ120/ABS(AG120)),3)</f>
        <v>0.03</v>
      </c>
      <c r="AM120" s="802"/>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5"/>
      <c r="AK121" s="1445"/>
      <c r="AL121" s="1487"/>
      <c r="AM121" s="802"/>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5"/>
      <c r="AK122" s="1445"/>
      <c r="AL122" s="1487"/>
      <c r="AM122" s="802"/>
    </row>
    <row r="123" spans="1:52" ht="15" customHeight="1">
      <c r="B123" s="939"/>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91"/>
      <c r="AE123" s="2191"/>
      <c r="AF123" s="2191"/>
      <c r="AG123" s="2191"/>
      <c r="AH123" s="269"/>
      <c r="AI123" s="269"/>
      <c r="AJ123" s="1444"/>
      <c r="AK123" s="1444"/>
      <c r="AL123" s="1471"/>
      <c r="AM123" s="802"/>
      <c r="AN123" s="297"/>
      <c r="AO123" s="297"/>
      <c r="AP123" s="297"/>
      <c r="AQ123" s="297"/>
      <c r="AR123" s="297"/>
      <c r="AS123" s="297"/>
      <c r="AT123" s="297"/>
      <c r="AU123" s="297"/>
      <c r="AV123" s="297"/>
      <c r="AW123" s="297"/>
      <c r="AX123" s="297"/>
      <c r="AY123" s="297"/>
      <c r="AZ123" s="297"/>
    </row>
    <row r="124" spans="1:52" ht="15" customHeight="1">
      <c r="B124" s="30"/>
      <c r="AL124" s="1489"/>
      <c r="AM124" s="802"/>
    </row>
    <row r="125" spans="1:52" ht="15" customHeight="1">
      <c r="B125" s="30"/>
      <c r="AL125" s="1489"/>
      <c r="AM125" s="802"/>
    </row>
    <row r="126" spans="1:52">
      <c r="AL126" s="1489"/>
      <c r="AM126" s="802"/>
    </row>
    <row r="127" spans="1:52" ht="15" customHeight="1">
      <c r="AL127" s="1489"/>
      <c r="AM127" s="802"/>
    </row>
    <row r="128" spans="1:52" ht="15" customHeight="1">
      <c r="D128" s="939"/>
      <c r="F128" s="939"/>
      <c r="H128" s="939"/>
      <c r="AJ128" s="1921"/>
      <c r="AL128" s="1489"/>
      <c r="AM128" s="802"/>
    </row>
    <row r="129" spans="38:39" ht="15" customHeight="1">
      <c r="AL129" s="802"/>
      <c r="AM129" s="802"/>
    </row>
    <row r="130" spans="38:39" ht="15" customHeight="1">
      <c r="AL130" s="802"/>
      <c r="AM130" s="802"/>
    </row>
    <row r="131" spans="38:39" ht="15" customHeight="1">
      <c r="AL131" s="802"/>
      <c r="AM131" s="802"/>
    </row>
    <row r="132" spans="38:39" ht="15" customHeight="1">
      <c r="AL132" s="802"/>
      <c r="AM132" s="802"/>
    </row>
    <row r="133" spans="38:39" ht="15" customHeight="1">
      <c r="AL133" s="802"/>
      <c r="AM133" s="802"/>
    </row>
    <row r="134" spans="38:39" ht="15" customHeight="1">
      <c r="AL134" s="802"/>
      <c r="AM134" s="802"/>
    </row>
    <row r="135" spans="38:39" ht="15" customHeight="1">
      <c r="AL135" s="802"/>
      <c r="AM135" s="802"/>
    </row>
    <row r="136" spans="38:39" ht="15" customHeight="1">
      <c r="AL136" s="802"/>
      <c r="AM136" s="802"/>
    </row>
    <row r="137" spans="38:39" ht="15" customHeight="1">
      <c r="AL137" s="802"/>
      <c r="AM137" s="802"/>
    </row>
    <row r="138" spans="38:39" ht="15" customHeight="1">
      <c r="AL138" s="802"/>
      <c r="AM138" s="802"/>
    </row>
    <row r="139" spans="38:39" ht="15" customHeight="1">
      <c r="AL139" s="802"/>
      <c r="AM139" s="802"/>
    </row>
    <row r="140" spans="38:39" ht="15" customHeight="1">
      <c r="AL140" s="802"/>
      <c r="AM140" s="802"/>
    </row>
    <row r="141" spans="38:39" ht="15" customHeight="1">
      <c r="AL141" s="802"/>
      <c r="AM141" s="802"/>
    </row>
    <row r="142" spans="38:39" ht="15" customHeight="1">
      <c r="AL142" s="802"/>
      <c r="AM142" s="802"/>
    </row>
    <row r="143" spans="38:39" ht="15" customHeight="1">
      <c r="AL143" s="802"/>
      <c r="AM143" s="802"/>
    </row>
    <row r="144" spans="38:39" ht="15" customHeight="1">
      <c r="AL144" s="802"/>
      <c r="AM144" s="802"/>
    </row>
    <row r="145" spans="38:39" ht="15" customHeight="1">
      <c r="AL145" s="802"/>
      <c r="AM145" s="802"/>
    </row>
    <row r="146" spans="38:39" ht="15" customHeight="1">
      <c r="AL146" s="802"/>
      <c r="AM146" s="802"/>
    </row>
    <row r="147" spans="38:39" ht="15" customHeight="1">
      <c r="AL147" s="802"/>
      <c r="AM147" s="802"/>
    </row>
    <row r="148" spans="38:39" ht="15" customHeight="1">
      <c r="AL148" s="802"/>
      <c r="AM148" s="802"/>
    </row>
    <row r="149" spans="38:39" ht="15" customHeight="1">
      <c r="AL149" s="802"/>
      <c r="AM149" s="802"/>
    </row>
    <row r="150" spans="38:39" ht="15" customHeight="1">
      <c r="AL150" s="802"/>
      <c r="AM150" s="802"/>
    </row>
    <row r="151" spans="38:39" ht="15" customHeight="1">
      <c r="AL151" s="802"/>
      <c r="AM151" s="802"/>
    </row>
    <row r="152" spans="38:39" ht="15" customHeight="1">
      <c r="AL152" s="802"/>
      <c r="AM152" s="802"/>
    </row>
    <row r="153" spans="38:39" ht="15" customHeight="1">
      <c r="AL153" s="802"/>
      <c r="AM153" s="802"/>
    </row>
    <row r="154" spans="38:39" ht="15" customHeight="1">
      <c r="AL154" s="802"/>
      <c r="AM154" s="802"/>
    </row>
    <row r="155" spans="38:39" ht="11.25" customHeight="1">
      <c r="AL155" s="802"/>
      <c r="AM155" s="802"/>
    </row>
    <row r="156" spans="38:39" ht="15" customHeight="1">
      <c r="AL156" s="802"/>
      <c r="AM156" s="802"/>
    </row>
    <row r="157" spans="38:39" ht="15" customHeight="1">
      <c r="AL157" s="802"/>
      <c r="AM157" s="802"/>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8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6640625" style="247" bestFit="1" customWidth="1"/>
    <col min="27" max="27" width="1" style="247" customWidth="1"/>
    <col min="28" max="29" width="1.77734375" style="247" customWidth="1"/>
    <col min="30" max="30" width="12.21875" style="906" customWidth="1"/>
    <col min="31" max="32" width="1.21875" style="906" customWidth="1"/>
    <col min="33" max="33" width="11.77734375" style="906" customWidth="1"/>
    <col min="34" max="34" width="1.44140625" style="247" customWidth="1"/>
    <col min="35" max="35" width="0.77734375" style="247" customWidth="1"/>
    <col min="36" max="36" width="13.109375" style="247" bestFit="1" customWidth="1"/>
    <col min="37" max="37" width="0.77734375" style="247" customWidth="1"/>
    <col min="38" max="38" width="13.77734375" style="802" bestFit="1" customWidth="1"/>
    <col min="39" max="16384" width="8.77734375" style="247"/>
  </cols>
  <sheetData>
    <row r="1" spans="1:41" ht="15">
      <c r="B1" s="657" t="s">
        <v>980</v>
      </c>
    </row>
    <row r="2" spans="1:41" ht="15.75">
      <c r="A2" s="246"/>
      <c r="M2" s="29"/>
      <c r="N2" s="29"/>
      <c r="O2" s="265"/>
    </row>
    <row r="3" spans="1:41" ht="18">
      <c r="A3" s="246"/>
      <c r="B3" s="249" t="s">
        <v>0</v>
      </c>
      <c r="M3" s="29"/>
      <c r="N3" s="29"/>
      <c r="O3" s="265"/>
      <c r="AF3" s="3258"/>
      <c r="AG3" s="3647"/>
      <c r="AH3" s="289"/>
      <c r="AI3" s="289"/>
      <c r="AJ3" s="289"/>
      <c r="AK3" s="289"/>
      <c r="AL3" s="250" t="s">
        <v>169</v>
      </c>
    </row>
    <row r="4" spans="1:41" ht="18">
      <c r="A4" s="246"/>
      <c r="B4" s="249" t="s">
        <v>178</v>
      </c>
      <c r="L4" s="29"/>
      <c r="M4" s="29"/>
      <c r="O4" s="265"/>
    </row>
    <row r="5" spans="1:41" ht="18">
      <c r="A5" s="246"/>
      <c r="B5" s="1581" t="s">
        <v>149</v>
      </c>
      <c r="L5" s="265"/>
      <c r="M5" s="265"/>
      <c r="O5" s="265"/>
      <c r="X5" s="290"/>
    </row>
    <row r="6" spans="1:41" ht="20.25">
      <c r="A6" s="246"/>
      <c r="B6" s="1581" t="str">
        <f>'Cashflow Governmental'!A6</f>
        <v>FISCAL YEAR 2019-2020</v>
      </c>
      <c r="L6" s="265"/>
      <c r="M6" s="265"/>
      <c r="O6" s="265"/>
      <c r="AL6" s="803"/>
    </row>
    <row r="7" spans="1:41" ht="18">
      <c r="A7" s="246"/>
      <c r="B7" s="249" t="s">
        <v>1436</v>
      </c>
      <c r="AI7" s="150"/>
      <c r="AJ7" s="150"/>
      <c r="AK7" s="150"/>
      <c r="AL7" s="804"/>
    </row>
    <row r="8" spans="1:41" ht="13.5" customHeight="1">
      <c r="A8" s="246"/>
      <c r="B8" s="298"/>
      <c r="AI8" s="150"/>
      <c r="AJ8" s="150"/>
      <c r="AK8" s="150"/>
      <c r="AL8" s="804"/>
    </row>
    <row r="9" spans="1:41" ht="15.75">
      <c r="A9" s="246"/>
      <c r="L9" s="265"/>
      <c r="M9" s="265"/>
      <c r="N9" s="265"/>
      <c r="O9" s="265"/>
      <c r="AC9" s="3809" t="str">
        <f>'Exhibit G'!AC9:AL9</f>
        <v>4 Months Ended July 31</v>
      </c>
      <c r="AD9" s="3809"/>
      <c r="AE9" s="3809"/>
      <c r="AF9" s="3809"/>
      <c r="AG9" s="3809"/>
      <c r="AH9" s="3809"/>
      <c r="AI9" s="3809"/>
      <c r="AJ9" s="3809"/>
      <c r="AK9" s="3809"/>
      <c r="AL9" s="3809"/>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15"/>
      <c r="AE10" s="3315"/>
      <c r="AF10" s="3315"/>
      <c r="AG10" s="3315"/>
      <c r="AH10" s="210"/>
      <c r="AI10" s="209"/>
      <c r="AJ10" s="767" t="s">
        <v>8</v>
      </c>
      <c r="AK10" s="767"/>
      <c r="AL10" s="805"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6"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9"/>
      <c r="AD12" s="3332"/>
      <c r="AE12" s="3332"/>
      <c r="AF12" s="3322"/>
      <c r="AG12" s="3332"/>
      <c r="AH12" s="37"/>
      <c r="AI12" s="272"/>
      <c r="AJ12" s="30"/>
      <c r="AK12" s="30"/>
      <c r="AL12" s="264"/>
    </row>
    <row r="13" spans="1:41" ht="15.75">
      <c r="A13" s="246"/>
      <c r="B13" s="1915" t="s">
        <v>1282</v>
      </c>
      <c r="C13" s="30"/>
      <c r="D13" s="308">
        <v>-1248.3999999999999</v>
      </c>
      <c r="E13" s="30"/>
      <c r="F13" s="219">
        <f>D92</f>
        <v>567.70000000000005</v>
      </c>
      <c r="G13" s="30"/>
      <c r="H13" s="219">
        <f>F92</f>
        <v>-69.2</v>
      </c>
      <c r="I13" s="30"/>
      <c r="J13" s="219">
        <f>H92</f>
        <v>891.4</v>
      </c>
      <c r="K13" s="30"/>
      <c r="L13" s="219"/>
      <c r="M13" s="30"/>
      <c r="N13" s="219"/>
      <c r="O13" s="30"/>
      <c r="P13" s="219"/>
      <c r="Q13" s="30"/>
      <c r="R13" s="219"/>
      <c r="S13" s="30"/>
      <c r="T13" s="219"/>
      <c r="U13" s="30"/>
      <c r="V13" s="219"/>
      <c r="W13" s="30"/>
      <c r="X13" s="219"/>
      <c r="Y13" s="30"/>
      <c r="Z13" s="219"/>
      <c r="AA13" s="37"/>
      <c r="AB13" s="30"/>
      <c r="AC13" s="1079"/>
      <c r="AD13" s="139">
        <f>D13</f>
        <v>-1248.3999999999999</v>
      </c>
      <c r="AE13" s="1111"/>
      <c r="AF13" s="3322"/>
      <c r="AG13" s="139">
        <v>293.60000000000002</v>
      </c>
      <c r="AH13" s="37"/>
      <c r="AI13" s="272"/>
      <c r="AJ13" s="94">
        <f>+AD13-AG13</f>
        <v>-1542</v>
      </c>
      <c r="AK13" s="30"/>
      <c r="AL13" s="274">
        <f>+AJ13/AG13</f>
        <v>-5.2520435967302452</v>
      </c>
    </row>
    <row r="14" spans="1:41" ht="15.75">
      <c r="A14" s="246"/>
      <c r="B14" s="1915"/>
      <c r="C14" s="30"/>
      <c r="D14" s="37"/>
      <c r="E14" s="30"/>
      <c r="F14" s="37"/>
      <c r="G14" s="30"/>
      <c r="H14" s="37"/>
      <c r="I14" s="30"/>
      <c r="J14" s="37"/>
      <c r="K14" s="30"/>
      <c r="L14" s="37"/>
      <c r="M14" s="30"/>
      <c r="N14" s="1078"/>
      <c r="O14" s="30"/>
      <c r="P14" s="37"/>
      <c r="Q14" s="30"/>
      <c r="R14" s="37"/>
      <c r="S14" s="30"/>
      <c r="T14" s="37"/>
      <c r="U14" s="30"/>
      <c r="V14" s="37"/>
      <c r="W14" s="30"/>
      <c r="X14" s="37"/>
      <c r="Y14" s="30"/>
      <c r="Z14" s="37"/>
      <c r="AA14" s="37"/>
      <c r="AB14" s="1925"/>
      <c r="AC14" s="37"/>
      <c r="AD14" s="1111"/>
      <c r="AE14" s="1111"/>
      <c r="AF14" s="3322"/>
      <c r="AG14" s="111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23"/>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33"/>
      <c r="AF16" s="3336"/>
      <c r="AG16" s="362"/>
      <c r="AH16" s="294"/>
      <c r="AI16" s="37"/>
      <c r="AJ16" s="962"/>
      <c r="AK16" s="656"/>
      <c r="AL16" s="929"/>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2"/>
      <c r="AG17" s="118"/>
      <c r="AH17" s="276"/>
      <c r="AI17" s="56"/>
      <c r="AJ17" s="962"/>
      <c r="AK17" s="962"/>
      <c r="AL17" s="683"/>
    </row>
    <row r="18" spans="1:39" ht="15" customHeight="1">
      <c r="A18" s="150"/>
      <c r="B18" s="911" t="s">
        <v>1155</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2"/>
      <c r="AG18" s="118"/>
      <c r="AH18" s="276"/>
      <c r="AI18" s="56"/>
      <c r="AJ18" s="962"/>
      <c r="AK18" s="962"/>
      <c r="AL18" s="683"/>
    </row>
    <row r="19" spans="1:39" ht="15" customHeight="1">
      <c r="A19" s="150"/>
      <c r="B19" s="911" t="s">
        <v>1067</v>
      </c>
      <c r="C19" s="31"/>
      <c r="D19" s="700">
        <v>0</v>
      </c>
      <c r="E19" s="913"/>
      <c r="F19" s="700">
        <v>0</v>
      </c>
      <c r="G19" s="914"/>
      <c r="H19" s="700">
        <v>0</v>
      </c>
      <c r="I19" s="914"/>
      <c r="J19" s="700">
        <f>$AD19-$D19-$F19-$H19</f>
        <v>0</v>
      </c>
      <c r="K19" s="1584"/>
      <c r="L19" s="700"/>
      <c r="M19" s="1584"/>
      <c r="N19" s="700"/>
      <c r="O19" s="1858"/>
      <c r="P19" s="1851"/>
      <c r="Q19" s="2054"/>
      <c r="R19" s="1851"/>
      <c r="S19" s="2054"/>
      <c r="T19" s="1851"/>
      <c r="U19" s="2054"/>
      <c r="V19" s="1851"/>
      <c r="W19" s="2054"/>
      <c r="X19" s="1851"/>
      <c r="Y19" s="2054"/>
      <c r="Z19" s="1851"/>
      <c r="AA19" s="2055"/>
      <c r="AB19" s="1906"/>
      <c r="AC19" s="2056"/>
      <c r="AD19" s="1851">
        <v>0</v>
      </c>
      <c r="AE19" s="2067"/>
      <c r="AF19" s="2069"/>
      <c r="AG19" s="1851">
        <v>0</v>
      </c>
      <c r="AH19" s="1415"/>
      <c r="AI19" s="962"/>
      <c r="AJ19" s="914">
        <f>ROUND(SUM(+AD19-AG19),1)</f>
        <v>0</v>
      </c>
      <c r="AK19" s="962"/>
      <c r="AL19" s="1478">
        <f>ROUND(IF(AG19=0,0,AJ19/ABS(AG19)),3)</f>
        <v>0</v>
      </c>
    </row>
    <row r="20" spans="1:39" s="906" customFormat="1" ht="15" customHeight="1">
      <c r="A20" s="1090"/>
      <c r="B20" s="911" t="s">
        <v>1156</v>
      </c>
      <c r="C20" s="107"/>
      <c r="D20" s="700" t="s">
        <v>15</v>
      </c>
      <c r="E20" s="833"/>
      <c r="F20" s="700"/>
      <c r="G20" s="833"/>
      <c r="H20" s="700"/>
      <c r="I20" s="833"/>
      <c r="J20" s="700"/>
      <c r="K20" s="140"/>
      <c r="L20" s="1710"/>
      <c r="M20" s="140"/>
      <c r="N20" s="1710"/>
      <c r="O20" s="140"/>
      <c r="P20" s="1851"/>
      <c r="Q20" s="2058"/>
      <c r="R20" s="1851"/>
      <c r="S20" s="2058"/>
      <c r="T20" s="1851"/>
      <c r="U20" s="2058"/>
      <c r="V20" s="1851"/>
      <c r="W20" s="2062"/>
      <c r="X20" s="1851"/>
      <c r="Y20" s="2062"/>
      <c r="Z20" s="1851"/>
      <c r="AA20" s="2061"/>
      <c r="AB20" s="2058"/>
      <c r="AC20" s="2063"/>
      <c r="AD20" s="2062"/>
      <c r="AE20" s="2062"/>
      <c r="AF20" s="2064"/>
      <c r="AG20" s="2062"/>
      <c r="AH20" s="1093"/>
      <c r="AI20" s="67"/>
      <c r="AJ20" s="1043"/>
      <c r="AK20" s="1043"/>
      <c r="AL20" s="1488"/>
    </row>
    <row r="21" spans="1:39" s="906" customFormat="1" ht="15" customHeight="1">
      <c r="A21" s="1090"/>
      <c r="B21" s="911" t="s">
        <v>1069</v>
      </c>
      <c r="C21" s="107"/>
      <c r="D21" s="700">
        <v>4.5</v>
      </c>
      <c r="E21" s="833"/>
      <c r="F21" s="700">
        <v>39.1</v>
      </c>
      <c r="G21" s="833"/>
      <c r="H21" s="700">
        <v>0.19999999999999574</v>
      </c>
      <c r="I21" s="833"/>
      <c r="J21" s="700">
        <f t="shared" ref="J21:J51" si="0">$AD21-$D21-$F21-$H21</f>
        <v>2.8000000000000043</v>
      </c>
      <c r="K21" s="1584"/>
      <c r="L21" s="700"/>
      <c r="M21" s="1584"/>
      <c r="N21" s="700"/>
      <c r="O21" s="1584"/>
      <c r="P21" s="1851"/>
      <c r="Q21" s="2065"/>
      <c r="R21" s="1851"/>
      <c r="S21" s="2065"/>
      <c r="T21" s="1851"/>
      <c r="U21" s="2065"/>
      <c r="V21" s="1851"/>
      <c r="W21" s="2065"/>
      <c r="X21" s="1851"/>
      <c r="Y21" s="2065"/>
      <c r="Z21" s="1851"/>
      <c r="AA21" s="2066"/>
      <c r="AB21" s="2067"/>
      <c r="AC21" s="2068"/>
      <c r="AD21" s="1851">
        <v>46.6</v>
      </c>
      <c r="AE21" s="2067"/>
      <c r="AF21" s="2069"/>
      <c r="AG21" s="1851">
        <v>43.9</v>
      </c>
      <c r="AH21" s="1093"/>
      <c r="AI21" s="67"/>
      <c r="AJ21" s="1043">
        <f t="shared" ref="AJ21:AJ51" si="1">ROUND(SUM(+AD21-AG21),1)</f>
        <v>2.7</v>
      </c>
      <c r="AK21" s="1043"/>
      <c r="AL21" s="1786">
        <f>ROUND(IF(AG21=0,0,AJ21/ABS(AG21)),3)</f>
        <v>6.2E-2</v>
      </c>
      <c r="AM21" s="1870"/>
    </row>
    <row r="22" spans="1:39" ht="15" customHeight="1">
      <c r="A22" s="150"/>
      <c r="B22" s="911" t="s">
        <v>1070</v>
      </c>
      <c r="C22" s="31"/>
      <c r="D22" s="700">
        <v>0</v>
      </c>
      <c r="E22" s="833"/>
      <c r="F22" s="700">
        <v>0</v>
      </c>
      <c r="G22" s="833"/>
      <c r="H22" s="700">
        <v>0</v>
      </c>
      <c r="I22" s="833"/>
      <c r="J22" s="700">
        <f t="shared" si="0"/>
        <v>0</v>
      </c>
      <c r="K22" s="1584"/>
      <c r="L22" s="700"/>
      <c r="M22" s="1584"/>
      <c r="N22" s="700"/>
      <c r="O22" s="1584"/>
      <c r="P22" s="1851"/>
      <c r="Q22" s="2065"/>
      <c r="R22" s="1851"/>
      <c r="S22" s="2065"/>
      <c r="T22" s="1851"/>
      <c r="U22" s="2065"/>
      <c r="V22" s="1851"/>
      <c r="W22" s="2065"/>
      <c r="X22" s="1851"/>
      <c r="Y22" s="2065"/>
      <c r="Z22" s="1851"/>
      <c r="AA22" s="2066"/>
      <c r="AB22" s="2067"/>
      <c r="AC22" s="2068"/>
      <c r="AD22" s="1851">
        <v>0</v>
      </c>
      <c r="AE22" s="2067"/>
      <c r="AF22" s="2069"/>
      <c r="AG22" s="1851">
        <v>0</v>
      </c>
      <c r="AH22" s="276"/>
      <c r="AI22" s="56"/>
      <c r="AJ22" s="962">
        <f t="shared" si="1"/>
        <v>0</v>
      </c>
      <c r="AK22" s="962"/>
      <c r="AL22" s="1478">
        <f>ROUND(IF(AG22=0,0,AJ22/ABS(AG22)),3)</f>
        <v>0</v>
      </c>
    </row>
    <row r="23" spans="1:39" ht="15" customHeight="1">
      <c r="A23" s="150"/>
      <c r="B23" s="911" t="s">
        <v>1071</v>
      </c>
      <c r="C23" s="31"/>
      <c r="D23" s="700">
        <v>0</v>
      </c>
      <c r="E23" s="833"/>
      <c r="F23" s="700">
        <v>0</v>
      </c>
      <c r="G23" s="833"/>
      <c r="H23" s="700">
        <v>0</v>
      </c>
      <c r="I23" s="833"/>
      <c r="J23" s="700">
        <f t="shared" si="0"/>
        <v>0</v>
      </c>
      <c r="K23" s="1584"/>
      <c r="L23" s="700"/>
      <c r="M23" s="1584"/>
      <c r="N23" s="700"/>
      <c r="O23" s="1584"/>
      <c r="P23" s="1851"/>
      <c r="Q23" s="2065"/>
      <c r="R23" s="1851"/>
      <c r="S23" s="2065"/>
      <c r="T23" s="1851"/>
      <c r="U23" s="2065"/>
      <c r="V23" s="1851"/>
      <c r="W23" s="2065"/>
      <c r="X23" s="1851"/>
      <c r="Y23" s="2065"/>
      <c r="Z23" s="1851"/>
      <c r="AA23" s="2066"/>
      <c r="AB23" s="2067"/>
      <c r="AC23" s="2068"/>
      <c r="AD23" s="1851">
        <v>0</v>
      </c>
      <c r="AE23" s="2067"/>
      <c r="AF23" s="2069"/>
      <c r="AG23" s="1851">
        <v>0</v>
      </c>
      <c r="AH23" s="276"/>
      <c r="AI23" s="56"/>
      <c r="AJ23" s="962">
        <f t="shared" si="1"/>
        <v>0</v>
      </c>
      <c r="AK23" s="962"/>
      <c r="AL23" s="1478">
        <f>ROUND(IF(AG23=0,0,AJ23/ABS(AG23)),3)</f>
        <v>0</v>
      </c>
    </row>
    <row r="24" spans="1:39" ht="15" customHeight="1">
      <c r="A24" s="150"/>
      <c r="B24" s="911" t="s">
        <v>1072</v>
      </c>
      <c r="C24" s="31"/>
      <c r="D24" s="700">
        <v>0</v>
      </c>
      <c r="E24" s="833"/>
      <c r="F24" s="700">
        <v>0</v>
      </c>
      <c r="G24" s="833"/>
      <c r="H24" s="700">
        <v>0</v>
      </c>
      <c r="I24" s="833"/>
      <c r="J24" s="700">
        <f t="shared" si="0"/>
        <v>0</v>
      </c>
      <c r="K24" s="1584"/>
      <c r="L24" s="700"/>
      <c r="M24" s="1584"/>
      <c r="N24" s="700"/>
      <c r="O24" s="1584"/>
      <c r="P24" s="1851"/>
      <c r="Q24" s="2065"/>
      <c r="R24" s="1851"/>
      <c r="S24" s="2065"/>
      <c r="T24" s="1851"/>
      <c r="U24" s="2065"/>
      <c r="V24" s="1851"/>
      <c r="W24" s="2065"/>
      <c r="X24" s="1851"/>
      <c r="Y24" s="2065"/>
      <c r="Z24" s="1851"/>
      <c r="AA24" s="2066"/>
      <c r="AB24" s="2067"/>
      <c r="AC24" s="2068"/>
      <c r="AD24" s="1851">
        <v>0</v>
      </c>
      <c r="AE24" s="2067"/>
      <c r="AF24" s="2069"/>
      <c r="AG24" s="1851">
        <v>0</v>
      </c>
      <c r="AH24" s="276"/>
      <c r="AI24" s="56"/>
      <c r="AJ24" s="962">
        <f t="shared" si="1"/>
        <v>0</v>
      </c>
      <c r="AK24" s="962"/>
      <c r="AL24" s="1478">
        <f>ROUND(IF(AG24=0,0,AJ24/ABS(AG24)),3)</f>
        <v>0</v>
      </c>
    </row>
    <row r="25" spans="1:39" ht="15" customHeight="1">
      <c r="A25" s="150"/>
      <c r="B25" s="911" t="s">
        <v>1161</v>
      </c>
      <c r="C25" s="31"/>
      <c r="D25" s="700" t="s">
        <v>15</v>
      </c>
      <c r="E25" s="833"/>
      <c r="F25" s="700"/>
      <c r="G25" s="833"/>
      <c r="H25" s="700"/>
      <c r="I25" s="833"/>
      <c r="J25" s="700"/>
      <c r="K25" s="140"/>
      <c r="L25" s="700"/>
      <c r="M25" s="140"/>
      <c r="N25" s="700"/>
      <c r="O25" s="140"/>
      <c r="P25" s="1851"/>
      <c r="Q25" s="2058"/>
      <c r="R25" s="1851"/>
      <c r="S25" s="2058"/>
      <c r="T25" s="1851"/>
      <c r="U25" s="2058"/>
      <c r="V25" s="1851"/>
      <c r="W25" s="2062"/>
      <c r="X25" s="1851"/>
      <c r="Y25" s="2062"/>
      <c r="Z25" s="1851"/>
      <c r="AA25" s="2061"/>
      <c r="AB25" s="2058"/>
      <c r="AC25" s="2063"/>
      <c r="AD25" s="2062"/>
      <c r="AE25" s="2062"/>
      <c r="AF25" s="2064"/>
      <c r="AG25" s="2062"/>
      <c r="AH25" s="276"/>
      <c r="AI25" s="56"/>
      <c r="AJ25" s="962"/>
      <c r="AK25" s="962"/>
      <c r="AL25" s="1478"/>
    </row>
    <row r="26" spans="1:39" ht="15" customHeight="1">
      <c r="A26" s="150"/>
      <c r="B26" s="911" t="s">
        <v>1073</v>
      </c>
      <c r="C26" s="31"/>
      <c r="D26" s="700">
        <v>0</v>
      </c>
      <c r="E26" s="833"/>
      <c r="F26" s="700">
        <v>0</v>
      </c>
      <c r="G26" s="833"/>
      <c r="H26" s="700">
        <v>0</v>
      </c>
      <c r="I26" s="833"/>
      <c r="J26" s="700">
        <f t="shared" si="0"/>
        <v>0</v>
      </c>
      <c r="K26" s="1584"/>
      <c r="L26" s="700"/>
      <c r="M26" s="1584"/>
      <c r="N26" s="700"/>
      <c r="O26" s="1584"/>
      <c r="P26" s="1851"/>
      <c r="Q26" s="2065"/>
      <c r="R26" s="1851"/>
      <c r="S26" s="2065"/>
      <c r="T26" s="1851"/>
      <c r="U26" s="2065"/>
      <c r="V26" s="1851"/>
      <c r="W26" s="2065"/>
      <c r="X26" s="1851"/>
      <c r="Y26" s="2065"/>
      <c r="Z26" s="1851"/>
      <c r="AA26" s="2066"/>
      <c r="AB26" s="2067"/>
      <c r="AC26" s="2068"/>
      <c r="AD26" s="1851">
        <v>0</v>
      </c>
      <c r="AE26" s="2067"/>
      <c r="AF26" s="2069"/>
      <c r="AG26" s="1851">
        <v>0</v>
      </c>
      <c r="AH26" s="276"/>
      <c r="AI26" s="56"/>
      <c r="AJ26" s="962">
        <f t="shared" si="1"/>
        <v>0</v>
      </c>
      <c r="AK26" s="962"/>
      <c r="AL26" s="1478">
        <f t="shared" ref="AL26:AL31" si="2">ROUND(IF(AG26=0,0,AJ26/ABS(AG26)),3)</f>
        <v>0</v>
      </c>
    </row>
    <row r="27" spans="1:39" ht="15" customHeight="1">
      <c r="A27" s="150"/>
      <c r="B27" s="911" t="s">
        <v>1074</v>
      </c>
      <c r="C27" s="31"/>
      <c r="D27" s="700">
        <v>0</v>
      </c>
      <c r="E27" s="833"/>
      <c r="F27" s="700">
        <v>0</v>
      </c>
      <c r="G27" s="833"/>
      <c r="H27" s="700">
        <v>0</v>
      </c>
      <c r="I27" s="833"/>
      <c r="J27" s="700">
        <f t="shared" si="0"/>
        <v>0</v>
      </c>
      <c r="K27" s="1584"/>
      <c r="L27" s="700"/>
      <c r="M27" s="1584"/>
      <c r="N27" s="700"/>
      <c r="O27" s="1584"/>
      <c r="P27" s="1851"/>
      <c r="Q27" s="2065"/>
      <c r="R27" s="1851"/>
      <c r="S27" s="2065"/>
      <c r="T27" s="1851"/>
      <c r="U27" s="2065"/>
      <c r="V27" s="1851"/>
      <c r="W27" s="2065"/>
      <c r="X27" s="1851"/>
      <c r="Y27" s="2065"/>
      <c r="Z27" s="1851"/>
      <c r="AA27" s="2066"/>
      <c r="AB27" s="2067"/>
      <c r="AC27" s="2068"/>
      <c r="AD27" s="1851">
        <v>0</v>
      </c>
      <c r="AE27" s="2067"/>
      <c r="AF27" s="2069"/>
      <c r="AG27" s="1851">
        <v>0</v>
      </c>
      <c r="AH27" s="276"/>
      <c r="AI27" s="56"/>
      <c r="AJ27" s="962">
        <f t="shared" si="1"/>
        <v>0</v>
      </c>
      <c r="AK27" s="962"/>
      <c r="AL27" s="1478">
        <f t="shared" si="2"/>
        <v>0</v>
      </c>
    </row>
    <row r="28" spans="1:39" ht="15" customHeight="1">
      <c r="A28" s="150"/>
      <c r="B28" s="911" t="s">
        <v>1075</v>
      </c>
      <c r="C28" s="31"/>
      <c r="D28" s="700">
        <v>0</v>
      </c>
      <c r="E28" s="833"/>
      <c r="F28" s="700">
        <v>0</v>
      </c>
      <c r="G28" s="833"/>
      <c r="H28" s="700">
        <v>0</v>
      </c>
      <c r="I28" s="833"/>
      <c r="J28" s="700">
        <f t="shared" si="0"/>
        <v>0</v>
      </c>
      <c r="K28" s="1584"/>
      <c r="L28" s="700"/>
      <c r="M28" s="1584"/>
      <c r="N28" s="700"/>
      <c r="O28" s="1584"/>
      <c r="P28" s="1851"/>
      <c r="Q28" s="2065"/>
      <c r="R28" s="1851"/>
      <c r="S28" s="2065"/>
      <c r="T28" s="1851"/>
      <c r="U28" s="2065"/>
      <c r="V28" s="1851"/>
      <c r="W28" s="2065"/>
      <c r="X28" s="1851"/>
      <c r="Y28" s="2065"/>
      <c r="Z28" s="1851"/>
      <c r="AA28" s="2066"/>
      <c r="AB28" s="2067"/>
      <c r="AC28" s="2068"/>
      <c r="AD28" s="1851">
        <v>0</v>
      </c>
      <c r="AE28" s="2067"/>
      <c r="AF28" s="2069"/>
      <c r="AG28" s="1851">
        <v>0</v>
      </c>
      <c r="AH28" s="276"/>
      <c r="AI28" s="56"/>
      <c r="AJ28" s="962">
        <f t="shared" si="1"/>
        <v>0</v>
      </c>
      <c r="AK28" s="962"/>
      <c r="AL28" s="1478">
        <f t="shared" si="2"/>
        <v>0</v>
      </c>
    </row>
    <row r="29" spans="1:39" ht="15" customHeight="1">
      <c r="A29" s="150"/>
      <c r="B29" s="911" t="s">
        <v>1076</v>
      </c>
      <c r="C29" s="31"/>
      <c r="D29" s="700">
        <v>0</v>
      </c>
      <c r="E29" s="833"/>
      <c r="F29" s="700">
        <v>0</v>
      </c>
      <c r="G29" s="833"/>
      <c r="H29" s="700">
        <v>0</v>
      </c>
      <c r="I29" s="833"/>
      <c r="J29" s="700">
        <f t="shared" si="0"/>
        <v>0</v>
      </c>
      <c r="K29" s="1584"/>
      <c r="L29" s="700"/>
      <c r="M29" s="1584"/>
      <c r="N29" s="700"/>
      <c r="O29" s="1584"/>
      <c r="P29" s="1851"/>
      <c r="Q29" s="2065"/>
      <c r="R29" s="1851"/>
      <c r="S29" s="2065"/>
      <c r="T29" s="1851"/>
      <c r="U29" s="2065"/>
      <c r="V29" s="1851"/>
      <c r="W29" s="2065"/>
      <c r="X29" s="1851"/>
      <c r="Y29" s="2065"/>
      <c r="Z29" s="1851"/>
      <c r="AA29" s="2066"/>
      <c r="AB29" s="2067"/>
      <c r="AC29" s="2068"/>
      <c r="AD29" s="1851">
        <v>0</v>
      </c>
      <c r="AE29" s="2067"/>
      <c r="AF29" s="2069"/>
      <c r="AG29" s="1851">
        <v>0</v>
      </c>
      <c r="AH29" s="276"/>
      <c r="AI29" s="56"/>
      <c r="AJ29" s="962">
        <f t="shared" si="1"/>
        <v>0</v>
      </c>
      <c r="AK29" s="962"/>
      <c r="AL29" s="1478">
        <f t="shared" si="2"/>
        <v>0</v>
      </c>
    </row>
    <row r="30" spans="1:39" ht="15" customHeight="1">
      <c r="A30" s="150"/>
      <c r="B30" s="911" t="s">
        <v>1077</v>
      </c>
      <c r="C30" s="31"/>
      <c r="D30" s="700">
        <v>0</v>
      </c>
      <c r="E30" s="833"/>
      <c r="F30" s="700">
        <v>0</v>
      </c>
      <c r="G30" s="833"/>
      <c r="H30" s="700">
        <v>0</v>
      </c>
      <c r="I30" s="833"/>
      <c r="J30" s="700">
        <f t="shared" si="0"/>
        <v>0</v>
      </c>
      <c r="K30" s="1584"/>
      <c r="L30" s="700"/>
      <c r="M30" s="1584"/>
      <c r="N30" s="700"/>
      <c r="O30" s="1584"/>
      <c r="P30" s="1851"/>
      <c r="Q30" s="2065"/>
      <c r="R30" s="1851"/>
      <c r="S30" s="2065"/>
      <c r="T30" s="1851"/>
      <c r="U30" s="2065"/>
      <c r="V30" s="1851"/>
      <c r="W30" s="2065"/>
      <c r="X30" s="1851"/>
      <c r="Y30" s="2065"/>
      <c r="Z30" s="1851"/>
      <c r="AA30" s="2066"/>
      <c r="AB30" s="2067"/>
      <c r="AC30" s="2068"/>
      <c r="AD30" s="1851">
        <v>0</v>
      </c>
      <c r="AE30" s="2067"/>
      <c r="AF30" s="2069"/>
      <c r="AG30" s="1851">
        <v>0</v>
      </c>
      <c r="AH30" s="276"/>
      <c r="AI30" s="56"/>
      <c r="AJ30" s="962">
        <f t="shared" si="1"/>
        <v>0</v>
      </c>
      <c r="AK30" s="962"/>
      <c r="AL30" s="1478">
        <f t="shared" si="2"/>
        <v>0</v>
      </c>
    </row>
    <row r="31" spans="1:39" ht="15" customHeight="1">
      <c r="A31" s="150"/>
      <c r="B31" s="911" t="s">
        <v>1035</v>
      </c>
      <c r="C31" s="31"/>
      <c r="D31" s="700">
        <v>0.7</v>
      </c>
      <c r="E31" s="833"/>
      <c r="F31" s="700">
        <v>0.8</v>
      </c>
      <c r="G31" s="833"/>
      <c r="H31" s="700">
        <v>0.5</v>
      </c>
      <c r="I31" s="833"/>
      <c r="J31" s="700">
        <f t="shared" si="0"/>
        <v>0.39999999999999991</v>
      </c>
      <c r="K31" s="1584"/>
      <c r="L31" s="700"/>
      <c r="M31" s="1584"/>
      <c r="N31" s="700"/>
      <c r="O31" s="1584"/>
      <c r="P31" s="1851"/>
      <c r="Q31" s="2065"/>
      <c r="R31" s="1851"/>
      <c r="S31" s="2065"/>
      <c r="T31" s="1851"/>
      <c r="U31" s="2065"/>
      <c r="V31" s="1851"/>
      <c r="W31" s="2065"/>
      <c r="X31" s="1851"/>
      <c r="Y31" s="2065"/>
      <c r="Z31" s="1851"/>
      <c r="AA31" s="2066"/>
      <c r="AB31" s="2067"/>
      <c r="AC31" s="2068"/>
      <c r="AD31" s="1851">
        <v>2.4</v>
      </c>
      <c r="AE31" s="2067"/>
      <c r="AF31" s="2069"/>
      <c r="AG31" s="1851">
        <v>3</v>
      </c>
      <c r="AH31" s="276"/>
      <c r="AI31" s="56"/>
      <c r="AJ31" s="962">
        <f>ROUND(SUM(+AD31-AG31),1)</f>
        <v>-0.6</v>
      </c>
      <c r="AK31" s="962"/>
      <c r="AL31" s="1478">
        <f t="shared" si="2"/>
        <v>-0.2</v>
      </c>
    </row>
    <row r="32" spans="1:39" s="906" customFormat="1" ht="15" customHeight="1">
      <c r="A32" s="1090"/>
      <c r="B32" s="911" t="s">
        <v>1036</v>
      </c>
      <c r="C32" s="107"/>
      <c r="D32" s="700">
        <v>1.5</v>
      </c>
      <c r="E32" s="833"/>
      <c r="F32" s="700">
        <v>2.8</v>
      </c>
      <c r="G32" s="833"/>
      <c r="H32" s="700">
        <v>2.2999999999999998</v>
      </c>
      <c r="I32" s="833"/>
      <c r="J32" s="700">
        <f t="shared" si="0"/>
        <v>2</v>
      </c>
      <c r="K32" s="1584"/>
      <c r="L32" s="700"/>
      <c r="M32" s="1584"/>
      <c r="N32" s="700"/>
      <c r="O32" s="1584"/>
      <c r="P32" s="1851"/>
      <c r="Q32" s="2065"/>
      <c r="R32" s="1851"/>
      <c r="S32" s="2065"/>
      <c r="T32" s="1851"/>
      <c r="U32" s="2065"/>
      <c r="V32" s="1851"/>
      <c r="W32" s="2065"/>
      <c r="X32" s="1851"/>
      <c r="Y32" s="2065"/>
      <c r="Z32" s="1851"/>
      <c r="AA32" s="2066"/>
      <c r="AB32" s="2067"/>
      <c r="AC32" s="2068"/>
      <c r="AD32" s="1851">
        <v>8.6</v>
      </c>
      <c r="AE32" s="2067"/>
      <c r="AF32" s="2069"/>
      <c r="AG32" s="1851">
        <v>2.1</v>
      </c>
      <c r="AH32" s="1093"/>
      <c r="AI32" s="67"/>
      <c r="AJ32" s="1043">
        <f t="shared" si="1"/>
        <v>6.5</v>
      </c>
      <c r="AK32" s="1043"/>
      <c r="AL32" s="1786">
        <f>ROUND(IF(AG32=0,1,AJ32/ABS(AG32)),3)</f>
        <v>3.0950000000000002</v>
      </c>
    </row>
    <row r="33" spans="1:38" s="906" customFormat="1" ht="15" customHeight="1">
      <c r="A33" s="1090"/>
      <c r="B33" s="911" t="s">
        <v>1159</v>
      </c>
      <c r="C33" s="107"/>
      <c r="D33" s="700" t="s">
        <v>15</v>
      </c>
      <c r="E33" s="833"/>
      <c r="F33" s="700"/>
      <c r="G33" s="833"/>
      <c r="H33" s="700"/>
      <c r="I33" s="833"/>
      <c r="J33" s="700"/>
      <c r="K33" s="140"/>
      <c r="L33" s="700"/>
      <c r="M33" s="140"/>
      <c r="N33" s="700"/>
      <c r="O33" s="140"/>
      <c r="P33" s="1851"/>
      <c r="Q33" s="2058"/>
      <c r="R33" s="1851"/>
      <c r="S33" s="2058"/>
      <c r="T33" s="1851"/>
      <c r="U33" s="2058"/>
      <c r="V33" s="1851"/>
      <c r="W33" s="2062"/>
      <c r="X33" s="1851"/>
      <c r="Y33" s="2062"/>
      <c r="Z33" s="1851"/>
      <c r="AA33" s="2061"/>
      <c r="AB33" s="2058"/>
      <c r="AC33" s="2063"/>
      <c r="AD33" s="2062"/>
      <c r="AE33" s="2062"/>
      <c r="AF33" s="2064"/>
      <c r="AG33" s="2062"/>
      <c r="AH33" s="1093"/>
      <c r="AI33" s="67"/>
      <c r="AJ33" s="1043"/>
      <c r="AK33" s="1043"/>
      <c r="AL33" s="1488"/>
    </row>
    <row r="34" spans="1:38" s="906" customFormat="1" ht="15" customHeight="1">
      <c r="A34" s="1090"/>
      <c r="B34" s="911" t="s">
        <v>1081</v>
      </c>
      <c r="C34" s="107"/>
      <c r="D34" s="700">
        <v>0</v>
      </c>
      <c r="E34" s="833"/>
      <c r="F34" s="700">
        <v>0</v>
      </c>
      <c r="G34" s="833"/>
      <c r="H34" s="700">
        <v>0</v>
      </c>
      <c r="I34" s="833"/>
      <c r="J34" s="700">
        <f t="shared" si="0"/>
        <v>0</v>
      </c>
      <c r="K34" s="1584"/>
      <c r="L34" s="700"/>
      <c r="M34" s="1584"/>
      <c r="N34" s="700"/>
      <c r="O34" s="1584"/>
      <c r="P34" s="1851"/>
      <c r="Q34" s="2065"/>
      <c r="R34" s="1851"/>
      <c r="S34" s="2065"/>
      <c r="T34" s="1851"/>
      <c r="U34" s="2065"/>
      <c r="V34" s="1851"/>
      <c r="W34" s="2065"/>
      <c r="X34" s="1851"/>
      <c r="Y34" s="2065"/>
      <c r="Z34" s="1851"/>
      <c r="AA34" s="2066"/>
      <c r="AB34" s="2067"/>
      <c r="AC34" s="2068"/>
      <c r="AD34" s="1851">
        <v>0</v>
      </c>
      <c r="AE34" s="2067"/>
      <c r="AF34" s="2069"/>
      <c r="AG34" s="1851">
        <v>0</v>
      </c>
      <c r="AH34" s="1093"/>
      <c r="AI34" s="67"/>
      <c r="AJ34" s="1043">
        <f t="shared" si="1"/>
        <v>0</v>
      </c>
      <c r="AK34" s="1043"/>
      <c r="AL34" s="1786">
        <f t="shared" ref="AL34:AL39" si="3">ROUND(IF(AG34=0,0,AJ34/ABS(AG34)),3)</f>
        <v>0</v>
      </c>
    </row>
    <row r="35" spans="1:38" s="906" customFormat="1" ht="15" customHeight="1">
      <c r="A35" s="1090"/>
      <c r="B35" s="911" t="s">
        <v>1082</v>
      </c>
      <c r="C35" s="107"/>
      <c r="D35" s="700">
        <v>0</v>
      </c>
      <c r="E35" s="833"/>
      <c r="F35" s="700">
        <v>0</v>
      </c>
      <c r="G35" s="833"/>
      <c r="H35" s="700">
        <v>0</v>
      </c>
      <c r="I35" s="833"/>
      <c r="J35" s="700">
        <f t="shared" si="0"/>
        <v>0</v>
      </c>
      <c r="K35" s="1584"/>
      <c r="L35" s="700"/>
      <c r="M35" s="1584"/>
      <c r="N35" s="700"/>
      <c r="O35" s="1584"/>
      <c r="P35" s="1851"/>
      <c r="Q35" s="2065"/>
      <c r="R35" s="1851"/>
      <c r="S35" s="2065"/>
      <c r="T35" s="1851"/>
      <c r="U35" s="2065"/>
      <c r="V35" s="1851"/>
      <c r="W35" s="2065"/>
      <c r="X35" s="1851"/>
      <c r="Y35" s="2065"/>
      <c r="Z35" s="1851"/>
      <c r="AA35" s="2066"/>
      <c r="AB35" s="2067"/>
      <c r="AC35" s="2068"/>
      <c r="AD35" s="1851">
        <v>0</v>
      </c>
      <c r="AE35" s="2067"/>
      <c r="AF35" s="2069"/>
      <c r="AG35" s="1851">
        <v>0</v>
      </c>
      <c r="AH35" s="1093"/>
      <c r="AI35" s="67"/>
      <c r="AJ35" s="1043">
        <f t="shared" si="1"/>
        <v>0</v>
      </c>
      <c r="AK35" s="1043"/>
      <c r="AL35" s="1786">
        <f t="shared" si="3"/>
        <v>0</v>
      </c>
    </row>
    <row r="36" spans="1:38" s="906" customFormat="1" ht="15" customHeight="1">
      <c r="A36" s="1090"/>
      <c r="B36" s="911" t="s">
        <v>1083</v>
      </c>
      <c r="C36" s="107"/>
      <c r="D36" s="700">
        <v>0</v>
      </c>
      <c r="E36" s="833"/>
      <c r="F36" s="700">
        <v>0</v>
      </c>
      <c r="G36" s="833"/>
      <c r="H36" s="700">
        <v>0</v>
      </c>
      <c r="I36" s="833"/>
      <c r="J36" s="700">
        <f t="shared" si="0"/>
        <v>0</v>
      </c>
      <c r="K36" s="1584"/>
      <c r="L36" s="700"/>
      <c r="M36" s="1584"/>
      <c r="N36" s="700"/>
      <c r="O36" s="1584"/>
      <c r="P36" s="1851"/>
      <c r="Q36" s="2065"/>
      <c r="R36" s="1851"/>
      <c r="S36" s="2065"/>
      <c r="T36" s="1851"/>
      <c r="U36" s="2065"/>
      <c r="V36" s="1851"/>
      <c r="W36" s="2065"/>
      <c r="X36" s="1851"/>
      <c r="Y36" s="2065"/>
      <c r="Z36" s="1851"/>
      <c r="AA36" s="2066"/>
      <c r="AB36" s="2067"/>
      <c r="AC36" s="2068"/>
      <c r="AD36" s="1851">
        <v>0</v>
      </c>
      <c r="AE36" s="2067"/>
      <c r="AF36" s="2069"/>
      <c r="AG36" s="1851">
        <v>0</v>
      </c>
      <c r="AH36" s="1093"/>
      <c r="AI36" s="67"/>
      <c r="AJ36" s="1043">
        <f t="shared" si="1"/>
        <v>0</v>
      </c>
      <c r="AK36" s="1043"/>
      <c r="AL36" s="1786">
        <f t="shared" si="3"/>
        <v>0</v>
      </c>
    </row>
    <row r="37" spans="1:38" s="906" customFormat="1" ht="15" customHeight="1">
      <c r="A37" s="1090"/>
      <c r="B37" s="911" t="s">
        <v>1084</v>
      </c>
      <c r="C37" s="107"/>
      <c r="D37" s="700">
        <v>0</v>
      </c>
      <c r="E37" s="833"/>
      <c r="F37" s="700">
        <v>0</v>
      </c>
      <c r="G37" s="833"/>
      <c r="H37" s="700">
        <v>0</v>
      </c>
      <c r="I37" s="833"/>
      <c r="J37" s="700">
        <f t="shared" si="0"/>
        <v>0</v>
      </c>
      <c r="K37" s="1584"/>
      <c r="L37" s="700"/>
      <c r="M37" s="1584"/>
      <c r="N37" s="700"/>
      <c r="O37" s="1584"/>
      <c r="P37" s="1851"/>
      <c r="Q37" s="2065"/>
      <c r="R37" s="1851"/>
      <c r="S37" s="2065"/>
      <c r="T37" s="1851"/>
      <c r="U37" s="2065"/>
      <c r="V37" s="1851"/>
      <c r="W37" s="2065"/>
      <c r="X37" s="1851"/>
      <c r="Y37" s="2065"/>
      <c r="Z37" s="1851"/>
      <c r="AA37" s="2066"/>
      <c r="AB37" s="2067"/>
      <c r="AC37" s="2068"/>
      <c r="AD37" s="1851">
        <v>0</v>
      </c>
      <c r="AE37" s="2067"/>
      <c r="AF37" s="2069"/>
      <c r="AG37" s="1851">
        <v>0</v>
      </c>
      <c r="AH37" s="1093"/>
      <c r="AI37" s="67"/>
      <c r="AJ37" s="1043">
        <f t="shared" si="1"/>
        <v>0</v>
      </c>
      <c r="AK37" s="1043"/>
      <c r="AL37" s="1786">
        <f t="shared" si="3"/>
        <v>0</v>
      </c>
    </row>
    <row r="38" spans="1:38" s="906" customFormat="1" ht="15" customHeight="1">
      <c r="A38" s="1090"/>
      <c r="B38" s="911" t="s">
        <v>1054</v>
      </c>
      <c r="C38" s="107"/>
      <c r="D38" s="700">
        <v>0</v>
      </c>
      <c r="E38" s="833"/>
      <c r="F38" s="700">
        <v>0</v>
      </c>
      <c r="G38" s="833"/>
      <c r="H38" s="700">
        <v>0</v>
      </c>
      <c r="I38" s="833"/>
      <c r="J38" s="700">
        <f t="shared" si="0"/>
        <v>0</v>
      </c>
      <c r="K38" s="1584"/>
      <c r="L38" s="700"/>
      <c r="M38" s="1584"/>
      <c r="N38" s="700"/>
      <c r="O38" s="1584"/>
      <c r="P38" s="1851"/>
      <c r="Q38" s="2065"/>
      <c r="R38" s="1851"/>
      <c r="S38" s="2065"/>
      <c r="T38" s="1851"/>
      <c r="U38" s="2065"/>
      <c r="V38" s="1851"/>
      <c r="W38" s="2065"/>
      <c r="X38" s="1851"/>
      <c r="Y38" s="2065"/>
      <c r="Z38" s="1851"/>
      <c r="AA38" s="2066"/>
      <c r="AB38" s="2067"/>
      <c r="AC38" s="2068"/>
      <c r="AD38" s="1851">
        <v>0</v>
      </c>
      <c r="AE38" s="2067"/>
      <c r="AF38" s="2069"/>
      <c r="AG38" s="1851">
        <v>0</v>
      </c>
      <c r="AH38" s="1093"/>
      <c r="AI38" s="67"/>
      <c r="AJ38" s="1043">
        <f t="shared" si="1"/>
        <v>0</v>
      </c>
      <c r="AK38" s="1043"/>
      <c r="AL38" s="1786">
        <f t="shared" si="3"/>
        <v>0</v>
      </c>
    </row>
    <row r="39" spans="1:38" s="906" customFormat="1" ht="15" customHeight="1">
      <c r="A39" s="1090"/>
      <c r="B39" s="911" t="s">
        <v>1055</v>
      </c>
      <c r="C39" s="107"/>
      <c r="D39" s="700">
        <v>0</v>
      </c>
      <c r="E39" s="833"/>
      <c r="F39" s="700">
        <v>0</v>
      </c>
      <c r="G39" s="833"/>
      <c r="H39" s="700">
        <v>0</v>
      </c>
      <c r="I39" s="833"/>
      <c r="J39" s="700">
        <f t="shared" si="0"/>
        <v>0</v>
      </c>
      <c r="K39" s="1584"/>
      <c r="L39" s="700"/>
      <c r="M39" s="1584"/>
      <c r="N39" s="700"/>
      <c r="O39" s="1584"/>
      <c r="P39" s="1851"/>
      <c r="Q39" s="2065"/>
      <c r="R39" s="1851"/>
      <c r="S39" s="2065"/>
      <c r="T39" s="1851"/>
      <c r="U39" s="2065"/>
      <c r="V39" s="1851"/>
      <c r="W39" s="2065"/>
      <c r="X39" s="1851"/>
      <c r="Y39" s="2065"/>
      <c r="Z39" s="1851"/>
      <c r="AA39" s="2066"/>
      <c r="AB39" s="2067"/>
      <c r="AC39" s="2068"/>
      <c r="AD39" s="1851">
        <v>0</v>
      </c>
      <c r="AE39" s="2067"/>
      <c r="AF39" s="2069"/>
      <c r="AG39" s="1851">
        <v>0</v>
      </c>
      <c r="AH39" s="1093"/>
      <c r="AI39" s="67"/>
      <c r="AJ39" s="1043">
        <f t="shared" si="1"/>
        <v>0</v>
      </c>
      <c r="AK39" s="1043"/>
      <c r="AL39" s="1786">
        <f t="shared" si="3"/>
        <v>0</v>
      </c>
    </row>
    <row r="40" spans="1:38" s="906" customFormat="1" ht="15" customHeight="1">
      <c r="A40" s="1090"/>
      <c r="B40" s="911" t="s">
        <v>1160</v>
      </c>
      <c r="C40" s="107"/>
      <c r="D40" s="700" t="s">
        <v>15</v>
      </c>
      <c r="E40" s="833"/>
      <c r="F40" s="700"/>
      <c r="G40" s="833"/>
      <c r="H40" s="700"/>
      <c r="I40" s="833"/>
      <c r="J40" s="700"/>
      <c r="K40" s="140"/>
      <c r="L40" s="700"/>
      <c r="M40" s="140"/>
      <c r="N40" s="700"/>
      <c r="O40" s="140"/>
      <c r="P40" s="1851"/>
      <c r="Q40" s="2058"/>
      <c r="R40" s="1851"/>
      <c r="S40" s="2058"/>
      <c r="T40" s="1851"/>
      <c r="U40" s="2058"/>
      <c r="V40" s="1851"/>
      <c r="W40" s="2062"/>
      <c r="X40" s="1851"/>
      <c r="Y40" s="2062"/>
      <c r="Z40" s="1851"/>
      <c r="AA40" s="2061"/>
      <c r="AB40" s="2058"/>
      <c r="AC40" s="2063"/>
      <c r="AD40" s="2062"/>
      <c r="AE40" s="2062"/>
      <c r="AF40" s="2064"/>
      <c r="AG40" s="2062"/>
      <c r="AH40" s="1093"/>
      <c r="AI40" s="67"/>
      <c r="AJ40" s="1043"/>
      <c r="AK40" s="1043"/>
      <c r="AL40" s="1488"/>
    </row>
    <row r="41" spans="1:38" s="906" customFormat="1" ht="15" customHeight="1">
      <c r="A41" s="1090"/>
      <c r="B41" s="911" t="s">
        <v>1085</v>
      </c>
      <c r="C41" s="107"/>
      <c r="D41" s="700">
        <v>0</v>
      </c>
      <c r="E41" s="833"/>
      <c r="F41" s="700">
        <v>0</v>
      </c>
      <c r="G41" s="833"/>
      <c r="H41" s="700">
        <v>0</v>
      </c>
      <c r="I41" s="833"/>
      <c r="J41" s="700">
        <f t="shared" si="0"/>
        <v>0</v>
      </c>
      <c r="K41" s="1584"/>
      <c r="L41" s="700"/>
      <c r="M41" s="1584"/>
      <c r="N41" s="700"/>
      <c r="O41" s="1584"/>
      <c r="P41" s="1851"/>
      <c r="Q41" s="2065"/>
      <c r="R41" s="1851"/>
      <c r="S41" s="2065"/>
      <c r="T41" s="1851"/>
      <c r="U41" s="2065"/>
      <c r="V41" s="1851"/>
      <c r="W41" s="2065"/>
      <c r="X41" s="1851"/>
      <c r="Y41" s="2065"/>
      <c r="Z41" s="1851"/>
      <c r="AA41" s="2066"/>
      <c r="AB41" s="2067"/>
      <c r="AC41" s="2068"/>
      <c r="AD41" s="1851">
        <v>0</v>
      </c>
      <c r="AE41" s="2067"/>
      <c r="AF41" s="2069"/>
      <c r="AG41" s="1851">
        <v>0</v>
      </c>
      <c r="AH41" s="1093"/>
      <c r="AI41" s="67"/>
      <c r="AJ41" s="1043">
        <f t="shared" si="1"/>
        <v>0</v>
      </c>
      <c r="AK41" s="1043"/>
      <c r="AL41" s="1786">
        <f t="shared" ref="AL41:AL48" si="4">ROUND(IF(AG41=0,0,AJ41/ABS(AG41)),3)</f>
        <v>0</v>
      </c>
    </row>
    <row r="42" spans="1:38" s="906" customFormat="1" ht="15" customHeight="1">
      <c r="A42" s="1090"/>
      <c r="B42" s="911" t="s">
        <v>1086</v>
      </c>
      <c r="C42" s="107"/>
      <c r="D42" s="700">
        <v>0</v>
      </c>
      <c r="E42" s="833"/>
      <c r="F42" s="700">
        <v>0</v>
      </c>
      <c r="G42" s="833"/>
      <c r="H42" s="700">
        <v>0</v>
      </c>
      <c r="I42" s="833"/>
      <c r="J42" s="700">
        <f t="shared" si="0"/>
        <v>0</v>
      </c>
      <c r="K42" s="1584"/>
      <c r="L42" s="700"/>
      <c r="M42" s="1584"/>
      <c r="N42" s="700"/>
      <c r="O42" s="1584"/>
      <c r="P42" s="1851"/>
      <c r="Q42" s="2065"/>
      <c r="R42" s="1851"/>
      <c r="S42" s="2065"/>
      <c r="T42" s="1851"/>
      <c r="U42" s="2065"/>
      <c r="V42" s="1851"/>
      <c r="W42" s="2065"/>
      <c r="X42" s="1851"/>
      <c r="Y42" s="2065"/>
      <c r="Z42" s="1851"/>
      <c r="AA42" s="2066"/>
      <c r="AB42" s="2067"/>
      <c r="AC42" s="2068"/>
      <c r="AD42" s="1851">
        <v>0</v>
      </c>
      <c r="AE42" s="2067"/>
      <c r="AF42" s="2069"/>
      <c r="AG42" s="1851">
        <v>0</v>
      </c>
      <c r="AH42" s="1093"/>
      <c r="AI42" s="67"/>
      <c r="AJ42" s="1043">
        <f t="shared" si="1"/>
        <v>0</v>
      </c>
      <c r="AK42" s="1043"/>
      <c r="AL42" s="1786">
        <f t="shared" si="4"/>
        <v>0</v>
      </c>
    </row>
    <row r="43" spans="1:38" s="906" customFormat="1" ht="15" customHeight="1">
      <c r="A43" s="1090"/>
      <c r="B43" s="911" t="s">
        <v>1087</v>
      </c>
      <c r="C43" s="107"/>
      <c r="D43" s="700">
        <v>0</v>
      </c>
      <c r="E43" s="833"/>
      <c r="F43" s="700">
        <v>0</v>
      </c>
      <c r="G43" s="833"/>
      <c r="H43" s="700">
        <v>0</v>
      </c>
      <c r="I43" s="833"/>
      <c r="J43" s="700">
        <f t="shared" si="0"/>
        <v>0</v>
      </c>
      <c r="K43" s="1584"/>
      <c r="L43" s="700"/>
      <c r="M43" s="1584"/>
      <c r="N43" s="700"/>
      <c r="O43" s="1584"/>
      <c r="P43" s="1851"/>
      <c r="Q43" s="2065"/>
      <c r="R43" s="1851"/>
      <c r="S43" s="2065"/>
      <c r="T43" s="1851"/>
      <c r="U43" s="2065"/>
      <c r="V43" s="1851"/>
      <c r="W43" s="2065"/>
      <c r="X43" s="1851"/>
      <c r="Y43" s="2065"/>
      <c r="Z43" s="1851"/>
      <c r="AA43" s="2066"/>
      <c r="AB43" s="2067"/>
      <c r="AC43" s="2068"/>
      <c r="AD43" s="1851">
        <v>0</v>
      </c>
      <c r="AE43" s="2067"/>
      <c r="AF43" s="2069"/>
      <c r="AG43" s="1851">
        <v>0</v>
      </c>
      <c r="AH43" s="1093"/>
      <c r="AI43" s="67"/>
      <c r="AJ43" s="1043">
        <f t="shared" si="1"/>
        <v>0</v>
      </c>
      <c r="AK43" s="1043"/>
      <c r="AL43" s="1786">
        <f t="shared" si="4"/>
        <v>0</v>
      </c>
    </row>
    <row r="44" spans="1:38" s="906" customFormat="1" ht="15" customHeight="1">
      <c r="A44" s="1090"/>
      <c r="B44" s="911" t="s">
        <v>1088</v>
      </c>
      <c r="C44" s="107"/>
      <c r="D44" s="700">
        <v>0</v>
      </c>
      <c r="E44" s="833"/>
      <c r="F44" s="700">
        <v>0</v>
      </c>
      <c r="G44" s="833"/>
      <c r="H44" s="700">
        <v>0</v>
      </c>
      <c r="I44" s="833"/>
      <c r="J44" s="700">
        <f t="shared" si="0"/>
        <v>0</v>
      </c>
      <c r="K44" s="1584"/>
      <c r="L44" s="700"/>
      <c r="M44" s="1584"/>
      <c r="N44" s="700"/>
      <c r="O44" s="1584"/>
      <c r="P44" s="1851"/>
      <c r="Q44" s="2065"/>
      <c r="R44" s="1851"/>
      <c r="S44" s="2065"/>
      <c r="T44" s="1851"/>
      <c r="U44" s="2065"/>
      <c r="V44" s="1851"/>
      <c r="W44" s="2065"/>
      <c r="X44" s="1851"/>
      <c r="Y44" s="2065"/>
      <c r="Z44" s="1851"/>
      <c r="AA44" s="2066"/>
      <c r="AB44" s="2067"/>
      <c r="AC44" s="2068"/>
      <c r="AD44" s="1851">
        <v>0</v>
      </c>
      <c r="AE44" s="2067"/>
      <c r="AF44" s="2069"/>
      <c r="AG44" s="1851">
        <v>0</v>
      </c>
      <c r="AH44" s="1093"/>
      <c r="AI44" s="67"/>
      <c r="AJ44" s="1043">
        <f t="shared" si="1"/>
        <v>0</v>
      </c>
      <c r="AK44" s="1043"/>
      <c r="AL44" s="1786">
        <f t="shared" si="4"/>
        <v>0</v>
      </c>
    </row>
    <row r="45" spans="1:38" s="906" customFormat="1" ht="15" customHeight="1">
      <c r="A45" s="1090"/>
      <c r="B45" s="911" t="s">
        <v>1089</v>
      </c>
      <c r="C45" s="107"/>
      <c r="D45" s="700">
        <v>0</v>
      </c>
      <c r="E45" s="833"/>
      <c r="F45" s="700">
        <v>0</v>
      </c>
      <c r="G45" s="833"/>
      <c r="H45" s="700">
        <v>0</v>
      </c>
      <c r="I45" s="833"/>
      <c r="J45" s="700">
        <f t="shared" si="0"/>
        <v>0</v>
      </c>
      <c r="K45" s="1584"/>
      <c r="L45" s="700"/>
      <c r="M45" s="1584"/>
      <c r="N45" s="700"/>
      <c r="O45" s="1584"/>
      <c r="P45" s="1851"/>
      <c r="Q45" s="2065"/>
      <c r="R45" s="1851"/>
      <c r="S45" s="2065"/>
      <c r="T45" s="1851"/>
      <c r="U45" s="2065"/>
      <c r="V45" s="1851"/>
      <c r="W45" s="2065"/>
      <c r="X45" s="1851"/>
      <c r="Y45" s="2065"/>
      <c r="Z45" s="1851"/>
      <c r="AA45" s="2066"/>
      <c r="AB45" s="2067"/>
      <c r="AC45" s="2068"/>
      <c r="AD45" s="1851">
        <v>0</v>
      </c>
      <c r="AE45" s="2067"/>
      <c r="AF45" s="2069"/>
      <c r="AG45" s="1851">
        <v>0</v>
      </c>
      <c r="AH45" s="1093"/>
      <c r="AI45" s="67"/>
      <c r="AJ45" s="1043">
        <f t="shared" si="1"/>
        <v>0</v>
      </c>
      <c r="AK45" s="1043"/>
      <c r="AL45" s="1786">
        <f t="shared" si="4"/>
        <v>0</v>
      </c>
    </row>
    <row r="46" spans="1:38" s="906" customFormat="1" ht="15" customHeight="1">
      <c r="A46" s="1090"/>
      <c r="B46" s="911" t="s">
        <v>1090</v>
      </c>
      <c r="C46" s="107"/>
      <c r="D46" s="700">
        <v>7.7</v>
      </c>
      <c r="E46" s="833"/>
      <c r="F46" s="700">
        <v>8.6999999999999993</v>
      </c>
      <c r="G46" s="833"/>
      <c r="H46" s="700">
        <v>8.5</v>
      </c>
      <c r="I46" s="833"/>
      <c r="J46" s="700">
        <f t="shared" si="0"/>
        <v>8.7000000000000028</v>
      </c>
      <c r="K46" s="1584"/>
      <c r="L46" s="700"/>
      <c r="M46" s="1584"/>
      <c r="N46" s="700"/>
      <c r="O46" s="1584"/>
      <c r="P46" s="1851"/>
      <c r="Q46" s="2065"/>
      <c r="R46" s="1851"/>
      <c r="S46" s="2065"/>
      <c r="T46" s="1851"/>
      <c r="U46" s="2065"/>
      <c r="V46" s="1851"/>
      <c r="W46" s="2065"/>
      <c r="X46" s="1851"/>
      <c r="Y46" s="2065"/>
      <c r="Z46" s="1851"/>
      <c r="AA46" s="2066"/>
      <c r="AB46" s="2067"/>
      <c r="AC46" s="2068"/>
      <c r="AD46" s="1851">
        <v>33.6</v>
      </c>
      <c r="AE46" s="2067"/>
      <c r="AF46" s="2069"/>
      <c r="AG46" s="1851">
        <v>35.1</v>
      </c>
      <c r="AH46" s="1093"/>
      <c r="AI46" s="67"/>
      <c r="AJ46" s="1043">
        <f t="shared" si="1"/>
        <v>-1.5</v>
      </c>
      <c r="AK46" s="1043"/>
      <c r="AL46" s="1786">
        <f t="shared" si="4"/>
        <v>-4.2999999999999997E-2</v>
      </c>
    </row>
    <row r="47" spans="1:38" ht="15" customHeight="1">
      <c r="A47" s="150"/>
      <c r="B47" s="911" t="s">
        <v>1091</v>
      </c>
      <c r="C47" s="31"/>
      <c r="D47" s="700">
        <v>0</v>
      </c>
      <c r="E47" s="833"/>
      <c r="F47" s="700">
        <v>0</v>
      </c>
      <c r="G47" s="833"/>
      <c r="H47" s="700">
        <v>0</v>
      </c>
      <c r="I47" s="833"/>
      <c r="J47" s="700">
        <f t="shared" si="0"/>
        <v>0</v>
      </c>
      <c r="K47" s="1584"/>
      <c r="L47" s="700"/>
      <c r="M47" s="1584"/>
      <c r="N47" s="700"/>
      <c r="O47" s="1584"/>
      <c r="P47" s="1851"/>
      <c r="Q47" s="2065"/>
      <c r="R47" s="1851"/>
      <c r="S47" s="2065"/>
      <c r="T47" s="1851"/>
      <c r="U47" s="2065"/>
      <c r="V47" s="1851"/>
      <c r="W47" s="2065"/>
      <c r="X47" s="1851"/>
      <c r="Y47" s="2065"/>
      <c r="Z47" s="1851"/>
      <c r="AA47" s="2066"/>
      <c r="AB47" s="2067"/>
      <c r="AC47" s="2068"/>
      <c r="AD47" s="1851">
        <v>0</v>
      </c>
      <c r="AE47" s="2067"/>
      <c r="AF47" s="2069"/>
      <c r="AG47" s="1851">
        <v>0</v>
      </c>
      <c r="AH47" s="276"/>
      <c r="AI47" s="56"/>
      <c r="AJ47" s="962">
        <f t="shared" si="1"/>
        <v>0</v>
      </c>
      <c r="AK47" s="962"/>
      <c r="AL47" s="1478">
        <f t="shared" si="4"/>
        <v>0</v>
      </c>
    </row>
    <row r="48" spans="1:38" ht="15" customHeight="1">
      <c r="A48" s="150"/>
      <c r="B48" s="911" t="s">
        <v>1092</v>
      </c>
      <c r="C48" s="31"/>
      <c r="D48" s="700">
        <v>0</v>
      </c>
      <c r="E48" s="833"/>
      <c r="F48" s="700">
        <v>0</v>
      </c>
      <c r="G48" s="833"/>
      <c r="H48" s="700">
        <v>0</v>
      </c>
      <c r="I48" s="833"/>
      <c r="J48" s="700">
        <f t="shared" si="0"/>
        <v>0</v>
      </c>
      <c r="K48" s="1584"/>
      <c r="L48" s="700"/>
      <c r="M48" s="1584"/>
      <c r="N48" s="700"/>
      <c r="O48" s="1584"/>
      <c r="P48" s="1851"/>
      <c r="Q48" s="2065"/>
      <c r="R48" s="1851"/>
      <c r="S48" s="2065"/>
      <c r="T48" s="1851"/>
      <c r="U48" s="2065"/>
      <c r="V48" s="1851"/>
      <c r="W48" s="2065"/>
      <c r="X48" s="1851"/>
      <c r="Y48" s="2065"/>
      <c r="Z48" s="1851"/>
      <c r="AA48" s="2066"/>
      <c r="AB48" s="2067"/>
      <c r="AC48" s="2068"/>
      <c r="AD48" s="1851">
        <v>0</v>
      </c>
      <c r="AE48" s="2067"/>
      <c r="AF48" s="2069"/>
      <c r="AG48" s="1851">
        <v>0</v>
      </c>
      <c r="AH48" s="276"/>
      <c r="AI48" s="56"/>
      <c r="AJ48" s="962">
        <f t="shared" si="1"/>
        <v>0</v>
      </c>
      <c r="AK48" s="962"/>
      <c r="AL48" s="1478">
        <f t="shared" si="4"/>
        <v>0</v>
      </c>
    </row>
    <row r="49" spans="1:38" s="906" customFormat="1" ht="15" customHeight="1">
      <c r="A49" s="1090"/>
      <c r="B49" s="911" t="s">
        <v>1093</v>
      </c>
      <c r="C49" s="107"/>
      <c r="D49" s="700">
        <v>0.30000000000000004</v>
      </c>
      <c r="E49" s="833"/>
      <c r="F49" s="700">
        <v>0</v>
      </c>
      <c r="G49" s="833"/>
      <c r="H49" s="700">
        <v>0.19999999999999996</v>
      </c>
      <c r="I49" s="833"/>
      <c r="J49" s="700">
        <f t="shared" si="0"/>
        <v>0</v>
      </c>
      <c r="K49" s="1584"/>
      <c r="L49" s="700"/>
      <c r="M49" s="1584"/>
      <c r="N49" s="700"/>
      <c r="O49" s="1584"/>
      <c r="P49" s="1851"/>
      <c r="Q49" s="2065"/>
      <c r="R49" s="1851"/>
      <c r="S49" s="2065"/>
      <c r="T49" s="1851"/>
      <c r="U49" s="2065"/>
      <c r="V49" s="1851"/>
      <c r="W49" s="2065"/>
      <c r="X49" s="1851"/>
      <c r="Y49" s="2065"/>
      <c r="Z49" s="1851"/>
      <c r="AA49" s="2066"/>
      <c r="AB49" s="2067"/>
      <c r="AC49" s="2068"/>
      <c r="AD49" s="1851">
        <v>0.5</v>
      </c>
      <c r="AE49" s="2067"/>
      <c r="AF49" s="2069"/>
      <c r="AG49" s="1851">
        <v>1.1000000000000001</v>
      </c>
      <c r="AH49" s="1093"/>
      <c r="AI49" s="67"/>
      <c r="AJ49" s="1043">
        <f t="shared" si="1"/>
        <v>-0.6</v>
      </c>
      <c r="AK49" s="1043"/>
      <c r="AL49" s="1786">
        <f>ROUND(IF(AG49=0,1,AJ49/ABS(AG49)),3)</f>
        <v>-0.54500000000000004</v>
      </c>
    </row>
    <row r="50" spans="1:38" s="906" customFormat="1" ht="15" customHeight="1">
      <c r="A50" s="1090"/>
      <c r="B50" s="911" t="s">
        <v>1065</v>
      </c>
      <c r="C50" s="107"/>
      <c r="D50" s="700">
        <v>0</v>
      </c>
      <c r="E50" s="833"/>
      <c r="F50" s="700">
        <v>0</v>
      </c>
      <c r="G50" s="833"/>
      <c r="H50" s="700">
        <v>0</v>
      </c>
      <c r="I50" s="833"/>
      <c r="J50" s="700">
        <f t="shared" si="0"/>
        <v>0</v>
      </c>
      <c r="K50" s="1584"/>
      <c r="L50" s="700"/>
      <c r="M50" s="1584"/>
      <c r="N50" s="700"/>
      <c r="O50" s="1584"/>
      <c r="P50" s="1851"/>
      <c r="Q50" s="2065"/>
      <c r="R50" s="1851"/>
      <c r="S50" s="2065"/>
      <c r="T50" s="1851"/>
      <c r="U50" s="2065"/>
      <c r="V50" s="1851"/>
      <c r="W50" s="2065"/>
      <c r="X50" s="1851"/>
      <c r="Y50" s="2065"/>
      <c r="Z50" s="1851"/>
      <c r="AA50" s="2066"/>
      <c r="AB50" s="2067"/>
      <c r="AC50" s="2068"/>
      <c r="AD50" s="1851">
        <v>0</v>
      </c>
      <c r="AE50" s="2067"/>
      <c r="AF50" s="2069"/>
      <c r="AG50" s="1851">
        <v>0</v>
      </c>
      <c r="AH50" s="1093"/>
      <c r="AI50" s="67"/>
      <c r="AJ50" s="1043">
        <f t="shared" si="1"/>
        <v>0</v>
      </c>
      <c r="AK50" s="1043"/>
      <c r="AL50" s="1786">
        <f>ROUND(IF(AG50=0,0,AJ50/ABS(AG50)),3)</f>
        <v>0</v>
      </c>
    </row>
    <row r="51" spans="1:38" s="906" customFormat="1" ht="15" customHeight="1">
      <c r="A51" s="1090"/>
      <c r="B51" s="911" t="s">
        <v>1066</v>
      </c>
      <c r="C51" s="107"/>
      <c r="D51" s="700">
        <v>0</v>
      </c>
      <c r="E51" s="833"/>
      <c r="F51" s="700">
        <v>0</v>
      </c>
      <c r="G51" s="833"/>
      <c r="H51" s="700">
        <v>0</v>
      </c>
      <c r="I51" s="833"/>
      <c r="J51" s="700">
        <f t="shared" si="0"/>
        <v>0</v>
      </c>
      <c r="K51" s="1584"/>
      <c r="L51" s="700"/>
      <c r="M51" s="1584"/>
      <c r="N51" s="700"/>
      <c r="O51" s="1584"/>
      <c r="P51" s="1851"/>
      <c r="Q51" s="2065"/>
      <c r="R51" s="1851"/>
      <c r="S51" s="2065"/>
      <c r="T51" s="1851"/>
      <c r="U51" s="2065"/>
      <c r="V51" s="1851"/>
      <c r="W51" s="2065"/>
      <c r="X51" s="1851"/>
      <c r="Y51" s="2065"/>
      <c r="Z51" s="1851"/>
      <c r="AA51" s="2066"/>
      <c r="AB51" s="2067"/>
      <c r="AC51" s="2068"/>
      <c r="AD51" s="1851">
        <v>0</v>
      </c>
      <c r="AE51" s="2067"/>
      <c r="AF51" s="2069"/>
      <c r="AG51" s="1851">
        <v>0</v>
      </c>
      <c r="AH51" s="1093"/>
      <c r="AI51" s="67"/>
      <c r="AJ51" s="1043">
        <f t="shared" si="1"/>
        <v>0</v>
      </c>
      <c r="AK51" s="1043"/>
      <c r="AL51" s="1786">
        <f>ROUND(IF(AG51=0,0,AJ51/ABS(AG51)),3)</f>
        <v>0</v>
      </c>
    </row>
    <row r="52" spans="1:38" s="906" customFormat="1" ht="15" customHeight="1">
      <c r="A52" s="1090"/>
      <c r="B52" s="312" t="s">
        <v>1203</v>
      </c>
      <c r="C52" s="107"/>
      <c r="D52" s="1094">
        <f>ROUND(SUM(D19:D51),1)</f>
        <v>14.7</v>
      </c>
      <c r="E52" s="910"/>
      <c r="F52" s="1094">
        <f>ROUND(SUM(F19:F51),1)</f>
        <v>51.4</v>
      </c>
      <c r="G52" s="910"/>
      <c r="H52" s="1094">
        <f>ROUND(SUM(H19:H51),1)</f>
        <v>11.7</v>
      </c>
      <c r="I52" s="910"/>
      <c r="J52" s="1094">
        <f>ROUND(SUM(J19:J51),1)</f>
        <v>13.9</v>
      </c>
      <c r="K52" s="140"/>
      <c r="L52" s="1094">
        <f>ROUND(SUM(L19:L51),1)</f>
        <v>0</v>
      </c>
      <c r="M52" s="140"/>
      <c r="N52" s="1094">
        <f>ROUND(SUM(N19:N51),1)</f>
        <v>0</v>
      </c>
      <c r="O52" s="140"/>
      <c r="P52" s="2070">
        <f>ROUND(SUM(P19:P51),1)</f>
        <v>0</v>
      </c>
      <c r="Q52" s="2058"/>
      <c r="R52" s="2070">
        <f>ROUND(SUM(R19:R51),1)</f>
        <v>0</v>
      </c>
      <c r="S52" s="2058"/>
      <c r="T52" s="2070">
        <f>ROUND(SUM(T19:T51),1)</f>
        <v>0</v>
      </c>
      <c r="U52" s="2058"/>
      <c r="V52" s="2070">
        <f>ROUND(SUM(V19:V51),1)</f>
        <v>0</v>
      </c>
      <c r="W52" s="2062"/>
      <c r="X52" s="2070">
        <f>ROUND(SUM(X19:X51),1)</f>
        <v>0</v>
      </c>
      <c r="Y52" s="2062"/>
      <c r="Z52" s="2070">
        <f>ROUND(SUM(Z19:Z51),1)</f>
        <v>0</v>
      </c>
      <c r="AA52" s="2071"/>
      <c r="AB52" s="2058"/>
      <c r="AC52" s="2063"/>
      <c r="AD52" s="2070">
        <f>ROUND(SUM(AD19:AD51),1)</f>
        <v>91.7</v>
      </c>
      <c r="AE52" s="2062"/>
      <c r="AF52" s="2064"/>
      <c r="AG52" s="2070">
        <f>ROUND(SUM(AG19:AG51),1)</f>
        <v>85.2</v>
      </c>
      <c r="AH52" s="1093"/>
      <c r="AI52" s="67"/>
      <c r="AJ52" s="1094">
        <f>ROUND(SUM(AJ19:AJ51),1)</f>
        <v>6.5</v>
      </c>
      <c r="AK52" s="1043"/>
      <c r="AL52" s="1490">
        <f>ROUND(SUM((AD52-AG52)/ABS(AG52)),3)</f>
        <v>7.5999999999999998E-2</v>
      </c>
    </row>
    <row r="53" spans="1:38" s="906" customFormat="1" ht="15" customHeight="1">
      <c r="A53" s="1090"/>
      <c r="B53" s="911"/>
      <c r="C53" s="107"/>
      <c r="D53" s="700"/>
      <c r="E53" s="910"/>
      <c r="F53" s="1144"/>
      <c r="G53" s="910"/>
      <c r="H53" s="914"/>
      <c r="I53" s="910"/>
      <c r="J53" s="914"/>
      <c r="K53" s="140"/>
      <c r="L53" s="118"/>
      <c r="M53" s="140"/>
      <c r="N53" s="118"/>
      <c r="O53" s="140"/>
      <c r="P53" s="2057"/>
      <c r="Q53" s="2058"/>
      <c r="R53" s="2059"/>
      <c r="S53" s="2058"/>
      <c r="T53" s="2060"/>
      <c r="U53" s="2058"/>
      <c r="V53" s="2061"/>
      <c r="W53" s="2062"/>
      <c r="X53" s="2061"/>
      <c r="Y53" s="2062"/>
      <c r="Z53" s="2061"/>
      <c r="AA53" s="2061"/>
      <c r="AB53" s="2058"/>
      <c r="AC53" s="2063"/>
      <c r="AD53" s="2062"/>
      <c r="AE53" s="2062"/>
      <c r="AF53" s="2064"/>
      <c r="AG53" s="2062"/>
      <c r="AH53" s="1093"/>
      <c r="AI53" s="67"/>
      <c r="AJ53" s="1043"/>
      <c r="AK53" s="1043"/>
      <c r="AL53" s="1488"/>
    </row>
    <row r="54" spans="1:38" ht="15" customHeight="1">
      <c r="A54" s="150"/>
      <c r="B54" s="281" t="s">
        <v>150</v>
      </c>
      <c r="C54" s="31"/>
      <c r="D54" s="700">
        <v>6203.7</v>
      </c>
      <c r="E54" s="833"/>
      <c r="F54" s="700">
        <v>4816.3</v>
      </c>
      <c r="G54" s="833"/>
      <c r="H54" s="700">
        <v>5672.4999999999991</v>
      </c>
      <c r="I54" s="833"/>
      <c r="J54" s="700">
        <f t="shared" ref="J54" si="5">$AD54-$D54-$F54-$H54</f>
        <v>3118.0000000000009</v>
      </c>
      <c r="K54" s="1584"/>
      <c r="L54" s="700"/>
      <c r="M54" s="1584"/>
      <c r="N54" s="700"/>
      <c r="O54" s="1584"/>
      <c r="P54" s="1851"/>
      <c r="Q54" s="2065"/>
      <c r="R54" s="1851"/>
      <c r="S54" s="2065"/>
      <c r="T54" s="1851"/>
      <c r="U54" s="2065"/>
      <c r="V54" s="1851"/>
      <c r="W54" s="2065"/>
      <c r="X54" s="1851"/>
      <c r="Y54" s="2065"/>
      <c r="Z54" s="1851"/>
      <c r="AA54" s="2066"/>
      <c r="AB54" s="2067"/>
      <c r="AC54" s="2068"/>
      <c r="AD54" s="1851">
        <v>19810.5</v>
      </c>
      <c r="AE54" s="2067"/>
      <c r="AF54" s="2069"/>
      <c r="AG54" s="1851">
        <v>17503.599999999999</v>
      </c>
      <c r="AH54" s="276"/>
      <c r="AI54" s="56"/>
      <c r="AJ54" s="962">
        <f>ROUND(SUM(+AD54-AG54),1)</f>
        <v>2306.9</v>
      </c>
      <c r="AK54" s="962"/>
      <c r="AL54" s="1491">
        <f>ROUND(SUM((AD54-AG54)/ABS(AG54)),3)</f>
        <v>0.13200000000000001</v>
      </c>
    </row>
    <row r="55" spans="1:38" ht="15" customHeight="1">
      <c r="A55" s="150"/>
      <c r="B55" s="31"/>
      <c r="C55" s="31"/>
      <c r="D55" s="1904"/>
      <c r="E55" s="833"/>
      <c r="F55" s="1904"/>
      <c r="G55" s="833"/>
      <c r="H55" s="1904"/>
      <c r="I55" s="833"/>
      <c r="J55" s="1904"/>
      <c r="K55" s="165"/>
      <c r="L55" s="168"/>
      <c r="M55" s="165"/>
      <c r="N55" s="168"/>
      <c r="O55" s="165"/>
      <c r="P55" s="1508"/>
      <c r="Q55" s="1503"/>
      <c r="R55" s="1508"/>
      <c r="S55" s="1503"/>
      <c r="T55" s="2072"/>
      <c r="U55" s="1503"/>
      <c r="V55" s="2072"/>
      <c r="W55" s="2073"/>
      <c r="X55" s="2072"/>
      <c r="Y55" s="2073"/>
      <c r="Z55" s="2072"/>
      <c r="AA55" s="2074"/>
      <c r="AB55" s="1503"/>
      <c r="AC55" s="2075"/>
      <c r="AD55" s="2118"/>
      <c r="AE55" s="2043"/>
      <c r="AF55" s="2064"/>
      <c r="AG55" s="2118"/>
      <c r="AH55" s="276"/>
      <c r="AI55" s="56"/>
      <c r="AJ55" s="1448"/>
      <c r="AK55" s="1449"/>
      <c r="AL55" s="1492"/>
    </row>
    <row r="56" spans="1:38" ht="15" customHeight="1">
      <c r="A56" s="150"/>
      <c r="B56" s="29" t="s">
        <v>151</v>
      </c>
      <c r="C56" s="31"/>
      <c r="D56" s="941">
        <f>ROUND(SUM(+D52+D54),2)</f>
        <v>6218.4</v>
      </c>
      <c r="E56" s="207"/>
      <c r="F56" s="941">
        <f>ROUND(SUM(+F52+F54),2)</f>
        <v>4867.7</v>
      </c>
      <c r="G56" s="207"/>
      <c r="H56" s="941">
        <f>ROUND(SUM(+H52+H54),2)</f>
        <v>5684.2</v>
      </c>
      <c r="I56" s="207"/>
      <c r="J56" s="941">
        <f>ROUND(SUM(+J52+J54),2)</f>
        <v>3131.9</v>
      </c>
      <c r="K56" s="207"/>
      <c r="L56" s="941">
        <f>ROUND(SUM(+L52+L54),2)</f>
        <v>0</v>
      </c>
      <c r="M56" s="207"/>
      <c r="N56" s="941">
        <f>ROUND(SUM(+N52+N54),2)</f>
        <v>0</v>
      </c>
      <c r="O56" s="207"/>
      <c r="P56" s="1501">
        <f>ROUND(SUM(+P52+P54),2)</f>
        <v>0</v>
      </c>
      <c r="Q56" s="2077"/>
      <c r="R56" s="1501">
        <f>ROUND(SUM(+R52+R54),2)</f>
        <v>0</v>
      </c>
      <c r="S56" s="2077"/>
      <c r="T56" s="1501">
        <f>ROUND(SUM(+T52+T54),2)</f>
        <v>0</v>
      </c>
      <c r="U56" s="2077"/>
      <c r="V56" s="1501">
        <f>ROUND(SUM(+V52+V54),2)</f>
        <v>0</v>
      </c>
      <c r="W56" s="1501"/>
      <c r="X56" s="1501">
        <f>ROUND(SUM(+X52+X54),2)</f>
        <v>0</v>
      </c>
      <c r="Y56" s="1501"/>
      <c r="Z56" s="1501">
        <f>ROUND(SUM(+Z52+Z54),2)</f>
        <v>0</v>
      </c>
      <c r="AA56" s="1501"/>
      <c r="AB56" s="2077"/>
      <c r="AC56" s="2078"/>
      <c r="AD56" s="2117">
        <f>ROUND(SUM(+AD52+AD54),1)</f>
        <v>19902.2</v>
      </c>
      <c r="AE56" s="1502"/>
      <c r="AF56" s="3311"/>
      <c r="AG56" s="2117">
        <f>ROUND(SUM(+AG52+AG54),1)</f>
        <v>17588.8</v>
      </c>
      <c r="AH56" s="283"/>
      <c r="AI56" s="76"/>
      <c r="AJ56" s="847">
        <f>ROUND(SUM(+AJ52+AJ54),1)</f>
        <v>2313.4</v>
      </c>
      <c r="AK56" s="285"/>
      <c r="AL56" s="1493">
        <f>ROUND(SUM((AD56-AG56)/ABS(AG56)),3)</f>
        <v>0.13200000000000001</v>
      </c>
    </row>
    <row r="57" spans="1:38" ht="15" customHeight="1">
      <c r="A57" s="150"/>
      <c r="B57" s="31"/>
      <c r="C57" s="31"/>
      <c r="D57" s="1904"/>
      <c r="E57" s="833"/>
      <c r="F57" s="704"/>
      <c r="G57" s="833"/>
      <c r="H57" s="704"/>
      <c r="I57" s="833"/>
      <c r="J57" s="704"/>
      <c r="K57" s="165"/>
      <c r="L57" s="88"/>
      <c r="M57" s="165"/>
      <c r="N57" s="88"/>
      <c r="O57" s="165"/>
      <c r="P57" s="2072"/>
      <c r="Q57" s="1503"/>
      <c r="R57" s="2072"/>
      <c r="S57" s="1503"/>
      <c r="T57" s="2072"/>
      <c r="U57" s="1503"/>
      <c r="V57" s="2118"/>
      <c r="W57" s="2062"/>
      <c r="X57" s="2118"/>
      <c r="Y57" s="2062"/>
      <c r="Z57" s="2118"/>
      <c r="AA57" s="2043"/>
      <c r="AB57" s="2058"/>
      <c r="AC57" s="2063"/>
      <c r="AD57" s="2245"/>
      <c r="AE57" s="2085"/>
      <c r="AF57" s="3337"/>
      <c r="AG57" s="2245"/>
      <c r="AH57" s="1871"/>
      <c r="AI57" s="1111"/>
      <c r="AJ57" s="1872"/>
      <c r="AK57" s="1872"/>
      <c r="AL57" s="1873"/>
    </row>
    <row r="58" spans="1:38" ht="15" customHeight="1">
      <c r="A58" s="150"/>
      <c r="B58" s="173" t="s">
        <v>23</v>
      </c>
      <c r="C58" s="31"/>
      <c r="D58" s="833"/>
      <c r="E58" s="833"/>
      <c r="F58" s="1578"/>
      <c r="G58" s="833"/>
      <c r="H58" s="1578"/>
      <c r="I58" s="833"/>
      <c r="J58" s="1578"/>
      <c r="K58" s="165"/>
      <c r="L58" s="66"/>
      <c r="M58" s="165"/>
      <c r="N58" s="66"/>
      <c r="O58" s="165"/>
      <c r="P58" s="2073"/>
      <c r="Q58" s="1503"/>
      <c r="R58" s="2073"/>
      <c r="S58" s="1503"/>
      <c r="T58" s="2073"/>
      <c r="U58" s="1503"/>
      <c r="V58" s="2062"/>
      <c r="W58" s="2062"/>
      <c r="X58" s="2062"/>
      <c r="Y58" s="2062"/>
      <c r="Z58" s="2062"/>
      <c r="AA58" s="2062"/>
      <c r="AB58" s="2058"/>
      <c r="AC58" s="2063"/>
      <c r="AD58" s="2058"/>
      <c r="AE58" s="2085"/>
      <c r="AF58" s="3337"/>
      <c r="AG58" s="2058"/>
      <c r="AH58" s="1871"/>
      <c r="AI58" s="1111"/>
      <c r="AJ58" s="1872"/>
      <c r="AK58" s="1872"/>
      <c r="AL58" s="1873"/>
    </row>
    <row r="59" spans="1:38" ht="15" customHeight="1">
      <c r="A59" s="150"/>
      <c r="B59" s="706" t="s">
        <v>152</v>
      </c>
      <c r="C59" s="31"/>
      <c r="D59" s="695"/>
      <c r="E59" s="833"/>
      <c r="F59" s="695"/>
      <c r="G59" s="833"/>
      <c r="H59" s="700"/>
      <c r="I59" s="833"/>
      <c r="J59" s="700"/>
      <c r="K59" s="165"/>
      <c r="L59" s="119"/>
      <c r="M59" s="165"/>
      <c r="N59" s="119"/>
      <c r="O59" s="165"/>
      <c r="P59" s="2081"/>
      <c r="Q59" s="1503"/>
      <c r="R59" s="2082"/>
      <c r="S59" s="1503"/>
      <c r="T59" s="2082"/>
      <c r="U59" s="1503"/>
      <c r="V59" s="2062"/>
      <c r="W59" s="2062"/>
      <c r="X59" s="2062"/>
      <c r="Y59" s="2062"/>
      <c r="Z59" s="2062"/>
      <c r="AA59" s="2062"/>
      <c r="AB59" s="2058"/>
      <c r="AC59" s="2063"/>
      <c r="AD59" s="2058"/>
      <c r="AE59" s="2085"/>
      <c r="AF59" s="3337"/>
      <c r="AG59" s="2058"/>
      <c r="AH59" s="1871"/>
      <c r="AI59" s="1111"/>
      <c r="AJ59" s="1859"/>
      <c r="AK59" s="1872"/>
      <c r="AL59" s="1877"/>
    </row>
    <row r="60" spans="1:38" s="906" customFormat="1" ht="15" customHeight="1">
      <c r="A60" s="1090"/>
      <c r="B60" s="1875" t="s">
        <v>25</v>
      </c>
      <c r="C60" s="107"/>
      <c r="D60" s="700">
        <v>337.5</v>
      </c>
      <c r="E60" s="833"/>
      <c r="F60" s="700">
        <v>590.6</v>
      </c>
      <c r="G60" s="833"/>
      <c r="H60" s="700">
        <v>262.10000000000002</v>
      </c>
      <c r="I60" s="833"/>
      <c r="J60" s="700">
        <f t="shared" ref="J60:J69" si="6">$AD60-$D60-$F60-$H60</f>
        <v>287.89999999999986</v>
      </c>
      <c r="K60" s="1584"/>
      <c r="L60" s="700"/>
      <c r="M60" s="1584"/>
      <c r="N60" s="700"/>
      <c r="O60" s="1584"/>
      <c r="P60" s="1851"/>
      <c r="Q60" s="2065"/>
      <c r="R60" s="1851"/>
      <c r="S60" s="2065"/>
      <c r="T60" s="1851"/>
      <c r="U60" s="2065"/>
      <c r="V60" s="1851"/>
      <c r="W60" s="2065"/>
      <c r="X60" s="1851"/>
      <c r="Y60" s="2065"/>
      <c r="Z60" s="1851"/>
      <c r="AA60" s="2066"/>
      <c r="AB60" s="2067"/>
      <c r="AC60" s="2068"/>
      <c r="AD60" s="1851">
        <v>1478.1</v>
      </c>
      <c r="AE60" s="2067"/>
      <c r="AF60" s="2069"/>
      <c r="AG60" s="1851">
        <v>1663.8000000000002</v>
      </c>
      <c r="AH60" s="1093"/>
      <c r="AI60" s="67"/>
      <c r="AJ60" s="914">
        <f>ROUND(SUM(+AD60-AG60),1)</f>
        <v>-185.7</v>
      </c>
      <c r="AK60" s="914"/>
      <c r="AL60" s="1786">
        <f>ROUND(IF(AG60=0,0,AJ60/ABS(AG60)),3)</f>
        <v>-0.112</v>
      </c>
    </row>
    <row r="61" spans="1:38" ht="15" customHeight="1">
      <c r="A61" s="150"/>
      <c r="B61" s="179" t="s">
        <v>26</v>
      </c>
      <c r="C61" s="31"/>
      <c r="D61" s="700">
        <v>0.1</v>
      </c>
      <c r="E61" s="833"/>
      <c r="F61" s="700">
        <v>0.1</v>
      </c>
      <c r="G61" s="833"/>
      <c r="H61" s="700">
        <v>0</v>
      </c>
      <c r="I61" s="833"/>
      <c r="J61" s="700">
        <f t="shared" si="6"/>
        <v>0</v>
      </c>
      <c r="K61" s="1584"/>
      <c r="L61" s="700"/>
      <c r="M61" s="1584"/>
      <c r="N61" s="700"/>
      <c r="O61" s="1584"/>
      <c r="P61" s="1851"/>
      <c r="Q61" s="2065"/>
      <c r="R61" s="1851"/>
      <c r="S61" s="2065"/>
      <c r="T61" s="1851"/>
      <c r="U61" s="2065"/>
      <c r="V61" s="1851"/>
      <c r="W61" s="2065"/>
      <c r="X61" s="1851"/>
      <c r="Y61" s="2065"/>
      <c r="Z61" s="1851"/>
      <c r="AA61" s="2066"/>
      <c r="AB61" s="2067"/>
      <c r="AC61" s="2068"/>
      <c r="AD61" s="1851">
        <v>0.2</v>
      </c>
      <c r="AE61" s="2067"/>
      <c r="AF61" s="2069"/>
      <c r="AG61" s="1851">
        <v>0.6</v>
      </c>
      <c r="AH61" s="1093"/>
      <c r="AI61" s="67"/>
      <c r="AJ61" s="914">
        <f>ROUND(SUM(+AD61-AG61),1)</f>
        <v>-0.4</v>
      </c>
      <c r="AK61" s="914"/>
      <c r="AL61" s="1891">
        <f>ROUND(IF(AG61=0,1,AJ61/ABS(AG61)),3)</f>
        <v>-0.66700000000000004</v>
      </c>
    </row>
    <row r="62" spans="1:38" s="906" customFormat="1" ht="15" customHeight="1">
      <c r="A62" s="1090"/>
      <c r="B62" s="1875" t="s">
        <v>27</v>
      </c>
      <c r="C62" s="107"/>
      <c r="D62" s="700">
        <v>2</v>
      </c>
      <c r="E62" s="833"/>
      <c r="F62" s="700">
        <v>3.5</v>
      </c>
      <c r="G62" s="833"/>
      <c r="H62" s="700">
        <v>8.6999999999999993</v>
      </c>
      <c r="I62" s="833"/>
      <c r="J62" s="700">
        <f t="shared" si="6"/>
        <v>1.2000000000000011</v>
      </c>
      <c r="K62" s="1584"/>
      <c r="L62" s="700"/>
      <c r="M62" s="1584"/>
      <c r="N62" s="700"/>
      <c r="O62" s="1584"/>
      <c r="P62" s="1851"/>
      <c r="Q62" s="2065"/>
      <c r="R62" s="1851"/>
      <c r="S62" s="2065"/>
      <c r="T62" s="1851"/>
      <c r="U62" s="2065"/>
      <c r="V62" s="1851"/>
      <c r="W62" s="2065"/>
      <c r="X62" s="1851"/>
      <c r="Y62" s="2065"/>
      <c r="Z62" s="1851"/>
      <c r="AA62" s="2066"/>
      <c r="AB62" s="2067"/>
      <c r="AC62" s="2068"/>
      <c r="AD62" s="1851">
        <v>15.4</v>
      </c>
      <c r="AE62" s="2067"/>
      <c r="AF62" s="2069"/>
      <c r="AG62" s="1851">
        <v>17.2</v>
      </c>
      <c r="AH62" s="1093"/>
      <c r="AI62" s="67"/>
      <c r="AJ62" s="914">
        <f>ROUND(SUM(+AD62-AG62),1)</f>
        <v>-1.8</v>
      </c>
      <c r="AK62" s="914"/>
      <c r="AL62" s="1786">
        <f>ROUND(IF(AG62=0,0,AJ62/ABS(AG62)),3)</f>
        <v>-0.105</v>
      </c>
    </row>
    <row r="63" spans="1:38" s="906" customFormat="1" ht="15" customHeight="1">
      <c r="A63" s="1090"/>
      <c r="B63" s="1875" t="s">
        <v>28</v>
      </c>
      <c r="C63" s="107"/>
      <c r="D63" s="700" t="s">
        <v>15</v>
      </c>
      <c r="E63" s="833"/>
      <c r="F63" s="700"/>
      <c r="G63" s="833"/>
      <c r="H63" s="700"/>
      <c r="I63" s="833"/>
      <c r="J63" s="700"/>
      <c r="K63" s="1584"/>
      <c r="L63" s="700"/>
      <c r="M63" s="1584"/>
      <c r="N63" s="700"/>
      <c r="O63" s="1584"/>
      <c r="P63" s="1851"/>
      <c r="Q63" s="2065"/>
      <c r="R63" s="1851"/>
      <c r="S63" s="2065"/>
      <c r="T63" s="1851"/>
      <c r="U63" s="2065"/>
      <c r="V63" s="1851"/>
      <c r="W63" s="2065"/>
      <c r="X63" s="1851"/>
      <c r="Y63" s="2065"/>
      <c r="Z63" s="1851"/>
      <c r="AA63" s="2066"/>
      <c r="AB63" s="2067"/>
      <c r="AC63" s="2068"/>
      <c r="AD63" s="1851"/>
      <c r="AE63" s="2067"/>
      <c r="AF63" s="2069"/>
      <c r="AG63" s="1851"/>
      <c r="AH63" s="1093"/>
      <c r="AI63" s="67"/>
      <c r="AJ63" s="700"/>
      <c r="AK63" s="1859"/>
      <c r="AL63" s="1877"/>
    </row>
    <row r="64" spans="1:38" s="906" customFormat="1" ht="15" customHeight="1">
      <c r="A64" s="1090"/>
      <c r="B64" s="1876" t="s">
        <v>29</v>
      </c>
      <c r="C64" s="107"/>
      <c r="D64" s="700">
        <v>3116.5</v>
      </c>
      <c r="E64" s="833"/>
      <c r="F64" s="700">
        <v>3681.2</v>
      </c>
      <c r="G64" s="833"/>
      <c r="H64" s="700">
        <v>3098.7</v>
      </c>
      <c r="I64" s="833"/>
      <c r="J64" s="700">
        <f t="shared" si="6"/>
        <v>3002.7000000000007</v>
      </c>
      <c r="K64" s="1584"/>
      <c r="L64" s="700"/>
      <c r="M64" s="1584"/>
      <c r="N64" s="700"/>
      <c r="O64" s="1584"/>
      <c r="P64" s="1851"/>
      <c r="Q64" s="2065"/>
      <c r="R64" s="1851"/>
      <c r="S64" s="2065"/>
      <c r="T64" s="1851"/>
      <c r="U64" s="2065"/>
      <c r="V64" s="1851"/>
      <c r="W64" s="2065"/>
      <c r="X64" s="1851"/>
      <c r="Y64" s="2065"/>
      <c r="Z64" s="1851"/>
      <c r="AA64" s="2066"/>
      <c r="AB64" s="2067"/>
      <c r="AC64" s="2068"/>
      <c r="AD64" s="1851">
        <v>12899.1</v>
      </c>
      <c r="AE64" s="2067"/>
      <c r="AF64" s="2069"/>
      <c r="AG64" s="1851">
        <v>11805.1</v>
      </c>
      <c r="AH64" s="1093"/>
      <c r="AI64" s="67"/>
      <c r="AJ64" s="914">
        <f t="shared" ref="AJ64:AJ69" si="7">ROUND(SUM(+AD64-AG64),1)</f>
        <v>1094</v>
      </c>
      <c r="AK64" s="914"/>
      <c r="AL64" s="1786">
        <f t="shared" ref="AL64:AL69" si="8">ROUND(IF(AG64=0,0,AJ64/ABS(AG64)),3)</f>
        <v>9.2999999999999999E-2</v>
      </c>
    </row>
    <row r="65" spans="1:38" s="906" customFormat="1" ht="15" customHeight="1">
      <c r="A65" s="1090"/>
      <c r="B65" s="1875" t="s">
        <v>30</v>
      </c>
      <c r="C65" s="107"/>
      <c r="D65" s="700">
        <v>483.3</v>
      </c>
      <c r="E65" s="833"/>
      <c r="F65" s="700">
        <v>487.8</v>
      </c>
      <c r="G65" s="833"/>
      <c r="H65" s="700">
        <v>700.80000000000018</v>
      </c>
      <c r="I65" s="833"/>
      <c r="J65" s="700">
        <f t="shared" si="6"/>
        <v>465.09999999999991</v>
      </c>
      <c r="K65" s="1584"/>
      <c r="L65" s="700"/>
      <c r="M65" s="1584"/>
      <c r="N65" s="700"/>
      <c r="O65" s="1584"/>
      <c r="P65" s="1851"/>
      <c r="Q65" s="2065"/>
      <c r="R65" s="1851"/>
      <c r="S65" s="2065"/>
      <c r="T65" s="1851"/>
      <c r="U65" s="2065"/>
      <c r="V65" s="1851"/>
      <c r="W65" s="2065"/>
      <c r="X65" s="1851"/>
      <c r="Y65" s="2065"/>
      <c r="Z65" s="1851"/>
      <c r="AA65" s="2066"/>
      <c r="AB65" s="2067"/>
      <c r="AC65" s="2068"/>
      <c r="AD65" s="1851">
        <v>2137</v>
      </c>
      <c r="AE65" s="2067"/>
      <c r="AF65" s="2069"/>
      <c r="AG65" s="1851">
        <v>2042.5</v>
      </c>
      <c r="AH65" s="1093"/>
      <c r="AI65" s="67"/>
      <c r="AJ65" s="914">
        <f t="shared" si="7"/>
        <v>94.5</v>
      </c>
      <c r="AK65" s="914"/>
      <c r="AL65" s="1786">
        <f t="shared" si="8"/>
        <v>4.5999999999999999E-2</v>
      </c>
    </row>
    <row r="66" spans="1:38" s="906" customFormat="1" ht="15" customHeight="1">
      <c r="A66" s="1090"/>
      <c r="B66" s="1875" t="s">
        <v>31</v>
      </c>
      <c r="C66" s="107"/>
      <c r="D66" s="700">
        <v>116.2</v>
      </c>
      <c r="E66" s="833"/>
      <c r="F66" s="700">
        <v>150.5</v>
      </c>
      <c r="G66" s="833"/>
      <c r="H66" s="700">
        <v>42.699999999999989</v>
      </c>
      <c r="I66" s="833"/>
      <c r="J66" s="700">
        <f t="shared" si="6"/>
        <v>59.800000000000011</v>
      </c>
      <c r="K66" s="1584"/>
      <c r="L66" s="700"/>
      <c r="M66" s="1584"/>
      <c r="N66" s="700"/>
      <c r="O66" s="1584"/>
      <c r="P66" s="1851"/>
      <c r="Q66" s="2065"/>
      <c r="R66" s="1851"/>
      <c r="S66" s="2065"/>
      <c r="T66" s="1851"/>
      <c r="U66" s="2065"/>
      <c r="V66" s="1851"/>
      <c r="W66" s="2065"/>
      <c r="X66" s="1851"/>
      <c r="Y66" s="2065"/>
      <c r="Z66" s="1851"/>
      <c r="AA66" s="2066"/>
      <c r="AB66" s="2067"/>
      <c r="AC66" s="2068"/>
      <c r="AD66" s="1851">
        <v>369.2</v>
      </c>
      <c r="AE66" s="2067"/>
      <c r="AF66" s="2069"/>
      <c r="AG66" s="1851">
        <v>342.9</v>
      </c>
      <c r="AH66" s="1093"/>
      <c r="AI66" s="67"/>
      <c r="AJ66" s="914">
        <f t="shared" si="7"/>
        <v>26.3</v>
      </c>
      <c r="AK66" s="914"/>
      <c r="AL66" s="1786">
        <f t="shared" si="8"/>
        <v>7.6999999999999999E-2</v>
      </c>
    </row>
    <row r="67" spans="1:38" s="906" customFormat="1" ht="15" customHeight="1">
      <c r="A67" s="1090"/>
      <c r="B67" s="1875" t="s">
        <v>32</v>
      </c>
      <c r="C67" s="107"/>
      <c r="D67" s="700">
        <v>151.4</v>
      </c>
      <c r="E67" s="833"/>
      <c r="F67" s="700">
        <v>119.20000000000002</v>
      </c>
      <c r="G67" s="833"/>
      <c r="H67" s="700">
        <v>270.69999999999993</v>
      </c>
      <c r="I67" s="833"/>
      <c r="J67" s="700">
        <f t="shared" si="6"/>
        <v>317.90000000000009</v>
      </c>
      <c r="K67" s="1584"/>
      <c r="L67" s="700"/>
      <c r="M67" s="1584"/>
      <c r="N67" s="700"/>
      <c r="O67" s="1584"/>
      <c r="P67" s="1851"/>
      <c r="Q67" s="2065"/>
      <c r="R67" s="1851"/>
      <c r="S67" s="2065"/>
      <c r="T67" s="1851"/>
      <c r="U67" s="2065"/>
      <c r="V67" s="1851"/>
      <c r="W67" s="2065"/>
      <c r="X67" s="1851"/>
      <c r="Y67" s="2065"/>
      <c r="Z67" s="1851"/>
      <c r="AA67" s="2066"/>
      <c r="AB67" s="2067"/>
      <c r="AC67" s="2068"/>
      <c r="AD67" s="1851">
        <v>859.2</v>
      </c>
      <c r="AE67" s="2067"/>
      <c r="AF67" s="2069"/>
      <c r="AG67" s="1851">
        <v>1076.5</v>
      </c>
      <c r="AH67" s="1093"/>
      <c r="AI67" s="67"/>
      <c r="AJ67" s="914">
        <f t="shared" si="7"/>
        <v>-217.3</v>
      </c>
      <c r="AK67" s="914"/>
      <c r="AL67" s="1786">
        <f t="shared" si="8"/>
        <v>-0.20200000000000001</v>
      </c>
    </row>
    <row r="68" spans="1:38" s="906" customFormat="1" ht="15" customHeight="1">
      <c r="A68" s="1090"/>
      <c r="B68" s="1875" t="s">
        <v>33</v>
      </c>
      <c r="C68" s="107"/>
      <c r="D68" s="700">
        <v>0.3</v>
      </c>
      <c r="E68" s="833"/>
      <c r="F68" s="700">
        <v>1.2</v>
      </c>
      <c r="G68" s="833"/>
      <c r="H68" s="700">
        <v>0.19999999999999996</v>
      </c>
      <c r="I68" s="833"/>
      <c r="J68" s="700">
        <f t="shared" si="6"/>
        <v>0.80000000000000027</v>
      </c>
      <c r="K68" s="1584"/>
      <c r="L68" s="700"/>
      <c r="M68" s="1584"/>
      <c r="N68" s="700"/>
      <c r="O68" s="1584"/>
      <c r="P68" s="1851"/>
      <c r="Q68" s="2065"/>
      <c r="R68" s="1851"/>
      <c r="S68" s="2065"/>
      <c r="T68" s="1851"/>
      <c r="U68" s="2065"/>
      <c r="V68" s="1851"/>
      <c r="W68" s="2065"/>
      <c r="X68" s="1851"/>
      <c r="Y68" s="2065"/>
      <c r="Z68" s="1851"/>
      <c r="AA68" s="2066"/>
      <c r="AB68" s="2067"/>
      <c r="AC68" s="2068"/>
      <c r="AD68" s="1852">
        <v>2.5</v>
      </c>
      <c r="AE68" s="2067"/>
      <c r="AF68" s="2069"/>
      <c r="AG68" s="1851">
        <v>2.2999999999999998</v>
      </c>
      <c r="AH68" s="1093"/>
      <c r="AI68" s="67"/>
      <c r="AJ68" s="914">
        <f t="shared" si="7"/>
        <v>0.2</v>
      </c>
      <c r="AK68" s="914"/>
      <c r="AL68" s="1786">
        <f>ROUND(IF(AG68=0,1,AJ68/ABS(AG68)),3)</f>
        <v>8.6999999999999994E-2</v>
      </c>
    </row>
    <row r="69" spans="1:38" s="906" customFormat="1" ht="15" customHeight="1">
      <c r="A69" s="1090"/>
      <c r="B69" s="1875" t="s">
        <v>34</v>
      </c>
      <c r="C69" s="107"/>
      <c r="D69" s="700">
        <v>4</v>
      </c>
      <c r="E69" s="833"/>
      <c r="F69" s="700">
        <v>5.8000000000000007</v>
      </c>
      <c r="G69" s="833"/>
      <c r="H69" s="700">
        <v>4.3999999999999986</v>
      </c>
      <c r="I69" s="833"/>
      <c r="J69" s="700">
        <f t="shared" si="6"/>
        <v>4</v>
      </c>
      <c r="K69" s="1584"/>
      <c r="L69" s="700"/>
      <c r="M69" s="1584"/>
      <c r="N69" s="700"/>
      <c r="O69" s="1584"/>
      <c r="P69" s="1851"/>
      <c r="Q69" s="2065"/>
      <c r="R69" s="1851"/>
      <c r="S69" s="2065"/>
      <c r="T69" s="1851"/>
      <c r="U69" s="2065"/>
      <c r="V69" s="1851"/>
      <c r="W69" s="2065"/>
      <c r="X69" s="1851"/>
      <c r="Y69" s="2065"/>
      <c r="Z69" s="1851"/>
      <c r="AA69" s="2066"/>
      <c r="AB69" s="2067"/>
      <c r="AC69" s="2068"/>
      <c r="AD69" s="1851">
        <v>18.2</v>
      </c>
      <c r="AE69" s="2067"/>
      <c r="AF69" s="2069"/>
      <c r="AG69" s="1851">
        <v>15.8</v>
      </c>
      <c r="AH69" s="1093"/>
      <c r="AI69" s="67"/>
      <c r="AJ69" s="914">
        <f t="shared" si="7"/>
        <v>2.4</v>
      </c>
      <c r="AK69" s="1043"/>
      <c r="AL69" s="1874">
        <f t="shared" si="8"/>
        <v>0.152</v>
      </c>
    </row>
    <row r="70" spans="1:38" ht="15" customHeight="1">
      <c r="A70" s="150"/>
      <c r="B70" s="29" t="s">
        <v>1206</v>
      </c>
      <c r="C70" s="31"/>
      <c r="D70" s="296">
        <f>ROUND(SUM(D60:D69),2)</f>
        <v>4211.3</v>
      </c>
      <c r="E70" s="207"/>
      <c r="F70" s="296">
        <f>ROUND(SUM(F60:F69),2)</f>
        <v>5039.8999999999996</v>
      </c>
      <c r="G70" s="166"/>
      <c r="H70" s="296">
        <f>ROUND(SUM(H60:H69),2)</f>
        <v>4388.3</v>
      </c>
      <c r="I70" s="207"/>
      <c r="J70" s="296">
        <f>ROUND(SUM(J60:J69),2)</f>
        <v>4139.3999999999996</v>
      </c>
      <c r="K70" s="207"/>
      <c r="L70" s="296">
        <f>ROUND(SUM(L60:L69),2)</f>
        <v>0</v>
      </c>
      <c r="M70" s="207"/>
      <c r="N70" s="296">
        <f>ROUND(SUM(N60:N69),2)</f>
        <v>0</v>
      </c>
      <c r="O70" s="207"/>
      <c r="P70" s="2083">
        <f>ROUND(SUM(P60:P69),2)</f>
        <v>0</v>
      </c>
      <c r="Q70" s="2077"/>
      <c r="R70" s="2083">
        <f>ROUND(SUM(R60:R69),2)</f>
        <v>0</v>
      </c>
      <c r="S70" s="2077"/>
      <c r="T70" s="2083">
        <f>ROUND(SUM(T60:T69),2)</f>
        <v>0</v>
      </c>
      <c r="U70" s="2077"/>
      <c r="V70" s="2246">
        <f>ROUND(SUM(V60:V69),2)</f>
        <v>0</v>
      </c>
      <c r="W70" s="2117"/>
      <c r="X70" s="2246">
        <f>ROUND(SUM(X60:X69),2)</f>
        <v>0</v>
      </c>
      <c r="Y70" s="2117"/>
      <c r="Z70" s="2246">
        <f>ROUND(SUM(Z60:Z69),2)</f>
        <v>0</v>
      </c>
      <c r="AA70" s="1502"/>
      <c r="AB70" s="2247"/>
      <c r="AC70" s="2248"/>
      <c r="AD70" s="2084">
        <f>ROUND(SUM(AD60:AD69),1)</f>
        <v>17778.900000000001</v>
      </c>
      <c r="AE70" s="1502"/>
      <c r="AF70" s="3311"/>
      <c r="AG70" s="2084">
        <f>ROUND(SUM(AG60:AG69),1)</f>
        <v>16966.7</v>
      </c>
      <c r="AH70" s="1879"/>
      <c r="AI70" s="115"/>
      <c r="AJ70" s="111">
        <f>ROUND(SUM(AD70-AG70),1)</f>
        <v>812.2</v>
      </c>
      <c r="AK70" s="2249"/>
      <c r="AL70" s="2250">
        <f>ROUND(SUM((AD70-AG70)/ABS(AG70)),3)</f>
        <v>4.8000000000000001E-2</v>
      </c>
    </row>
    <row r="71" spans="1:38" s="906" customFormat="1" ht="15" customHeight="1">
      <c r="A71" s="1090"/>
      <c r="B71" s="107" t="s">
        <v>153</v>
      </c>
      <c r="C71" s="107"/>
      <c r="D71" s="833"/>
      <c r="E71" s="833"/>
      <c r="F71" s="1578"/>
      <c r="G71" s="833"/>
      <c r="H71" s="1578"/>
      <c r="I71" s="833"/>
      <c r="J71" s="1578"/>
      <c r="K71" s="140"/>
      <c r="L71" s="118"/>
      <c r="M71" s="140"/>
      <c r="N71" s="118"/>
      <c r="O71" s="140"/>
      <c r="P71" s="2062"/>
      <c r="Q71" s="2058"/>
      <c r="R71" s="2062"/>
      <c r="S71" s="2058"/>
      <c r="T71" s="2062"/>
      <c r="U71" s="2058"/>
      <c r="V71" s="2062"/>
      <c r="W71" s="2062"/>
      <c r="X71" s="2062"/>
      <c r="Y71" s="2062"/>
      <c r="Z71" s="2062"/>
      <c r="AA71" s="2062"/>
      <c r="AB71" s="2058"/>
      <c r="AC71" s="2063"/>
      <c r="AD71" s="2058"/>
      <c r="AE71" s="2085"/>
      <c r="AF71" s="3337"/>
      <c r="AG71" s="2058"/>
      <c r="AH71" s="1871"/>
      <c r="AI71" s="1111"/>
      <c r="AJ71" s="1872"/>
      <c r="AK71" s="1872"/>
      <c r="AL71" s="1873"/>
    </row>
    <row r="72" spans="1:38" s="906" customFormat="1" ht="15" customHeight="1">
      <c r="A72" s="1090"/>
      <c r="B72" s="107" t="s">
        <v>154</v>
      </c>
      <c r="C72" s="107"/>
      <c r="D72" s="700">
        <v>49.3</v>
      </c>
      <c r="E72" s="833"/>
      <c r="F72" s="700">
        <v>65.8</v>
      </c>
      <c r="G72" s="833"/>
      <c r="H72" s="700">
        <v>55.099999999999994</v>
      </c>
      <c r="I72" s="833"/>
      <c r="J72" s="700">
        <f t="shared" ref="J72:J75" si="9">$AD72-$D72-$F72-$H72</f>
        <v>44.3</v>
      </c>
      <c r="K72" s="1584"/>
      <c r="L72" s="700"/>
      <c r="M72" s="1584"/>
      <c r="N72" s="700"/>
      <c r="O72" s="1584"/>
      <c r="P72" s="1851"/>
      <c r="Q72" s="2065"/>
      <c r="R72" s="1851"/>
      <c r="S72" s="2065"/>
      <c r="T72" s="1851"/>
      <c r="U72" s="2065"/>
      <c r="V72" s="1851"/>
      <c r="W72" s="2065"/>
      <c r="X72" s="1851"/>
      <c r="Y72" s="2065"/>
      <c r="Z72" s="1851"/>
      <c r="AA72" s="2066"/>
      <c r="AB72" s="2067"/>
      <c r="AC72" s="2068"/>
      <c r="AD72" s="1851">
        <v>214.5</v>
      </c>
      <c r="AE72" s="2067"/>
      <c r="AF72" s="2069"/>
      <c r="AG72" s="1851">
        <v>228.8</v>
      </c>
      <c r="AH72" s="1093"/>
      <c r="AI72" s="67"/>
      <c r="AJ72" s="914">
        <f>ROUND(SUM(+AD72-AG72),1)</f>
        <v>-14.3</v>
      </c>
      <c r="AK72" s="914"/>
      <c r="AL72" s="1786">
        <f>ROUND(IF(AG72=0,0,AJ72/ABS(AG72)),3)</f>
        <v>-6.3E-2</v>
      </c>
    </row>
    <row r="73" spans="1:38" s="906" customFormat="1" ht="15" customHeight="1">
      <c r="A73" s="1090"/>
      <c r="B73" s="107" t="s">
        <v>180</v>
      </c>
      <c r="C73" s="107"/>
      <c r="D73" s="700">
        <v>70.099999999999994</v>
      </c>
      <c r="E73" s="833"/>
      <c r="F73" s="700">
        <v>76.300000000000011</v>
      </c>
      <c r="G73" s="833"/>
      <c r="H73" s="700">
        <v>96.4</v>
      </c>
      <c r="I73" s="833"/>
      <c r="J73" s="700">
        <f t="shared" si="9"/>
        <v>81.599999999999966</v>
      </c>
      <c r="K73" s="1584"/>
      <c r="L73" s="700"/>
      <c r="M73" s="1584"/>
      <c r="N73" s="700"/>
      <c r="O73" s="1584"/>
      <c r="P73" s="1851"/>
      <c r="Q73" s="2065"/>
      <c r="R73" s="1851"/>
      <c r="S73" s="2065"/>
      <c r="T73" s="1851"/>
      <c r="U73" s="2065"/>
      <c r="V73" s="1851"/>
      <c r="W73" s="2065"/>
      <c r="X73" s="1851"/>
      <c r="Y73" s="2065"/>
      <c r="Z73" s="1851"/>
      <c r="AA73" s="2066"/>
      <c r="AB73" s="2067"/>
      <c r="AC73" s="2068"/>
      <c r="AD73" s="1851">
        <v>324.39999999999998</v>
      </c>
      <c r="AE73" s="2067"/>
      <c r="AF73" s="2069"/>
      <c r="AG73" s="1851">
        <v>311.89999999999998</v>
      </c>
      <c r="AH73" s="1093"/>
      <c r="AI73" s="67"/>
      <c r="AJ73" s="914">
        <f>ROUND(SUM(+AD73-AG73),1)</f>
        <v>12.5</v>
      </c>
      <c r="AK73" s="914"/>
      <c r="AL73" s="1786">
        <f>ROUND(IF(AG73=0,0,AJ73/ABS(AG73)),3)</f>
        <v>0.04</v>
      </c>
    </row>
    <row r="74" spans="1:38" s="906" customFormat="1" ht="15" customHeight="1">
      <c r="A74" s="1090"/>
      <c r="B74" s="107" t="s">
        <v>156</v>
      </c>
      <c r="C74" s="107"/>
      <c r="D74" s="700">
        <v>21.4</v>
      </c>
      <c r="E74" s="833"/>
      <c r="F74" s="700">
        <v>24.1</v>
      </c>
      <c r="G74" s="833"/>
      <c r="H74" s="700">
        <v>34</v>
      </c>
      <c r="I74" s="833"/>
      <c r="J74" s="700">
        <f t="shared" si="9"/>
        <v>35.599999999999994</v>
      </c>
      <c r="K74" s="1584"/>
      <c r="L74" s="700"/>
      <c r="M74" s="1584"/>
      <c r="N74" s="700"/>
      <c r="O74" s="1584"/>
      <c r="P74" s="1851"/>
      <c r="Q74" s="2065"/>
      <c r="R74" s="1851"/>
      <c r="S74" s="2065"/>
      <c r="T74" s="1851"/>
      <c r="U74" s="2065"/>
      <c r="V74" s="1851"/>
      <c r="W74" s="2065"/>
      <c r="X74" s="1851"/>
      <c r="Y74" s="2065"/>
      <c r="Z74" s="1851"/>
      <c r="AA74" s="2066"/>
      <c r="AB74" s="2067"/>
      <c r="AC74" s="2068"/>
      <c r="AD74" s="1851">
        <v>115.1</v>
      </c>
      <c r="AE74" s="2067"/>
      <c r="AF74" s="2069"/>
      <c r="AG74" s="1851">
        <v>98.3</v>
      </c>
      <c r="AH74" s="1093"/>
      <c r="AI74" s="67"/>
      <c r="AJ74" s="914">
        <f>ROUND(SUM(+AD74-AG74),1)</f>
        <v>16.8</v>
      </c>
      <c r="AK74" s="914"/>
      <c r="AL74" s="1786">
        <f>ROUND(IF(AG74=0,0,AJ74/ABS(AG74)),3)</f>
        <v>0.17100000000000001</v>
      </c>
    </row>
    <row r="75" spans="1:38" s="906" customFormat="1" ht="15" customHeight="1">
      <c r="A75" s="1090"/>
      <c r="B75" s="107" t="s">
        <v>181</v>
      </c>
      <c r="C75" s="107"/>
      <c r="D75" s="700">
        <v>0</v>
      </c>
      <c r="E75" s="833"/>
      <c r="F75" s="700">
        <v>0</v>
      </c>
      <c r="G75" s="833"/>
      <c r="H75" s="700">
        <v>0</v>
      </c>
      <c r="I75" s="833"/>
      <c r="J75" s="700">
        <f t="shared" si="9"/>
        <v>0</v>
      </c>
      <c r="K75" s="1584"/>
      <c r="L75" s="700"/>
      <c r="M75" s="1584"/>
      <c r="N75" s="700"/>
      <c r="O75" s="1584"/>
      <c r="P75" s="1851"/>
      <c r="Q75" s="2065"/>
      <c r="R75" s="1851"/>
      <c r="S75" s="2065"/>
      <c r="T75" s="1851"/>
      <c r="U75" s="2065"/>
      <c r="V75" s="1851"/>
      <c r="W75" s="2065"/>
      <c r="X75" s="1851"/>
      <c r="Y75" s="2065"/>
      <c r="Z75" s="1851"/>
      <c r="AA75" s="2066"/>
      <c r="AB75" s="2067"/>
      <c r="AC75" s="2068"/>
      <c r="AD75" s="1851">
        <v>0</v>
      </c>
      <c r="AE75" s="2067"/>
      <c r="AF75" s="2069"/>
      <c r="AG75" s="1851">
        <v>0</v>
      </c>
      <c r="AH75" s="1093"/>
      <c r="AI75" s="67"/>
      <c r="AJ75" s="914">
        <f>ROUND(SUM(+AD75-AG75),1)</f>
        <v>0</v>
      </c>
      <c r="AK75" s="1043"/>
      <c r="AL75" s="1874">
        <f>ROUND(IF(AG75=0,0,AJ75/ABS(AG75)),3)</f>
        <v>0</v>
      </c>
    </row>
    <row r="76" spans="1:38" ht="15" customHeight="1">
      <c r="A76" s="150"/>
      <c r="B76" s="31"/>
      <c r="C76" s="31"/>
      <c r="D76" s="1904"/>
      <c r="E76" s="833"/>
      <c r="F76" s="704"/>
      <c r="G76" s="833"/>
      <c r="H76" s="704"/>
      <c r="I76" s="833"/>
      <c r="J76" s="704"/>
      <c r="K76" s="165"/>
      <c r="L76" s="88"/>
      <c r="M76" s="165"/>
      <c r="N76" s="88"/>
      <c r="O76" s="165"/>
      <c r="P76" s="2072"/>
      <c r="Q76" s="1503"/>
      <c r="R76" s="2072"/>
      <c r="S76" s="1503"/>
      <c r="T76" s="2072"/>
      <c r="U76" s="1503"/>
      <c r="V76" s="2118"/>
      <c r="W76" s="2062"/>
      <c r="X76" s="2118"/>
      <c r="Y76" s="2062"/>
      <c r="Z76" s="2118"/>
      <c r="AA76" s="2043"/>
      <c r="AB76" s="2058"/>
      <c r="AC76" s="2063"/>
      <c r="AD76" s="2118"/>
      <c r="AE76" s="2043"/>
      <c r="AF76" s="2064"/>
      <c r="AG76" s="2118"/>
      <c r="AH76" s="1093"/>
      <c r="AI76" s="67"/>
      <c r="AJ76" s="1061"/>
      <c r="AK76" s="1872"/>
      <c r="AL76" s="1488"/>
    </row>
    <row r="77" spans="1:38" ht="15" customHeight="1">
      <c r="A77" s="150"/>
      <c r="B77" s="29" t="s">
        <v>157</v>
      </c>
      <c r="C77" s="31"/>
      <c r="D77" s="941">
        <f>ROUND(SUM(D70:D75),1)</f>
        <v>4352.1000000000004</v>
      </c>
      <c r="E77" s="207"/>
      <c r="F77" s="941">
        <f>ROUND(SUM(F70:F75),1)</f>
        <v>5206.1000000000004</v>
      </c>
      <c r="G77" s="207"/>
      <c r="H77" s="941">
        <f>ROUND(SUM(H70:H75),1)</f>
        <v>4573.8</v>
      </c>
      <c r="I77" s="207"/>
      <c r="J77" s="941">
        <f>ROUND(SUM(J70:J75),1)</f>
        <v>4300.8999999999996</v>
      </c>
      <c r="K77" s="207"/>
      <c r="L77" s="941">
        <f>ROUND(SUM(L70:L75),1)</f>
        <v>0</v>
      </c>
      <c r="M77" s="207"/>
      <c r="N77" s="941">
        <f>ROUND(SUM(N70:N75),1)</f>
        <v>0</v>
      </c>
      <c r="O77" s="207"/>
      <c r="P77" s="1501">
        <f>ROUND(SUM(P70:P75),1)</f>
        <v>0</v>
      </c>
      <c r="Q77" s="2077"/>
      <c r="R77" s="1501">
        <f>ROUND(SUM(R70:R75),1)</f>
        <v>0</v>
      </c>
      <c r="S77" s="2077"/>
      <c r="T77" s="1501">
        <f>ROUND(SUM(T70:T75),1)</f>
        <v>0</v>
      </c>
      <c r="U77" s="2077"/>
      <c r="V77" s="2117">
        <f>ROUND(SUM(V70:V75),1)</f>
        <v>0</v>
      </c>
      <c r="W77" s="2117"/>
      <c r="X77" s="2117">
        <f>ROUND(SUM(X70:X75),1)</f>
        <v>0</v>
      </c>
      <c r="Y77" s="2117"/>
      <c r="Z77" s="2117">
        <f>ROUND(SUM(Z70:Z75),1)</f>
        <v>0</v>
      </c>
      <c r="AA77" s="2117"/>
      <c r="AB77" s="2247"/>
      <c r="AC77" s="2248"/>
      <c r="AD77" s="2117">
        <f>ROUND(SUM(AD70:AD75),1)</f>
        <v>18432.900000000001</v>
      </c>
      <c r="AE77" s="1502"/>
      <c r="AF77" s="3311"/>
      <c r="AG77" s="2117">
        <f>ROUND(SUM(AG70:AG75),1)</f>
        <v>17605.7</v>
      </c>
      <c r="AH77" s="1879"/>
      <c r="AI77" s="115"/>
      <c r="AJ77" s="120">
        <f>ROUND(SUM(AD77-AG77),1)</f>
        <v>827.2</v>
      </c>
      <c r="AK77" s="2251"/>
      <c r="AL77" s="2252">
        <f>ROUND(SUM((AD77-AG77)/ABS(AG77)),3)</f>
        <v>4.7E-2</v>
      </c>
    </row>
    <row r="78" spans="1:38" ht="15" customHeight="1">
      <c r="A78" s="150"/>
      <c r="B78" s="31"/>
      <c r="C78" s="31"/>
      <c r="D78" s="1904"/>
      <c r="E78" s="833"/>
      <c r="F78" s="704"/>
      <c r="G78" s="833"/>
      <c r="H78" s="704"/>
      <c r="I78" s="833"/>
      <c r="J78" s="704"/>
      <c r="K78" s="165"/>
      <c r="L78" s="88"/>
      <c r="M78" s="165"/>
      <c r="N78" s="88"/>
      <c r="O78" s="165"/>
      <c r="P78" s="2072"/>
      <c r="Q78" s="1503"/>
      <c r="R78" s="2072"/>
      <c r="S78" s="1503"/>
      <c r="T78" s="2072"/>
      <c r="U78" s="1503"/>
      <c r="V78" s="2118"/>
      <c r="W78" s="2062"/>
      <c r="X78" s="2118"/>
      <c r="Y78" s="2062"/>
      <c r="Z78" s="2118"/>
      <c r="AA78" s="2043"/>
      <c r="AB78" s="2058"/>
      <c r="AC78" s="2063"/>
      <c r="AD78" s="2118"/>
      <c r="AE78" s="2043"/>
      <c r="AF78" s="2064"/>
      <c r="AG78" s="2118"/>
      <c r="AH78" s="1093"/>
      <c r="AI78" s="1109"/>
      <c r="AJ78" s="700"/>
      <c r="AK78" s="1872"/>
      <c r="AL78" s="1873"/>
    </row>
    <row r="79" spans="1:38" ht="15" customHeight="1">
      <c r="A79" s="150"/>
      <c r="B79" s="29" t="s">
        <v>158</v>
      </c>
      <c r="C79" s="31"/>
      <c r="D79" s="833"/>
      <c r="E79" s="833"/>
      <c r="F79" s="1578"/>
      <c r="G79" s="833"/>
      <c r="H79" s="1578"/>
      <c r="I79" s="833"/>
      <c r="J79" s="1578"/>
      <c r="K79" s="165"/>
      <c r="L79" s="66"/>
      <c r="M79" s="165"/>
      <c r="N79" s="66"/>
      <c r="O79" s="165"/>
      <c r="P79" s="2073"/>
      <c r="Q79" s="1503"/>
      <c r="R79" s="2073"/>
      <c r="S79" s="1503"/>
      <c r="T79" s="2073"/>
      <c r="U79" s="1503"/>
      <c r="V79" s="2062"/>
      <c r="W79" s="2062"/>
      <c r="X79" s="2062"/>
      <c r="Y79" s="2062"/>
      <c r="Z79" s="2062"/>
      <c r="AA79" s="2062"/>
      <c r="AB79" s="2058"/>
      <c r="AC79" s="2063"/>
      <c r="AD79" s="2043"/>
      <c r="AE79" s="3334"/>
      <c r="AF79" s="3338"/>
      <c r="AG79" s="2043"/>
      <c r="AH79" s="1093"/>
      <c r="AI79" s="2253"/>
      <c r="AJ79" s="700"/>
      <c r="AK79" s="1872"/>
      <c r="AL79" s="1873"/>
    </row>
    <row r="80" spans="1:38" ht="15" customHeight="1">
      <c r="A80" s="150"/>
      <c r="B80" s="29" t="s">
        <v>45</v>
      </c>
      <c r="C80" s="31"/>
      <c r="D80" s="941">
        <f>ROUND(SUM(D56-D77),1)</f>
        <v>1866.3</v>
      </c>
      <c r="E80" s="207"/>
      <c r="F80" s="941">
        <f>ROUND(SUM(F56-F77),1)</f>
        <v>-338.4</v>
      </c>
      <c r="G80" s="207"/>
      <c r="H80" s="941">
        <f>ROUND(SUM(H56-H77),1)</f>
        <v>1110.4000000000001</v>
      </c>
      <c r="I80" s="207"/>
      <c r="J80" s="941">
        <f>ROUND(SUM(J56-J77),1)</f>
        <v>-1169</v>
      </c>
      <c r="K80" s="207"/>
      <c r="L80" s="941">
        <f>ROUND(SUM(L56-L77),1)</f>
        <v>0</v>
      </c>
      <c r="M80" s="207"/>
      <c r="N80" s="941">
        <f>ROUND(SUM(N56-N77),1)</f>
        <v>0</v>
      </c>
      <c r="O80" s="207"/>
      <c r="P80" s="1501">
        <f>ROUND(SUM(P56-P77),1)</f>
        <v>0</v>
      </c>
      <c r="Q80" s="2077"/>
      <c r="R80" s="1501">
        <f>ROUND(SUM(R56-R77),1)</f>
        <v>0</v>
      </c>
      <c r="S80" s="2077"/>
      <c r="T80" s="1501">
        <f>ROUND(SUM(T56-T77),1)</f>
        <v>0</v>
      </c>
      <c r="U80" s="2077"/>
      <c r="V80" s="2117">
        <f>ROUND(SUM(V56-V77),1)</f>
        <v>0</v>
      </c>
      <c r="W80" s="2117"/>
      <c r="X80" s="2117">
        <f>ROUND(SUM(X56-X77),1)</f>
        <v>0</v>
      </c>
      <c r="Y80" s="2117"/>
      <c r="Z80" s="2117">
        <f>ROUND(SUM(Z56-Z77),1)</f>
        <v>0</v>
      </c>
      <c r="AA80" s="2117"/>
      <c r="AB80" s="2247"/>
      <c r="AC80" s="2248"/>
      <c r="AD80" s="2117">
        <f>ROUND(SUM(AD56-AD77),1)</f>
        <v>1469.3</v>
      </c>
      <c r="AE80" s="1502"/>
      <c r="AF80" s="3311"/>
      <c r="AG80" s="2117">
        <f>ROUND(SUM(AG56-AG77),1)</f>
        <v>-16.899999999999999</v>
      </c>
      <c r="AH80" s="1879"/>
      <c r="AI80" s="115"/>
      <c r="AJ80" s="120">
        <f>ROUND(SUM(AD80-AG80),1)</f>
        <v>1486.2</v>
      </c>
      <c r="AK80" s="2254"/>
      <c r="AL80" s="3781">
        <f>ROUND(SUM((AD80-AG80)/ABS(AG80)),3)</f>
        <v>87.941000000000003</v>
      </c>
    </row>
    <row r="81" spans="1:51" ht="15" customHeight="1">
      <c r="A81" s="150"/>
      <c r="B81" s="31"/>
      <c r="C81" s="31"/>
      <c r="D81" s="1904"/>
      <c r="E81" s="833"/>
      <c r="F81" s="704"/>
      <c r="G81" s="833"/>
      <c r="H81" s="704"/>
      <c r="I81" s="833"/>
      <c r="J81" s="704"/>
      <c r="K81" s="165"/>
      <c r="L81" s="88"/>
      <c r="M81" s="165"/>
      <c r="N81" s="88"/>
      <c r="O81" s="165"/>
      <c r="P81" s="2072"/>
      <c r="Q81" s="1503"/>
      <c r="R81" s="2072"/>
      <c r="S81" s="1503"/>
      <c r="T81" s="2072"/>
      <c r="U81" s="1503"/>
      <c r="V81" s="2118"/>
      <c r="W81" s="2062"/>
      <c r="X81" s="2118"/>
      <c r="Y81" s="2062"/>
      <c r="Z81" s="2118"/>
      <c r="AA81" s="2043"/>
      <c r="AB81" s="2058"/>
      <c r="AC81" s="2063"/>
      <c r="AD81" s="2118"/>
      <c r="AE81" s="2043"/>
      <c r="AF81" s="2064"/>
      <c r="AG81" s="2118"/>
      <c r="AH81" s="1093"/>
      <c r="AI81" s="67"/>
      <c r="AJ81" s="700"/>
      <c r="AK81" s="1872"/>
      <c r="AL81" s="1873"/>
    </row>
    <row r="82" spans="1:51" ht="15" customHeight="1">
      <c r="A82" s="150"/>
      <c r="B82" s="29" t="s">
        <v>46</v>
      </c>
      <c r="C82" s="31"/>
      <c r="D82" s="833"/>
      <c r="E82" s="833"/>
      <c r="F82" s="1578"/>
      <c r="G82" s="833"/>
      <c r="H82" s="1578"/>
      <c r="I82" s="833"/>
      <c r="J82" s="1578"/>
      <c r="K82" s="165"/>
      <c r="L82" s="66"/>
      <c r="M82" s="165"/>
      <c r="N82" s="66"/>
      <c r="O82" s="165"/>
      <c r="P82" s="2073"/>
      <c r="Q82" s="1503"/>
      <c r="R82" s="2073"/>
      <c r="S82" s="1503"/>
      <c r="T82" s="2073"/>
      <c r="U82" s="1503"/>
      <c r="V82" s="2062"/>
      <c r="W82" s="2062"/>
      <c r="X82" s="2062"/>
      <c r="Y82" s="2062"/>
      <c r="Z82" s="2062"/>
      <c r="AA82" s="2062"/>
      <c r="AB82" s="2058"/>
      <c r="AC82" s="2063"/>
      <c r="AD82" s="2062"/>
      <c r="AE82" s="2043"/>
      <c r="AF82" s="2064"/>
      <c r="AG82" s="2062"/>
      <c r="AH82" s="1093"/>
      <c r="AI82" s="67"/>
      <c r="AJ82" s="700"/>
      <c r="AK82" s="1872"/>
      <c r="AL82" s="1873"/>
    </row>
    <row r="83" spans="1:51" s="906" customFormat="1" ht="15" customHeight="1">
      <c r="A83" s="1090"/>
      <c r="B83" s="107" t="s">
        <v>182</v>
      </c>
      <c r="C83" s="107"/>
      <c r="D83" s="700">
        <v>0</v>
      </c>
      <c r="E83" s="833"/>
      <c r="F83" s="700">
        <v>0</v>
      </c>
      <c r="G83" s="833"/>
      <c r="H83" s="700">
        <v>0</v>
      </c>
      <c r="I83" s="833"/>
      <c r="J83" s="700">
        <f t="shared" ref="J83:J84" si="10">$AD83-$D83-$F83-$H83</f>
        <v>0</v>
      </c>
      <c r="K83" s="1584"/>
      <c r="L83" s="700"/>
      <c r="M83" s="1584"/>
      <c r="N83" s="700"/>
      <c r="O83" s="1584"/>
      <c r="P83" s="1851"/>
      <c r="Q83" s="2065"/>
      <c r="R83" s="1851"/>
      <c r="S83" s="2065"/>
      <c r="T83" s="1851"/>
      <c r="U83" s="2065"/>
      <c r="V83" s="1851"/>
      <c r="W83" s="2065"/>
      <c r="X83" s="1851"/>
      <c r="Y83" s="2065"/>
      <c r="Z83" s="1851"/>
      <c r="AA83" s="2066"/>
      <c r="AB83" s="2067"/>
      <c r="AC83" s="2068"/>
      <c r="AD83" s="1851">
        <v>0</v>
      </c>
      <c r="AE83" s="2067"/>
      <c r="AF83" s="2069"/>
      <c r="AG83" s="1851">
        <v>0</v>
      </c>
      <c r="AH83" s="1093"/>
      <c r="AI83" s="67"/>
      <c r="AJ83" s="1587">
        <f>ROUND(SUM(+AD83-AG83),1)</f>
        <v>0</v>
      </c>
      <c r="AK83" s="1043"/>
      <c r="AL83" s="1786">
        <f>-ROUND(IF(AG83=0,0,AJ83/ABS(AG83)),3)</f>
        <v>0</v>
      </c>
    </row>
    <row r="84" spans="1:51" s="906" customFormat="1" ht="15" customHeight="1">
      <c r="A84" s="1090"/>
      <c r="B84" s="107" t="s">
        <v>183</v>
      </c>
      <c r="C84" s="107"/>
      <c r="D84" s="700">
        <v>-50.2</v>
      </c>
      <c r="E84" s="833"/>
      <c r="F84" s="700">
        <v>-298.5</v>
      </c>
      <c r="G84" s="833"/>
      <c r="H84" s="700">
        <v>-149.80000000000001</v>
      </c>
      <c r="I84" s="833"/>
      <c r="J84" s="700">
        <f t="shared" si="10"/>
        <v>-118.89999999999992</v>
      </c>
      <c r="K84" s="1584"/>
      <c r="L84" s="700"/>
      <c r="M84" s="1584"/>
      <c r="N84" s="700"/>
      <c r="O84" s="1584"/>
      <c r="P84" s="1851"/>
      <c r="Q84" s="2065"/>
      <c r="R84" s="1851"/>
      <c r="S84" s="2065"/>
      <c r="T84" s="1851"/>
      <c r="U84" s="2065"/>
      <c r="V84" s="1851"/>
      <c r="W84" s="2065"/>
      <c r="X84" s="1851"/>
      <c r="Y84" s="2065"/>
      <c r="Z84" s="1851"/>
      <c r="AA84" s="2066"/>
      <c r="AB84" s="2067"/>
      <c r="AC84" s="2068"/>
      <c r="AD84" s="1851">
        <v>-617.4</v>
      </c>
      <c r="AE84" s="2067"/>
      <c r="AF84" s="2069"/>
      <c r="AG84" s="3610">
        <v>-556.6</v>
      </c>
      <c r="AH84" s="1093"/>
      <c r="AI84" s="67"/>
      <c r="AJ84" s="1043">
        <f>ROUND(SUM(+AD84-AG84)*-1,1)</f>
        <v>60.8</v>
      </c>
      <c r="AK84" s="1043"/>
      <c r="AL84" s="1786">
        <f>ROUND(IF(AG84=0,0,AJ84/ABS(AG84)),3)</f>
        <v>0.109</v>
      </c>
    </row>
    <row r="85" spans="1:51" ht="15" customHeight="1">
      <c r="A85" s="150"/>
      <c r="B85" s="31"/>
      <c r="C85" s="31"/>
      <c r="D85" s="168"/>
      <c r="E85" s="165"/>
      <c r="F85" s="88"/>
      <c r="G85" s="165"/>
      <c r="H85" s="88"/>
      <c r="I85" s="165"/>
      <c r="J85" s="88"/>
      <c r="K85" s="165"/>
      <c r="L85" s="3185"/>
      <c r="M85" s="165"/>
      <c r="N85" s="88"/>
      <c r="O85" s="165"/>
      <c r="P85" s="2072"/>
      <c r="Q85" s="1503"/>
      <c r="R85" s="2072"/>
      <c r="S85" s="1503"/>
      <c r="T85" s="2072"/>
      <c r="U85" s="1503"/>
      <c r="V85" s="2118"/>
      <c r="W85" s="2062"/>
      <c r="X85" s="2118"/>
      <c r="Y85" s="2062"/>
      <c r="Z85" s="2118"/>
      <c r="AA85" s="2043"/>
      <c r="AB85" s="2058"/>
      <c r="AC85" s="2063"/>
      <c r="AD85" s="2118"/>
      <c r="AE85" s="2043"/>
      <c r="AF85" s="2064"/>
      <c r="AG85" s="2043"/>
      <c r="AH85" s="1093"/>
      <c r="AI85" s="67"/>
      <c r="AJ85" s="2255"/>
      <c r="AK85" s="1872"/>
      <c r="AL85" s="2256"/>
    </row>
    <row r="86" spans="1:51" ht="15" customHeight="1">
      <c r="A86" s="150"/>
      <c r="B86" s="29" t="s">
        <v>1200</v>
      </c>
      <c r="C86" s="31"/>
      <c r="D86" s="62">
        <f>ROUND(SUM(D83:D85),1)</f>
        <v>-50.2</v>
      </c>
      <c r="E86" s="207"/>
      <c r="F86" s="62">
        <f>ROUND(SUM(F83:F85),1)</f>
        <v>-298.5</v>
      </c>
      <c r="G86" s="207"/>
      <c r="H86" s="62">
        <f>ROUND(SUM(H83:H85),1)</f>
        <v>-149.80000000000001</v>
      </c>
      <c r="I86" s="207"/>
      <c r="J86" s="62">
        <f>ROUND(SUM(J83:J85),1)</f>
        <v>-118.9</v>
      </c>
      <c r="K86" s="207"/>
      <c r="L86" s="941">
        <f>ROUND(SUM(L83:L85),1)</f>
        <v>0</v>
      </c>
      <c r="M86" s="207"/>
      <c r="N86" s="62">
        <f>ROUND(SUM(N83:N85),1)</f>
        <v>0</v>
      </c>
      <c r="O86" s="207"/>
      <c r="P86" s="1501">
        <f>ROUND(SUM(P83:P85),1)</f>
        <v>0</v>
      </c>
      <c r="Q86" s="2077"/>
      <c r="R86" s="1501">
        <f>ROUND(SUM(R83:R85),1)</f>
        <v>0</v>
      </c>
      <c r="S86" s="2077"/>
      <c r="T86" s="1501">
        <f>ROUND(SUM(T83:T85),1)</f>
        <v>0</v>
      </c>
      <c r="U86" s="2077"/>
      <c r="V86" s="2117">
        <f>ROUND(SUM(V83:V85),1)</f>
        <v>0</v>
      </c>
      <c r="W86" s="2117"/>
      <c r="X86" s="2117">
        <f>ROUND(SUM(X83:X85),1)</f>
        <v>0</v>
      </c>
      <c r="Y86" s="2117"/>
      <c r="Z86" s="2117">
        <f>ROUND(SUM(Z83:Z85),1)</f>
        <v>0</v>
      </c>
      <c r="AA86" s="2117"/>
      <c r="AB86" s="2247"/>
      <c r="AC86" s="2248"/>
      <c r="AD86" s="2117">
        <f>ROUND(SUM(AD83:AD85),1)</f>
        <v>-617.4</v>
      </c>
      <c r="AE86" s="1502"/>
      <c r="AF86" s="3311"/>
      <c r="AG86" s="2117">
        <f>ROUND(SUM(AG83:AG84),1)</f>
        <v>-556.6</v>
      </c>
      <c r="AH86" s="1879"/>
      <c r="AI86" s="115"/>
      <c r="AJ86" s="120">
        <f>-ROUND(SUM(AD86-AG86),1)</f>
        <v>60.8</v>
      </c>
      <c r="AK86" s="2249"/>
      <c r="AL86" s="2252">
        <f>ROUND(SUM((AD86-AG86)/(AG86)),3)</f>
        <v>0.109</v>
      </c>
    </row>
    <row r="87" spans="1:51" ht="15" customHeight="1">
      <c r="A87" s="150"/>
      <c r="B87" s="31"/>
      <c r="C87" s="31"/>
      <c r="D87" s="168"/>
      <c r="E87" s="165"/>
      <c r="F87" s="168"/>
      <c r="G87" s="165"/>
      <c r="H87" s="168"/>
      <c r="I87" s="165"/>
      <c r="J87" s="168"/>
      <c r="K87" s="165"/>
      <c r="L87" s="168"/>
      <c r="M87" s="165"/>
      <c r="N87" s="168"/>
      <c r="O87" s="165"/>
      <c r="P87" s="1508"/>
      <c r="Q87" s="1503"/>
      <c r="R87" s="1508"/>
      <c r="S87" s="1503"/>
      <c r="T87" s="1508"/>
      <c r="U87" s="1503"/>
      <c r="V87" s="2118"/>
      <c r="W87" s="2062"/>
      <c r="X87" s="2118"/>
      <c r="Y87" s="2062"/>
      <c r="Z87" s="2118"/>
      <c r="AA87" s="2043"/>
      <c r="AB87" s="2058"/>
      <c r="AC87" s="2063"/>
      <c r="AD87" s="2118"/>
      <c r="AE87" s="2043"/>
      <c r="AF87" s="2064"/>
      <c r="AG87" s="2118"/>
      <c r="AH87" s="1093"/>
      <c r="AI87" s="67"/>
      <c r="AJ87" s="700"/>
      <c r="AK87" s="1872"/>
      <c r="AL87" s="1873"/>
    </row>
    <row r="88" spans="1:51" ht="15" customHeight="1">
      <c r="A88" s="150"/>
      <c r="B88" s="29" t="s">
        <v>166</v>
      </c>
      <c r="C88" s="31"/>
      <c r="D88" s="165"/>
      <c r="E88" s="165"/>
      <c r="F88" s="165"/>
      <c r="G88" s="165"/>
      <c r="H88" s="165"/>
      <c r="I88" s="165"/>
      <c r="J88" s="165"/>
      <c r="K88" s="165"/>
      <c r="L88" s="165"/>
      <c r="M88" s="165"/>
      <c r="N88" s="165"/>
      <c r="O88" s="165"/>
      <c r="P88" s="1503"/>
      <c r="Q88" s="1503"/>
      <c r="R88" s="1503"/>
      <c r="S88" s="1503"/>
      <c r="T88" s="1503"/>
      <c r="U88" s="1503"/>
      <c r="V88" s="2058"/>
      <c r="W88" s="2058"/>
      <c r="X88" s="2058"/>
      <c r="Y88" s="2058"/>
      <c r="Z88" s="2058"/>
      <c r="AA88" s="2058"/>
      <c r="AB88" s="2058"/>
      <c r="AC88" s="2063"/>
      <c r="AD88" s="2058"/>
      <c r="AE88" s="2085"/>
      <c r="AF88" s="3337"/>
      <c r="AG88" s="2058"/>
      <c r="AH88" s="1871"/>
      <c r="AI88" s="1111"/>
      <c r="AJ88" s="1872"/>
      <c r="AK88" s="1872"/>
      <c r="AL88" s="1873"/>
    </row>
    <row r="89" spans="1:51" ht="15" customHeight="1">
      <c r="A89" s="150"/>
      <c r="B89" s="29" t="s">
        <v>167</v>
      </c>
      <c r="C89" s="31"/>
      <c r="D89" s="165"/>
      <c r="E89" s="165"/>
      <c r="F89" s="165"/>
      <c r="G89" s="165"/>
      <c r="H89" s="165"/>
      <c r="I89" s="165"/>
      <c r="J89" s="165"/>
      <c r="K89" s="165"/>
      <c r="L89" s="165"/>
      <c r="M89" s="165"/>
      <c r="N89" s="165"/>
      <c r="O89" s="165"/>
      <c r="P89" s="1503"/>
      <c r="Q89" s="1503"/>
      <c r="R89" s="1503"/>
      <c r="S89" s="1503"/>
      <c r="T89" s="1503"/>
      <c r="U89" s="1503"/>
      <c r="V89" s="2058"/>
      <c r="W89" s="2058"/>
      <c r="X89" s="2058"/>
      <c r="Y89" s="2058"/>
      <c r="Z89" s="2058"/>
      <c r="AA89" s="2058"/>
      <c r="AB89" s="2058"/>
      <c r="AC89" s="2063"/>
      <c r="AD89" s="2058"/>
      <c r="AE89" s="2085"/>
      <c r="AF89" s="3337"/>
      <c r="AG89" s="3670"/>
      <c r="AH89" s="1871"/>
      <c r="AI89" s="1111"/>
      <c r="AJ89" s="1872"/>
      <c r="AK89" s="1872"/>
      <c r="AL89" s="1873"/>
    </row>
    <row r="90" spans="1:51" ht="15" customHeight="1">
      <c r="A90" s="150"/>
      <c r="B90" s="29" t="s">
        <v>1201</v>
      </c>
      <c r="C90" s="31"/>
      <c r="D90" s="847">
        <f>ROUND(SUM(D80+D86),1)</f>
        <v>1816.1</v>
      </c>
      <c r="E90" s="165"/>
      <c r="F90" s="2127">
        <f>ROUND(SUM(F80+F86),1)</f>
        <v>-636.9</v>
      </c>
      <c r="G90" s="165"/>
      <c r="H90" s="847">
        <f>ROUND(SUM(H80+H86),1)</f>
        <v>960.6</v>
      </c>
      <c r="I90" s="56"/>
      <c r="J90" s="847">
        <f>ROUND(SUM(J80+J86),1)</f>
        <v>-1287.9000000000001</v>
      </c>
      <c r="K90" s="56"/>
      <c r="L90" s="847">
        <f>ROUND(SUM(L80+L86),1)</f>
        <v>0</v>
      </c>
      <c r="M90" s="56"/>
      <c r="N90" s="847">
        <f>ROUND(SUM(N80+N86),1)</f>
        <v>0</v>
      </c>
      <c r="O90" s="56"/>
      <c r="P90" s="2087">
        <f>ROUND(SUM(P80+P86),1)</f>
        <v>0</v>
      </c>
      <c r="Q90" s="2074"/>
      <c r="R90" s="2087">
        <f>ROUND(SUM(R80+R86),1)</f>
        <v>0</v>
      </c>
      <c r="S90" s="2074"/>
      <c r="T90" s="2087">
        <f>ROUND(SUM(T80+T86),1)</f>
        <v>0</v>
      </c>
      <c r="U90" s="2074"/>
      <c r="V90" s="1613">
        <f>ROUND(SUM(V80+V86),1)</f>
        <v>0</v>
      </c>
      <c r="W90" s="2043"/>
      <c r="X90" s="1613">
        <f>ROUND(SUM(X80+X86),1)</f>
        <v>0</v>
      </c>
      <c r="Y90" s="2043"/>
      <c r="Z90" s="1613">
        <f>ROUND(SUM(Z80+Z86),1)</f>
        <v>0</v>
      </c>
      <c r="AA90" s="2043"/>
      <c r="AB90" s="2257"/>
      <c r="AC90" s="2043"/>
      <c r="AD90" s="1613">
        <f>ROUND(SUM(AD80+AD86),1)</f>
        <v>851.9</v>
      </c>
      <c r="AE90" s="3335"/>
      <c r="AF90" s="2043"/>
      <c r="AG90" s="1613">
        <f>ROUND(SUM(AG80+AG86),1)</f>
        <v>-573.5</v>
      </c>
      <c r="AH90" s="1871"/>
      <c r="AI90" s="67"/>
      <c r="AJ90" s="1129">
        <f>ROUND(SUM(AJ80-AJ86),1)</f>
        <v>1425.4</v>
      </c>
      <c r="AK90" s="1050"/>
      <c r="AL90" s="2258">
        <f>ROUND(SUM((AD90-AG90)/ABS(AG90)),3)</f>
        <v>2.4849999999999999</v>
      </c>
    </row>
    <row r="91" spans="1:51" ht="15" customHeight="1">
      <c r="A91" s="150"/>
      <c r="B91" s="31"/>
      <c r="C91" s="31"/>
      <c r="D91" s="37"/>
      <c r="E91" s="30"/>
      <c r="F91" s="37"/>
      <c r="G91" s="30"/>
      <c r="H91" s="37"/>
      <c r="I91" s="30"/>
      <c r="J91" s="37"/>
      <c r="K91" s="30"/>
      <c r="L91" s="37"/>
      <c r="M91" s="30"/>
      <c r="N91" s="37"/>
      <c r="O91" s="30"/>
      <c r="P91" s="2088"/>
      <c r="Q91" s="2089"/>
      <c r="R91" s="2088"/>
      <c r="S91" s="2089"/>
      <c r="T91" s="2086"/>
      <c r="U91" s="2089"/>
      <c r="V91" s="2259"/>
      <c r="W91" s="2260"/>
      <c r="X91" s="2259"/>
      <c r="Y91" s="2260"/>
      <c r="Z91" s="2259"/>
      <c r="AA91" s="2259"/>
      <c r="AB91" s="2260"/>
      <c r="AC91" s="2261"/>
      <c r="AD91" s="2259"/>
      <c r="AE91" s="2259"/>
      <c r="AF91" s="2261"/>
      <c r="AG91" s="2259"/>
      <c r="AH91" s="1111"/>
      <c r="AI91" s="2262"/>
      <c r="AJ91" s="2263"/>
      <c r="AK91" s="1872"/>
      <c r="AL91" s="1873" t="s">
        <v>15</v>
      </c>
    </row>
    <row r="92" spans="1:51" ht="20.25" customHeight="1" thickBot="1">
      <c r="A92" s="150"/>
      <c r="B92" s="29" t="s">
        <v>1211</v>
      </c>
      <c r="C92" s="31"/>
      <c r="D92" s="1924">
        <f>ROUND(SUM(+D13+D90),1)</f>
        <v>567.70000000000005</v>
      </c>
      <c r="E92" s="30"/>
      <c r="F92" s="1924">
        <f>ROUND(SUM(+F13+F90),1)</f>
        <v>-69.2</v>
      </c>
      <c r="G92" s="30"/>
      <c r="H92" s="1924">
        <f>ROUND(SUM(+H13+H90),1)</f>
        <v>891.4</v>
      </c>
      <c r="I92" s="30"/>
      <c r="J92" s="1924">
        <f>ROUND(SUM(+J13+J90),1)</f>
        <v>-396.5</v>
      </c>
      <c r="K92" s="30"/>
      <c r="L92" s="1924">
        <f>ROUND(SUM(+L13+L90),1)</f>
        <v>0</v>
      </c>
      <c r="M92" s="30"/>
      <c r="N92" s="1924">
        <f>ROUND(SUM(+N13+N90),1)</f>
        <v>0</v>
      </c>
      <c r="O92" s="30"/>
      <c r="P92" s="2090">
        <f>ROUND(SUM(+P13+P90),1)</f>
        <v>0</v>
      </c>
      <c r="Q92" s="2089"/>
      <c r="R92" s="2090">
        <f>ROUND(SUM(+R13+R90),1)</f>
        <v>0</v>
      </c>
      <c r="S92" s="2089"/>
      <c r="T92" s="2090">
        <f>ROUND(SUM(+T13+T90),1)</f>
        <v>0</v>
      </c>
      <c r="U92" s="2089"/>
      <c r="V92" s="2264">
        <f>ROUND(SUM(+V13+V90),1)</f>
        <v>0</v>
      </c>
      <c r="W92" s="2260"/>
      <c r="X92" s="2264">
        <f>ROUND(SUM(+X13+X90),1)</f>
        <v>0</v>
      </c>
      <c r="Y92" s="2260"/>
      <c r="Z92" s="2264">
        <f>ROUND(SUM(+Z13+Z90),1)</f>
        <v>0</v>
      </c>
      <c r="AA92" s="2259"/>
      <c r="AB92" s="2260"/>
      <c r="AC92" s="2261"/>
      <c r="AD92" s="2264">
        <f>ROUND(SUM(+AD13+AD90),1)</f>
        <v>-396.5</v>
      </c>
      <c r="AE92" s="2259"/>
      <c r="AF92" s="2261"/>
      <c r="AG92" s="2264">
        <f>ROUND(SUM(+AG13+AG90),1)</f>
        <v>-279.89999999999998</v>
      </c>
      <c r="AH92" s="1111"/>
      <c r="AI92" s="2262"/>
      <c r="AJ92" s="1914">
        <f>ROUND(SUM(+AJ13+AJ90),1)</f>
        <v>-116.6</v>
      </c>
      <c r="AK92" s="1872"/>
      <c r="AL92" s="2265">
        <f>ROUND(+AJ92/ABS(AG92),3)</f>
        <v>-0.41699999999999998</v>
      </c>
    </row>
    <row r="93" spans="1:51" ht="15" customHeight="1" thickTop="1">
      <c r="B93" s="30"/>
      <c r="C93" s="30"/>
      <c r="D93" s="269"/>
      <c r="E93" s="269"/>
      <c r="F93" s="269"/>
      <c r="G93" s="269"/>
      <c r="H93" s="269"/>
      <c r="I93" s="269"/>
      <c r="J93" s="269"/>
      <c r="K93" s="269"/>
      <c r="L93" s="269"/>
      <c r="M93" s="269"/>
      <c r="N93" s="269"/>
      <c r="O93" s="269"/>
      <c r="P93" s="2091"/>
      <c r="Q93" s="2091"/>
      <c r="R93" s="2091"/>
      <c r="S93" s="2091"/>
      <c r="T93" s="2091"/>
      <c r="U93" s="2091"/>
      <c r="V93" s="2266"/>
      <c r="W93" s="2266"/>
      <c r="X93" s="2266"/>
      <c r="Y93" s="2266"/>
      <c r="Z93" s="2266"/>
      <c r="AA93" s="2266"/>
      <c r="AB93" s="2266"/>
      <c r="AC93" s="2266"/>
      <c r="AD93" s="2266"/>
      <c r="AE93" s="2266"/>
      <c r="AF93" s="2266"/>
      <c r="AG93" s="2266"/>
      <c r="AH93" s="2191"/>
      <c r="AI93" s="2191"/>
      <c r="AJ93" s="1040"/>
      <c r="AK93" s="1040"/>
      <c r="AL93" s="1880"/>
      <c r="AM93" s="297"/>
      <c r="AN93" s="297"/>
      <c r="AO93" s="297"/>
      <c r="AP93" s="297"/>
      <c r="AQ93" s="297"/>
      <c r="AR93" s="297"/>
      <c r="AS93" s="297"/>
      <c r="AT93" s="297"/>
      <c r="AU93" s="297"/>
      <c r="AV93" s="297"/>
      <c r="AW93" s="297"/>
      <c r="AX93" s="297"/>
      <c r="AY93" s="297"/>
    </row>
    <row r="94" spans="1:51" ht="15" customHeight="1">
      <c r="B94" s="939"/>
      <c r="C94" s="30"/>
      <c r="D94" s="30"/>
      <c r="E94" s="30"/>
      <c r="F94" s="30"/>
      <c r="G94" s="30"/>
      <c r="H94" s="30"/>
      <c r="I94" s="30"/>
      <c r="J94" s="30"/>
      <c r="K94" s="30"/>
      <c r="L94" s="30"/>
      <c r="M94" s="30"/>
      <c r="N94" s="30"/>
      <c r="O94" s="30"/>
      <c r="P94" s="2089"/>
      <c r="Q94" s="2089"/>
      <c r="R94" s="2089"/>
      <c r="S94" s="2089"/>
      <c r="T94" s="2089"/>
      <c r="U94" s="2089"/>
      <c r="V94" s="2260"/>
      <c r="W94" s="2260"/>
      <c r="X94" s="2260"/>
      <c r="Y94" s="2260"/>
      <c r="Z94" s="2260"/>
      <c r="AA94" s="2260"/>
      <c r="AB94" s="2260"/>
      <c r="AC94" s="2260"/>
      <c r="AD94" s="2260"/>
      <c r="AE94" s="2260"/>
      <c r="AF94" s="2260"/>
      <c r="AG94" s="2260"/>
      <c r="AH94" s="106"/>
      <c r="AI94" s="106"/>
      <c r="AJ94" s="907"/>
      <c r="AK94" s="907"/>
      <c r="AL94" s="1880"/>
    </row>
    <row r="95" spans="1:51" ht="15" customHeight="1">
      <c r="B95" s="30"/>
      <c r="P95" s="2092"/>
      <c r="Q95" s="2092"/>
      <c r="R95" s="2092"/>
      <c r="S95" s="2092"/>
      <c r="T95" s="2092"/>
      <c r="U95" s="2092"/>
      <c r="V95" s="2267"/>
      <c r="W95" s="2267"/>
      <c r="X95" s="2267"/>
      <c r="Y95" s="2267"/>
      <c r="Z95" s="2267"/>
      <c r="AA95" s="2267"/>
      <c r="AB95" s="2267"/>
      <c r="AC95" s="2267"/>
      <c r="AD95" s="2267"/>
      <c r="AE95" s="2267"/>
      <c r="AF95" s="2267"/>
      <c r="AG95" s="2267"/>
      <c r="AH95" s="906"/>
      <c r="AI95" s="906"/>
      <c r="AJ95" s="906"/>
      <c r="AK95" s="906"/>
      <c r="AL95" s="2268"/>
    </row>
    <row r="96" spans="1:51" ht="15" customHeight="1">
      <c r="B96" s="30"/>
      <c r="P96" s="2092"/>
      <c r="Q96" s="2092"/>
      <c r="R96" s="2092"/>
      <c r="S96" s="2092"/>
      <c r="T96" s="2092"/>
      <c r="U96" s="2092"/>
      <c r="V96" s="2267"/>
      <c r="W96" s="2267"/>
      <c r="X96" s="2267"/>
      <c r="Y96" s="2267"/>
      <c r="Z96" s="2267"/>
      <c r="AA96" s="2267"/>
      <c r="AB96" s="2267"/>
      <c r="AC96" s="2267"/>
      <c r="AD96" s="2267"/>
      <c r="AE96" s="2267"/>
      <c r="AF96" s="2267"/>
      <c r="AG96" s="2267"/>
      <c r="AH96" s="906"/>
      <c r="AI96" s="906"/>
      <c r="AJ96" s="906"/>
      <c r="AK96" s="906"/>
      <c r="AL96" s="2268"/>
    </row>
    <row r="97" spans="16:38" ht="15" customHeight="1">
      <c r="P97" s="2092"/>
      <c r="Q97" s="2092"/>
      <c r="R97" s="2092"/>
      <c r="S97" s="2092"/>
      <c r="T97" s="2092"/>
      <c r="U97" s="2092"/>
      <c r="V97" s="2267"/>
      <c r="W97" s="2267"/>
      <c r="X97" s="2267"/>
      <c r="Y97" s="2267"/>
      <c r="Z97" s="2267"/>
      <c r="AA97" s="2267"/>
      <c r="AB97" s="2267"/>
      <c r="AC97" s="2267"/>
      <c r="AD97" s="2267"/>
      <c r="AE97" s="2267"/>
      <c r="AF97" s="2267"/>
      <c r="AG97" s="2267"/>
      <c r="AH97" s="906"/>
      <c r="AI97" s="906"/>
      <c r="AJ97" s="906"/>
      <c r="AK97" s="906"/>
      <c r="AL97" s="2268"/>
    </row>
    <row r="98" spans="16:38" ht="15" customHeight="1">
      <c r="P98" s="2092"/>
      <c r="Q98" s="2092"/>
      <c r="R98" s="2092"/>
      <c r="S98" s="2092"/>
      <c r="T98" s="2092"/>
      <c r="U98" s="2092"/>
      <c r="V98" s="2267"/>
      <c r="W98" s="2267"/>
      <c r="X98" s="2267"/>
      <c r="Y98" s="2267"/>
      <c r="Z98" s="2267"/>
      <c r="AA98" s="2267"/>
      <c r="AB98" s="2267"/>
      <c r="AC98" s="2267"/>
      <c r="AD98" s="2267"/>
      <c r="AE98" s="2267"/>
      <c r="AF98" s="2267"/>
      <c r="AG98" s="2267"/>
      <c r="AH98" s="906"/>
      <c r="AI98" s="906"/>
      <c r="AJ98" s="906"/>
      <c r="AK98" s="906"/>
      <c r="AL98" s="2268"/>
    </row>
    <row r="99" spans="16:38" ht="15" customHeight="1">
      <c r="P99" s="2092"/>
      <c r="Q99" s="2092"/>
      <c r="R99" s="2092"/>
      <c r="S99" s="2092"/>
      <c r="T99" s="2092"/>
      <c r="U99" s="2092"/>
      <c r="V99" s="2267"/>
      <c r="W99" s="2267"/>
      <c r="X99" s="2267"/>
      <c r="Y99" s="2267"/>
      <c r="Z99" s="2267"/>
      <c r="AA99" s="2267"/>
      <c r="AB99" s="2267"/>
      <c r="AC99" s="2267"/>
      <c r="AD99" s="2267"/>
      <c r="AE99" s="2267"/>
      <c r="AF99" s="2267"/>
      <c r="AG99" s="2267"/>
      <c r="AH99" s="906"/>
      <c r="AI99" s="906"/>
      <c r="AJ99" s="906"/>
      <c r="AK99" s="906"/>
      <c r="AL99" s="2268"/>
    </row>
    <row r="100" spans="16:38" ht="15" customHeight="1">
      <c r="V100" s="906"/>
      <c r="W100" s="906"/>
      <c r="X100" s="906"/>
      <c r="Y100" s="906"/>
      <c r="Z100" s="906"/>
      <c r="AA100" s="906"/>
      <c r="AB100" s="906"/>
      <c r="AC100" s="906"/>
      <c r="AH100" s="906"/>
      <c r="AI100" s="906"/>
      <c r="AJ100" s="906"/>
      <c r="AK100" s="906"/>
      <c r="AL100" s="2268"/>
    </row>
    <row r="101" spans="16:38" ht="15" customHeight="1">
      <c r="V101" s="906"/>
      <c r="W101" s="906"/>
      <c r="X101" s="906"/>
      <c r="Y101" s="906"/>
      <c r="Z101" s="906"/>
      <c r="AA101" s="906"/>
      <c r="AB101" s="906"/>
      <c r="AC101" s="906"/>
      <c r="AH101" s="906"/>
      <c r="AI101" s="906"/>
      <c r="AJ101" s="906"/>
      <c r="AK101" s="906"/>
      <c r="AL101" s="2268"/>
    </row>
    <row r="102" spans="16:38" ht="15" customHeight="1">
      <c r="V102" s="906"/>
      <c r="W102" s="906"/>
      <c r="X102" s="906"/>
      <c r="Y102" s="906"/>
      <c r="Z102" s="906"/>
      <c r="AA102" s="906"/>
      <c r="AB102" s="906"/>
      <c r="AC102" s="906"/>
      <c r="AH102" s="906"/>
      <c r="AI102" s="906"/>
      <c r="AJ102" s="906"/>
      <c r="AK102" s="906"/>
      <c r="AL102" s="2268"/>
    </row>
    <row r="103" spans="16:38" ht="15" customHeight="1">
      <c r="V103" s="906"/>
      <c r="W103" s="906"/>
      <c r="X103" s="906"/>
      <c r="Y103" s="906"/>
      <c r="Z103" s="906"/>
      <c r="AA103" s="906"/>
      <c r="AB103" s="906"/>
      <c r="AC103" s="906"/>
      <c r="AH103" s="906"/>
      <c r="AI103" s="906"/>
      <c r="AJ103" s="906"/>
      <c r="AK103" s="906"/>
      <c r="AL103" s="2268"/>
    </row>
    <row r="104" spans="16:38" ht="15" customHeight="1">
      <c r="V104" s="906"/>
      <c r="W104" s="906"/>
      <c r="X104" s="906"/>
      <c r="Y104" s="906"/>
      <c r="Z104" s="906"/>
      <c r="AA104" s="906"/>
      <c r="AB104" s="906"/>
      <c r="AC104" s="906"/>
      <c r="AH104" s="906"/>
      <c r="AI104" s="906"/>
      <c r="AJ104" s="906"/>
      <c r="AK104" s="906"/>
      <c r="AL104" s="2268"/>
    </row>
    <row r="105" spans="16:38" ht="15" customHeight="1">
      <c r="AL105" s="1489"/>
    </row>
    <row r="106" spans="16:38" ht="15" customHeight="1">
      <c r="AL106" s="1489"/>
    </row>
    <row r="107" spans="16:38" ht="15" customHeight="1">
      <c r="AL107" s="1489"/>
    </row>
    <row r="108" spans="16:38" ht="15" customHeight="1">
      <c r="AL108" s="1489"/>
    </row>
    <row r="109" spans="16:38" ht="15" customHeight="1">
      <c r="AL109" s="1489"/>
    </row>
    <row r="110" spans="16:38" ht="15" customHeight="1">
      <c r="AL110" s="1489"/>
    </row>
    <row r="111" spans="16:38" ht="15" customHeight="1">
      <c r="AL111" s="1489"/>
    </row>
    <row r="112" spans="16:38" ht="15" customHeight="1">
      <c r="AL112" s="1489"/>
    </row>
    <row r="113" spans="38:38" ht="15" customHeight="1">
      <c r="AL113" s="1489"/>
    </row>
    <row r="114" spans="38:38" ht="15" customHeight="1">
      <c r="AL114" s="1489"/>
    </row>
    <row r="115" spans="38:38" ht="15" customHeight="1">
      <c r="AL115" s="1489"/>
    </row>
    <row r="116" spans="38:38" ht="15" customHeight="1">
      <c r="AL116" s="1489"/>
    </row>
    <row r="117" spans="38:38" ht="15" customHeight="1">
      <c r="AL117" s="1489"/>
    </row>
    <row r="118" spans="38:38" ht="15" customHeight="1">
      <c r="AL118" s="1489"/>
    </row>
    <row r="119" spans="38:38" ht="15" customHeight="1">
      <c r="AL119" s="1489"/>
    </row>
    <row r="120" spans="38:38" ht="15" customHeight="1">
      <c r="AL120" s="1489"/>
    </row>
    <row r="121" spans="38:38" ht="15" customHeight="1">
      <c r="AL121" s="1489"/>
    </row>
    <row r="122" spans="38:38" ht="15" customHeight="1">
      <c r="AL122" s="1489"/>
    </row>
    <row r="123" spans="38:38" ht="15" customHeight="1">
      <c r="AL123" s="1489"/>
    </row>
    <row r="124" spans="38:38" ht="15" customHeight="1">
      <c r="AL124" s="1489"/>
    </row>
    <row r="125" spans="38:38" ht="15" customHeight="1">
      <c r="AL125" s="1489"/>
    </row>
    <row r="126" spans="38:38" ht="15" customHeight="1">
      <c r="AL126" s="1489"/>
    </row>
    <row r="127" spans="38:38" ht="15" customHeight="1">
      <c r="AL127" s="1489"/>
    </row>
    <row r="128" spans="38:38" ht="15" customHeight="1">
      <c r="AL128" s="1489"/>
    </row>
    <row r="129" spans="38:38" ht="15" customHeight="1">
      <c r="AL129" s="1489"/>
    </row>
    <row r="130" spans="38:38" ht="15" customHeight="1">
      <c r="AL130" s="1489"/>
    </row>
    <row r="131" spans="38:38" ht="15" customHeight="1">
      <c r="AL131" s="1489"/>
    </row>
    <row r="132" spans="38:38" ht="15" customHeight="1">
      <c r="AL132" s="1489"/>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2"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68" customWidth="1"/>
    <col min="2" max="2" width="10.44140625" style="2768" customWidth="1"/>
    <col min="3" max="3" width="1.21875" style="2768" customWidth="1"/>
    <col min="4" max="4" width="10" style="2768" customWidth="1"/>
    <col min="5" max="5" width="1.21875" style="2768" customWidth="1"/>
    <col min="6" max="6" width="9.21875" style="2769" customWidth="1"/>
    <col min="7" max="7" width="1.21875" style="2768" customWidth="1"/>
    <col min="8" max="8" width="10" style="2768" customWidth="1"/>
    <col min="9" max="9" width="1.21875" style="2768" customWidth="1"/>
    <col min="10" max="10" width="9.44140625" style="2768" customWidth="1"/>
    <col min="11" max="11" width="1.21875" style="2768" customWidth="1"/>
    <col min="12" max="12" width="11.21875" style="2768" customWidth="1"/>
    <col min="13" max="13" width="1.21875" style="2768" customWidth="1"/>
    <col min="14" max="14" width="10.77734375" style="2768" customWidth="1"/>
    <col min="15" max="15" width="1.77734375" style="2768" customWidth="1"/>
    <col min="16" max="16" width="11" style="2768" customWidth="1"/>
    <col min="17" max="17" width="1.21875" style="2768" customWidth="1"/>
    <col min="18" max="18" width="10.77734375" style="2768" customWidth="1"/>
    <col min="19" max="19" width="1.21875" style="2768" customWidth="1"/>
    <col min="20" max="20" width="10" style="2768" customWidth="1"/>
    <col min="21" max="21" width="1.21875" style="2768" customWidth="1"/>
    <col min="22" max="22" width="12.77734375" style="2768" customWidth="1"/>
    <col min="23" max="23" width="1.21875" style="2768" customWidth="1"/>
    <col min="24" max="24" width="11.33203125" style="2768" bestFit="1" customWidth="1"/>
    <col min="25" max="25" width="1.21875" style="2768" customWidth="1"/>
    <col min="26" max="26" width="0.77734375" style="2768" customWidth="1"/>
    <col min="27" max="27" width="10.5546875" style="2768" customWidth="1"/>
    <col min="28" max="28" width="2.21875" style="2768" customWidth="1"/>
    <col min="29" max="29" width="0.77734375" style="2768" customWidth="1"/>
    <col min="30" max="30" width="11" style="2768" bestFit="1" customWidth="1"/>
    <col min="31" max="32" width="0.77734375" style="2768" customWidth="1"/>
    <col min="33" max="33" width="9.77734375" style="2768" customWidth="1"/>
    <col min="34" max="34" width="1.109375" style="2768" customWidth="1"/>
    <col min="35" max="35" width="11" style="2768" customWidth="1"/>
    <col min="36" max="36" width="14.5546875" style="2770" customWidth="1"/>
    <col min="37" max="252" width="8.77734375" style="2768"/>
    <col min="253" max="253" width="38.44140625" style="2768" customWidth="1"/>
    <col min="254" max="254" width="8.5546875" style="2768" customWidth="1"/>
    <col min="255" max="255" width="1.21875" style="2768" customWidth="1"/>
    <col min="256" max="256" width="8.77734375" style="2768" customWidth="1"/>
    <col min="257" max="257" width="1.21875" style="2768" customWidth="1"/>
    <col min="258" max="258" width="9.21875" style="2768" customWidth="1"/>
    <col min="259" max="259" width="1.21875" style="2768" customWidth="1"/>
    <col min="260" max="260" width="10" style="2768" customWidth="1"/>
    <col min="261" max="261" width="1.21875" style="2768" customWidth="1"/>
    <col min="262" max="262" width="9.109375" style="2768" customWidth="1"/>
    <col min="263" max="263" width="1.21875" style="2768" customWidth="1"/>
    <col min="264" max="264" width="11.21875" style="2768" customWidth="1"/>
    <col min="265" max="265" width="1.21875" style="2768" customWidth="1"/>
    <col min="266" max="266" width="9.109375" style="2768" customWidth="1"/>
    <col min="267" max="267" width="1.77734375" style="2768" customWidth="1"/>
    <col min="268" max="268" width="11" style="2768" customWidth="1"/>
    <col min="269" max="269" width="1.21875" style="2768" customWidth="1"/>
    <col min="270" max="270" width="10.77734375" style="2768" customWidth="1"/>
    <col min="271" max="271" width="1.21875" style="2768" customWidth="1"/>
    <col min="272" max="272" width="10" style="2768" customWidth="1"/>
    <col min="273" max="273" width="1.21875" style="2768" customWidth="1"/>
    <col min="274" max="274" width="9.21875" style="2768" customWidth="1"/>
    <col min="275" max="275" width="1.21875" style="2768" customWidth="1"/>
    <col min="276" max="276" width="7.77734375" style="2768" customWidth="1"/>
    <col min="277" max="277" width="1.21875" style="2768" customWidth="1"/>
    <col min="278" max="278" width="0.77734375" style="2768" customWidth="1"/>
    <col min="279" max="279" width="9.21875" style="2768" customWidth="1"/>
    <col min="280" max="280" width="1.21875" style="2768" customWidth="1"/>
    <col min="281" max="281" width="0.77734375" style="2768" customWidth="1"/>
    <col min="282" max="282" width="9.5546875" style="2768" bestFit="1" customWidth="1"/>
    <col min="283" max="284" width="0.77734375" style="2768" customWidth="1"/>
    <col min="285" max="285" width="9.77734375" style="2768" customWidth="1"/>
    <col min="286" max="286" width="1.109375" style="2768" customWidth="1"/>
    <col min="287" max="287" width="8.5546875" style="2768" customWidth="1"/>
    <col min="288" max="288" width="14.5546875" style="2768" customWidth="1"/>
    <col min="289" max="289" width="10" style="2768" customWidth="1"/>
    <col min="290" max="290" width="7.77734375" style="2768" bestFit="1" customWidth="1"/>
    <col min="291" max="291" width="9.77734375" style="2768" customWidth="1"/>
    <col min="292" max="508" width="8.77734375" style="2768"/>
    <col min="509" max="509" width="38.44140625" style="2768" customWidth="1"/>
    <col min="510" max="510" width="8.5546875" style="2768" customWidth="1"/>
    <col min="511" max="511" width="1.21875" style="2768" customWidth="1"/>
    <col min="512" max="512" width="8.77734375" style="2768" customWidth="1"/>
    <col min="513" max="513" width="1.21875" style="2768" customWidth="1"/>
    <col min="514" max="514" width="9.21875" style="2768" customWidth="1"/>
    <col min="515" max="515" width="1.21875" style="2768" customWidth="1"/>
    <col min="516" max="516" width="10" style="2768" customWidth="1"/>
    <col min="517" max="517" width="1.21875" style="2768" customWidth="1"/>
    <col min="518" max="518" width="9.109375" style="2768" customWidth="1"/>
    <col min="519" max="519" width="1.21875" style="2768" customWidth="1"/>
    <col min="520" max="520" width="11.21875" style="2768" customWidth="1"/>
    <col min="521" max="521" width="1.21875" style="2768" customWidth="1"/>
    <col min="522" max="522" width="9.109375" style="2768" customWidth="1"/>
    <col min="523" max="523" width="1.77734375" style="2768" customWidth="1"/>
    <col min="524" max="524" width="11" style="2768" customWidth="1"/>
    <col min="525" max="525" width="1.21875" style="2768" customWidth="1"/>
    <col min="526" max="526" width="10.77734375" style="2768" customWidth="1"/>
    <col min="527" max="527" width="1.21875" style="2768" customWidth="1"/>
    <col min="528" max="528" width="10" style="2768" customWidth="1"/>
    <col min="529" max="529" width="1.21875" style="2768" customWidth="1"/>
    <col min="530" max="530" width="9.21875" style="2768" customWidth="1"/>
    <col min="531" max="531" width="1.21875" style="2768" customWidth="1"/>
    <col min="532" max="532" width="7.77734375" style="2768" customWidth="1"/>
    <col min="533" max="533" width="1.21875" style="2768" customWidth="1"/>
    <col min="534" max="534" width="0.77734375" style="2768" customWidth="1"/>
    <col min="535" max="535" width="9.21875" style="2768" customWidth="1"/>
    <col min="536" max="536" width="1.21875" style="2768" customWidth="1"/>
    <col min="537" max="537" width="0.77734375" style="2768" customWidth="1"/>
    <col min="538" max="538" width="9.5546875" style="2768" bestFit="1" customWidth="1"/>
    <col min="539" max="540" width="0.77734375" style="2768" customWidth="1"/>
    <col min="541" max="541" width="9.77734375" style="2768" customWidth="1"/>
    <col min="542" max="542" width="1.109375" style="2768" customWidth="1"/>
    <col min="543" max="543" width="8.5546875" style="2768" customWidth="1"/>
    <col min="544" max="544" width="14.5546875" style="2768" customWidth="1"/>
    <col min="545" max="545" width="10" style="2768" customWidth="1"/>
    <col min="546" max="546" width="7.77734375" style="2768" bestFit="1" customWidth="1"/>
    <col min="547" max="547" width="9.77734375" style="2768" customWidth="1"/>
    <col min="548" max="764" width="8.77734375" style="2768"/>
    <col min="765" max="765" width="38.44140625" style="2768" customWidth="1"/>
    <col min="766" max="766" width="8.5546875" style="2768" customWidth="1"/>
    <col min="767" max="767" width="1.21875" style="2768" customWidth="1"/>
    <col min="768" max="768" width="8.77734375" style="2768" customWidth="1"/>
    <col min="769" max="769" width="1.21875" style="2768" customWidth="1"/>
    <col min="770" max="770" width="9.21875" style="2768" customWidth="1"/>
    <col min="771" max="771" width="1.21875" style="2768" customWidth="1"/>
    <col min="772" max="772" width="10" style="2768" customWidth="1"/>
    <col min="773" max="773" width="1.21875" style="2768" customWidth="1"/>
    <col min="774" max="774" width="9.109375" style="2768" customWidth="1"/>
    <col min="775" max="775" width="1.21875" style="2768" customWidth="1"/>
    <col min="776" max="776" width="11.21875" style="2768" customWidth="1"/>
    <col min="777" max="777" width="1.21875" style="2768" customWidth="1"/>
    <col min="778" max="778" width="9.109375" style="2768" customWidth="1"/>
    <col min="779" max="779" width="1.77734375" style="2768" customWidth="1"/>
    <col min="780" max="780" width="11" style="2768" customWidth="1"/>
    <col min="781" max="781" width="1.21875" style="2768" customWidth="1"/>
    <col min="782" max="782" width="10.77734375" style="2768" customWidth="1"/>
    <col min="783" max="783" width="1.21875" style="2768" customWidth="1"/>
    <col min="784" max="784" width="10" style="2768" customWidth="1"/>
    <col min="785" max="785" width="1.21875" style="2768" customWidth="1"/>
    <col min="786" max="786" width="9.21875" style="2768" customWidth="1"/>
    <col min="787" max="787" width="1.21875" style="2768" customWidth="1"/>
    <col min="788" max="788" width="7.77734375" style="2768" customWidth="1"/>
    <col min="789" max="789" width="1.21875" style="2768" customWidth="1"/>
    <col min="790" max="790" width="0.77734375" style="2768" customWidth="1"/>
    <col min="791" max="791" width="9.21875" style="2768" customWidth="1"/>
    <col min="792" max="792" width="1.21875" style="2768" customWidth="1"/>
    <col min="793" max="793" width="0.77734375" style="2768" customWidth="1"/>
    <col min="794" max="794" width="9.5546875" style="2768" bestFit="1" customWidth="1"/>
    <col min="795" max="796" width="0.77734375" style="2768" customWidth="1"/>
    <col min="797" max="797" width="9.77734375" style="2768" customWidth="1"/>
    <col min="798" max="798" width="1.109375" style="2768" customWidth="1"/>
    <col min="799" max="799" width="8.5546875" style="2768" customWidth="1"/>
    <col min="800" max="800" width="14.5546875" style="2768" customWidth="1"/>
    <col min="801" max="801" width="10" style="2768" customWidth="1"/>
    <col min="802" max="802" width="7.77734375" style="2768" bestFit="1" customWidth="1"/>
    <col min="803" max="803" width="9.77734375" style="2768" customWidth="1"/>
    <col min="804" max="1020" width="8.77734375" style="2768"/>
    <col min="1021" max="1021" width="38.44140625" style="2768" customWidth="1"/>
    <col min="1022" max="1022" width="8.5546875" style="2768" customWidth="1"/>
    <col min="1023" max="1023" width="1.21875" style="2768" customWidth="1"/>
    <col min="1024" max="1024" width="8.77734375" style="2768" customWidth="1"/>
    <col min="1025" max="1025" width="1.21875" style="2768" customWidth="1"/>
    <col min="1026" max="1026" width="9.21875" style="2768" customWidth="1"/>
    <col min="1027" max="1027" width="1.21875" style="2768" customWidth="1"/>
    <col min="1028" max="1028" width="10" style="2768" customWidth="1"/>
    <col min="1029" max="1029" width="1.21875" style="2768" customWidth="1"/>
    <col min="1030" max="1030" width="9.109375" style="2768" customWidth="1"/>
    <col min="1031" max="1031" width="1.21875" style="2768" customWidth="1"/>
    <col min="1032" max="1032" width="11.21875" style="2768" customWidth="1"/>
    <col min="1033" max="1033" width="1.21875" style="2768" customWidth="1"/>
    <col min="1034" max="1034" width="9.109375" style="2768" customWidth="1"/>
    <col min="1035" max="1035" width="1.77734375" style="2768" customWidth="1"/>
    <col min="1036" max="1036" width="11" style="2768" customWidth="1"/>
    <col min="1037" max="1037" width="1.21875" style="2768" customWidth="1"/>
    <col min="1038" max="1038" width="10.77734375" style="2768" customWidth="1"/>
    <col min="1039" max="1039" width="1.21875" style="2768" customWidth="1"/>
    <col min="1040" max="1040" width="10" style="2768" customWidth="1"/>
    <col min="1041" max="1041" width="1.21875" style="2768" customWidth="1"/>
    <col min="1042" max="1042" width="9.21875" style="2768" customWidth="1"/>
    <col min="1043" max="1043" width="1.21875" style="2768" customWidth="1"/>
    <col min="1044" max="1044" width="7.77734375" style="2768" customWidth="1"/>
    <col min="1045" max="1045" width="1.21875" style="2768" customWidth="1"/>
    <col min="1046" max="1046" width="0.77734375" style="2768" customWidth="1"/>
    <col min="1047" max="1047" width="9.21875" style="2768" customWidth="1"/>
    <col min="1048" max="1048" width="1.21875" style="2768" customWidth="1"/>
    <col min="1049" max="1049" width="0.77734375" style="2768" customWidth="1"/>
    <col min="1050" max="1050" width="9.5546875" style="2768" bestFit="1" customWidth="1"/>
    <col min="1051" max="1052" width="0.77734375" style="2768" customWidth="1"/>
    <col min="1053" max="1053" width="9.77734375" style="2768" customWidth="1"/>
    <col min="1054" max="1054" width="1.109375" style="2768" customWidth="1"/>
    <col min="1055" max="1055" width="8.5546875" style="2768" customWidth="1"/>
    <col min="1056" max="1056" width="14.5546875" style="2768" customWidth="1"/>
    <col min="1057" max="1057" width="10" style="2768" customWidth="1"/>
    <col min="1058" max="1058" width="7.77734375" style="2768" bestFit="1" customWidth="1"/>
    <col min="1059" max="1059" width="9.77734375" style="2768" customWidth="1"/>
    <col min="1060" max="1276" width="8.77734375" style="2768"/>
    <col min="1277" max="1277" width="38.44140625" style="2768" customWidth="1"/>
    <col min="1278" max="1278" width="8.5546875" style="2768" customWidth="1"/>
    <col min="1279" max="1279" width="1.21875" style="2768" customWidth="1"/>
    <col min="1280" max="1280" width="8.77734375" style="2768" customWidth="1"/>
    <col min="1281" max="1281" width="1.21875" style="2768" customWidth="1"/>
    <col min="1282" max="1282" width="9.21875" style="2768" customWidth="1"/>
    <col min="1283" max="1283" width="1.21875" style="2768" customWidth="1"/>
    <col min="1284" max="1284" width="10" style="2768" customWidth="1"/>
    <col min="1285" max="1285" width="1.21875" style="2768" customWidth="1"/>
    <col min="1286" max="1286" width="9.109375" style="2768" customWidth="1"/>
    <col min="1287" max="1287" width="1.21875" style="2768" customWidth="1"/>
    <col min="1288" max="1288" width="11.21875" style="2768" customWidth="1"/>
    <col min="1289" max="1289" width="1.21875" style="2768" customWidth="1"/>
    <col min="1290" max="1290" width="9.109375" style="2768" customWidth="1"/>
    <col min="1291" max="1291" width="1.77734375" style="2768" customWidth="1"/>
    <col min="1292" max="1292" width="11" style="2768" customWidth="1"/>
    <col min="1293" max="1293" width="1.21875" style="2768" customWidth="1"/>
    <col min="1294" max="1294" width="10.77734375" style="2768" customWidth="1"/>
    <col min="1295" max="1295" width="1.21875" style="2768" customWidth="1"/>
    <col min="1296" max="1296" width="10" style="2768" customWidth="1"/>
    <col min="1297" max="1297" width="1.21875" style="2768" customWidth="1"/>
    <col min="1298" max="1298" width="9.21875" style="2768" customWidth="1"/>
    <col min="1299" max="1299" width="1.21875" style="2768" customWidth="1"/>
    <col min="1300" max="1300" width="7.77734375" style="2768" customWidth="1"/>
    <col min="1301" max="1301" width="1.21875" style="2768" customWidth="1"/>
    <col min="1302" max="1302" width="0.77734375" style="2768" customWidth="1"/>
    <col min="1303" max="1303" width="9.21875" style="2768" customWidth="1"/>
    <col min="1304" max="1304" width="1.21875" style="2768" customWidth="1"/>
    <col min="1305" max="1305" width="0.77734375" style="2768" customWidth="1"/>
    <col min="1306" max="1306" width="9.5546875" style="2768" bestFit="1" customWidth="1"/>
    <col min="1307" max="1308" width="0.77734375" style="2768" customWidth="1"/>
    <col min="1309" max="1309" width="9.77734375" style="2768" customWidth="1"/>
    <col min="1310" max="1310" width="1.109375" style="2768" customWidth="1"/>
    <col min="1311" max="1311" width="8.5546875" style="2768" customWidth="1"/>
    <col min="1312" max="1312" width="14.5546875" style="2768" customWidth="1"/>
    <col min="1313" max="1313" width="10" style="2768" customWidth="1"/>
    <col min="1314" max="1314" width="7.77734375" style="2768" bestFit="1" customWidth="1"/>
    <col min="1315" max="1315" width="9.77734375" style="2768" customWidth="1"/>
    <col min="1316" max="1532" width="8.77734375" style="2768"/>
    <col min="1533" max="1533" width="38.44140625" style="2768" customWidth="1"/>
    <col min="1534" max="1534" width="8.5546875" style="2768" customWidth="1"/>
    <col min="1535" max="1535" width="1.21875" style="2768" customWidth="1"/>
    <col min="1536" max="1536" width="8.77734375" style="2768" customWidth="1"/>
    <col min="1537" max="1537" width="1.21875" style="2768" customWidth="1"/>
    <col min="1538" max="1538" width="9.21875" style="2768" customWidth="1"/>
    <col min="1539" max="1539" width="1.21875" style="2768" customWidth="1"/>
    <col min="1540" max="1540" width="10" style="2768" customWidth="1"/>
    <col min="1541" max="1541" width="1.21875" style="2768" customWidth="1"/>
    <col min="1542" max="1542" width="9.109375" style="2768" customWidth="1"/>
    <col min="1543" max="1543" width="1.21875" style="2768" customWidth="1"/>
    <col min="1544" max="1544" width="11.21875" style="2768" customWidth="1"/>
    <col min="1545" max="1545" width="1.21875" style="2768" customWidth="1"/>
    <col min="1546" max="1546" width="9.109375" style="2768" customWidth="1"/>
    <col min="1547" max="1547" width="1.77734375" style="2768" customWidth="1"/>
    <col min="1548" max="1548" width="11" style="2768" customWidth="1"/>
    <col min="1549" max="1549" width="1.21875" style="2768" customWidth="1"/>
    <col min="1550" max="1550" width="10.77734375" style="2768" customWidth="1"/>
    <col min="1551" max="1551" width="1.21875" style="2768" customWidth="1"/>
    <col min="1552" max="1552" width="10" style="2768" customWidth="1"/>
    <col min="1553" max="1553" width="1.21875" style="2768" customWidth="1"/>
    <col min="1554" max="1554" width="9.21875" style="2768" customWidth="1"/>
    <col min="1555" max="1555" width="1.21875" style="2768" customWidth="1"/>
    <col min="1556" max="1556" width="7.77734375" style="2768" customWidth="1"/>
    <col min="1557" max="1557" width="1.21875" style="2768" customWidth="1"/>
    <col min="1558" max="1558" width="0.77734375" style="2768" customWidth="1"/>
    <col min="1559" max="1559" width="9.21875" style="2768" customWidth="1"/>
    <col min="1560" max="1560" width="1.21875" style="2768" customWidth="1"/>
    <col min="1561" max="1561" width="0.77734375" style="2768" customWidth="1"/>
    <col min="1562" max="1562" width="9.5546875" style="2768" bestFit="1" customWidth="1"/>
    <col min="1563" max="1564" width="0.77734375" style="2768" customWidth="1"/>
    <col min="1565" max="1565" width="9.77734375" style="2768" customWidth="1"/>
    <col min="1566" max="1566" width="1.109375" style="2768" customWidth="1"/>
    <col min="1567" max="1567" width="8.5546875" style="2768" customWidth="1"/>
    <col min="1568" max="1568" width="14.5546875" style="2768" customWidth="1"/>
    <col min="1569" max="1569" width="10" style="2768" customWidth="1"/>
    <col min="1570" max="1570" width="7.77734375" style="2768" bestFit="1" customWidth="1"/>
    <col min="1571" max="1571" width="9.77734375" style="2768" customWidth="1"/>
    <col min="1572" max="1788" width="8.77734375" style="2768"/>
    <col min="1789" max="1789" width="38.44140625" style="2768" customWidth="1"/>
    <col min="1790" max="1790" width="8.5546875" style="2768" customWidth="1"/>
    <col min="1791" max="1791" width="1.21875" style="2768" customWidth="1"/>
    <col min="1792" max="1792" width="8.77734375" style="2768" customWidth="1"/>
    <col min="1793" max="1793" width="1.21875" style="2768" customWidth="1"/>
    <col min="1794" max="1794" width="9.21875" style="2768" customWidth="1"/>
    <col min="1795" max="1795" width="1.21875" style="2768" customWidth="1"/>
    <col min="1796" max="1796" width="10" style="2768" customWidth="1"/>
    <col min="1797" max="1797" width="1.21875" style="2768" customWidth="1"/>
    <col min="1798" max="1798" width="9.109375" style="2768" customWidth="1"/>
    <col min="1799" max="1799" width="1.21875" style="2768" customWidth="1"/>
    <col min="1800" max="1800" width="11.21875" style="2768" customWidth="1"/>
    <col min="1801" max="1801" width="1.21875" style="2768" customWidth="1"/>
    <col min="1802" max="1802" width="9.109375" style="2768" customWidth="1"/>
    <col min="1803" max="1803" width="1.77734375" style="2768" customWidth="1"/>
    <col min="1804" max="1804" width="11" style="2768" customWidth="1"/>
    <col min="1805" max="1805" width="1.21875" style="2768" customWidth="1"/>
    <col min="1806" max="1806" width="10.77734375" style="2768" customWidth="1"/>
    <col min="1807" max="1807" width="1.21875" style="2768" customWidth="1"/>
    <col min="1808" max="1808" width="10" style="2768" customWidth="1"/>
    <col min="1809" max="1809" width="1.21875" style="2768" customWidth="1"/>
    <col min="1810" max="1810" width="9.21875" style="2768" customWidth="1"/>
    <col min="1811" max="1811" width="1.21875" style="2768" customWidth="1"/>
    <col min="1812" max="1812" width="7.77734375" style="2768" customWidth="1"/>
    <col min="1813" max="1813" width="1.21875" style="2768" customWidth="1"/>
    <col min="1814" max="1814" width="0.77734375" style="2768" customWidth="1"/>
    <col min="1815" max="1815" width="9.21875" style="2768" customWidth="1"/>
    <col min="1816" max="1816" width="1.21875" style="2768" customWidth="1"/>
    <col min="1817" max="1817" width="0.77734375" style="2768" customWidth="1"/>
    <col min="1818" max="1818" width="9.5546875" style="2768" bestFit="1" customWidth="1"/>
    <col min="1819" max="1820" width="0.77734375" style="2768" customWidth="1"/>
    <col min="1821" max="1821" width="9.77734375" style="2768" customWidth="1"/>
    <col min="1822" max="1822" width="1.109375" style="2768" customWidth="1"/>
    <col min="1823" max="1823" width="8.5546875" style="2768" customWidth="1"/>
    <col min="1824" max="1824" width="14.5546875" style="2768" customWidth="1"/>
    <col min="1825" max="1825" width="10" style="2768" customWidth="1"/>
    <col min="1826" max="1826" width="7.77734375" style="2768" bestFit="1" customWidth="1"/>
    <col min="1827" max="1827" width="9.77734375" style="2768" customWidth="1"/>
    <col min="1828" max="2044" width="8.77734375" style="2768"/>
    <col min="2045" max="2045" width="38.44140625" style="2768" customWidth="1"/>
    <col min="2046" max="2046" width="8.5546875" style="2768" customWidth="1"/>
    <col min="2047" max="2047" width="1.21875" style="2768" customWidth="1"/>
    <col min="2048" max="2048" width="8.77734375" style="2768" customWidth="1"/>
    <col min="2049" max="2049" width="1.21875" style="2768" customWidth="1"/>
    <col min="2050" max="2050" width="9.21875" style="2768" customWidth="1"/>
    <col min="2051" max="2051" width="1.21875" style="2768" customWidth="1"/>
    <col min="2052" max="2052" width="10" style="2768" customWidth="1"/>
    <col min="2053" max="2053" width="1.21875" style="2768" customWidth="1"/>
    <col min="2054" max="2054" width="9.109375" style="2768" customWidth="1"/>
    <col min="2055" max="2055" width="1.21875" style="2768" customWidth="1"/>
    <col min="2056" max="2056" width="11.21875" style="2768" customWidth="1"/>
    <col min="2057" max="2057" width="1.21875" style="2768" customWidth="1"/>
    <col min="2058" max="2058" width="9.109375" style="2768" customWidth="1"/>
    <col min="2059" max="2059" width="1.77734375" style="2768" customWidth="1"/>
    <col min="2060" max="2060" width="11" style="2768" customWidth="1"/>
    <col min="2061" max="2061" width="1.21875" style="2768" customWidth="1"/>
    <col min="2062" max="2062" width="10.77734375" style="2768" customWidth="1"/>
    <col min="2063" max="2063" width="1.21875" style="2768" customWidth="1"/>
    <col min="2064" max="2064" width="10" style="2768" customWidth="1"/>
    <col min="2065" max="2065" width="1.21875" style="2768" customWidth="1"/>
    <col min="2066" max="2066" width="9.21875" style="2768" customWidth="1"/>
    <col min="2067" max="2067" width="1.21875" style="2768" customWidth="1"/>
    <col min="2068" max="2068" width="7.77734375" style="2768" customWidth="1"/>
    <col min="2069" max="2069" width="1.21875" style="2768" customWidth="1"/>
    <col min="2070" max="2070" width="0.77734375" style="2768" customWidth="1"/>
    <col min="2071" max="2071" width="9.21875" style="2768" customWidth="1"/>
    <col min="2072" max="2072" width="1.21875" style="2768" customWidth="1"/>
    <col min="2073" max="2073" width="0.77734375" style="2768" customWidth="1"/>
    <col min="2074" max="2074" width="9.5546875" style="2768" bestFit="1" customWidth="1"/>
    <col min="2075" max="2076" width="0.77734375" style="2768" customWidth="1"/>
    <col min="2077" max="2077" width="9.77734375" style="2768" customWidth="1"/>
    <col min="2078" max="2078" width="1.109375" style="2768" customWidth="1"/>
    <col min="2079" max="2079" width="8.5546875" style="2768" customWidth="1"/>
    <col min="2080" max="2080" width="14.5546875" style="2768" customWidth="1"/>
    <col min="2081" max="2081" width="10" style="2768" customWidth="1"/>
    <col min="2082" max="2082" width="7.77734375" style="2768" bestFit="1" customWidth="1"/>
    <col min="2083" max="2083" width="9.77734375" style="2768" customWidth="1"/>
    <col min="2084" max="2300" width="8.77734375" style="2768"/>
    <col min="2301" max="2301" width="38.44140625" style="2768" customWidth="1"/>
    <col min="2302" max="2302" width="8.5546875" style="2768" customWidth="1"/>
    <col min="2303" max="2303" width="1.21875" style="2768" customWidth="1"/>
    <col min="2304" max="2304" width="8.77734375" style="2768" customWidth="1"/>
    <col min="2305" max="2305" width="1.21875" style="2768" customWidth="1"/>
    <col min="2306" max="2306" width="9.21875" style="2768" customWidth="1"/>
    <col min="2307" max="2307" width="1.21875" style="2768" customWidth="1"/>
    <col min="2308" max="2308" width="10" style="2768" customWidth="1"/>
    <col min="2309" max="2309" width="1.21875" style="2768" customWidth="1"/>
    <col min="2310" max="2310" width="9.109375" style="2768" customWidth="1"/>
    <col min="2311" max="2311" width="1.21875" style="2768" customWidth="1"/>
    <col min="2312" max="2312" width="11.21875" style="2768" customWidth="1"/>
    <col min="2313" max="2313" width="1.21875" style="2768" customWidth="1"/>
    <col min="2314" max="2314" width="9.109375" style="2768" customWidth="1"/>
    <col min="2315" max="2315" width="1.77734375" style="2768" customWidth="1"/>
    <col min="2316" max="2316" width="11" style="2768" customWidth="1"/>
    <col min="2317" max="2317" width="1.21875" style="2768" customWidth="1"/>
    <col min="2318" max="2318" width="10.77734375" style="2768" customWidth="1"/>
    <col min="2319" max="2319" width="1.21875" style="2768" customWidth="1"/>
    <col min="2320" max="2320" width="10" style="2768" customWidth="1"/>
    <col min="2321" max="2321" width="1.21875" style="2768" customWidth="1"/>
    <col min="2322" max="2322" width="9.21875" style="2768" customWidth="1"/>
    <col min="2323" max="2323" width="1.21875" style="2768" customWidth="1"/>
    <col min="2324" max="2324" width="7.77734375" style="2768" customWidth="1"/>
    <col min="2325" max="2325" width="1.21875" style="2768" customWidth="1"/>
    <col min="2326" max="2326" width="0.77734375" style="2768" customWidth="1"/>
    <col min="2327" max="2327" width="9.21875" style="2768" customWidth="1"/>
    <col min="2328" max="2328" width="1.21875" style="2768" customWidth="1"/>
    <col min="2329" max="2329" width="0.77734375" style="2768" customWidth="1"/>
    <col min="2330" max="2330" width="9.5546875" style="2768" bestFit="1" customWidth="1"/>
    <col min="2331" max="2332" width="0.77734375" style="2768" customWidth="1"/>
    <col min="2333" max="2333" width="9.77734375" style="2768" customWidth="1"/>
    <col min="2334" max="2334" width="1.109375" style="2768" customWidth="1"/>
    <col min="2335" max="2335" width="8.5546875" style="2768" customWidth="1"/>
    <col min="2336" max="2336" width="14.5546875" style="2768" customWidth="1"/>
    <col min="2337" max="2337" width="10" style="2768" customWidth="1"/>
    <col min="2338" max="2338" width="7.77734375" style="2768" bestFit="1" customWidth="1"/>
    <col min="2339" max="2339" width="9.77734375" style="2768" customWidth="1"/>
    <col min="2340" max="2556" width="8.77734375" style="2768"/>
    <col min="2557" max="2557" width="38.44140625" style="2768" customWidth="1"/>
    <col min="2558" max="2558" width="8.5546875" style="2768" customWidth="1"/>
    <col min="2559" max="2559" width="1.21875" style="2768" customWidth="1"/>
    <col min="2560" max="2560" width="8.77734375" style="2768" customWidth="1"/>
    <col min="2561" max="2561" width="1.21875" style="2768" customWidth="1"/>
    <col min="2562" max="2562" width="9.21875" style="2768" customWidth="1"/>
    <col min="2563" max="2563" width="1.21875" style="2768" customWidth="1"/>
    <col min="2564" max="2564" width="10" style="2768" customWidth="1"/>
    <col min="2565" max="2565" width="1.21875" style="2768" customWidth="1"/>
    <col min="2566" max="2566" width="9.109375" style="2768" customWidth="1"/>
    <col min="2567" max="2567" width="1.21875" style="2768" customWidth="1"/>
    <col min="2568" max="2568" width="11.21875" style="2768" customWidth="1"/>
    <col min="2569" max="2569" width="1.21875" style="2768" customWidth="1"/>
    <col min="2570" max="2570" width="9.109375" style="2768" customWidth="1"/>
    <col min="2571" max="2571" width="1.77734375" style="2768" customWidth="1"/>
    <col min="2572" max="2572" width="11" style="2768" customWidth="1"/>
    <col min="2573" max="2573" width="1.21875" style="2768" customWidth="1"/>
    <col min="2574" max="2574" width="10.77734375" style="2768" customWidth="1"/>
    <col min="2575" max="2575" width="1.21875" style="2768" customWidth="1"/>
    <col min="2576" max="2576" width="10" style="2768" customWidth="1"/>
    <col min="2577" max="2577" width="1.21875" style="2768" customWidth="1"/>
    <col min="2578" max="2578" width="9.21875" style="2768" customWidth="1"/>
    <col min="2579" max="2579" width="1.21875" style="2768" customWidth="1"/>
    <col min="2580" max="2580" width="7.77734375" style="2768" customWidth="1"/>
    <col min="2581" max="2581" width="1.21875" style="2768" customWidth="1"/>
    <col min="2582" max="2582" width="0.77734375" style="2768" customWidth="1"/>
    <col min="2583" max="2583" width="9.21875" style="2768" customWidth="1"/>
    <col min="2584" max="2584" width="1.21875" style="2768" customWidth="1"/>
    <col min="2585" max="2585" width="0.77734375" style="2768" customWidth="1"/>
    <col min="2586" max="2586" width="9.5546875" style="2768" bestFit="1" customWidth="1"/>
    <col min="2587" max="2588" width="0.77734375" style="2768" customWidth="1"/>
    <col min="2589" max="2589" width="9.77734375" style="2768" customWidth="1"/>
    <col min="2590" max="2590" width="1.109375" style="2768" customWidth="1"/>
    <col min="2591" max="2591" width="8.5546875" style="2768" customWidth="1"/>
    <col min="2592" max="2592" width="14.5546875" style="2768" customWidth="1"/>
    <col min="2593" max="2593" width="10" style="2768" customWidth="1"/>
    <col min="2594" max="2594" width="7.77734375" style="2768" bestFit="1" customWidth="1"/>
    <col min="2595" max="2595" width="9.77734375" style="2768" customWidth="1"/>
    <col min="2596" max="2812" width="8.77734375" style="2768"/>
    <col min="2813" max="2813" width="38.44140625" style="2768" customWidth="1"/>
    <col min="2814" max="2814" width="8.5546875" style="2768" customWidth="1"/>
    <col min="2815" max="2815" width="1.21875" style="2768" customWidth="1"/>
    <col min="2816" max="2816" width="8.77734375" style="2768" customWidth="1"/>
    <col min="2817" max="2817" width="1.21875" style="2768" customWidth="1"/>
    <col min="2818" max="2818" width="9.21875" style="2768" customWidth="1"/>
    <col min="2819" max="2819" width="1.21875" style="2768" customWidth="1"/>
    <col min="2820" max="2820" width="10" style="2768" customWidth="1"/>
    <col min="2821" max="2821" width="1.21875" style="2768" customWidth="1"/>
    <col min="2822" max="2822" width="9.109375" style="2768" customWidth="1"/>
    <col min="2823" max="2823" width="1.21875" style="2768" customWidth="1"/>
    <col min="2824" max="2824" width="11.21875" style="2768" customWidth="1"/>
    <col min="2825" max="2825" width="1.21875" style="2768" customWidth="1"/>
    <col min="2826" max="2826" width="9.109375" style="2768" customWidth="1"/>
    <col min="2827" max="2827" width="1.77734375" style="2768" customWidth="1"/>
    <col min="2828" max="2828" width="11" style="2768" customWidth="1"/>
    <col min="2829" max="2829" width="1.21875" style="2768" customWidth="1"/>
    <col min="2830" max="2830" width="10.77734375" style="2768" customWidth="1"/>
    <col min="2831" max="2831" width="1.21875" style="2768" customWidth="1"/>
    <col min="2832" max="2832" width="10" style="2768" customWidth="1"/>
    <col min="2833" max="2833" width="1.21875" style="2768" customWidth="1"/>
    <col min="2834" max="2834" width="9.21875" style="2768" customWidth="1"/>
    <col min="2835" max="2835" width="1.21875" style="2768" customWidth="1"/>
    <col min="2836" max="2836" width="7.77734375" style="2768" customWidth="1"/>
    <col min="2837" max="2837" width="1.21875" style="2768" customWidth="1"/>
    <col min="2838" max="2838" width="0.77734375" style="2768" customWidth="1"/>
    <col min="2839" max="2839" width="9.21875" style="2768" customWidth="1"/>
    <col min="2840" max="2840" width="1.21875" style="2768" customWidth="1"/>
    <col min="2841" max="2841" width="0.77734375" style="2768" customWidth="1"/>
    <col min="2842" max="2842" width="9.5546875" style="2768" bestFit="1" customWidth="1"/>
    <col min="2843" max="2844" width="0.77734375" style="2768" customWidth="1"/>
    <col min="2845" max="2845" width="9.77734375" style="2768" customWidth="1"/>
    <col min="2846" max="2846" width="1.109375" style="2768" customWidth="1"/>
    <col min="2847" max="2847" width="8.5546875" style="2768" customWidth="1"/>
    <col min="2848" max="2848" width="14.5546875" style="2768" customWidth="1"/>
    <col min="2849" max="2849" width="10" style="2768" customWidth="1"/>
    <col min="2850" max="2850" width="7.77734375" style="2768" bestFit="1" customWidth="1"/>
    <col min="2851" max="2851" width="9.77734375" style="2768" customWidth="1"/>
    <col min="2852" max="3068" width="8.77734375" style="2768"/>
    <col min="3069" max="3069" width="38.44140625" style="2768" customWidth="1"/>
    <col min="3070" max="3070" width="8.5546875" style="2768" customWidth="1"/>
    <col min="3071" max="3071" width="1.21875" style="2768" customWidth="1"/>
    <col min="3072" max="3072" width="8.77734375" style="2768" customWidth="1"/>
    <col min="3073" max="3073" width="1.21875" style="2768" customWidth="1"/>
    <col min="3074" max="3074" width="9.21875" style="2768" customWidth="1"/>
    <col min="3075" max="3075" width="1.21875" style="2768" customWidth="1"/>
    <col min="3076" max="3076" width="10" style="2768" customWidth="1"/>
    <col min="3077" max="3077" width="1.21875" style="2768" customWidth="1"/>
    <col min="3078" max="3078" width="9.109375" style="2768" customWidth="1"/>
    <col min="3079" max="3079" width="1.21875" style="2768" customWidth="1"/>
    <col min="3080" max="3080" width="11.21875" style="2768" customWidth="1"/>
    <col min="3081" max="3081" width="1.21875" style="2768" customWidth="1"/>
    <col min="3082" max="3082" width="9.109375" style="2768" customWidth="1"/>
    <col min="3083" max="3083" width="1.77734375" style="2768" customWidth="1"/>
    <col min="3084" max="3084" width="11" style="2768" customWidth="1"/>
    <col min="3085" max="3085" width="1.21875" style="2768" customWidth="1"/>
    <col min="3086" max="3086" width="10.77734375" style="2768" customWidth="1"/>
    <col min="3087" max="3087" width="1.21875" style="2768" customWidth="1"/>
    <col min="3088" max="3088" width="10" style="2768" customWidth="1"/>
    <col min="3089" max="3089" width="1.21875" style="2768" customWidth="1"/>
    <col min="3090" max="3090" width="9.21875" style="2768" customWidth="1"/>
    <col min="3091" max="3091" width="1.21875" style="2768" customWidth="1"/>
    <col min="3092" max="3092" width="7.77734375" style="2768" customWidth="1"/>
    <col min="3093" max="3093" width="1.21875" style="2768" customWidth="1"/>
    <col min="3094" max="3094" width="0.77734375" style="2768" customWidth="1"/>
    <col min="3095" max="3095" width="9.21875" style="2768" customWidth="1"/>
    <col min="3096" max="3096" width="1.21875" style="2768" customWidth="1"/>
    <col min="3097" max="3097" width="0.77734375" style="2768" customWidth="1"/>
    <col min="3098" max="3098" width="9.5546875" style="2768" bestFit="1" customWidth="1"/>
    <col min="3099" max="3100" width="0.77734375" style="2768" customWidth="1"/>
    <col min="3101" max="3101" width="9.77734375" style="2768" customWidth="1"/>
    <col min="3102" max="3102" width="1.109375" style="2768" customWidth="1"/>
    <col min="3103" max="3103" width="8.5546875" style="2768" customWidth="1"/>
    <col min="3104" max="3104" width="14.5546875" style="2768" customWidth="1"/>
    <col min="3105" max="3105" width="10" style="2768" customWidth="1"/>
    <col min="3106" max="3106" width="7.77734375" style="2768" bestFit="1" customWidth="1"/>
    <col min="3107" max="3107" width="9.77734375" style="2768" customWidth="1"/>
    <col min="3108" max="3324" width="8.77734375" style="2768"/>
    <col min="3325" max="3325" width="38.44140625" style="2768" customWidth="1"/>
    <col min="3326" max="3326" width="8.5546875" style="2768" customWidth="1"/>
    <col min="3327" max="3327" width="1.21875" style="2768" customWidth="1"/>
    <col min="3328" max="3328" width="8.77734375" style="2768" customWidth="1"/>
    <col min="3329" max="3329" width="1.21875" style="2768" customWidth="1"/>
    <col min="3330" max="3330" width="9.21875" style="2768" customWidth="1"/>
    <col min="3331" max="3331" width="1.21875" style="2768" customWidth="1"/>
    <col min="3332" max="3332" width="10" style="2768" customWidth="1"/>
    <col min="3333" max="3333" width="1.21875" style="2768" customWidth="1"/>
    <col min="3334" max="3334" width="9.109375" style="2768" customWidth="1"/>
    <col min="3335" max="3335" width="1.21875" style="2768" customWidth="1"/>
    <col min="3336" max="3336" width="11.21875" style="2768" customWidth="1"/>
    <col min="3337" max="3337" width="1.21875" style="2768" customWidth="1"/>
    <col min="3338" max="3338" width="9.109375" style="2768" customWidth="1"/>
    <col min="3339" max="3339" width="1.77734375" style="2768" customWidth="1"/>
    <col min="3340" max="3340" width="11" style="2768" customWidth="1"/>
    <col min="3341" max="3341" width="1.21875" style="2768" customWidth="1"/>
    <col min="3342" max="3342" width="10.77734375" style="2768" customWidth="1"/>
    <col min="3343" max="3343" width="1.21875" style="2768" customWidth="1"/>
    <col min="3344" max="3344" width="10" style="2768" customWidth="1"/>
    <col min="3345" max="3345" width="1.21875" style="2768" customWidth="1"/>
    <col min="3346" max="3346" width="9.21875" style="2768" customWidth="1"/>
    <col min="3347" max="3347" width="1.21875" style="2768" customWidth="1"/>
    <col min="3348" max="3348" width="7.77734375" style="2768" customWidth="1"/>
    <col min="3349" max="3349" width="1.21875" style="2768" customWidth="1"/>
    <col min="3350" max="3350" width="0.77734375" style="2768" customWidth="1"/>
    <col min="3351" max="3351" width="9.21875" style="2768" customWidth="1"/>
    <col min="3352" max="3352" width="1.21875" style="2768" customWidth="1"/>
    <col min="3353" max="3353" width="0.77734375" style="2768" customWidth="1"/>
    <col min="3354" max="3354" width="9.5546875" style="2768" bestFit="1" customWidth="1"/>
    <col min="3355" max="3356" width="0.77734375" style="2768" customWidth="1"/>
    <col min="3357" max="3357" width="9.77734375" style="2768" customWidth="1"/>
    <col min="3358" max="3358" width="1.109375" style="2768" customWidth="1"/>
    <col min="3359" max="3359" width="8.5546875" style="2768" customWidth="1"/>
    <col min="3360" max="3360" width="14.5546875" style="2768" customWidth="1"/>
    <col min="3361" max="3361" width="10" style="2768" customWidth="1"/>
    <col min="3362" max="3362" width="7.77734375" style="2768" bestFit="1" customWidth="1"/>
    <col min="3363" max="3363" width="9.77734375" style="2768" customWidth="1"/>
    <col min="3364" max="3580" width="8.77734375" style="2768"/>
    <col min="3581" max="3581" width="38.44140625" style="2768" customWidth="1"/>
    <col min="3582" max="3582" width="8.5546875" style="2768" customWidth="1"/>
    <col min="3583" max="3583" width="1.21875" style="2768" customWidth="1"/>
    <col min="3584" max="3584" width="8.77734375" style="2768" customWidth="1"/>
    <col min="3585" max="3585" width="1.21875" style="2768" customWidth="1"/>
    <col min="3586" max="3586" width="9.21875" style="2768" customWidth="1"/>
    <col min="3587" max="3587" width="1.21875" style="2768" customWidth="1"/>
    <col min="3588" max="3588" width="10" style="2768" customWidth="1"/>
    <col min="3589" max="3589" width="1.21875" style="2768" customWidth="1"/>
    <col min="3590" max="3590" width="9.109375" style="2768" customWidth="1"/>
    <col min="3591" max="3591" width="1.21875" style="2768" customWidth="1"/>
    <col min="3592" max="3592" width="11.21875" style="2768" customWidth="1"/>
    <col min="3593" max="3593" width="1.21875" style="2768" customWidth="1"/>
    <col min="3594" max="3594" width="9.109375" style="2768" customWidth="1"/>
    <col min="3595" max="3595" width="1.77734375" style="2768" customWidth="1"/>
    <col min="3596" max="3596" width="11" style="2768" customWidth="1"/>
    <col min="3597" max="3597" width="1.21875" style="2768" customWidth="1"/>
    <col min="3598" max="3598" width="10.77734375" style="2768" customWidth="1"/>
    <col min="3599" max="3599" width="1.21875" style="2768" customWidth="1"/>
    <col min="3600" max="3600" width="10" style="2768" customWidth="1"/>
    <col min="3601" max="3601" width="1.21875" style="2768" customWidth="1"/>
    <col min="3602" max="3602" width="9.21875" style="2768" customWidth="1"/>
    <col min="3603" max="3603" width="1.21875" style="2768" customWidth="1"/>
    <col min="3604" max="3604" width="7.77734375" style="2768" customWidth="1"/>
    <col min="3605" max="3605" width="1.21875" style="2768" customWidth="1"/>
    <col min="3606" max="3606" width="0.77734375" style="2768" customWidth="1"/>
    <col min="3607" max="3607" width="9.21875" style="2768" customWidth="1"/>
    <col min="3608" max="3608" width="1.21875" style="2768" customWidth="1"/>
    <col min="3609" max="3609" width="0.77734375" style="2768" customWidth="1"/>
    <col min="3610" max="3610" width="9.5546875" style="2768" bestFit="1" customWidth="1"/>
    <col min="3611" max="3612" width="0.77734375" style="2768" customWidth="1"/>
    <col min="3613" max="3613" width="9.77734375" style="2768" customWidth="1"/>
    <col min="3614" max="3614" width="1.109375" style="2768" customWidth="1"/>
    <col min="3615" max="3615" width="8.5546875" style="2768" customWidth="1"/>
    <col min="3616" max="3616" width="14.5546875" style="2768" customWidth="1"/>
    <col min="3617" max="3617" width="10" style="2768" customWidth="1"/>
    <col min="3618" max="3618" width="7.77734375" style="2768" bestFit="1" customWidth="1"/>
    <col min="3619" max="3619" width="9.77734375" style="2768" customWidth="1"/>
    <col min="3620" max="3836" width="8.77734375" style="2768"/>
    <col min="3837" max="3837" width="38.44140625" style="2768" customWidth="1"/>
    <col min="3838" max="3838" width="8.5546875" style="2768" customWidth="1"/>
    <col min="3839" max="3839" width="1.21875" style="2768" customWidth="1"/>
    <col min="3840" max="3840" width="8.77734375" style="2768" customWidth="1"/>
    <col min="3841" max="3841" width="1.21875" style="2768" customWidth="1"/>
    <col min="3842" max="3842" width="9.21875" style="2768" customWidth="1"/>
    <col min="3843" max="3843" width="1.21875" style="2768" customWidth="1"/>
    <col min="3844" max="3844" width="10" style="2768" customWidth="1"/>
    <col min="3845" max="3845" width="1.21875" style="2768" customWidth="1"/>
    <col min="3846" max="3846" width="9.109375" style="2768" customWidth="1"/>
    <col min="3847" max="3847" width="1.21875" style="2768" customWidth="1"/>
    <col min="3848" max="3848" width="11.21875" style="2768" customWidth="1"/>
    <col min="3849" max="3849" width="1.21875" style="2768" customWidth="1"/>
    <col min="3850" max="3850" width="9.109375" style="2768" customWidth="1"/>
    <col min="3851" max="3851" width="1.77734375" style="2768" customWidth="1"/>
    <col min="3852" max="3852" width="11" style="2768" customWidth="1"/>
    <col min="3853" max="3853" width="1.21875" style="2768" customWidth="1"/>
    <col min="3854" max="3854" width="10.77734375" style="2768" customWidth="1"/>
    <col min="3855" max="3855" width="1.21875" style="2768" customWidth="1"/>
    <col min="3856" max="3856" width="10" style="2768" customWidth="1"/>
    <col min="3857" max="3857" width="1.21875" style="2768" customWidth="1"/>
    <col min="3858" max="3858" width="9.21875" style="2768" customWidth="1"/>
    <col min="3859" max="3859" width="1.21875" style="2768" customWidth="1"/>
    <col min="3860" max="3860" width="7.77734375" style="2768" customWidth="1"/>
    <col min="3861" max="3861" width="1.21875" style="2768" customWidth="1"/>
    <col min="3862" max="3862" width="0.77734375" style="2768" customWidth="1"/>
    <col min="3863" max="3863" width="9.21875" style="2768" customWidth="1"/>
    <col min="3864" max="3864" width="1.21875" style="2768" customWidth="1"/>
    <col min="3865" max="3865" width="0.77734375" style="2768" customWidth="1"/>
    <col min="3866" max="3866" width="9.5546875" style="2768" bestFit="1" customWidth="1"/>
    <col min="3867" max="3868" width="0.77734375" style="2768" customWidth="1"/>
    <col min="3869" max="3869" width="9.77734375" style="2768" customWidth="1"/>
    <col min="3870" max="3870" width="1.109375" style="2768" customWidth="1"/>
    <col min="3871" max="3871" width="8.5546875" style="2768" customWidth="1"/>
    <col min="3872" max="3872" width="14.5546875" style="2768" customWidth="1"/>
    <col min="3873" max="3873" width="10" style="2768" customWidth="1"/>
    <col min="3874" max="3874" width="7.77734375" style="2768" bestFit="1" customWidth="1"/>
    <col min="3875" max="3875" width="9.77734375" style="2768" customWidth="1"/>
    <col min="3876" max="4092" width="8.77734375" style="2768"/>
    <col min="4093" max="4093" width="38.44140625" style="2768" customWidth="1"/>
    <col min="4094" max="4094" width="8.5546875" style="2768" customWidth="1"/>
    <col min="4095" max="4095" width="1.21875" style="2768" customWidth="1"/>
    <col min="4096" max="4096" width="8.77734375" style="2768" customWidth="1"/>
    <col min="4097" max="4097" width="1.21875" style="2768" customWidth="1"/>
    <col min="4098" max="4098" width="9.21875" style="2768" customWidth="1"/>
    <col min="4099" max="4099" width="1.21875" style="2768" customWidth="1"/>
    <col min="4100" max="4100" width="10" style="2768" customWidth="1"/>
    <col min="4101" max="4101" width="1.21875" style="2768" customWidth="1"/>
    <col min="4102" max="4102" width="9.109375" style="2768" customWidth="1"/>
    <col min="4103" max="4103" width="1.21875" style="2768" customWidth="1"/>
    <col min="4104" max="4104" width="11.21875" style="2768" customWidth="1"/>
    <col min="4105" max="4105" width="1.21875" style="2768" customWidth="1"/>
    <col min="4106" max="4106" width="9.109375" style="2768" customWidth="1"/>
    <col min="4107" max="4107" width="1.77734375" style="2768" customWidth="1"/>
    <col min="4108" max="4108" width="11" style="2768" customWidth="1"/>
    <col min="4109" max="4109" width="1.21875" style="2768" customWidth="1"/>
    <col min="4110" max="4110" width="10.77734375" style="2768" customWidth="1"/>
    <col min="4111" max="4111" width="1.21875" style="2768" customWidth="1"/>
    <col min="4112" max="4112" width="10" style="2768" customWidth="1"/>
    <col min="4113" max="4113" width="1.21875" style="2768" customWidth="1"/>
    <col min="4114" max="4114" width="9.21875" style="2768" customWidth="1"/>
    <col min="4115" max="4115" width="1.21875" style="2768" customWidth="1"/>
    <col min="4116" max="4116" width="7.77734375" style="2768" customWidth="1"/>
    <col min="4117" max="4117" width="1.21875" style="2768" customWidth="1"/>
    <col min="4118" max="4118" width="0.77734375" style="2768" customWidth="1"/>
    <col min="4119" max="4119" width="9.21875" style="2768" customWidth="1"/>
    <col min="4120" max="4120" width="1.21875" style="2768" customWidth="1"/>
    <col min="4121" max="4121" width="0.77734375" style="2768" customWidth="1"/>
    <col min="4122" max="4122" width="9.5546875" style="2768" bestFit="1" customWidth="1"/>
    <col min="4123" max="4124" width="0.77734375" style="2768" customWidth="1"/>
    <col min="4125" max="4125" width="9.77734375" style="2768" customWidth="1"/>
    <col min="4126" max="4126" width="1.109375" style="2768" customWidth="1"/>
    <col min="4127" max="4127" width="8.5546875" style="2768" customWidth="1"/>
    <col min="4128" max="4128" width="14.5546875" style="2768" customWidth="1"/>
    <col min="4129" max="4129" width="10" style="2768" customWidth="1"/>
    <col min="4130" max="4130" width="7.77734375" style="2768" bestFit="1" customWidth="1"/>
    <col min="4131" max="4131" width="9.77734375" style="2768" customWidth="1"/>
    <col min="4132" max="4348" width="8.77734375" style="2768"/>
    <col min="4349" max="4349" width="38.44140625" style="2768" customWidth="1"/>
    <col min="4350" max="4350" width="8.5546875" style="2768" customWidth="1"/>
    <col min="4351" max="4351" width="1.21875" style="2768" customWidth="1"/>
    <col min="4352" max="4352" width="8.77734375" style="2768" customWidth="1"/>
    <col min="4353" max="4353" width="1.21875" style="2768" customWidth="1"/>
    <col min="4354" max="4354" width="9.21875" style="2768" customWidth="1"/>
    <col min="4355" max="4355" width="1.21875" style="2768" customWidth="1"/>
    <col min="4356" max="4356" width="10" style="2768" customWidth="1"/>
    <col min="4357" max="4357" width="1.21875" style="2768" customWidth="1"/>
    <col min="4358" max="4358" width="9.109375" style="2768" customWidth="1"/>
    <col min="4359" max="4359" width="1.21875" style="2768" customWidth="1"/>
    <col min="4360" max="4360" width="11.21875" style="2768" customWidth="1"/>
    <col min="4361" max="4361" width="1.21875" style="2768" customWidth="1"/>
    <col min="4362" max="4362" width="9.109375" style="2768" customWidth="1"/>
    <col min="4363" max="4363" width="1.77734375" style="2768" customWidth="1"/>
    <col min="4364" max="4364" width="11" style="2768" customWidth="1"/>
    <col min="4365" max="4365" width="1.21875" style="2768" customWidth="1"/>
    <col min="4366" max="4366" width="10.77734375" style="2768" customWidth="1"/>
    <col min="4367" max="4367" width="1.21875" style="2768" customWidth="1"/>
    <col min="4368" max="4368" width="10" style="2768" customWidth="1"/>
    <col min="4369" max="4369" width="1.21875" style="2768" customWidth="1"/>
    <col min="4370" max="4370" width="9.21875" style="2768" customWidth="1"/>
    <col min="4371" max="4371" width="1.21875" style="2768" customWidth="1"/>
    <col min="4372" max="4372" width="7.77734375" style="2768" customWidth="1"/>
    <col min="4373" max="4373" width="1.21875" style="2768" customWidth="1"/>
    <col min="4374" max="4374" width="0.77734375" style="2768" customWidth="1"/>
    <col min="4375" max="4375" width="9.21875" style="2768" customWidth="1"/>
    <col min="4376" max="4376" width="1.21875" style="2768" customWidth="1"/>
    <col min="4377" max="4377" width="0.77734375" style="2768" customWidth="1"/>
    <col min="4378" max="4378" width="9.5546875" style="2768" bestFit="1" customWidth="1"/>
    <col min="4379" max="4380" width="0.77734375" style="2768" customWidth="1"/>
    <col min="4381" max="4381" width="9.77734375" style="2768" customWidth="1"/>
    <col min="4382" max="4382" width="1.109375" style="2768" customWidth="1"/>
    <col min="4383" max="4383" width="8.5546875" style="2768" customWidth="1"/>
    <col min="4384" max="4384" width="14.5546875" style="2768" customWidth="1"/>
    <col min="4385" max="4385" width="10" style="2768" customWidth="1"/>
    <col min="4386" max="4386" width="7.77734375" style="2768" bestFit="1" customWidth="1"/>
    <col min="4387" max="4387" width="9.77734375" style="2768" customWidth="1"/>
    <col min="4388" max="4604" width="8.77734375" style="2768"/>
    <col min="4605" max="4605" width="38.44140625" style="2768" customWidth="1"/>
    <col min="4606" max="4606" width="8.5546875" style="2768" customWidth="1"/>
    <col min="4607" max="4607" width="1.21875" style="2768" customWidth="1"/>
    <col min="4608" max="4608" width="8.77734375" style="2768" customWidth="1"/>
    <col min="4609" max="4609" width="1.21875" style="2768" customWidth="1"/>
    <col min="4610" max="4610" width="9.21875" style="2768" customWidth="1"/>
    <col min="4611" max="4611" width="1.21875" style="2768" customWidth="1"/>
    <col min="4612" max="4612" width="10" style="2768" customWidth="1"/>
    <col min="4613" max="4613" width="1.21875" style="2768" customWidth="1"/>
    <col min="4614" max="4614" width="9.109375" style="2768" customWidth="1"/>
    <col min="4615" max="4615" width="1.21875" style="2768" customWidth="1"/>
    <col min="4616" max="4616" width="11.21875" style="2768" customWidth="1"/>
    <col min="4617" max="4617" width="1.21875" style="2768" customWidth="1"/>
    <col min="4618" max="4618" width="9.109375" style="2768" customWidth="1"/>
    <col min="4619" max="4619" width="1.77734375" style="2768" customWidth="1"/>
    <col min="4620" max="4620" width="11" style="2768" customWidth="1"/>
    <col min="4621" max="4621" width="1.21875" style="2768" customWidth="1"/>
    <col min="4622" max="4622" width="10.77734375" style="2768" customWidth="1"/>
    <col min="4623" max="4623" width="1.21875" style="2768" customWidth="1"/>
    <col min="4624" max="4624" width="10" style="2768" customWidth="1"/>
    <col min="4625" max="4625" width="1.21875" style="2768" customWidth="1"/>
    <col min="4626" max="4626" width="9.21875" style="2768" customWidth="1"/>
    <col min="4627" max="4627" width="1.21875" style="2768" customWidth="1"/>
    <col min="4628" max="4628" width="7.77734375" style="2768" customWidth="1"/>
    <col min="4629" max="4629" width="1.21875" style="2768" customWidth="1"/>
    <col min="4630" max="4630" width="0.77734375" style="2768" customWidth="1"/>
    <col min="4631" max="4631" width="9.21875" style="2768" customWidth="1"/>
    <col min="4632" max="4632" width="1.21875" style="2768" customWidth="1"/>
    <col min="4633" max="4633" width="0.77734375" style="2768" customWidth="1"/>
    <col min="4634" max="4634" width="9.5546875" style="2768" bestFit="1" customWidth="1"/>
    <col min="4635" max="4636" width="0.77734375" style="2768" customWidth="1"/>
    <col min="4637" max="4637" width="9.77734375" style="2768" customWidth="1"/>
    <col min="4638" max="4638" width="1.109375" style="2768" customWidth="1"/>
    <col min="4639" max="4639" width="8.5546875" style="2768" customWidth="1"/>
    <col min="4640" max="4640" width="14.5546875" style="2768" customWidth="1"/>
    <col min="4641" max="4641" width="10" style="2768" customWidth="1"/>
    <col min="4642" max="4642" width="7.77734375" style="2768" bestFit="1" customWidth="1"/>
    <col min="4643" max="4643" width="9.77734375" style="2768" customWidth="1"/>
    <col min="4644" max="4860" width="8.77734375" style="2768"/>
    <col min="4861" max="4861" width="38.44140625" style="2768" customWidth="1"/>
    <col min="4862" max="4862" width="8.5546875" style="2768" customWidth="1"/>
    <col min="4863" max="4863" width="1.21875" style="2768" customWidth="1"/>
    <col min="4864" max="4864" width="8.77734375" style="2768" customWidth="1"/>
    <col min="4865" max="4865" width="1.21875" style="2768" customWidth="1"/>
    <col min="4866" max="4866" width="9.21875" style="2768" customWidth="1"/>
    <col min="4867" max="4867" width="1.21875" style="2768" customWidth="1"/>
    <col min="4868" max="4868" width="10" style="2768" customWidth="1"/>
    <col min="4869" max="4869" width="1.21875" style="2768" customWidth="1"/>
    <col min="4870" max="4870" width="9.109375" style="2768" customWidth="1"/>
    <col min="4871" max="4871" width="1.21875" style="2768" customWidth="1"/>
    <col min="4872" max="4872" width="11.21875" style="2768" customWidth="1"/>
    <col min="4873" max="4873" width="1.21875" style="2768" customWidth="1"/>
    <col min="4874" max="4874" width="9.109375" style="2768" customWidth="1"/>
    <col min="4875" max="4875" width="1.77734375" style="2768" customWidth="1"/>
    <col min="4876" max="4876" width="11" style="2768" customWidth="1"/>
    <col min="4877" max="4877" width="1.21875" style="2768" customWidth="1"/>
    <col min="4878" max="4878" width="10.77734375" style="2768" customWidth="1"/>
    <col min="4879" max="4879" width="1.21875" style="2768" customWidth="1"/>
    <col min="4880" max="4880" width="10" style="2768" customWidth="1"/>
    <col min="4881" max="4881" width="1.21875" style="2768" customWidth="1"/>
    <col min="4882" max="4882" width="9.21875" style="2768" customWidth="1"/>
    <col min="4883" max="4883" width="1.21875" style="2768" customWidth="1"/>
    <col min="4884" max="4884" width="7.77734375" style="2768" customWidth="1"/>
    <col min="4885" max="4885" width="1.21875" style="2768" customWidth="1"/>
    <col min="4886" max="4886" width="0.77734375" style="2768" customWidth="1"/>
    <col min="4887" max="4887" width="9.21875" style="2768" customWidth="1"/>
    <col min="4888" max="4888" width="1.21875" style="2768" customWidth="1"/>
    <col min="4889" max="4889" width="0.77734375" style="2768" customWidth="1"/>
    <col min="4890" max="4890" width="9.5546875" style="2768" bestFit="1" customWidth="1"/>
    <col min="4891" max="4892" width="0.77734375" style="2768" customWidth="1"/>
    <col min="4893" max="4893" width="9.77734375" style="2768" customWidth="1"/>
    <col min="4894" max="4894" width="1.109375" style="2768" customWidth="1"/>
    <col min="4895" max="4895" width="8.5546875" style="2768" customWidth="1"/>
    <col min="4896" max="4896" width="14.5546875" style="2768" customWidth="1"/>
    <col min="4897" max="4897" width="10" style="2768" customWidth="1"/>
    <col min="4898" max="4898" width="7.77734375" style="2768" bestFit="1" customWidth="1"/>
    <col min="4899" max="4899" width="9.77734375" style="2768" customWidth="1"/>
    <col min="4900" max="5116" width="8.77734375" style="2768"/>
    <col min="5117" max="5117" width="38.44140625" style="2768" customWidth="1"/>
    <col min="5118" max="5118" width="8.5546875" style="2768" customWidth="1"/>
    <col min="5119" max="5119" width="1.21875" style="2768" customWidth="1"/>
    <col min="5120" max="5120" width="8.77734375" style="2768" customWidth="1"/>
    <col min="5121" max="5121" width="1.21875" style="2768" customWidth="1"/>
    <col min="5122" max="5122" width="9.21875" style="2768" customWidth="1"/>
    <col min="5123" max="5123" width="1.21875" style="2768" customWidth="1"/>
    <col min="5124" max="5124" width="10" style="2768" customWidth="1"/>
    <col min="5125" max="5125" width="1.21875" style="2768" customWidth="1"/>
    <col min="5126" max="5126" width="9.109375" style="2768" customWidth="1"/>
    <col min="5127" max="5127" width="1.21875" style="2768" customWidth="1"/>
    <col min="5128" max="5128" width="11.21875" style="2768" customWidth="1"/>
    <col min="5129" max="5129" width="1.21875" style="2768" customWidth="1"/>
    <col min="5130" max="5130" width="9.109375" style="2768" customWidth="1"/>
    <col min="5131" max="5131" width="1.77734375" style="2768" customWidth="1"/>
    <col min="5132" max="5132" width="11" style="2768" customWidth="1"/>
    <col min="5133" max="5133" width="1.21875" style="2768" customWidth="1"/>
    <col min="5134" max="5134" width="10.77734375" style="2768" customWidth="1"/>
    <col min="5135" max="5135" width="1.21875" style="2768" customWidth="1"/>
    <col min="5136" max="5136" width="10" style="2768" customWidth="1"/>
    <col min="5137" max="5137" width="1.21875" style="2768" customWidth="1"/>
    <col min="5138" max="5138" width="9.21875" style="2768" customWidth="1"/>
    <col min="5139" max="5139" width="1.21875" style="2768" customWidth="1"/>
    <col min="5140" max="5140" width="7.77734375" style="2768" customWidth="1"/>
    <col min="5141" max="5141" width="1.21875" style="2768" customWidth="1"/>
    <col min="5142" max="5142" width="0.77734375" style="2768" customWidth="1"/>
    <col min="5143" max="5143" width="9.21875" style="2768" customWidth="1"/>
    <col min="5144" max="5144" width="1.21875" style="2768" customWidth="1"/>
    <col min="5145" max="5145" width="0.77734375" style="2768" customWidth="1"/>
    <col min="5146" max="5146" width="9.5546875" style="2768" bestFit="1" customWidth="1"/>
    <col min="5147" max="5148" width="0.77734375" style="2768" customWidth="1"/>
    <col min="5149" max="5149" width="9.77734375" style="2768" customWidth="1"/>
    <col min="5150" max="5150" width="1.109375" style="2768" customWidth="1"/>
    <col min="5151" max="5151" width="8.5546875" style="2768" customWidth="1"/>
    <col min="5152" max="5152" width="14.5546875" style="2768" customWidth="1"/>
    <col min="5153" max="5153" width="10" style="2768" customWidth="1"/>
    <col min="5154" max="5154" width="7.77734375" style="2768" bestFit="1" customWidth="1"/>
    <col min="5155" max="5155" width="9.77734375" style="2768" customWidth="1"/>
    <col min="5156" max="5372" width="8.77734375" style="2768"/>
    <col min="5373" max="5373" width="38.44140625" style="2768" customWidth="1"/>
    <col min="5374" max="5374" width="8.5546875" style="2768" customWidth="1"/>
    <col min="5375" max="5375" width="1.21875" style="2768" customWidth="1"/>
    <col min="5376" max="5376" width="8.77734375" style="2768" customWidth="1"/>
    <col min="5377" max="5377" width="1.21875" style="2768" customWidth="1"/>
    <col min="5378" max="5378" width="9.21875" style="2768" customWidth="1"/>
    <col min="5379" max="5379" width="1.21875" style="2768" customWidth="1"/>
    <col min="5380" max="5380" width="10" style="2768" customWidth="1"/>
    <col min="5381" max="5381" width="1.21875" style="2768" customWidth="1"/>
    <col min="5382" max="5382" width="9.109375" style="2768" customWidth="1"/>
    <col min="5383" max="5383" width="1.21875" style="2768" customWidth="1"/>
    <col min="5384" max="5384" width="11.21875" style="2768" customWidth="1"/>
    <col min="5385" max="5385" width="1.21875" style="2768" customWidth="1"/>
    <col min="5386" max="5386" width="9.109375" style="2768" customWidth="1"/>
    <col min="5387" max="5387" width="1.77734375" style="2768" customWidth="1"/>
    <col min="5388" max="5388" width="11" style="2768" customWidth="1"/>
    <col min="5389" max="5389" width="1.21875" style="2768" customWidth="1"/>
    <col min="5390" max="5390" width="10.77734375" style="2768" customWidth="1"/>
    <col min="5391" max="5391" width="1.21875" style="2768" customWidth="1"/>
    <col min="5392" max="5392" width="10" style="2768" customWidth="1"/>
    <col min="5393" max="5393" width="1.21875" style="2768" customWidth="1"/>
    <col min="5394" max="5394" width="9.21875" style="2768" customWidth="1"/>
    <col min="5395" max="5395" width="1.21875" style="2768" customWidth="1"/>
    <col min="5396" max="5396" width="7.77734375" style="2768" customWidth="1"/>
    <col min="5397" max="5397" width="1.21875" style="2768" customWidth="1"/>
    <col min="5398" max="5398" width="0.77734375" style="2768" customWidth="1"/>
    <col min="5399" max="5399" width="9.21875" style="2768" customWidth="1"/>
    <col min="5400" max="5400" width="1.21875" style="2768" customWidth="1"/>
    <col min="5401" max="5401" width="0.77734375" style="2768" customWidth="1"/>
    <col min="5402" max="5402" width="9.5546875" style="2768" bestFit="1" customWidth="1"/>
    <col min="5403" max="5404" width="0.77734375" style="2768" customWidth="1"/>
    <col min="5405" max="5405" width="9.77734375" style="2768" customWidth="1"/>
    <col min="5406" max="5406" width="1.109375" style="2768" customWidth="1"/>
    <col min="5407" max="5407" width="8.5546875" style="2768" customWidth="1"/>
    <col min="5408" max="5408" width="14.5546875" style="2768" customWidth="1"/>
    <col min="5409" max="5409" width="10" style="2768" customWidth="1"/>
    <col min="5410" max="5410" width="7.77734375" style="2768" bestFit="1" customWidth="1"/>
    <col min="5411" max="5411" width="9.77734375" style="2768" customWidth="1"/>
    <col min="5412" max="5628" width="8.77734375" style="2768"/>
    <col min="5629" max="5629" width="38.44140625" style="2768" customWidth="1"/>
    <col min="5630" max="5630" width="8.5546875" style="2768" customWidth="1"/>
    <col min="5631" max="5631" width="1.21875" style="2768" customWidth="1"/>
    <col min="5632" max="5632" width="8.77734375" style="2768" customWidth="1"/>
    <col min="5633" max="5633" width="1.21875" style="2768" customWidth="1"/>
    <col min="5634" max="5634" width="9.21875" style="2768" customWidth="1"/>
    <col min="5635" max="5635" width="1.21875" style="2768" customWidth="1"/>
    <col min="5636" max="5636" width="10" style="2768" customWidth="1"/>
    <col min="5637" max="5637" width="1.21875" style="2768" customWidth="1"/>
    <col min="5638" max="5638" width="9.109375" style="2768" customWidth="1"/>
    <col min="5639" max="5639" width="1.21875" style="2768" customWidth="1"/>
    <col min="5640" max="5640" width="11.21875" style="2768" customWidth="1"/>
    <col min="5641" max="5641" width="1.21875" style="2768" customWidth="1"/>
    <col min="5642" max="5642" width="9.109375" style="2768" customWidth="1"/>
    <col min="5643" max="5643" width="1.77734375" style="2768" customWidth="1"/>
    <col min="5644" max="5644" width="11" style="2768" customWidth="1"/>
    <col min="5645" max="5645" width="1.21875" style="2768" customWidth="1"/>
    <col min="5646" max="5646" width="10.77734375" style="2768" customWidth="1"/>
    <col min="5647" max="5647" width="1.21875" style="2768" customWidth="1"/>
    <col min="5648" max="5648" width="10" style="2768" customWidth="1"/>
    <col min="5649" max="5649" width="1.21875" style="2768" customWidth="1"/>
    <col min="5650" max="5650" width="9.21875" style="2768" customWidth="1"/>
    <col min="5651" max="5651" width="1.21875" style="2768" customWidth="1"/>
    <col min="5652" max="5652" width="7.77734375" style="2768" customWidth="1"/>
    <col min="5653" max="5653" width="1.21875" style="2768" customWidth="1"/>
    <col min="5654" max="5654" width="0.77734375" style="2768" customWidth="1"/>
    <col min="5655" max="5655" width="9.21875" style="2768" customWidth="1"/>
    <col min="5656" max="5656" width="1.21875" style="2768" customWidth="1"/>
    <col min="5657" max="5657" width="0.77734375" style="2768" customWidth="1"/>
    <col min="5658" max="5658" width="9.5546875" style="2768" bestFit="1" customWidth="1"/>
    <col min="5659" max="5660" width="0.77734375" style="2768" customWidth="1"/>
    <col min="5661" max="5661" width="9.77734375" style="2768" customWidth="1"/>
    <col min="5662" max="5662" width="1.109375" style="2768" customWidth="1"/>
    <col min="5663" max="5663" width="8.5546875" style="2768" customWidth="1"/>
    <col min="5664" max="5664" width="14.5546875" style="2768" customWidth="1"/>
    <col min="5665" max="5665" width="10" style="2768" customWidth="1"/>
    <col min="5666" max="5666" width="7.77734375" style="2768" bestFit="1" customWidth="1"/>
    <col min="5667" max="5667" width="9.77734375" style="2768" customWidth="1"/>
    <col min="5668" max="5884" width="8.77734375" style="2768"/>
    <col min="5885" max="5885" width="38.44140625" style="2768" customWidth="1"/>
    <col min="5886" max="5886" width="8.5546875" style="2768" customWidth="1"/>
    <col min="5887" max="5887" width="1.21875" style="2768" customWidth="1"/>
    <col min="5888" max="5888" width="8.77734375" style="2768" customWidth="1"/>
    <col min="5889" max="5889" width="1.21875" style="2768" customWidth="1"/>
    <col min="5890" max="5890" width="9.21875" style="2768" customWidth="1"/>
    <col min="5891" max="5891" width="1.21875" style="2768" customWidth="1"/>
    <col min="5892" max="5892" width="10" style="2768" customWidth="1"/>
    <col min="5893" max="5893" width="1.21875" style="2768" customWidth="1"/>
    <col min="5894" max="5894" width="9.109375" style="2768" customWidth="1"/>
    <col min="5895" max="5895" width="1.21875" style="2768" customWidth="1"/>
    <col min="5896" max="5896" width="11.21875" style="2768" customWidth="1"/>
    <col min="5897" max="5897" width="1.21875" style="2768" customWidth="1"/>
    <col min="5898" max="5898" width="9.109375" style="2768" customWidth="1"/>
    <col min="5899" max="5899" width="1.77734375" style="2768" customWidth="1"/>
    <col min="5900" max="5900" width="11" style="2768" customWidth="1"/>
    <col min="5901" max="5901" width="1.21875" style="2768" customWidth="1"/>
    <col min="5902" max="5902" width="10.77734375" style="2768" customWidth="1"/>
    <col min="5903" max="5903" width="1.21875" style="2768" customWidth="1"/>
    <col min="5904" max="5904" width="10" style="2768" customWidth="1"/>
    <col min="5905" max="5905" width="1.21875" style="2768" customWidth="1"/>
    <col min="5906" max="5906" width="9.21875" style="2768" customWidth="1"/>
    <col min="5907" max="5907" width="1.21875" style="2768" customWidth="1"/>
    <col min="5908" max="5908" width="7.77734375" style="2768" customWidth="1"/>
    <col min="5909" max="5909" width="1.21875" style="2768" customWidth="1"/>
    <col min="5910" max="5910" width="0.77734375" style="2768" customWidth="1"/>
    <col min="5911" max="5911" width="9.21875" style="2768" customWidth="1"/>
    <col min="5912" max="5912" width="1.21875" style="2768" customWidth="1"/>
    <col min="5913" max="5913" width="0.77734375" style="2768" customWidth="1"/>
    <col min="5914" max="5914" width="9.5546875" style="2768" bestFit="1" customWidth="1"/>
    <col min="5915" max="5916" width="0.77734375" style="2768" customWidth="1"/>
    <col min="5917" max="5917" width="9.77734375" style="2768" customWidth="1"/>
    <col min="5918" max="5918" width="1.109375" style="2768" customWidth="1"/>
    <col min="5919" max="5919" width="8.5546875" style="2768" customWidth="1"/>
    <col min="5920" max="5920" width="14.5546875" style="2768" customWidth="1"/>
    <col min="5921" max="5921" width="10" style="2768" customWidth="1"/>
    <col min="5922" max="5922" width="7.77734375" style="2768" bestFit="1" customWidth="1"/>
    <col min="5923" max="5923" width="9.77734375" style="2768" customWidth="1"/>
    <col min="5924" max="6140" width="8.77734375" style="2768"/>
    <col min="6141" max="6141" width="38.44140625" style="2768" customWidth="1"/>
    <col min="6142" max="6142" width="8.5546875" style="2768" customWidth="1"/>
    <col min="6143" max="6143" width="1.21875" style="2768" customWidth="1"/>
    <col min="6144" max="6144" width="8.77734375" style="2768" customWidth="1"/>
    <col min="6145" max="6145" width="1.21875" style="2768" customWidth="1"/>
    <col min="6146" max="6146" width="9.21875" style="2768" customWidth="1"/>
    <col min="6147" max="6147" width="1.21875" style="2768" customWidth="1"/>
    <col min="6148" max="6148" width="10" style="2768" customWidth="1"/>
    <col min="6149" max="6149" width="1.21875" style="2768" customWidth="1"/>
    <col min="6150" max="6150" width="9.109375" style="2768" customWidth="1"/>
    <col min="6151" max="6151" width="1.21875" style="2768" customWidth="1"/>
    <col min="6152" max="6152" width="11.21875" style="2768" customWidth="1"/>
    <col min="6153" max="6153" width="1.21875" style="2768" customWidth="1"/>
    <col min="6154" max="6154" width="9.109375" style="2768" customWidth="1"/>
    <col min="6155" max="6155" width="1.77734375" style="2768" customWidth="1"/>
    <col min="6156" max="6156" width="11" style="2768" customWidth="1"/>
    <col min="6157" max="6157" width="1.21875" style="2768" customWidth="1"/>
    <col min="6158" max="6158" width="10.77734375" style="2768" customWidth="1"/>
    <col min="6159" max="6159" width="1.21875" style="2768" customWidth="1"/>
    <col min="6160" max="6160" width="10" style="2768" customWidth="1"/>
    <col min="6161" max="6161" width="1.21875" style="2768" customWidth="1"/>
    <col min="6162" max="6162" width="9.21875" style="2768" customWidth="1"/>
    <col min="6163" max="6163" width="1.21875" style="2768" customWidth="1"/>
    <col min="6164" max="6164" width="7.77734375" style="2768" customWidth="1"/>
    <col min="6165" max="6165" width="1.21875" style="2768" customWidth="1"/>
    <col min="6166" max="6166" width="0.77734375" style="2768" customWidth="1"/>
    <col min="6167" max="6167" width="9.21875" style="2768" customWidth="1"/>
    <col min="6168" max="6168" width="1.21875" style="2768" customWidth="1"/>
    <col min="6169" max="6169" width="0.77734375" style="2768" customWidth="1"/>
    <col min="6170" max="6170" width="9.5546875" style="2768" bestFit="1" customWidth="1"/>
    <col min="6171" max="6172" width="0.77734375" style="2768" customWidth="1"/>
    <col min="6173" max="6173" width="9.77734375" style="2768" customWidth="1"/>
    <col min="6174" max="6174" width="1.109375" style="2768" customWidth="1"/>
    <col min="6175" max="6175" width="8.5546875" style="2768" customWidth="1"/>
    <col min="6176" max="6176" width="14.5546875" style="2768" customWidth="1"/>
    <col min="6177" max="6177" width="10" style="2768" customWidth="1"/>
    <col min="6178" max="6178" width="7.77734375" style="2768" bestFit="1" customWidth="1"/>
    <col min="6179" max="6179" width="9.77734375" style="2768" customWidth="1"/>
    <col min="6180" max="6396" width="8.77734375" style="2768"/>
    <col min="6397" max="6397" width="38.44140625" style="2768" customWidth="1"/>
    <col min="6398" max="6398" width="8.5546875" style="2768" customWidth="1"/>
    <col min="6399" max="6399" width="1.21875" style="2768" customWidth="1"/>
    <col min="6400" max="6400" width="8.77734375" style="2768" customWidth="1"/>
    <col min="6401" max="6401" width="1.21875" style="2768" customWidth="1"/>
    <col min="6402" max="6402" width="9.21875" style="2768" customWidth="1"/>
    <col min="6403" max="6403" width="1.21875" style="2768" customWidth="1"/>
    <col min="6404" max="6404" width="10" style="2768" customWidth="1"/>
    <col min="6405" max="6405" width="1.21875" style="2768" customWidth="1"/>
    <col min="6406" max="6406" width="9.109375" style="2768" customWidth="1"/>
    <col min="6407" max="6407" width="1.21875" style="2768" customWidth="1"/>
    <col min="6408" max="6408" width="11.21875" style="2768" customWidth="1"/>
    <col min="6409" max="6409" width="1.21875" style="2768" customWidth="1"/>
    <col min="6410" max="6410" width="9.109375" style="2768" customWidth="1"/>
    <col min="6411" max="6411" width="1.77734375" style="2768" customWidth="1"/>
    <col min="6412" max="6412" width="11" style="2768" customWidth="1"/>
    <col min="6413" max="6413" width="1.21875" style="2768" customWidth="1"/>
    <col min="6414" max="6414" width="10.77734375" style="2768" customWidth="1"/>
    <col min="6415" max="6415" width="1.21875" style="2768" customWidth="1"/>
    <col min="6416" max="6416" width="10" style="2768" customWidth="1"/>
    <col min="6417" max="6417" width="1.21875" style="2768" customWidth="1"/>
    <col min="6418" max="6418" width="9.21875" style="2768" customWidth="1"/>
    <col min="6419" max="6419" width="1.21875" style="2768" customWidth="1"/>
    <col min="6420" max="6420" width="7.77734375" style="2768" customWidth="1"/>
    <col min="6421" max="6421" width="1.21875" style="2768" customWidth="1"/>
    <col min="6422" max="6422" width="0.77734375" style="2768" customWidth="1"/>
    <col min="6423" max="6423" width="9.21875" style="2768" customWidth="1"/>
    <col min="6424" max="6424" width="1.21875" style="2768" customWidth="1"/>
    <col min="6425" max="6425" width="0.77734375" style="2768" customWidth="1"/>
    <col min="6426" max="6426" width="9.5546875" style="2768" bestFit="1" customWidth="1"/>
    <col min="6427" max="6428" width="0.77734375" style="2768" customWidth="1"/>
    <col min="6429" max="6429" width="9.77734375" style="2768" customWidth="1"/>
    <col min="6430" max="6430" width="1.109375" style="2768" customWidth="1"/>
    <col min="6431" max="6431" width="8.5546875" style="2768" customWidth="1"/>
    <col min="6432" max="6432" width="14.5546875" style="2768" customWidth="1"/>
    <col min="6433" max="6433" width="10" style="2768" customWidth="1"/>
    <col min="6434" max="6434" width="7.77734375" style="2768" bestFit="1" customWidth="1"/>
    <col min="6435" max="6435" width="9.77734375" style="2768" customWidth="1"/>
    <col min="6436" max="6652" width="8.77734375" style="2768"/>
    <col min="6653" max="6653" width="38.44140625" style="2768" customWidth="1"/>
    <col min="6654" max="6654" width="8.5546875" style="2768" customWidth="1"/>
    <col min="6655" max="6655" width="1.21875" style="2768" customWidth="1"/>
    <col min="6656" max="6656" width="8.77734375" style="2768" customWidth="1"/>
    <col min="6657" max="6657" width="1.21875" style="2768" customWidth="1"/>
    <col min="6658" max="6658" width="9.21875" style="2768" customWidth="1"/>
    <col min="6659" max="6659" width="1.21875" style="2768" customWidth="1"/>
    <col min="6660" max="6660" width="10" style="2768" customWidth="1"/>
    <col min="6661" max="6661" width="1.21875" style="2768" customWidth="1"/>
    <col min="6662" max="6662" width="9.109375" style="2768" customWidth="1"/>
    <col min="6663" max="6663" width="1.21875" style="2768" customWidth="1"/>
    <col min="6664" max="6664" width="11.21875" style="2768" customWidth="1"/>
    <col min="6665" max="6665" width="1.21875" style="2768" customWidth="1"/>
    <col min="6666" max="6666" width="9.109375" style="2768" customWidth="1"/>
    <col min="6667" max="6667" width="1.77734375" style="2768" customWidth="1"/>
    <col min="6668" max="6668" width="11" style="2768" customWidth="1"/>
    <col min="6669" max="6669" width="1.21875" style="2768" customWidth="1"/>
    <col min="6670" max="6670" width="10.77734375" style="2768" customWidth="1"/>
    <col min="6671" max="6671" width="1.21875" style="2768" customWidth="1"/>
    <col min="6672" max="6672" width="10" style="2768" customWidth="1"/>
    <col min="6673" max="6673" width="1.21875" style="2768" customWidth="1"/>
    <col min="6674" max="6674" width="9.21875" style="2768" customWidth="1"/>
    <col min="6675" max="6675" width="1.21875" style="2768" customWidth="1"/>
    <col min="6676" max="6676" width="7.77734375" style="2768" customWidth="1"/>
    <col min="6677" max="6677" width="1.21875" style="2768" customWidth="1"/>
    <col min="6678" max="6678" width="0.77734375" style="2768" customWidth="1"/>
    <col min="6679" max="6679" width="9.21875" style="2768" customWidth="1"/>
    <col min="6680" max="6680" width="1.21875" style="2768" customWidth="1"/>
    <col min="6681" max="6681" width="0.77734375" style="2768" customWidth="1"/>
    <col min="6682" max="6682" width="9.5546875" style="2768" bestFit="1" customWidth="1"/>
    <col min="6683" max="6684" width="0.77734375" style="2768" customWidth="1"/>
    <col min="6685" max="6685" width="9.77734375" style="2768" customWidth="1"/>
    <col min="6686" max="6686" width="1.109375" style="2768" customWidth="1"/>
    <col min="6687" max="6687" width="8.5546875" style="2768" customWidth="1"/>
    <col min="6688" max="6688" width="14.5546875" style="2768" customWidth="1"/>
    <col min="6689" max="6689" width="10" style="2768" customWidth="1"/>
    <col min="6690" max="6690" width="7.77734375" style="2768" bestFit="1" customWidth="1"/>
    <col min="6691" max="6691" width="9.77734375" style="2768" customWidth="1"/>
    <col min="6692" max="6908" width="8.77734375" style="2768"/>
    <col min="6909" max="6909" width="38.44140625" style="2768" customWidth="1"/>
    <col min="6910" max="6910" width="8.5546875" style="2768" customWidth="1"/>
    <col min="6911" max="6911" width="1.21875" style="2768" customWidth="1"/>
    <col min="6912" max="6912" width="8.77734375" style="2768" customWidth="1"/>
    <col min="6913" max="6913" width="1.21875" style="2768" customWidth="1"/>
    <col min="6914" max="6914" width="9.21875" style="2768" customWidth="1"/>
    <col min="6915" max="6915" width="1.21875" style="2768" customWidth="1"/>
    <col min="6916" max="6916" width="10" style="2768" customWidth="1"/>
    <col min="6917" max="6917" width="1.21875" style="2768" customWidth="1"/>
    <col min="6918" max="6918" width="9.109375" style="2768" customWidth="1"/>
    <col min="6919" max="6919" width="1.21875" style="2768" customWidth="1"/>
    <col min="6920" max="6920" width="11.21875" style="2768" customWidth="1"/>
    <col min="6921" max="6921" width="1.21875" style="2768" customWidth="1"/>
    <col min="6922" max="6922" width="9.109375" style="2768" customWidth="1"/>
    <col min="6923" max="6923" width="1.77734375" style="2768" customWidth="1"/>
    <col min="6924" max="6924" width="11" style="2768" customWidth="1"/>
    <col min="6925" max="6925" width="1.21875" style="2768" customWidth="1"/>
    <col min="6926" max="6926" width="10.77734375" style="2768" customWidth="1"/>
    <col min="6927" max="6927" width="1.21875" style="2768" customWidth="1"/>
    <col min="6928" max="6928" width="10" style="2768" customWidth="1"/>
    <col min="6929" max="6929" width="1.21875" style="2768" customWidth="1"/>
    <col min="6930" max="6930" width="9.21875" style="2768" customWidth="1"/>
    <col min="6931" max="6931" width="1.21875" style="2768" customWidth="1"/>
    <col min="6932" max="6932" width="7.77734375" style="2768" customWidth="1"/>
    <col min="6933" max="6933" width="1.21875" style="2768" customWidth="1"/>
    <col min="6934" max="6934" width="0.77734375" style="2768" customWidth="1"/>
    <col min="6935" max="6935" width="9.21875" style="2768" customWidth="1"/>
    <col min="6936" max="6936" width="1.21875" style="2768" customWidth="1"/>
    <col min="6937" max="6937" width="0.77734375" style="2768" customWidth="1"/>
    <col min="6938" max="6938" width="9.5546875" style="2768" bestFit="1" customWidth="1"/>
    <col min="6939" max="6940" width="0.77734375" style="2768" customWidth="1"/>
    <col min="6941" max="6941" width="9.77734375" style="2768" customWidth="1"/>
    <col min="6942" max="6942" width="1.109375" style="2768" customWidth="1"/>
    <col min="6943" max="6943" width="8.5546875" style="2768" customWidth="1"/>
    <col min="6944" max="6944" width="14.5546875" style="2768" customWidth="1"/>
    <col min="6945" max="6945" width="10" style="2768" customWidth="1"/>
    <col min="6946" max="6946" width="7.77734375" style="2768" bestFit="1" customWidth="1"/>
    <col min="6947" max="6947" width="9.77734375" style="2768" customWidth="1"/>
    <col min="6948" max="7164" width="8.77734375" style="2768"/>
    <col min="7165" max="7165" width="38.44140625" style="2768" customWidth="1"/>
    <col min="7166" max="7166" width="8.5546875" style="2768" customWidth="1"/>
    <col min="7167" max="7167" width="1.21875" style="2768" customWidth="1"/>
    <col min="7168" max="7168" width="8.77734375" style="2768" customWidth="1"/>
    <col min="7169" max="7169" width="1.21875" style="2768" customWidth="1"/>
    <col min="7170" max="7170" width="9.21875" style="2768" customWidth="1"/>
    <col min="7171" max="7171" width="1.21875" style="2768" customWidth="1"/>
    <col min="7172" max="7172" width="10" style="2768" customWidth="1"/>
    <col min="7173" max="7173" width="1.21875" style="2768" customWidth="1"/>
    <col min="7174" max="7174" width="9.109375" style="2768" customWidth="1"/>
    <col min="7175" max="7175" width="1.21875" style="2768" customWidth="1"/>
    <col min="7176" max="7176" width="11.21875" style="2768" customWidth="1"/>
    <col min="7177" max="7177" width="1.21875" style="2768" customWidth="1"/>
    <col min="7178" max="7178" width="9.109375" style="2768" customWidth="1"/>
    <col min="7179" max="7179" width="1.77734375" style="2768" customWidth="1"/>
    <col min="7180" max="7180" width="11" style="2768" customWidth="1"/>
    <col min="7181" max="7181" width="1.21875" style="2768" customWidth="1"/>
    <col min="7182" max="7182" width="10.77734375" style="2768" customWidth="1"/>
    <col min="7183" max="7183" width="1.21875" style="2768" customWidth="1"/>
    <col min="7184" max="7184" width="10" style="2768" customWidth="1"/>
    <col min="7185" max="7185" width="1.21875" style="2768" customWidth="1"/>
    <col min="7186" max="7186" width="9.21875" style="2768" customWidth="1"/>
    <col min="7187" max="7187" width="1.21875" style="2768" customWidth="1"/>
    <col min="7188" max="7188" width="7.77734375" style="2768" customWidth="1"/>
    <col min="7189" max="7189" width="1.21875" style="2768" customWidth="1"/>
    <col min="7190" max="7190" width="0.77734375" style="2768" customWidth="1"/>
    <col min="7191" max="7191" width="9.21875" style="2768" customWidth="1"/>
    <col min="7192" max="7192" width="1.21875" style="2768" customWidth="1"/>
    <col min="7193" max="7193" width="0.77734375" style="2768" customWidth="1"/>
    <col min="7194" max="7194" width="9.5546875" style="2768" bestFit="1" customWidth="1"/>
    <col min="7195" max="7196" width="0.77734375" style="2768" customWidth="1"/>
    <col min="7197" max="7197" width="9.77734375" style="2768" customWidth="1"/>
    <col min="7198" max="7198" width="1.109375" style="2768" customWidth="1"/>
    <col min="7199" max="7199" width="8.5546875" style="2768" customWidth="1"/>
    <col min="7200" max="7200" width="14.5546875" style="2768" customWidth="1"/>
    <col min="7201" max="7201" width="10" style="2768" customWidth="1"/>
    <col min="7202" max="7202" width="7.77734375" style="2768" bestFit="1" customWidth="1"/>
    <col min="7203" max="7203" width="9.77734375" style="2768" customWidth="1"/>
    <col min="7204" max="7420" width="8.77734375" style="2768"/>
    <col min="7421" max="7421" width="38.44140625" style="2768" customWidth="1"/>
    <col min="7422" max="7422" width="8.5546875" style="2768" customWidth="1"/>
    <col min="7423" max="7423" width="1.21875" style="2768" customWidth="1"/>
    <col min="7424" max="7424" width="8.77734375" style="2768" customWidth="1"/>
    <col min="7425" max="7425" width="1.21875" style="2768" customWidth="1"/>
    <col min="7426" max="7426" width="9.21875" style="2768" customWidth="1"/>
    <col min="7427" max="7427" width="1.21875" style="2768" customWidth="1"/>
    <col min="7428" max="7428" width="10" style="2768" customWidth="1"/>
    <col min="7429" max="7429" width="1.21875" style="2768" customWidth="1"/>
    <col min="7430" max="7430" width="9.109375" style="2768" customWidth="1"/>
    <col min="7431" max="7431" width="1.21875" style="2768" customWidth="1"/>
    <col min="7432" max="7432" width="11.21875" style="2768" customWidth="1"/>
    <col min="7433" max="7433" width="1.21875" style="2768" customWidth="1"/>
    <col min="7434" max="7434" width="9.109375" style="2768" customWidth="1"/>
    <col min="7435" max="7435" width="1.77734375" style="2768" customWidth="1"/>
    <col min="7436" max="7436" width="11" style="2768" customWidth="1"/>
    <col min="7437" max="7437" width="1.21875" style="2768" customWidth="1"/>
    <col min="7438" max="7438" width="10.77734375" style="2768" customWidth="1"/>
    <col min="7439" max="7439" width="1.21875" style="2768" customWidth="1"/>
    <col min="7440" max="7440" width="10" style="2768" customWidth="1"/>
    <col min="7441" max="7441" width="1.21875" style="2768" customWidth="1"/>
    <col min="7442" max="7442" width="9.21875" style="2768" customWidth="1"/>
    <col min="7443" max="7443" width="1.21875" style="2768" customWidth="1"/>
    <col min="7444" max="7444" width="7.77734375" style="2768" customWidth="1"/>
    <col min="7445" max="7445" width="1.21875" style="2768" customWidth="1"/>
    <col min="7446" max="7446" width="0.77734375" style="2768" customWidth="1"/>
    <col min="7447" max="7447" width="9.21875" style="2768" customWidth="1"/>
    <col min="7448" max="7448" width="1.21875" style="2768" customWidth="1"/>
    <col min="7449" max="7449" width="0.77734375" style="2768" customWidth="1"/>
    <col min="7450" max="7450" width="9.5546875" style="2768" bestFit="1" customWidth="1"/>
    <col min="7451" max="7452" width="0.77734375" style="2768" customWidth="1"/>
    <col min="7453" max="7453" width="9.77734375" style="2768" customWidth="1"/>
    <col min="7454" max="7454" width="1.109375" style="2768" customWidth="1"/>
    <col min="7455" max="7455" width="8.5546875" style="2768" customWidth="1"/>
    <col min="7456" max="7456" width="14.5546875" style="2768" customWidth="1"/>
    <col min="7457" max="7457" width="10" style="2768" customWidth="1"/>
    <col min="7458" max="7458" width="7.77734375" style="2768" bestFit="1" customWidth="1"/>
    <col min="7459" max="7459" width="9.77734375" style="2768" customWidth="1"/>
    <col min="7460" max="7676" width="8.77734375" style="2768"/>
    <col min="7677" max="7677" width="38.44140625" style="2768" customWidth="1"/>
    <col min="7678" max="7678" width="8.5546875" style="2768" customWidth="1"/>
    <col min="7679" max="7679" width="1.21875" style="2768" customWidth="1"/>
    <col min="7680" max="7680" width="8.77734375" style="2768" customWidth="1"/>
    <col min="7681" max="7681" width="1.21875" style="2768" customWidth="1"/>
    <col min="7682" max="7682" width="9.21875" style="2768" customWidth="1"/>
    <col min="7683" max="7683" width="1.21875" style="2768" customWidth="1"/>
    <col min="7684" max="7684" width="10" style="2768" customWidth="1"/>
    <col min="7685" max="7685" width="1.21875" style="2768" customWidth="1"/>
    <col min="7686" max="7686" width="9.109375" style="2768" customWidth="1"/>
    <col min="7687" max="7687" width="1.21875" style="2768" customWidth="1"/>
    <col min="7688" max="7688" width="11.21875" style="2768" customWidth="1"/>
    <col min="7689" max="7689" width="1.21875" style="2768" customWidth="1"/>
    <col min="7690" max="7690" width="9.109375" style="2768" customWidth="1"/>
    <col min="7691" max="7691" width="1.77734375" style="2768" customWidth="1"/>
    <col min="7692" max="7692" width="11" style="2768" customWidth="1"/>
    <col min="7693" max="7693" width="1.21875" style="2768" customWidth="1"/>
    <col min="7694" max="7694" width="10.77734375" style="2768" customWidth="1"/>
    <col min="7695" max="7695" width="1.21875" style="2768" customWidth="1"/>
    <col min="7696" max="7696" width="10" style="2768" customWidth="1"/>
    <col min="7697" max="7697" width="1.21875" style="2768" customWidth="1"/>
    <col min="7698" max="7698" width="9.21875" style="2768" customWidth="1"/>
    <col min="7699" max="7699" width="1.21875" style="2768" customWidth="1"/>
    <col min="7700" max="7700" width="7.77734375" style="2768" customWidth="1"/>
    <col min="7701" max="7701" width="1.21875" style="2768" customWidth="1"/>
    <col min="7702" max="7702" width="0.77734375" style="2768" customWidth="1"/>
    <col min="7703" max="7703" width="9.21875" style="2768" customWidth="1"/>
    <col min="7704" max="7704" width="1.21875" style="2768" customWidth="1"/>
    <col min="7705" max="7705" width="0.77734375" style="2768" customWidth="1"/>
    <col min="7706" max="7706" width="9.5546875" style="2768" bestFit="1" customWidth="1"/>
    <col min="7707" max="7708" width="0.77734375" style="2768" customWidth="1"/>
    <col min="7709" max="7709" width="9.77734375" style="2768" customWidth="1"/>
    <col min="7710" max="7710" width="1.109375" style="2768" customWidth="1"/>
    <col min="7711" max="7711" width="8.5546875" style="2768" customWidth="1"/>
    <col min="7712" max="7712" width="14.5546875" style="2768" customWidth="1"/>
    <col min="7713" max="7713" width="10" style="2768" customWidth="1"/>
    <col min="7714" max="7714" width="7.77734375" style="2768" bestFit="1" customWidth="1"/>
    <col min="7715" max="7715" width="9.77734375" style="2768" customWidth="1"/>
    <col min="7716" max="7932" width="8.77734375" style="2768"/>
    <col min="7933" max="7933" width="38.44140625" style="2768" customWidth="1"/>
    <col min="7934" max="7934" width="8.5546875" style="2768" customWidth="1"/>
    <col min="7935" max="7935" width="1.21875" style="2768" customWidth="1"/>
    <col min="7936" max="7936" width="8.77734375" style="2768" customWidth="1"/>
    <col min="7937" max="7937" width="1.21875" style="2768" customWidth="1"/>
    <col min="7938" max="7938" width="9.21875" style="2768" customWidth="1"/>
    <col min="7939" max="7939" width="1.21875" style="2768" customWidth="1"/>
    <col min="7940" max="7940" width="10" style="2768" customWidth="1"/>
    <col min="7941" max="7941" width="1.21875" style="2768" customWidth="1"/>
    <col min="7942" max="7942" width="9.109375" style="2768" customWidth="1"/>
    <col min="7943" max="7943" width="1.21875" style="2768" customWidth="1"/>
    <col min="7944" max="7944" width="11.21875" style="2768" customWidth="1"/>
    <col min="7945" max="7945" width="1.21875" style="2768" customWidth="1"/>
    <col min="7946" max="7946" width="9.109375" style="2768" customWidth="1"/>
    <col min="7947" max="7947" width="1.77734375" style="2768" customWidth="1"/>
    <col min="7948" max="7948" width="11" style="2768" customWidth="1"/>
    <col min="7949" max="7949" width="1.21875" style="2768" customWidth="1"/>
    <col min="7950" max="7950" width="10.77734375" style="2768" customWidth="1"/>
    <col min="7951" max="7951" width="1.21875" style="2768" customWidth="1"/>
    <col min="7952" max="7952" width="10" style="2768" customWidth="1"/>
    <col min="7953" max="7953" width="1.21875" style="2768" customWidth="1"/>
    <col min="7954" max="7954" width="9.21875" style="2768" customWidth="1"/>
    <col min="7955" max="7955" width="1.21875" style="2768" customWidth="1"/>
    <col min="7956" max="7956" width="7.77734375" style="2768" customWidth="1"/>
    <col min="7957" max="7957" width="1.21875" style="2768" customWidth="1"/>
    <col min="7958" max="7958" width="0.77734375" style="2768" customWidth="1"/>
    <col min="7959" max="7959" width="9.21875" style="2768" customWidth="1"/>
    <col min="7960" max="7960" width="1.21875" style="2768" customWidth="1"/>
    <col min="7961" max="7961" width="0.77734375" style="2768" customWidth="1"/>
    <col min="7962" max="7962" width="9.5546875" style="2768" bestFit="1" customWidth="1"/>
    <col min="7963" max="7964" width="0.77734375" style="2768" customWidth="1"/>
    <col min="7965" max="7965" width="9.77734375" style="2768" customWidth="1"/>
    <col min="7966" max="7966" width="1.109375" style="2768" customWidth="1"/>
    <col min="7967" max="7967" width="8.5546875" style="2768" customWidth="1"/>
    <col min="7968" max="7968" width="14.5546875" style="2768" customWidth="1"/>
    <col min="7969" max="7969" width="10" style="2768" customWidth="1"/>
    <col min="7970" max="7970" width="7.77734375" style="2768" bestFit="1" customWidth="1"/>
    <col min="7971" max="7971" width="9.77734375" style="2768" customWidth="1"/>
    <col min="7972" max="8188" width="8.77734375" style="2768"/>
    <col min="8189" max="8189" width="38.44140625" style="2768" customWidth="1"/>
    <col min="8190" max="8190" width="8.5546875" style="2768" customWidth="1"/>
    <col min="8191" max="8191" width="1.21875" style="2768" customWidth="1"/>
    <col min="8192" max="8192" width="8.77734375" style="2768" customWidth="1"/>
    <col min="8193" max="8193" width="1.21875" style="2768" customWidth="1"/>
    <col min="8194" max="8194" width="9.21875" style="2768" customWidth="1"/>
    <col min="8195" max="8195" width="1.21875" style="2768" customWidth="1"/>
    <col min="8196" max="8196" width="10" style="2768" customWidth="1"/>
    <col min="8197" max="8197" width="1.21875" style="2768" customWidth="1"/>
    <col min="8198" max="8198" width="9.109375" style="2768" customWidth="1"/>
    <col min="8199" max="8199" width="1.21875" style="2768" customWidth="1"/>
    <col min="8200" max="8200" width="11.21875" style="2768" customWidth="1"/>
    <col min="8201" max="8201" width="1.21875" style="2768" customWidth="1"/>
    <col min="8202" max="8202" width="9.109375" style="2768" customWidth="1"/>
    <col min="8203" max="8203" width="1.77734375" style="2768" customWidth="1"/>
    <col min="8204" max="8204" width="11" style="2768" customWidth="1"/>
    <col min="8205" max="8205" width="1.21875" style="2768" customWidth="1"/>
    <col min="8206" max="8206" width="10.77734375" style="2768" customWidth="1"/>
    <col min="8207" max="8207" width="1.21875" style="2768" customWidth="1"/>
    <col min="8208" max="8208" width="10" style="2768" customWidth="1"/>
    <col min="8209" max="8209" width="1.21875" style="2768" customWidth="1"/>
    <col min="8210" max="8210" width="9.21875" style="2768" customWidth="1"/>
    <col min="8211" max="8211" width="1.21875" style="2768" customWidth="1"/>
    <col min="8212" max="8212" width="7.77734375" style="2768" customWidth="1"/>
    <col min="8213" max="8213" width="1.21875" style="2768" customWidth="1"/>
    <col min="8214" max="8214" width="0.77734375" style="2768" customWidth="1"/>
    <col min="8215" max="8215" width="9.21875" style="2768" customWidth="1"/>
    <col min="8216" max="8216" width="1.21875" style="2768" customWidth="1"/>
    <col min="8217" max="8217" width="0.77734375" style="2768" customWidth="1"/>
    <col min="8218" max="8218" width="9.5546875" style="2768" bestFit="1" customWidth="1"/>
    <col min="8219" max="8220" width="0.77734375" style="2768" customWidth="1"/>
    <col min="8221" max="8221" width="9.77734375" style="2768" customWidth="1"/>
    <col min="8222" max="8222" width="1.109375" style="2768" customWidth="1"/>
    <col min="8223" max="8223" width="8.5546875" style="2768" customWidth="1"/>
    <col min="8224" max="8224" width="14.5546875" style="2768" customWidth="1"/>
    <col min="8225" max="8225" width="10" style="2768" customWidth="1"/>
    <col min="8226" max="8226" width="7.77734375" style="2768" bestFit="1" customWidth="1"/>
    <col min="8227" max="8227" width="9.77734375" style="2768" customWidth="1"/>
    <col min="8228" max="8444" width="8.77734375" style="2768"/>
    <col min="8445" max="8445" width="38.44140625" style="2768" customWidth="1"/>
    <col min="8446" max="8446" width="8.5546875" style="2768" customWidth="1"/>
    <col min="8447" max="8447" width="1.21875" style="2768" customWidth="1"/>
    <col min="8448" max="8448" width="8.77734375" style="2768" customWidth="1"/>
    <col min="8449" max="8449" width="1.21875" style="2768" customWidth="1"/>
    <col min="8450" max="8450" width="9.21875" style="2768" customWidth="1"/>
    <col min="8451" max="8451" width="1.21875" style="2768" customWidth="1"/>
    <col min="8452" max="8452" width="10" style="2768" customWidth="1"/>
    <col min="8453" max="8453" width="1.21875" style="2768" customWidth="1"/>
    <col min="8454" max="8454" width="9.109375" style="2768" customWidth="1"/>
    <col min="8455" max="8455" width="1.21875" style="2768" customWidth="1"/>
    <col min="8456" max="8456" width="11.21875" style="2768" customWidth="1"/>
    <col min="8457" max="8457" width="1.21875" style="2768" customWidth="1"/>
    <col min="8458" max="8458" width="9.109375" style="2768" customWidth="1"/>
    <col min="8459" max="8459" width="1.77734375" style="2768" customWidth="1"/>
    <col min="8460" max="8460" width="11" style="2768" customWidth="1"/>
    <col min="8461" max="8461" width="1.21875" style="2768" customWidth="1"/>
    <col min="8462" max="8462" width="10.77734375" style="2768" customWidth="1"/>
    <col min="8463" max="8463" width="1.21875" style="2768" customWidth="1"/>
    <col min="8464" max="8464" width="10" style="2768" customWidth="1"/>
    <col min="8465" max="8465" width="1.21875" style="2768" customWidth="1"/>
    <col min="8466" max="8466" width="9.21875" style="2768" customWidth="1"/>
    <col min="8467" max="8467" width="1.21875" style="2768" customWidth="1"/>
    <col min="8468" max="8468" width="7.77734375" style="2768" customWidth="1"/>
    <col min="8469" max="8469" width="1.21875" style="2768" customWidth="1"/>
    <col min="8470" max="8470" width="0.77734375" style="2768" customWidth="1"/>
    <col min="8471" max="8471" width="9.21875" style="2768" customWidth="1"/>
    <col min="8472" max="8472" width="1.21875" style="2768" customWidth="1"/>
    <col min="8473" max="8473" width="0.77734375" style="2768" customWidth="1"/>
    <col min="8474" max="8474" width="9.5546875" style="2768" bestFit="1" customWidth="1"/>
    <col min="8475" max="8476" width="0.77734375" style="2768" customWidth="1"/>
    <col min="8477" max="8477" width="9.77734375" style="2768" customWidth="1"/>
    <col min="8478" max="8478" width="1.109375" style="2768" customWidth="1"/>
    <col min="8479" max="8479" width="8.5546875" style="2768" customWidth="1"/>
    <col min="8480" max="8480" width="14.5546875" style="2768" customWidth="1"/>
    <col min="8481" max="8481" width="10" style="2768" customWidth="1"/>
    <col min="8482" max="8482" width="7.77734375" style="2768" bestFit="1" customWidth="1"/>
    <col min="8483" max="8483" width="9.77734375" style="2768" customWidth="1"/>
    <col min="8484" max="8700" width="8.77734375" style="2768"/>
    <col min="8701" max="8701" width="38.44140625" style="2768" customWidth="1"/>
    <col min="8702" max="8702" width="8.5546875" style="2768" customWidth="1"/>
    <col min="8703" max="8703" width="1.21875" style="2768" customWidth="1"/>
    <col min="8704" max="8704" width="8.77734375" style="2768" customWidth="1"/>
    <col min="8705" max="8705" width="1.21875" style="2768" customWidth="1"/>
    <col min="8706" max="8706" width="9.21875" style="2768" customWidth="1"/>
    <col min="8707" max="8707" width="1.21875" style="2768" customWidth="1"/>
    <col min="8708" max="8708" width="10" style="2768" customWidth="1"/>
    <col min="8709" max="8709" width="1.21875" style="2768" customWidth="1"/>
    <col min="8710" max="8710" width="9.109375" style="2768" customWidth="1"/>
    <col min="8711" max="8711" width="1.21875" style="2768" customWidth="1"/>
    <col min="8712" max="8712" width="11.21875" style="2768" customWidth="1"/>
    <col min="8713" max="8713" width="1.21875" style="2768" customWidth="1"/>
    <col min="8714" max="8714" width="9.109375" style="2768" customWidth="1"/>
    <col min="8715" max="8715" width="1.77734375" style="2768" customWidth="1"/>
    <col min="8716" max="8716" width="11" style="2768" customWidth="1"/>
    <col min="8717" max="8717" width="1.21875" style="2768" customWidth="1"/>
    <col min="8718" max="8718" width="10.77734375" style="2768" customWidth="1"/>
    <col min="8719" max="8719" width="1.21875" style="2768" customWidth="1"/>
    <col min="8720" max="8720" width="10" style="2768" customWidth="1"/>
    <col min="8721" max="8721" width="1.21875" style="2768" customWidth="1"/>
    <col min="8722" max="8722" width="9.21875" style="2768" customWidth="1"/>
    <col min="8723" max="8723" width="1.21875" style="2768" customWidth="1"/>
    <col min="8724" max="8724" width="7.77734375" style="2768" customWidth="1"/>
    <col min="8725" max="8725" width="1.21875" style="2768" customWidth="1"/>
    <col min="8726" max="8726" width="0.77734375" style="2768" customWidth="1"/>
    <col min="8727" max="8727" width="9.21875" style="2768" customWidth="1"/>
    <col min="8728" max="8728" width="1.21875" style="2768" customWidth="1"/>
    <col min="8729" max="8729" width="0.77734375" style="2768" customWidth="1"/>
    <col min="8730" max="8730" width="9.5546875" style="2768" bestFit="1" customWidth="1"/>
    <col min="8731" max="8732" width="0.77734375" style="2768" customWidth="1"/>
    <col min="8733" max="8733" width="9.77734375" style="2768" customWidth="1"/>
    <col min="8734" max="8734" width="1.109375" style="2768" customWidth="1"/>
    <col min="8735" max="8735" width="8.5546875" style="2768" customWidth="1"/>
    <col min="8736" max="8736" width="14.5546875" style="2768" customWidth="1"/>
    <col min="8737" max="8737" width="10" style="2768" customWidth="1"/>
    <col min="8738" max="8738" width="7.77734375" style="2768" bestFit="1" customWidth="1"/>
    <col min="8739" max="8739" width="9.77734375" style="2768" customWidth="1"/>
    <col min="8740" max="8956" width="8.77734375" style="2768"/>
    <col min="8957" max="8957" width="38.44140625" style="2768" customWidth="1"/>
    <col min="8958" max="8958" width="8.5546875" style="2768" customWidth="1"/>
    <col min="8959" max="8959" width="1.21875" style="2768" customWidth="1"/>
    <col min="8960" max="8960" width="8.77734375" style="2768" customWidth="1"/>
    <col min="8961" max="8961" width="1.21875" style="2768" customWidth="1"/>
    <col min="8962" max="8962" width="9.21875" style="2768" customWidth="1"/>
    <col min="8963" max="8963" width="1.21875" style="2768" customWidth="1"/>
    <col min="8964" max="8964" width="10" style="2768" customWidth="1"/>
    <col min="8965" max="8965" width="1.21875" style="2768" customWidth="1"/>
    <col min="8966" max="8966" width="9.109375" style="2768" customWidth="1"/>
    <col min="8967" max="8967" width="1.21875" style="2768" customWidth="1"/>
    <col min="8968" max="8968" width="11.21875" style="2768" customWidth="1"/>
    <col min="8969" max="8969" width="1.21875" style="2768" customWidth="1"/>
    <col min="8970" max="8970" width="9.109375" style="2768" customWidth="1"/>
    <col min="8971" max="8971" width="1.77734375" style="2768" customWidth="1"/>
    <col min="8972" max="8972" width="11" style="2768" customWidth="1"/>
    <col min="8973" max="8973" width="1.21875" style="2768" customWidth="1"/>
    <col min="8974" max="8974" width="10.77734375" style="2768" customWidth="1"/>
    <col min="8975" max="8975" width="1.21875" style="2768" customWidth="1"/>
    <col min="8976" max="8976" width="10" style="2768" customWidth="1"/>
    <col min="8977" max="8977" width="1.21875" style="2768" customWidth="1"/>
    <col min="8978" max="8978" width="9.21875" style="2768" customWidth="1"/>
    <col min="8979" max="8979" width="1.21875" style="2768" customWidth="1"/>
    <col min="8980" max="8980" width="7.77734375" style="2768" customWidth="1"/>
    <col min="8981" max="8981" width="1.21875" style="2768" customWidth="1"/>
    <col min="8982" max="8982" width="0.77734375" style="2768" customWidth="1"/>
    <col min="8983" max="8983" width="9.21875" style="2768" customWidth="1"/>
    <col min="8984" max="8984" width="1.21875" style="2768" customWidth="1"/>
    <col min="8985" max="8985" width="0.77734375" style="2768" customWidth="1"/>
    <col min="8986" max="8986" width="9.5546875" style="2768" bestFit="1" customWidth="1"/>
    <col min="8987" max="8988" width="0.77734375" style="2768" customWidth="1"/>
    <col min="8989" max="8989" width="9.77734375" style="2768" customWidth="1"/>
    <col min="8990" max="8990" width="1.109375" style="2768" customWidth="1"/>
    <col min="8991" max="8991" width="8.5546875" style="2768" customWidth="1"/>
    <col min="8992" max="8992" width="14.5546875" style="2768" customWidth="1"/>
    <col min="8993" max="8993" width="10" style="2768" customWidth="1"/>
    <col min="8994" max="8994" width="7.77734375" style="2768" bestFit="1" customWidth="1"/>
    <col min="8995" max="8995" width="9.77734375" style="2768" customWidth="1"/>
    <col min="8996" max="9212" width="8.77734375" style="2768"/>
    <col min="9213" max="9213" width="38.44140625" style="2768" customWidth="1"/>
    <col min="9214" max="9214" width="8.5546875" style="2768" customWidth="1"/>
    <col min="9215" max="9215" width="1.21875" style="2768" customWidth="1"/>
    <col min="9216" max="9216" width="8.77734375" style="2768" customWidth="1"/>
    <col min="9217" max="9217" width="1.21875" style="2768" customWidth="1"/>
    <col min="9218" max="9218" width="9.21875" style="2768" customWidth="1"/>
    <col min="9219" max="9219" width="1.21875" style="2768" customWidth="1"/>
    <col min="9220" max="9220" width="10" style="2768" customWidth="1"/>
    <col min="9221" max="9221" width="1.21875" style="2768" customWidth="1"/>
    <col min="9222" max="9222" width="9.109375" style="2768" customWidth="1"/>
    <col min="9223" max="9223" width="1.21875" style="2768" customWidth="1"/>
    <col min="9224" max="9224" width="11.21875" style="2768" customWidth="1"/>
    <col min="9225" max="9225" width="1.21875" style="2768" customWidth="1"/>
    <col min="9226" max="9226" width="9.109375" style="2768" customWidth="1"/>
    <col min="9227" max="9227" width="1.77734375" style="2768" customWidth="1"/>
    <col min="9228" max="9228" width="11" style="2768" customWidth="1"/>
    <col min="9229" max="9229" width="1.21875" style="2768" customWidth="1"/>
    <col min="9230" max="9230" width="10.77734375" style="2768" customWidth="1"/>
    <col min="9231" max="9231" width="1.21875" style="2768" customWidth="1"/>
    <col min="9232" max="9232" width="10" style="2768" customWidth="1"/>
    <col min="9233" max="9233" width="1.21875" style="2768" customWidth="1"/>
    <col min="9234" max="9234" width="9.21875" style="2768" customWidth="1"/>
    <col min="9235" max="9235" width="1.21875" style="2768" customWidth="1"/>
    <col min="9236" max="9236" width="7.77734375" style="2768" customWidth="1"/>
    <col min="9237" max="9237" width="1.21875" style="2768" customWidth="1"/>
    <col min="9238" max="9238" width="0.77734375" style="2768" customWidth="1"/>
    <col min="9239" max="9239" width="9.21875" style="2768" customWidth="1"/>
    <col min="9240" max="9240" width="1.21875" style="2768" customWidth="1"/>
    <col min="9241" max="9241" width="0.77734375" style="2768" customWidth="1"/>
    <col min="9242" max="9242" width="9.5546875" style="2768" bestFit="1" customWidth="1"/>
    <col min="9243" max="9244" width="0.77734375" style="2768" customWidth="1"/>
    <col min="9245" max="9245" width="9.77734375" style="2768" customWidth="1"/>
    <col min="9246" max="9246" width="1.109375" style="2768" customWidth="1"/>
    <col min="9247" max="9247" width="8.5546875" style="2768" customWidth="1"/>
    <col min="9248" max="9248" width="14.5546875" style="2768" customWidth="1"/>
    <col min="9249" max="9249" width="10" style="2768" customWidth="1"/>
    <col min="9250" max="9250" width="7.77734375" style="2768" bestFit="1" customWidth="1"/>
    <col min="9251" max="9251" width="9.77734375" style="2768" customWidth="1"/>
    <col min="9252" max="9468" width="8.77734375" style="2768"/>
    <col min="9469" max="9469" width="38.44140625" style="2768" customWidth="1"/>
    <col min="9470" max="9470" width="8.5546875" style="2768" customWidth="1"/>
    <col min="9471" max="9471" width="1.21875" style="2768" customWidth="1"/>
    <col min="9472" max="9472" width="8.77734375" style="2768" customWidth="1"/>
    <col min="9473" max="9473" width="1.21875" style="2768" customWidth="1"/>
    <col min="9474" max="9474" width="9.21875" style="2768" customWidth="1"/>
    <col min="9475" max="9475" width="1.21875" style="2768" customWidth="1"/>
    <col min="9476" max="9476" width="10" style="2768" customWidth="1"/>
    <col min="9477" max="9477" width="1.21875" style="2768" customWidth="1"/>
    <col min="9478" max="9478" width="9.109375" style="2768" customWidth="1"/>
    <col min="9479" max="9479" width="1.21875" style="2768" customWidth="1"/>
    <col min="9480" max="9480" width="11.21875" style="2768" customWidth="1"/>
    <col min="9481" max="9481" width="1.21875" style="2768" customWidth="1"/>
    <col min="9482" max="9482" width="9.109375" style="2768" customWidth="1"/>
    <col min="9483" max="9483" width="1.77734375" style="2768" customWidth="1"/>
    <col min="9484" max="9484" width="11" style="2768" customWidth="1"/>
    <col min="9485" max="9485" width="1.21875" style="2768" customWidth="1"/>
    <col min="9486" max="9486" width="10.77734375" style="2768" customWidth="1"/>
    <col min="9487" max="9487" width="1.21875" style="2768" customWidth="1"/>
    <col min="9488" max="9488" width="10" style="2768" customWidth="1"/>
    <col min="9489" max="9489" width="1.21875" style="2768" customWidth="1"/>
    <col min="9490" max="9490" width="9.21875" style="2768" customWidth="1"/>
    <col min="9491" max="9491" width="1.21875" style="2768" customWidth="1"/>
    <col min="9492" max="9492" width="7.77734375" style="2768" customWidth="1"/>
    <col min="9493" max="9493" width="1.21875" style="2768" customWidth="1"/>
    <col min="9494" max="9494" width="0.77734375" style="2768" customWidth="1"/>
    <col min="9495" max="9495" width="9.21875" style="2768" customWidth="1"/>
    <col min="9496" max="9496" width="1.21875" style="2768" customWidth="1"/>
    <col min="9497" max="9497" width="0.77734375" style="2768" customWidth="1"/>
    <col min="9498" max="9498" width="9.5546875" style="2768" bestFit="1" customWidth="1"/>
    <col min="9499" max="9500" width="0.77734375" style="2768" customWidth="1"/>
    <col min="9501" max="9501" width="9.77734375" style="2768" customWidth="1"/>
    <col min="9502" max="9502" width="1.109375" style="2768" customWidth="1"/>
    <col min="9503" max="9503" width="8.5546875" style="2768" customWidth="1"/>
    <col min="9504" max="9504" width="14.5546875" style="2768" customWidth="1"/>
    <col min="9505" max="9505" width="10" style="2768" customWidth="1"/>
    <col min="9506" max="9506" width="7.77734375" style="2768" bestFit="1" customWidth="1"/>
    <col min="9507" max="9507" width="9.77734375" style="2768" customWidth="1"/>
    <col min="9508" max="9724" width="8.77734375" style="2768"/>
    <col min="9725" max="9725" width="38.44140625" style="2768" customWidth="1"/>
    <col min="9726" max="9726" width="8.5546875" style="2768" customWidth="1"/>
    <col min="9727" max="9727" width="1.21875" style="2768" customWidth="1"/>
    <col min="9728" max="9728" width="8.77734375" style="2768" customWidth="1"/>
    <col min="9729" max="9729" width="1.21875" style="2768" customWidth="1"/>
    <col min="9730" max="9730" width="9.21875" style="2768" customWidth="1"/>
    <col min="9731" max="9731" width="1.21875" style="2768" customWidth="1"/>
    <col min="9732" max="9732" width="10" style="2768" customWidth="1"/>
    <col min="9733" max="9733" width="1.21875" style="2768" customWidth="1"/>
    <col min="9734" max="9734" width="9.109375" style="2768" customWidth="1"/>
    <col min="9735" max="9735" width="1.21875" style="2768" customWidth="1"/>
    <col min="9736" max="9736" width="11.21875" style="2768" customWidth="1"/>
    <col min="9737" max="9737" width="1.21875" style="2768" customWidth="1"/>
    <col min="9738" max="9738" width="9.109375" style="2768" customWidth="1"/>
    <col min="9739" max="9739" width="1.77734375" style="2768" customWidth="1"/>
    <col min="9740" max="9740" width="11" style="2768" customWidth="1"/>
    <col min="9741" max="9741" width="1.21875" style="2768" customWidth="1"/>
    <col min="9742" max="9742" width="10.77734375" style="2768" customWidth="1"/>
    <col min="9743" max="9743" width="1.21875" style="2768" customWidth="1"/>
    <col min="9744" max="9744" width="10" style="2768" customWidth="1"/>
    <col min="9745" max="9745" width="1.21875" style="2768" customWidth="1"/>
    <col min="9746" max="9746" width="9.21875" style="2768" customWidth="1"/>
    <col min="9747" max="9747" width="1.21875" style="2768" customWidth="1"/>
    <col min="9748" max="9748" width="7.77734375" style="2768" customWidth="1"/>
    <col min="9749" max="9749" width="1.21875" style="2768" customWidth="1"/>
    <col min="9750" max="9750" width="0.77734375" style="2768" customWidth="1"/>
    <col min="9751" max="9751" width="9.21875" style="2768" customWidth="1"/>
    <col min="9752" max="9752" width="1.21875" style="2768" customWidth="1"/>
    <col min="9753" max="9753" width="0.77734375" style="2768" customWidth="1"/>
    <col min="9754" max="9754" width="9.5546875" style="2768" bestFit="1" customWidth="1"/>
    <col min="9755" max="9756" width="0.77734375" style="2768" customWidth="1"/>
    <col min="9757" max="9757" width="9.77734375" style="2768" customWidth="1"/>
    <col min="9758" max="9758" width="1.109375" style="2768" customWidth="1"/>
    <col min="9759" max="9759" width="8.5546875" style="2768" customWidth="1"/>
    <col min="9760" max="9760" width="14.5546875" style="2768" customWidth="1"/>
    <col min="9761" max="9761" width="10" style="2768" customWidth="1"/>
    <col min="9762" max="9762" width="7.77734375" style="2768" bestFit="1" customWidth="1"/>
    <col min="9763" max="9763" width="9.77734375" style="2768" customWidth="1"/>
    <col min="9764" max="9980" width="8.77734375" style="2768"/>
    <col min="9981" max="9981" width="38.44140625" style="2768" customWidth="1"/>
    <col min="9982" max="9982" width="8.5546875" style="2768" customWidth="1"/>
    <col min="9983" max="9983" width="1.21875" style="2768" customWidth="1"/>
    <col min="9984" max="9984" width="8.77734375" style="2768" customWidth="1"/>
    <col min="9985" max="9985" width="1.21875" style="2768" customWidth="1"/>
    <col min="9986" max="9986" width="9.21875" style="2768" customWidth="1"/>
    <col min="9987" max="9987" width="1.21875" style="2768" customWidth="1"/>
    <col min="9988" max="9988" width="10" style="2768" customWidth="1"/>
    <col min="9989" max="9989" width="1.21875" style="2768" customWidth="1"/>
    <col min="9990" max="9990" width="9.109375" style="2768" customWidth="1"/>
    <col min="9991" max="9991" width="1.21875" style="2768" customWidth="1"/>
    <col min="9992" max="9992" width="11.21875" style="2768" customWidth="1"/>
    <col min="9993" max="9993" width="1.21875" style="2768" customWidth="1"/>
    <col min="9994" max="9994" width="9.109375" style="2768" customWidth="1"/>
    <col min="9995" max="9995" width="1.77734375" style="2768" customWidth="1"/>
    <col min="9996" max="9996" width="11" style="2768" customWidth="1"/>
    <col min="9997" max="9997" width="1.21875" style="2768" customWidth="1"/>
    <col min="9998" max="9998" width="10.77734375" style="2768" customWidth="1"/>
    <col min="9999" max="9999" width="1.21875" style="2768" customWidth="1"/>
    <col min="10000" max="10000" width="10" style="2768" customWidth="1"/>
    <col min="10001" max="10001" width="1.21875" style="2768" customWidth="1"/>
    <col min="10002" max="10002" width="9.21875" style="2768" customWidth="1"/>
    <col min="10003" max="10003" width="1.21875" style="2768" customWidth="1"/>
    <col min="10004" max="10004" width="7.77734375" style="2768" customWidth="1"/>
    <col min="10005" max="10005" width="1.21875" style="2768" customWidth="1"/>
    <col min="10006" max="10006" width="0.77734375" style="2768" customWidth="1"/>
    <col min="10007" max="10007" width="9.21875" style="2768" customWidth="1"/>
    <col min="10008" max="10008" width="1.21875" style="2768" customWidth="1"/>
    <col min="10009" max="10009" width="0.77734375" style="2768" customWidth="1"/>
    <col min="10010" max="10010" width="9.5546875" style="2768" bestFit="1" customWidth="1"/>
    <col min="10011" max="10012" width="0.77734375" style="2768" customWidth="1"/>
    <col min="10013" max="10013" width="9.77734375" style="2768" customWidth="1"/>
    <col min="10014" max="10014" width="1.109375" style="2768" customWidth="1"/>
    <col min="10015" max="10015" width="8.5546875" style="2768" customWidth="1"/>
    <col min="10016" max="10016" width="14.5546875" style="2768" customWidth="1"/>
    <col min="10017" max="10017" width="10" style="2768" customWidth="1"/>
    <col min="10018" max="10018" width="7.77734375" style="2768" bestFit="1" customWidth="1"/>
    <col min="10019" max="10019" width="9.77734375" style="2768" customWidth="1"/>
    <col min="10020" max="10236" width="8.77734375" style="2768"/>
    <col min="10237" max="10237" width="38.44140625" style="2768" customWidth="1"/>
    <col min="10238" max="10238" width="8.5546875" style="2768" customWidth="1"/>
    <col min="10239" max="10239" width="1.21875" style="2768" customWidth="1"/>
    <col min="10240" max="10240" width="8.77734375" style="2768" customWidth="1"/>
    <col min="10241" max="10241" width="1.21875" style="2768" customWidth="1"/>
    <col min="10242" max="10242" width="9.21875" style="2768" customWidth="1"/>
    <col min="10243" max="10243" width="1.21875" style="2768" customWidth="1"/>
    <col min="10244" max="10244" width="10" style="2768" customWidth="1"/>
    <col min="10245" max="10245" width="1.21875" style="2768" customWidth="1"/>
    <col min="10246" max="10246" width="9.109375" style="2768" customWidth="1"/>
    <col min="10247" max="10247" width="1.21875" style="2768" customWidth="1"/>
    <col min="10248" max="10248" width="11.21875" style="2768" customWidth="1"/>
    <col min="10249" max="10249" width="1.21875" style="2768" customWidth="1"/>
    <col min="10250" max="10250" width="9.109375" style="2768" customWidth="1"/>
    <col min="10251" max="10251" width="1.77734375" style="2768" customWidth="1"/>
    <col min="10252" max="10252" width="11" style="2768" customWidth="1"/>
    <col min="10253" max="10253" width="1.21875" style="2768" customWidth="1"/>
    <col min="10254" max="10254" width="10.77734375" style="2768" customWidth="1"/>
    <col min="10255" max="10255" width="1.21875" style="2768" customWidth="1"/>
    <col min="10256" max="10256" width="10" style="2768" customWidth="1"/>
    <col min="10257" max="10257" width="1.21875" style="2768" customWidth="1"/>
    <col min="10258" max="10258" width="9.21875" style="2768" customWidth="1"/>
    <col min="10259" max="10259" width="1.21875" style="2768" customWidth="1"/>
    <col min="10260" max="10260" width="7.77734375" style="2768" customWidth="1"/>
    <col min="10261" max="10261" width="1.21875" style="2768" customWidth="1"/>
    <col min="10262" max="10262" width="0.77734375" style="2768" customWidth="1"/>
    <col min="10263" max="10263" width="9.21875" style="2768" customWidth="1"/>
    <col min="10264" max="10264" width="1.21875" style="2768" customWidth="1"/>
    <col min="10265" max="10265" width="0.77734375" style="2768" customWidth="1"/>
    <col min="10266" max="10266" width="9.5546875" style="2768" bestFit="1" customWidth="1"/>
    <col min="10267" max="10268" width="0.77734375" style="2768" customWidth="1"/>
    <col min="10269" max="10269" width="9.77734375" style="2768" customWidth="1"/>
    <col min="10270" max="10270" width="1.109375" style="2768" customWidth="1"/>
    <col min="10271" max="10271" width="8.5546875" style="2768" customWidth="1"/>
    <col min="10272" max="10272" width="14.5546875" style="2768" customWidth="1"/>
    <col min="10273" max="10273" width="10" style="2768" customWidth="1"/>
    <col min="10274" max="10274" width="7.77734375" style="2768" bestFit="1" customWidth="1"/>
    <col min="10275" max="10275" width="9.77734375" style="2768" customWidth="1"/>
    <col min="10276" max="10492" width="8.77734375" style="2768"/>
    <col min="10493" max="10493" width="38.44140625" style="2768" customWidth="1"/>
    <col min="10494" max="10494" width="8.5546875" style="2768" customWidth="1"/>
    <col min="10495" max="10495" width="1.21875" style="2768" customWidth="1"/>
    <col min="10496" max="10496" width="8.77734375" style="2768" customWidth="1"/>
    <col min="10497" max="10497" width="1.21875" style="2768" customWidth="1"/>
    <col min="10498" max="10498" width="9.21875" style="2768" customWidth="1"/>
    <col min="10499" max="10499" width="1.21875" style="2768" customWidth="1"/>
    <col min="10500" max="10500" width="10" style="2768" customWidth="1"/>
    <col min="10501" max="10501" width="1.21875" style="2768" customWidth="1"/>
    <col min="10502" max="10502" width="9.109375" style="2768" customWidth="1"/>
    <col min="10503" max="10503" width="1.21875" style="2768" customWidth="1"/>
    <col min="10504" max="10504" width="11.21875" style="2768" customWidth="1"/>
    <col min="10505" max="10505" width="1.21875" style="2768" customWidth="1"/>
    <col min="10506" max="10506" width="9.109375" style="2768" customWidth="1"/>
    <col min="10507" max="10507" width="1.77734375" style="2768" customWidth="1"/>
    <col min="10508" max="10508" width="11" style="2768" customWidth="1"/>
    <col min="10509" max="10509" width="1.21875" style="2768" customWidth="1"/>
    <col min="10510" max="10510" width="10.77734375" style="2768" customWidth="1"/>
    <col min="10511" max="10511" width="1.21875" style="2768" customWidth="1"/>
    <col min="10512" max="10512" width="10" style="2768" customWidth="1"/>
    <col min="10513" max="10513" width="1.21875" style="2768" customWidth="1"/>
    <col min="10514" max="10514" width="9.21875" style="2768" customWidth="1"/>
    <col min="10515" max="10515" width="1.21875" style="2768" customWidth="1"/>
    <col min="10516" max="10516" width="7.77734375" style="2768" customWidth="1"/>
    <col min="10517" max="10517" width="1.21875" style="2768" customWidth="1"/>
    <col min="10518" max="10518" width="0.77734375" style="2768" customWidth="1"/>
    <col min="10519" max="10519" width="9.21875" style="2768" customWidth="1"/>
    <col min="10520" max="10520" width="1.21875" style="2768" customWidth="1"/>
    <col min="10521" max="10521" width="0.77734375" style="2768" customWidth="1"/>
    <col min="10522" max="10522" width="9.5546875" style="2768" bestFit="1" customWidth="1"/>
    <col min="10523" max="10524" width="0.77734375" style="2768" customWidth="1"/>
    <col min="10525" max="10525" width="9.77734375" style="2768" customWidth="1"/>
    <col min="10526" max="10526" width="1.109375" style="2768" customWidth="1"/>
    <col min="10527" max="10527" width="8.5546875" style="2768" customWidth="1"/>
    <col min="10528" max="10528" width="14.5546875" style="2768" customWidth="1"/>
    <col min="10529" max="10529" width="10" style="2768" customWidth="1"/>
    <col min="10530" max="10530" width="7.77734375" style="2768" bestFit="1" customWidth="1"/>
    <col min="10531" max="10531" width="9.77734375" style="2768" customWidth="1"/>
    <col min="10532" max="10748" width="8.77734375" style="2768"/>
    <col min="10749" max="10749" width="38.44140625" style="2768" customWidth="1"/>
    <col min="10750" max="10750" width="8.5546875" style="2768" customWidth="1"/>
    <col min="10751" max="10751" width="1.21875" style="2768" customWidth="1"/>
    <col min="10752" max="10752" width="8.77734375" style="2768" customWidth="1"/>
    <col min="10753" max="10753" width="1.21875" style="2768" customWidth="1"/>
    <col min="10754" max="10754" width="9.21875" style="2768" customWidth="1"/>
    <col min="10755" max="10755" width="1.21875" style="2768" customWidth="1"/>
    <col min="10756" max="10756" width="10" style="2768" customWidth="1"/>
    <col min="10757" max="10757" width="1.21875" style="2768" customWidth="1"/>
    <col min="10758" max="10758" width="9.109375" style="2768" customWidth="1"/>
    <col min="10759" max="10759" width="1.21875" style="2768" customWidth="1"/>
    <col min="10760" max="10760" width="11.21875" style="2768" customWidth="1"/>
    <col min="10761" max="10761" width="1.21875" style="2768" customWidth="1"/>
    <col min="10762" max="10762" width="9.109375" style="2768" customWidth="1"/>
    <col min="10763" max="10763" width="1.77734375" style="2768" customWidth="1"/>
    <col min="10764" max="10764" width="11" style="2768" customWidth="1"/>
    <col min="10765" max="10765" width="1.21875" style="2768" customWidth="1"/>
    <col min="10766" max="10766" width="10.77734375" style="2768" customWidth="1"/>
    <col min="10767" max="10767" width="1.21875" style="2768" customWidth="1"/>
    <col min="10768" max="10768" width="10" style="2768" customWidth="1"/>
    <col min="10769" max="10769" width="1.21875" style="2768" customWidth="1"/>
    <col min="10770" max="10770" width="9.21875" style="2768" customWidth="1"/>
    <col min="10771" max="10771" width="1.21875" style="2768" customWidth="1"/>
    <col min="10772" max="10772" width="7.77734375" style="2768" customWidth="1"/>
    <col min="10773" max="10773" width="1.21875" style="2768" customWidth="1"/>
    <col min="10774" max="10774" width="0.77734375" style="2768" customWidth="1"/>
    <col min="10775" max="10775" width="9.21875" style="2768" customWidth="1"/>
    <col min="10776" max="10776" width="1.21875" style="2768" customWidth="1"/>
    <col min="10777" max="10777" width="0.77734375" style="2768" customWidth="1"/>
    <col min="10778" max="10778" width="9.5546875" style="2768" bestFit="1" customWidth="1"/>
    <col min="10779" max="10780" width="0.77734375" style="2768" customWidth="1"/>
    <col min="10781" max="10781" width="9.77734375" style="2768" customWidth="1"/>
    <col min="10782" max="10782" width="1.109375" style="2768" customWidth="1"/>
    <col min="10783" max="10783" width="8.5546875" style="2768" customWidth="1"/>
    <col min="10784" max="10784" width="14.5546875" style="2768" customWidth="1"/>
    <col min="10785" max="10785" width="10" style="2768" customWidth="1"/>
    <col min="10786" max="10786" width="7.77734375" style="2768" bestFit="1" customWidth="1"/>
    <col min="10787" max="10787" width="9.77734375" style="2768" customWidth="1"/>
    <col min="10788" max="11004" width="8.77734375" style="2768"/>
    <col min="11005" max="11005" width="38.44140625" style="2768" customWidth="1"/>
    <col min="11006" max="11006" width="8.5546875" style="2768" customWidth="1"/>
    <col min="11007" max="11007" width="1.21875" style="2768" customWidth="1"/>
    <col min="11008" max="11008" width="8.77734375" style="2768" customWidth="1"/>
    <col min="11009" max="11009" width="1.21875" style="2768" customWidth="1"/>
    <col min="11010" max="11010" width="9.21875" style="2768" customWidth="1"/>
    <col min="11011" max="11011" width="1.21875" style="2768" customWidth="1"/>
    <col min="11012" max="11012" width="10" style="2768" customWidth="1"/>
    <col min="11013" max="11013" width="1.21875" style="2768" customWidth="1"/>
    <col min="11014" max="11014" width="9.109375" style="2768" customWidth="1"/>
    <col min="11015" max="11015" width="1.21875" style="2768" customWidth="1"/>
    <col min="11016" max="11016" width="11.21875" style="2768" customWidth="1"/>
    <col min="11017" max="11017" width="1.21875" style="2768" customWidth="1"/>
    <col min="11018" max="11018" width="9.109375" style="2768" customWidth="1"/>
    <col min="11019" max="11019" width="1.77734375" style="2768" customWidth="1"/>
    <col min="11020" max="11020" width="11" style="2768" customWidth="1"/>
    <col min="11021" max="11021" width="1.21875" style="2768" customWidth="1"/>
    <col min="11022" max="11022" width="10.77734375" style="2768" customWidth="1"/>
    <col min="11023" max="11023" width="1.21875" style="2768" customWidth="1"/>
    <col min="11024" max="11024" width="10" style="2768" customWidth="1"/>
    <col min="11025" max="11025" width="1.21875" style="2768" customWidth="1"/>
    <col min="11026" max="11026" width="9.21875" style="2768" customWidth="1"/>
    <col min="11027" max="11027" width="1.21875" style="2768" customWidth="1"/>
    <col min="11028" max="11028" width="7.77734375" style="2768" customWidth="1"/>
    <col min="11029" max="11029" width="1.21875" style="2768" customWidth="1"/>
    <col min="11030" max="11030" width="0.77734375" style="2768" customWidth="1"/>
    <col min="11031" max="11031" width="9.21875" style="2768" customWidth="1"/>
    <col min="11032" max="11032" width="1.21875" style="2768" customWidth="1"/>
    <col min="11033" max="11033" width="0.77734375" style="2768" customWidth="1"/>
    <col min="11034" max="11034" width="9.5546875" style="2768" bestFit="1" customWidth="1"/>
    <col min="11035" max="11036" width="0.77734375" style="2768" customWidth="1"/>
    <col min="11037" max="11037" width="9.77734375" style="2768" customWidth="1"/>
    <col min="11038" max="11038" width="1.109375" style="2768" customWidth="1"/>
    <col min="11039" max="11039" width="8.5546875" style="2768" customWidth="1"/>
    <col min="11040" max="11040" width="14.5546875" style="2768" customWidth="1"/>
    <col min="11041" max="11041" width="10" style="2768" customWidth="1"/>
    <col min="11042" max="11042" width="7.77734375" style="2768" bestFit="1" customWidth="1"/>
    <col min="11043" max="11043" width="9.77734375" style="2768" customWidth="1"/>
    <col min="11044" max="11260" width="8.77734375" style="2768"/>
    <col min="11261" max="11261" width="38.44140625" style="2768" customWidth="1"/>
    <col min="11262" max="11262" width="8.5546875" style="2768" customWidth="1"/>
    <col min="11263" max="11263" width="1.21875" style="2768" customWidth="1"/>
    <col min="11264" max="11264" width="8.77734375" style="2768" customWidth="1"/>
    <col min="11265" max="11265" width="1.21875" style="2768" customWidth="1"/>
    <col min="11266" max="11266" width="9.21875" style="2768" customWidth="1"/>
    <col min="11267" max="11267" width="1.21875" style="2768" customWidth="1"/>
    <col min="11268" max="11268" width="10" style="2768" customWidth="1"/>
    <col min="11269" max="11269" width="1.21875" style="2768" customWidth="1"/>
    <col min="11270" max="11270" width="9.109375" style="2768" customWidth="1"/>
    <col min="11271" max="11271" width="1.21875" style="2768" customWidth="1"/>
    <col min="11272" max="11272" width="11.21875" style="2768" customWidth="1"/>
    <col min="11273" max="11273" width="1.21875" style="2768" customWidth="1"/>
    <col min="11274" max="11274" width="9.109375" style="2768" customWidth="1"/>
    <col min="11275" max="11275" width="1.77734375" style="2768" customWidth="1"/>
    <col min="11276" max="11276" width="11" style="2768" customWidth="1"/>
    <col min="11277" max="11277" width="1.21875" style="2768" customWidth="1"/>
    <col min="11278" max="11278" width="10.77734375" style="2768" customWidth="1"/>
    <col min="11279" max="11279" width="1.21875" style="2768" customWidth="1"/>
    <col min="11280" max="11280" width="10" style="2768" customWidth="1"/>
    <col min="11281" max="11281" width="1.21875" style="2768" customWidth="1"/>
    <col min="11282" max="11282" width="9.21875" style="2768" customWidth="1"/>
    <col min="11283" max="11283" width="1.21875" style="2768" customWidth="1"/>
    <col min="11284" max="11284" width="7.77734375" style="2768" customWidth="1"/>
    <col min="11285" max="11285" width="1.21875" style="2768" customWidth="1"/>
    <col min="11286" max="11286" width="0.77734375" style="2768" customWidth="1"/>
    <col min="11287" max="11287" width="9.21875" style="2768" customWidth="1"/>
    <col min="11288" max="11288" width="1.21875" style="2768" customWidth="1"/>
    <col min="11289" max="11289" width="0.77734375" style="2768" customWidth="1"/>
    <col min="11290" max="11290" width="9.5546875" style="2768" bestFit="1" customWidth="1"/>
    <col min="11291" max="11292" width="0.77734375" style="2768" customWidth="1"/>
    <col min="11293" max="11293" width="9.77734375" style="2768" customWidth="1"/>
    <col min="11294" max="11294" width="1.109375" style="2768" customWidth="1"/>
    <col min="11295" max="11295" width="8.5546875" style="2768" customWidth="1"/>
    <col min="11296" max="11296" width="14.5546875" style="2768" customWidth="1"/>
    <col min="11297" max="11297" width="10" style="2768" customWidth="1"/>
    <col min="11298" max="11298" width="7.77734375" style="2768" bestFit="1" customWidth="1"/>
    <col min="11299" max="11299" width="9.77734375" style="2768" customWidth="1"/>
    <col min="11300" max="11516" width="8.77734375" style="2768"/>
    <col min="11517" max="11517" width="38.44140625" style="2768" customWidth="1"/>
    <col min="11518" max="11518" width="8.5546875" style="2768" customWidth="1"/>
    <col min="11519" max="11519" width="1.21875" style="2768" customWidth="1"/>
    <col min="11520" max="11520" width="8.77734375" style="2768" customWidth="1"/>
    <col min="11521" max="11521" width="1.21875" style="2768" customWidth="1"/>
    <col min="11522" max="11522" width="9.21875" style="2768" customWidth="1"/>
    <col min="11523" max="11523" width="1.21875" style="2768" customWidth="1"/>
    <col min="11524" max="11524" width="10" style="2768" customWidth="1"/>
    <col min="11525" max="11525" width="1.21875" style="2768" customWidth="1"/>
    <col min="11526" max="11526" width="9.109375" style="2768" customWidth="1"/>
    <col min="11527" max="11527" width="1.21875" style="2768" customWidth="1"/>
    <col min="11528" max="11528" width="11.21875" style="2768" customWidth="1"/>
    <col min="11529" max="11529" width="1.21875" style="2768" customWidth="1"/>
    <col min="11530" max="11530" width="9.109375" style="2768" customWidth="1"/>
    <col min="11531" max="11531" width="1.77734375" style="2768" customWidth="1"/>
    <col min="11532" max="11532" width="11" style="2768" customWidth="1"/>
    <col min="11533" max="11533" width="1.21875" style="2768" customWidth="1"/>
    <col min="11534" max="11534" width="10.77734375" style="2768" customWidth="1"/>
    <col min="11535" max="11535" width="1.21875" style="2768" customWidth="1"/>
    <col min="11536" max="11536" width="10" style="2768" customWidth="1"/>
    <col min="11537" max="11537" width="1.21875" style="2768" customWidth="1"/>
    <col min="11538" max="11538" width="9.21875" style="2768" customWidth="1"/>
    <col min="11539" max="11539" width="1.21875" style="2768" customWidth="1"/>
    <col min="11540" max="11540" width="7.77734375" style="2768" customWidth="1"/>
    <col min="11541" max="11541" width="1.21875" style="2768" customWidth="1"/>
    <col min="11542" max="11542" width="0.77734375" style="2768" customWidth="1"/>
    <col min="11543" max="11543" width="9.21875" style="2768" customWidth="1"/>
    <col min="11544" max="11544" width="1.21875" style="2768" customWidth="1"/>
    <col min="11545" max="11545" width="0.77734375" style="2768" customWidth="1"/>
    <col min="11546" max="11546" width="9.5546875" style="2768" bestFit="1" customWidth="1"/>
    <col min="11547" max="11548" width="0.77734375" style="2768" customWidth="1"/>
    <col min="11549" max="11549" width="9.77734375" style="2768" customWidth="1"/>
    <col min="11550" max="11550" width="1.109375" style="2768" customWidth="1"/>
    <col min="11551" max="11551" width="8.5546875" style="2768" customWidth="1"/>
    <col min="11552" max="11552" width="14.5546875" style="2768" customWidth="1"/>
    <col min="11553" max="11553" width="10" style="2768" customWidth="1"/>
    <col min="11554" max="11554" width="7.77734375" style="2768" bestFit="1" customWidth="1"/>
    <col min="11555" max="11555" width="9.77734375" style="2768" customWidth="1"/>
    <col min="11556" max="11772" width="8.77734375" style="2768"/>
    <col min="11773" max="11773" width="38.44140625" style="2768" customWidth="1"/>
    <col min="11774" max="11774" width="8.5546875" style="2768" customWidth="1"/>
    <col min="11775" max="11775" width="1.21875" style="2768" customWidth="1"/>
    <col min="11776" max="11776" width="8.77734375" style="2768" customWidth="1"/>
    <col min="11777" max="11777" width="1.21875" style="2768" customWidth="1"/>
    <col min="11778" max="11778" width="9.21875" style="2768" customWidth="1"/>
    <col min="11779" max="11779" width="1.21875" style="2768" customWidth="1"/>
    <col min="11780" max="11780" width="10" style="2768" customWidth="1"/>
    <col min="11781" max="11781" width="1.21875" style="2768" customWidth="1"/>
    <col min="11782" max="11782" width="9.109375" style="2768" customWidth="1"/>
    <col min="11783" max="11783" width="1.21875" style="2768" customWidth="1"/>
    <col min="11784" max="11784" width="11.21875" style="2768" customWidth="1"/>
    <col min="11785" max="11785" width="1.21875" style="2768" customWidth="1"/>
    <col min="11786" max="11786" width="9.109375" style="2768" customWidth="1"/>
    <col min="11787" max="11787" width="1.77734375" style="2768" customWidth="1"/>
    <col min="11788" max="11788" width="11" style="2768" customWidth="1"/>
    <col min="11789" max="11789" width="1.21875" style="2768" customWidth="1"/>
    <col min="11790" max="11790" width="10.77734375" style="2768" customWidth="1"/>
    <col min="11791" max="11791" width="1.21875" style="2768" customWidth="1"/>
    <col min="11792" max="11792" width="10" style="2768" customWidth="1"/>
    <col min="11793" max="11793" width="1.21875" style="2768" customWidth="1"/>
    <col min="11794" max="11794" width="9.21875" style="2768" customWidth="1"/>
    <col min="11795" max="11795" width="1.21875" style="2768" customWidth="1"/>
    <col min="11796" max="11796" width="7.77734375" style="2768" customWidth="1"/>
    <col min="11797" max="11797" width="1.21875" style="2768" customWidth="1"/>
    <col min="11798" max="11798" width="0.77734375" style="2768" customWidth="1"/>
    <col min="11799" max="11799" width="9.21875" style="2768" customWidth="1"/>
    <col min="11800" max="11800" width="1.21875" style="2768" customWidth="1"/>
    <col min="11801" max="11801" width="0.77734375" style="2768" customWidth="1"/>
    <col min="11802" max="11802" width="9.5546875" style="2768" bestFit="1" customWidth="1"/>
    <col min="11803" max="11804" width="0.77734375" style="2768" customWidth="1"/>
    <col min="11805" max="11805" width="9.77734375" style="2768" customWidth="1"/>
    <col min="11806" max="11806" width="1.109375" style="2768" customWidth="1"/>
    <col min="11807" max="11807" width="8.5546875" style="2768" customWidth="1"/>
    <col min="11808" max="11808" width="14.5546875" style="2768" customWidth="1"/>
    <col min="11809" max="11809" width="10" style="2768" customWidth="1"/>
    <col min="11810" max="11810" width="7.77734375" style="2768" bestFit="1" customWidth="1"/>
    <col min="11811" max="11811" width="9.77734375" style="2768" customWidth="1"/>
    <col min="11812" max="12028" width="8.77734375" style="2768"/>
    <col min="12029" max="12029" width="38.44140625" style="2768" customWidth="1"/>
    <col min="12030" max="12030" width="8.5546875" style="2768" customWidth="1"/>
    <col min="12031" max="12031" width="1.21875" style="2768" customWidth="1"/>
    <col min="12032" max="12032" width="8.77734375" style="2768" customWidth="1"/>
    <col min="12033" max="12033" width="1.21875" style="2768" customWidth="1"/>
    <col min="12034" max="12034" width="9.21875" style="2768" customWidth="1"/>
    <col min="12035" max="12035" width="1.21875" style="2768" customWidth="1"/>
    <col min="12036" max="12036" width="10" style="2768" customWidth="1"/>
    <col min="12037" max="12037" width="1.21875" style="2768" customWidth="1"/>
    <col min="12038" max="12038" width="9.109375" style="2768" customWidth="1"/>
    <col min="12039" max="12039" width="1.21875" style="2768" customWidth="1"/>
    <col min="12040" max="12040" width="11.21875" style="2768" customWidth="1"/>
    <col min="12041" max="12041" width="1.21875" style="2768" customWidth="1"/>
    <col min="12042" max="12042" width="9.109375" style="2768" customWidth="1"/>
    <col min="12043" max="12043" width="1.77734375" style="2768" customWidth="1"/>
    <col min="12044" max="12044" width="11" style="2768" customWidth="1"/>
    <col min="12045" max="12045" width="1.21875" style="2768" customWidth="1"/>
    <col min="12046" max="12046" width="10.77734375" style="2768" customWidth="1"/>
    <col min="12047" max="12047" width="1.21875" style="2768" customWidth="1"/>
    <col min="12048" max="12048" width="10" style="2768" customWidth="1"/>
    <col min="12049" max="12049" width="1.21875" style="2768" customWidth="1"/>
    <col min="12050" max="12050" width="9.21875" style="2768" customWidth="1"/>
    <col min="12051" max="12051" width="1.21875" style="2768" customWidth="1"/>
    <col min="12052" max="12052" width="7.77734375" style="2768" customWidth="1"/>
    <col min="12053" max="12053" width="1.21875" style="2768" customWidth="1"/>
    <col min="12054" max="12054" width="0.77734375" style="2768" customWidth="1"/>
    <col min="12055" max="12055" width="9.21875" style="2768" customWidth="1"/>
    <col min="12056" max="12056" width="1.21875" style="2768" customWidth="1"/>
    <col min="12057" max="12057" width="0.77734375" style="2768" customWidth="1"/>
    <col min="12058" max="12058" width="9.5546875" style="2768" bestFit="1" customWidth="1"/>
    <col min="12059" max="12060" width="0.77734375" style="2768" customWidth="1"/>
    <col min="12061" max="12061" width="9.77734375" style="2768" customWidth="1"/>
    <col min="12062" max="12062" width="1.109375" style="2768" customWidth="1"/>
    <col min="12063" max="12063" width="8.5546875" style="2768" customWidth="1"/>
    <col min="12064" max="12064" width="14.5546875" style="2768" customWidth="1"/>
    <col min="12065" max="12065" width="10" style="2768" customWidth="1"/>
    <col min="12066" max="12066" width="7.77734375" style="2768" bestFit="1" customWidth="1"/>
    <col min="12067" max="12067" width="9.77734375" style="2768" customWidth="1"/>
    <col min="12068" max="12284" width="8.77734375" style="2768"/>
    <col min="12285" max="12285" width="38.44140625" style="2768" customWidth="1"/>
    <col min="12286" max="12286" width="8.5546875" style="2768" customWidth="1"/>
    <col min="12287" max="12287" width="1.21875" style="2768" customWidth="1"/>
    <col min="12288" max="12288" width="8.77734375" style="2768" customWidth="1"/>
    <col min="12289" max="12289" width="1.21875" style="2768" customWidth="1"/>
    <col min="12290" max="12290" width="9.21875" style="2768" customWidth="1"/>
    <col min="12291" max="12291" width="1.21875" style="2768" customWidth="1"/>
    <col min="12292" max="12292" width="10" style="2768" customWidth="1"/>
    <col min="12293" max="12293" width="1.21875" style="2768" customWidth="1"/>
    <col min="12294" max="12294" width="9.109375" style="2768" customWidth="1"/>
    <col min="12295" max="12295" width="1.21875" style="2768" customWidth="1"/>
    <col min="12296" max="12296" width="11.21875" style="2768" customWidth="1"/>
    <col min="12297" max="12297" width="1.21875" style="2768" customWidth="1"/>
    <col min="12298" max="12298" width="9.109375" style="2768" customWidth="1"/>
    <col min="12299" max="12299" width="1.77734375" style="2768" customWidth="1"/>
    <col min="12300" max="12300" width="11" style="2768" customWidth="1"/>
    <col min="12301" max="12301" width="1.21875" style="2768" customWidth="1"/>
    <col min="12302" max="12302" width="10.77734375" style="2768" customWidth="1"/>
    <col min="12303" max="12303" width="1.21875" style="2768" customWidth="1"/>
    <col min="12304" max="12304" width="10" style="2768" customWidth="1"/>
    <col min="12305" max="12305" width="1.21875" style="2768" customWidth="1"/>
    <col min="12306" max="12306" width="9.21875" style="2768" customWidth="1"/>
    <col min="12307" max="12307" width="1.21875" style="2768" customWidth="1"/>
    <col min="12308" max="12308" width="7.77734375" style="2768" customWidth="1"/>
    <col min="12309" max="12309" width="1.21875" style="2768" customWidth="1"/>
    <col min="12310" max="12310" width="0.77734375" style="2768" customWidth="1"/>
    <col min="12311" max="12311" width="9.21875" style="2768" customWidth="1"/>
    <col min="12312" max="12312" width="1.21875" style="2768" customWidth="1"/>
    <col min="12313" max="12313" width="0.77734375" style="2768" customWidth="1"/>
    <col min="12314" max="12314" width="9.5546875" style="2768" bestFit="1" customWidth="1"/>
    <col min="12315" max="12316" width="0.77734375" style="2768" customWidth="1"/>
    <col min="12317" max="12317" width="9.77734375" style="2768" customWidth="1"/>
    <col min="12318" max="12318" width="1.109375" style="2768" customWidth="1"/>
    <col min="12319" max="12319" width="8.5546875" style="2768" customWidth="1"/>
    <col min="12320" max="12320" width="14.5546875" style="2768" customWidth="1"/>
    <col min="12321" max="12321" width="10" style="2768" customWidth="1"/>
    <col min="12322" max="12322" width="7.77734375" style="2768" bestFit="1" customWidth="1"/>
    <col min="12323" max="12323" width="9.77734375" style="2768" customWidth="1"/>
    <col min="12324" max="12540" width="8.77734375" style="2768"/>
    <col min="12541" max="12541" width="38.44140625" style="2768" customWidth="1"/>
    <col min="12542" max="12542" width="8.5546875" style="2768" customWidth="1"/>
    <col min="12543" max="12543" width="1.21875" style="2768" customWidth="1"/>
    <col min="12544" max="12544" width="8.77734375" style="2768" customWidth="1"/>
    <col min="12545" max="12545" width="1.21875" style="2768" customWidth="1"/>
    <col min="12546" max="12546" width="9.21875" style="2768" customWidth="1"/>
    <col min="12547" max="12547" width="1.21875" style="2768" customWidth="1"/>
    <col min="12548" max="12548" width="10" style="2768" customWidth="1"/>
    <col min="12549" max="12549" width="1.21875" style="2768" customWidth="1"/>
    <col min="12550" max="12550" width="9.109375" style="2768" customWidth="1"/>
    <col min="12551" max="12551" width="1.21875" style="2768" customWidth="1"/>
    <col min="12552" max="12552" width="11.21875" style="2768" customWidth="1"/>
    <col min="12553" max="12553" width="1.21875" style="2768" customWidth="1"/>
    <col min="12554" max="12554" width="9.109375" style="2768" customWidth="1"/>
    <col min="12555" max="12555" width="1.77734375" style="2768" customWidth="1"/>
    <col min="12556" max="12556" width="11" style="2768" customWidth="1"/>
    <col min="12557" max="12557" width="1.21875" style="2768" customWidth="1"/>
    <col min="12558" max="12558" width="10.77734375" style="2768" customWidth="1"/>
    <col min="12559" max="12559" width="1.21875" style="2768" customWidth="1"/>
    <col min="12560" max="12560" width="10" style="2768" customWidth="1"/>
    <col min="12561" max="12561" width="1.21875" style="2768" customWidth="1"/>
    <col min="12562" max="12562" width="9.21875" style="2768" customWidth="1"/>
    <col min="12563" max="12563" width="1.21875" style="2768" customWidth="1"/>
    <col min="12564" max="12564" width="7.77734375" style="2768" customWidth="1"/>
    <col min="12565" max="12565" width="1.21875" style="2768" customWidth="1"/>
    <col min="12566" max="12566" width="0.77734375" style="2768" customWidth="1"/>
    <col min="12567" max="12567" width="9.21875" style="2768" customWidth="1"/>
    <col min="12568" max="12568" width="1.21875" style="2768" customWidth="1"/>
    <col min="12569" max="12569" width="0.77734375" style="2768" customWidth="1"/>
    <col min="12570" max="12570" width="9.5546875" style="2768" bestFit="1" customWidth="1"/>
    <col min="12571" max="12572" width="0.77734375" style="2768" customWidth="1"/>
    <col min="12573" max="12573" width="9.77734375" style="2768" customWidth="1"/>
    <col min="12574" max="12574" width="1.109375" style="2768" customWidth="1"/>
    <col min="12575" max="12575" width="8.5546875" style="2768" customWidth="1"/>
    <col min="12576" max="12576" width="14.5546875" style="2768" customWidth="1"/>
    <col min="12577" max="12577" width="10" style="2768" customWidth="1"/>
    <col min="12578" max="12578" width="7.77734375" style="2768" bestFit="1" customWidth="1"/>
    <col min="12579" max="12579" width="9.77734375" style="2768" customWidth="1"/>
    <col min="12580" max="12796" width="8.77734375" style="2768"/>
    <col min="12797" max="12797" width="38.44140625" style="2768" customWidth="1"/>
    <col min="12798" max="12798" width="8.5546875" style="2768" customWidth="1"/>
    <col min="12799" max="12799" width="1.21875" style="2768" customWidth="1"/>
    <col min="12800" max="12800" width="8.77734375" style="2768" customWidth="1"/>
    <col min="12801" max="12801" width="1.21875" style="2768" customWidth="1"/>
    <col min="12802" max="12802" width="9.21875" style="2768" customWidth="1"/>
    <col min="12803" max="12803" width="1.21875" style="2768" customWidth="1"/>
    <col min="12804" max="12804" width="10" style="2768" customWidth="1"/>
    <col min="12805" max="12805" width="1.21875" style="2768" customWidth="1"/>
    <col min="12806" max="12806" width="9.109375" style="2768" customWidth="1"/>
    <col min="12807" max="12807" width="1.21875" style="2768" customWidth="1"/>
    <col min="12808" max="12808" width="11.21875" style="2768" customWidth="1"/>
    <col min="12809" max="12809" width="1.21875" style="2768" customWidth="1"/>
    <col min="12810" max="12810" width="9.109375" style="2768" customWidth="1"/>
    <col min="12811" max="12811" width="1.77734375" style="2768" customWidth="1"/>
    <col min="12812" max="12812" width="11" style="2768" customWidth="1"/>
    <col min="12813" max="12813" width="1.21875" style="2768" customWidth="1"/>
    <col min="12814" max="12814" width="10.77734375" style="2768" customWidth="1"/>
    <col min="12815" max="12815" width="1.21875" style="2768" customWidth="1"/>
    <col min="12816" max="12816" width="10" style="2768" customWidth="1"/>
    <col min="12817" max="12817" width="1.21875" style="2768" customWidth="1"/>
    <col min="12818" max="12818" width="9.21875" style="2768" customWidth="1"/>
    <col min="12819" max="12819" width="1.21875" style="2768" customWidth="1"/>
    <col min="12820" max="12820" width="7.77734375" style="2768" customWidth="1"/>
    <col min="12821" max="12821" width="1.21875" style="2768" customWidth="1"/>
    <col min="12822" max="12822" width="0.77734375" style="2768" customWidth="1"/>
    <col min="12823" max="12823" width="9.21875" style="2768" customWidth="1"/>
    <col min="12824" max="12824" width="1.21875" style="2768" customWidth="1"/>
    <col min="12825" max="12825" width="0.77734375" style="2768" customWidth="1"/>
    <col min="12826" max="12826" width="9.5546875" style="2768" bestFit="1" customWidth="1"/>
    <col min="12827" max="12828" width="0.77734375" style="2768" customWidth="1"/>
    <col min="12829" max="12829" width="9.77734375" style="2768" customWidth="1"/>
    <col min="12830" max="12830" width="1.109375" style="2768" customWidth="1"/>
    <col min="12831" max="12831" width="8.5546875" style="2768" customWidth="1"/>
    <col min="12832" max="12832" width="14.5546875" style="2768" customWidth="1"/>
    <col min="12833" max="12833" width="10" style="2768" customWidth="1"/>
    <col min="12834" max="12834" width="7.77734375" style="2768" bestFit="1" customWidth="1"/>
    <col min="12835" max="12835" width="9.77734375" style="2768" customWidth="1"/>
    <col min="12836" max="13052" width="8.77734375" style="2768"/>
    <col min="13053" max="13053" width="38.44140625" style="2768" customWidth="1"/>
    <col min="13054" max="13054" width="8.5546875" style="2768" customWidth="1"/>
    <col min="13055" max="13055" width="1.21875" style="2768" customWidth="1"/>
    <col min="13056" max="13056" width="8.77734375" style="2768" customWidth="1"/>
    <col min="13057" max="13057" width="1.21875" style="2768" customWidth="1"/>
    <col min="13058" max="13058" width="9.21875" style="2768" customWidth="1"/>
    <col min="13059" max="13059" width="1.21875" style="2768" customWidth="1"/>
    <col min="13060" max="13060" width="10" style="2768" customWidth="1"/>
    <col min="13061" max="13061" width="1.21875" style="2768" customWidth="1"/>
    <col min="13062" max="13062" width="9.109375" style="2768" customWidth="1"/>
    <col min="13063" max="13063" width="1.21875" style="2768" customWidth="1"/>
    <col min="13064" max="13064" width="11.21875" style="2768" customWidth="1"/>
    <col min="13065" max="13065" width="1.21875" style="2768" customWidth="1"/>
    <col min="13066" max="13066" width="9.109375" style="2768" customWidth="1"/>
    <col min="13067" max="13067" width="1.77734375" style="2768" customWidth="1"/>
    <col min="13068" max="13068" width="11" style="2768" customWidth="1"/>
    <col min="13069" max="13069" width="1.21875" style="2768" customWidth="1"/>
    <col min="13070" max="13070" width="10.77734375" style="2768" customWidth="1"/>
    <col min="13071" max="13071" width="1.21875" style="2768" customWidth="1"/>
    <col min="13072" max="13072" width="10" style="2768" customWidth="1"/>
    <col min="13073" max="13073" width="1.21875" style="2768" customWidth="1"/>
    <col min="13074" max="13074" width="9.21875" style="2768" customWidth="1"/>
    <col min="13075" max="13075" width="1.21875" style="2768" customWidth="1"/>
    <col min="13076" max="13076" width="7.77734375" style="2768" customWidth="1"/>
    <col min="13077" max="13077" width="1.21875" style="2768" customWidth="1"/>
    <col min="13078" max="13078" width="0.77734375" style="2768" customWidth="1"/>
    <col min="13079" max="13079" width="9.21875" style="2768" customWidth="1"/>
    <col min="13080" max="13080" width="1.21875" style="2768" customWidth="1"/>
    <col min="13081" max="13081" width="0.77734375" style="2768" customWidth="1"/>
    <col min="13082" max="13082" width="9.5546875" style="2768" bestFit="1" customWidth="1"/>
    <col min="13083" max="13084" width="0.77734375" style="2768" customWidth="1"/>
    <col min="13085" max="13085" width="9.77734375" style="2768" customWidth="1"/>
    <col min="13086" max="13086" width="1.109375" style="2768" customWidth="1"/>
    <col min="13087" max="13087" width="8.5546875" style="2768" customWidth="1"/>
    <col min="13088" max="13088" width="14.5546875" style="2768" customWidth="1"/>
    <col min="13089" max="13089" width="10" style="2768" customWidth="1"/>
    <col min="13090" max="13090" width="7.77734375" style="2768" bestFit="1" customWidth="1"/>
    <col min="13091" max="13091" width="9.77734375" style="2768" customWidth="1"/>
    <col min="13092" max="13308" width="8.77734375" style="2768"/>
    <col min="13309" max="13309" width="38.44140625" style="2768" customWidth="1"/>
    <col min="13310" max="13310" width="8.5546875" style="2768" customWidth="1"/>
    <col min="13311" max="13311" width="1.21875" style="2768" customWidth="1"/>
    <col min="13312" max="13312" width="8.77734375" style="2768" customWidth="1"/>
    <col min="13313" max="13313" width="1.21875" style="2768" customWidth="1"/>
    <col min="13314" max="13314" width="9.21875" style="2768" customWidth="1"/>
    <col min="13315" max="13315" width="1.21875" style="2768" customWidth="1"/>
    <col min="13316" max="13316" width="10" style="2768" customWidth="1"/>
    <col min="13317" max="13317" width="1.21875" style="2768" customWidth="1"/>
    <col min="13318" max="13318" width="9.109375" style="2768" customWidth="1"/>
    <col min="13319" max="13319" width="1.21875" style="2768" customWidth="1"/>
    <col min="13320" max="13320" width="11.21875" style="2768" customWidth="1"/>
    <col min="13321" max="13321" width="1.21875" style="2768" customWidth="1"/>
    <col min="13322" max="13322" width="9.109375" style="2768" customWidth="1"/>
    <col min="13323" max="13323" width="1.77734375" style="2768" customWidth="1"/>
    <col min="13324" max="13324" width="11" style="2768" customWidth="1"/>
    <col min="13325" max="13325" width="1.21875" style="2768" customWidth="1"/>
    <col min="13326" max="13326" width="10.77734375" style="2768" customWidth="1"/>
    <col min="13327" max="13327" width="1.21875" style="2768" customWidth="1"/>
    <col min="13328" max="13328" width="10" style="2768" customWidth="1"/>
    <col min="13329" max="13329" width="1.21875" style="2768" customWidth="1"/>
    <col min="13330" max="13330" width="9.21875" style="2768" customWidth="1"/>
    <col min="13331" max="13331" width="1.21875" style="2768" customWidth="1"/>
    <col min="13332" max="13332" width="7.77734375" style="2768" customWidth="1"/>
    <col min="13333" max="13333" width="1.21875" style="2768" customWidth="1"/>
    <col min="13334" max="13334" width="0.77734375" style="2768" customWidth="1"/>
    <col min="13335" max="13335" width="9.21875" style="2768" customWidth="1"/>
    <col min="13336" max="13336" width="1.21875" style="2768" customWidth="1"/>
    <col min="13337" max="13337" width="0.77734375" style="2768" customWidth="1"/>
    <col min="13338" max="13338" width="9.5546875" style="2768" bestFit="1" customWidth="1"/>
    <col min="13339" max="13340" width="0.77734375" style="2768" customWidth="1"/>
    <col min="13341" max="13341" width="9.77734375" style="2768" customWidth="1"/>
    <col min="13342" max="13342" width="1.109375" style="2768" customWidth="1"/>
    <col min="13343" max="13343" width="8.5546875" style="2768" customWidth="1"/>
    <col min="13344" max="13344" width="14.5546875" style="2768" customWidth="1"/>
    <col min="13345" max="13345" width="10" style="2768" customWidth="1"/>
    <col min="13346" max="13346" width="7.77734375" style="2768" bestFit="1" customWidth="1"/>
    <col min="13347" max="13347" width="9.77734375" style="2768" customWidth="1"/>
    <col min="13348" max="13564" width="8.77734375" style="2768"/>
    <col min="13565" max="13565" width="38.44140625" style="2768" customWidth="1"/>
    <col min="13566" max="13566" width="8.5546875" style="2768" customWidth="1"/>
    <col min="13567" max="13567" width="1.21875" style="2768" customWidth="1"/>
    <col min="13568" max="13568" width="8.77734375" style="2768" customWidth="1"/>
    <col min="13569" max="13569" width="1.21875" style="2768" customWidth="1"/>
    <col min="13570" max="13570" width="9.21875" style="2768" customWidth="1"/>
    <col min="13571" max="13571" width="1.21875" style="2768" customWidth="1"/>
    <col min="13572" max="13572" width="10" style="2768" customWidth="1"/>
    <col min="13573" max="13573" width="1.21875" style="2768" customWidth="1"/>
    <col min="13574" max="13574" width="9.109375" style="2768" customWidth="1"/>
    <col min="13575" max="13575" width="1.21875" style="2768" customWidth="1"/>
    <col min="13576" max="13576" width="11.21875" style="2768" customWidth="1"/>
    <col min="13577" max="13577" width="1.21875" style="2768" customWidth="1"/>
    <col min="13578" max="13578" width="9.109375" style="2768" customWidth="1"/>
    <col min="13579" max="13579" width="1.77734375" style="2768" customWidth="1"/>
    <col min="13580" max="13580" width="11" style="2768" customWidth="1"/>
    <col min="13581" max="13581" width="1.21875" style="2768" customWidth="1"/>
    <col min="13582" max="13582" width="10.77734375" style="2768" customWidth="1"/>
    <col min="13583" max="13583" width="1.21875" style="2768" customWidth="1"/>
    <col min="13584" max="13584" width="10" style="2768" customWidth="1"/>
    <col min="13585" max="13585" width="1.21875" style="2768" customWidth="1"/>
    <col min="13586" max="13586" width="9.21875" style="2768" customWidth="1"/>
    <col min="13587" max="13587" width="1.21875" style="2768" customWidth="1"/>
    <col min="13588" max="13588" width="7.77734375" style="2768" customWidth="1"/>
    <col min="13589" max="13589" width="1.21875" style="2768" customWidth="1"/>
    <col min="13590" max="13590" width="0.77734375" style="2768" customWidth="1"/>
    <col min="13591" max="13591" width="9.21875" style="2768" customWidth="1"/>
    <col min="13592" max="13592" width="1.21875" style="2768" customWidth="1"/>
    <col min="13593" max="13593" width="0.77734375" style="2768" customWidth="1"/>
    <col min="13594" max="13594" width="9.5546875" style="2768" bestFit="1" customWidth="1"/>
    <col min="13595" max="13596" width="0.77734375" style="2768" customWidth="1"/>
    <col min="13597" max="13597" width="9.77734375" style="2768" customWidth="1"/>
    <col min="13598" max="13598" width="1.109375" style="2768" customWidth="1"/>
    <col min="13599" max="13599" width="8.5546875" style="2768" customWidth="1"/>
    <col min="13600" max="13600" width="14.5546875" style="2768" customWidth="1"/>
    <col min="13601" max="13601" width="10" style="2768" customWidth="1"/>
    <col min="13602" max="13602" width="7.77734375" style="2768" bestFit="1" customWidth="1"/>
    <col min="13603" max="13603" width="9.77734375" style="2768" customWidth="1"/>
    <col min="13604" max="13820" width="8.77734375" style="2768"/>
    <col min="13821" max="13821" width="38.44140625" style="2768" customWidth="1"/>
    <col min="13822" max="13822" width="8.5546875" style="2768" customWidth="1"/>
    <col min="13823" max="13823" width="1.21875" style="2768" customWidth="1"/>
    <col min="13824" max="13824" width="8.77734375" style="2768" customWidth="1"/>
    <col min="13825" max="13825" width="1.21875" style="2768" customWidth="1"/>
    <col min="13826" max="13826" width="9.21875" style="2768" customWidth="1"/>
    <col min="13827" max="13827" width="1.21875" style="2768" customWidth="1"/>
    <col min="13828" max="13828" width="10" style="2768" customWidth="1"/>
    <col min="13829" max="13829" width="1.21875" style="2768" customWidth="1"/>
    <col min="13830" max="13830" width="9.109375" style="2768" customWidth="1"/>
    <col min="13831" max="13831" width="1.21875" style="2768" customWidth="1"/>
    <col min="13832" max="13832" width="11.21875" style="2768" customWidth="1"/>
    <col min="13833" max="13833" width="1.21875" style="2768" customWidth="1"/>
    <col min="13834" max="13834" width="9.109375" style="2768" customWidth="1"/>
    <col min="13835" max="13835" width="1.77734375" style="2768" customWidth="1"/>
    <col min="13836" max="13836" width="11" style="2768" customWidth="1"/>
    <col min="13837" max="13837" width="1.21875" style="2768" customWidth="1"/>
    <col min="13838" max="13838" width="10.77734375" style="2768" customWidth="1"/>
    <col min="13839" max="13839" width="1.21875" style="2768" customWidth="1"/>
    <col min="13840" max="13840" width="10" style="2768" customWidth="1"/>
    <col min="13841" max="13841" width="1.21875" style="2768" customWidth="1"/>
    <col min="13842" max="13842" width="9.21875" style="2768" customWidth="1"/>
    <col min="13843" max="13843" width="1.21875" style="2768" customWidth="1"/>
    <col min="13844" max="13844" width="7.77734375" style="2768" customWidth="1"/>
    <col min="13845" max="13845" width="1.21875" style="2768" customWidth="1"/>
    <col min="13846" max="13846" width="0.77734375" style="2768" customWidth="1"/>
    <col min="13847" max="13847" width="9.21875" style="2768" customWidth="1"/>
    <col min="13848" max="13848" width="1.21875" style="2768" customWidth="1"/>
    <col min="13849" max="13849" width="0.77734375" style="2768" customWidth="1"/>
    <col min="13850" max="13850" width="9.5546875" style="2768" bestFit="1" customWidth="1"/>
    <col min="13851" max="13852" width="0.77734375" style="2768" customWidth="1"/>
    <col min="13853" max="13853" width="9.77734375" style="2768" customWidth="1"/>
    <col min="13854" max="13854" width="1.109375" style="2768" customWidth="1"/>
    <col min="13855" max="13855" width="8.5546875" style="2768" customWidth="1"/>
    <col min="13856" max="13856" width="14.5546875" style="2768" customWidth="1"/>
    <col min="13857" max="13857" width="10" style="2768" customWidth="1"/>
    <col min="13858" max="13858" width="7.77734375" style="2768" bestFit="1" customWidth="1"/>
    <col min="13859" max="13859" width="9.77734375" style="2768" customWidth="1"/>
    <col min="13860" max="14076" width="8.77734375" style="2768"/>
    <col min="14077" max="14077" width="38.44140625" style="2768" customWidth="1"/>
    <col min="14078" max="14078" width="8.5546875" style="2768" customWidth="1"/>
    <col min="14079" max="14079" width="1.21875" style="2768" customWidth="1"/>
    <col min="14080" max="14080" width="8.77734375" style="2768" customWidth="1"/>
    <col min="14081" max="14081" width="1.21875" style="2768" customWidth="1"/>
    <col min="14082" max="14082" width="9.21875" style="2768" customWidth="1"/>
    <col min="14083" max="14083" width="1.21875" style="2768" customWidth="1"/>
    <col min="14084" max="14084" width="10" style="2768" customWidth="1"/>
    <col min="14085" max="14085" width="1.21875" style="2768" customWidth="1"/>
    <col min="14086" max="14086" width="9.109375" style="2768" customWidth="1"/>
    <col min="14087" max="14087" width="1.21875" style="2768" customWidth="1"/>
    <col min="14088" max="14088" width="11.21875" style="2768" customWidth="1"/>
    <col min="14089" max="14089" width="1.21875" style="2768" customWidth="1"/>
    <col min="14090" max="14090" width="9.109375" style="2768" customWidth="1"/>
    <col min="14091" max="14091" width="1.77734375" style="2768" customWidth="1"/>
    <col min="14092" max="14092" width="11" style="2768" customWidth="1"/>
    <col min="14093" max="14093" width="1.21875" style="2768" customWidth="1"/>
    <col min="14094" max="14094" width="10.77734375" style="2768" customWidth="1"/>
    <col min="14095" max="14095" width="1.21875" style="2768" customWidth="1"/>
    <col min="14096" max="14096" width="10" style="2768" customWidth="1"/>
    <col min="14097" max="14097" width="1.21875" style="2768" customWidth="1"/>
    <col min="14098" max="14098" width="9.21875" style="2768" customWidth="1"/>
    <col min="14099" max="14099" width="1.21875" style="2768" customWidth="1"/>
    <col min="14100" max="14100" width="7.77734375" style="2768" customWidth="1"/>
    <col min="14101" max="14101" width="1.21875" style="2768" customWidth="1"/>
    <col min="14102" max="14102" width="0.77734375" style="2768" customWidth="1"/>
    <col min="14103" max="14103" width="9.21875" style="2768" customWidth="1"/>
    <col min="14104" max="14104" width="1.21875" style="2768" customWidth="1"/>
    <col min="14105" max="14105" width="0.77734375" style="2768" customWidth="1"/>
    <col min="14106" max="14106" width="9.5546875" style="2768" bestFit="1" customWidth="1"/>
    <col min="14107" max="14108" width="0.77734375" style="2768" customWidth="1"/>
    <col min="14109" max="14109" width="9.77734375" style="2768" customWidth="1"/>
    <col min="14110" max="14110" width="1.109375" style="2768" customWidth="1"/>
    <col min="14111" max="14111" width="8.5546875" style="2768" customWidth="1"/>
    <col min="14112" max="14112" width="14.5546875" style="2768" customWidth="1"/>
    <col min="14113" max="14113" width="10" style="2768" customWidth="1"/>
    <col min="14114" max="14114" width="7.77734375" style="2768" bestFit="1" customWidth="1"/>
    <col min="14115" max="14115" width="9.77734375" style="2768" customWidth="1"/>
    <col min="14116" max="14332" width="8.77734375" style="2768"/>
    <col min="14333" max="14333" width="38.44140625" style="2768" customWidth="1"/>
    <col min="14334" max="14334" width="8.5546875" style="2768" customWidth="1"/>
    <col min="14335" max="14335" width="1.21875" style="2768" customWidth="1"/>
    <col min="14336" max="14336" width="8.77734375" style="2768" customWidth="1"/>
    <col min="14337" max="14337" width="1.21875" style="2768" customWidth="1"/>
    <col min="14338" max="14338" width="9.21875" style="2768" customWidth="1"/>
    <col min="14339" max="14339" width="1.21875" style="2768" customWidth="1"/>
    <col min="14340" max="14340" width="10" style="2768" customWidth="1"/>
    <col min="14341" max="14341" width="1.21875" style="2768" customWidth="1"/>
    <col min="14342" max="14342" width="9.109375" style="2768" customWidth="1"/>
    <col min="14343" max="14343" width="1.21875" style="2768" customWidth="1"/>
    <col min="14344" max="14344" width="11.21875" style="2768" customWidth="1"/>
    <col min="14345" max="14345" width="1.21875" style="2768" customWidth="1"/>
    <col min="14346" max="14346" width="9.109375" style="2768" customWidth="1"/>
    <col min="14347" max="14347" width="1.77734375" style="2768" customWidth="1"/>
    <col min="14348" max="14348" width="11" style="2768" customWidth="1"/>
    <col min="14349" max="14349" width="1.21875" style="2768" customWidth="1"/>
    <col min="14350" max="14350" width="10.77734375" style="2768" customWidth="1"/>
    <col min="14351" max="14351" width="1.21875" style="2768" customWidth="1"/>
    <col min="14352" max="14352" width="10" style="2768" customWidth="1"/>
    <col min="14353" max="14353" width="1.21875" style="2768" customWidth="1"/>
    <col min="14354" max="14354" width="9.21875" style="2768" customWidth="1"/>
    <col min="14355" max="14355" width="1.21875" style="2768" customWidth="1"/>
    <col min="14356" max="14356" width="7.77734375" style="2768" customWidth="1"/>
    <col min="14357" max="14357" width="1.21875" style="2768" customWidth="1"/>
    <col min="14358" max="14358" width="0.77734375" style="2768" customWidth="1"/>
    <col min="14359" max="14359" width="9.21875" style="2768" customWidth="1"/>
    <col min="14360" max="14360" width="1.21875" style="2768" customWidth="1"/>
    <col min="14361" max="14361" width="0.77734375" style="2768" customWidth="1"/>
    <col min="14362" max="14362" width="9.5546875" style="2768" bestFit="1" customWidth="1"/>
    <col min="14363" max="14364" width="0.77734375" style="2768" customWidth="1"/>
    <col min="14365" max="14365" width="9.77734375" style="2768" customWidth="1"/>
    <col min="14366" max="14366" width="1.109375" style="2768" customWidth="1"/>
    <col min="14367" max="14367" width="8.5546875" style="2768" customWidth="1"/>
    <col min="14368" max="14368" width="14.5546875" style="2768" customWidth="1"/>
    <col min="14369" max="14369" width="10" style="2768" customWidth="1"/>
    <col min="14370" max="14370" width="7.77734375" style="2768" bestFit="1" customWidth="1"/>
    <col min="14371" max="14371" width="9.77734375" style="2768" customWidth="1"/>
    <col min="14372" max="14588" width="8.77734375" style="2768"/>
    <col min="14589" max="14589" width="38.44140625" style="2768" customWidth="1"/>
    <col min="14590" max="14590" width="8.5546875" style="2768" customWidth="1"/>
    <col min="14591" max="14591" width="1.21875" style="2768" customWidth="1"/>
    <col min="14592" max="14592" width="8.77734375" style="2768" customWidth="1"/>
    <col min="14593" max="14593" width="1.21875" style="2768" customWidth="1"/>
    <col min="14594" max="14594" width="9.21875" style="2768" customWidth="1"/>
    <col min="14595" max="14595" width="1.21875" style="2768" customWidth="1"/>
    <col min="14596" max="14596" width="10" style="2768" customWidth="1"/>
    <col min="14597" max="14597" width="1.21875" style="2768" customWidth="1"/>
    <col min="14598" max="14598" width="9.109375" style="2768" customWidth="1"/>
    <col min="14599" max="14599" width="1.21875" style="2768" customWidth="1"/>
    <col min="14600" max="14600" width="11.21875" style="2768" customWidth="1"/>
    <col min="14601" max="14601" width="1.21875" style="2768" customWidth="1"/>
    <col min="14602" max="14602" width="9.109375" style="2768" customWidth="1"/>
    <col min="14603" max="14603" width="1.77734375" style="2768" customWidth="1"/>
    <col min="14604" max="14604" width="11" style="2768" customWidth="1"/>
    <col min="14605" max="14605" width="1.21875" style="2768" customWidth="1"/>
    <col min="14606" max="14606" width="10.77734375" style="2768" customWidth="1"/>
    <col min="14607" max="14607" width="1.21875" style="2768" customWidth="1"/>
    <col min="14608" max="14608" width="10" style="2768" customWidth="1"/>
    <col min="14609" max="14609" width="1.21875" style="2768" customWidth="1"/>
    <col min="14610" max="14610" width="9.21875" style="2768" customWidth="1"/>
    <col min="14611" max="14611" width="1.21875" style="2768" customWidth="1"/>
    <col min="14612" max="14612" width="7.77734375" style="2768" customWidth="1"/>
    <col min="14613" max="14613" width="1.21875" style="2768" customWidth="1"/>
    <col min="14614" max="14614" width="0.77734375" style="2768" customWidth="1"/>
    <col min="14615" max="14615" width="9.21875" style="2768" customWidth="1"/>
    <col min="14616" max="14616" width="1.21875" style="2768" customWidth="1"/>
    <col min="14617" max="14617" width="0.77734375" style="2768" customWidth="1"/>
    <col min="14618" max="14618" width="9.5546875" style="2768" bestFit="1" customWidth="1"/>
    <col min="14619" max="14620" width="0.77734375" style="2768" customWidth="1"/>
    <col min="14621" max="14621" width="9.77734375" style="2768" customWidth="1"/>
    <col min="14622" max="14622" width="1.109375" style="2768" customWidth="1"/>
    <col min="14623" max="14623" width="8.5546875" style="2768" customWidth="1"/>
    <col min="14624" max="14624" width="14.5546875" style="2768" customWidth="1"/>
    <col min="14625" max="14625" width="10" style="2768" customWidth="1"/>
    <col min="14626" max="14626" width="7.77734375" style="2768" bestFit="1" customWidth="1"/>
    <col min="14627" max="14627" width="9.77734375" style="2768" customWidth="1"/>
    <col min="14628" max="14844" width="8.77734375" style="2768"/>
    <col min="14845" max="14845" width="38.44140625" style="2768" customWidth="1"/>
    <col min="14846" max="14846" width="8.5546875" style="2768" customWidth="1"/>
    <col min="14847" max="14847" width="1.21875" style="2768" customWidth="1"/>
    <col min="14848" max="14848" width="8.77734375" style="2768" customWidth="1"/>
    <col min="14849" max="14849" width="1.21875" style="2768" customWidth="1"/>
    <col min="14850" max="14850" width="9.21875" style="2768" customWidth="1"/>
    <col min="14851" max="14851" width="1.21875" style="2768" customWidth="1"/>
    <col min="14852" max="14852" width="10" style="2768" customWidth="1"/>
    <col min="14853" max="14853" width="1.21875" style="2768" customWidth="1"/>
    <col min="14854" max="14854" width="9.109375" style="2768" customWidth="1"/>
    <col min="14855" max="14855" width="1.21875" style="2768" customWidth="1"/>
    <col min="14856" max="14856" width="11.21875" style="2768" customWidth="1"/>
    <col min="14857" max="14857" width="1.21875" style="2768" customWidth="1"/>
    <col min="14858" max="14858" width="9.109375" style="2768" customWidth="1"/>
    <col min="14859" max="14859" width="1.77734375" style="2768" customWidth="1"/>
    <col min="14860" max="14860" width="11" style="2768" customWidth="1"/>
    <col min="14861" max="14861" width="1.21875" style="2768" customWidth="1"/>
    <col min="14862" max="14862" width="10.77734375" style="2768" customWidth="1"/>
    <col min="14863" max="14863" width="1.21875" style="2768" customWidth="1"/>
    <col min="14864" max="14864" width="10" style="2768" customWidth="1"/>
    <col min="14865" max="14865" width="1.21875" style="2768" customWidth="1"/>
    <col min="14866" max="14866" width="9.21875" style="2768" customWidth="1"/>
    <col min="14867" max="14867" width="1.21875" style="2768" customWidth="1"/>
    <col min="14868" max="14868" width="7.77734375" style="2768" customWidth="1"/>
    <col min="14869" max="14869" width="1.21875" style="2768" customWidth="1"/>
    <col min="14870" max="14870" width="0.77734375" style="2768" customWidth="1"/>
    <col min="14871" max="14871" width="9.21875" style="2768" customWidth="1"/>
    <col min="14872" max="14872" width="1.21875" style="2768" customWidth="1"/>
    <col min="14873" max="14873" width="0.77734375" style="2768" customWidth="1"/>
    <col min="14874" max="14874" width="9.5546875" style="2768" bestFit="1" customWidth="1"/>
    <col min="14875" max="14876" width="0.77734375" style="2768" customWidth="1"/>
    <col min="14877" max="14877" width="9.77734375" style="2768" customWidth="1"/>
    <col min="14878" max="14878" width="1.109375" style="2768" customWidth="1"/>
    <col min="14879" max="14879" width="8.5546875" style="2768" customWidth="1"/>
    <col min="14880" max="14880" width="14.5546875" style="2768" customWidth="1"/>
    <col min="14881" max="14881" width="10" style="2768" customWidth="1"/>
    <col min="14882" max="14882" width="7.77734375" style="2768" bestFit="1" customWidth="1"/>
    <col min="14883" max="14883" width="9.77734375" style="2768" customWidth="1"/>
    <col min="14884" max="15100" width="8.77734375" style="2768"/>
    <col min="15101" max="15101" width="38.44140625" style="2768" customWidth="1"/>
    <col min="15102" max="15102" width="8.5546875" style="2768" customWidth="1"/>
    <col min="15103" max="15103" width="1.21875" style="2768" customWidth="1"/>
    <col min="15104" max="15104" width="8.77734375" style="2768" customWidth="1"/>
    <col min="15105" max="15105" width="1.21875" style="2768" customWidth="1"/>
    <col min="15106" max="15106" width="9.21875" style="2768" customWidth="1"/>
    <col min="15107" max="15107" width="1.21875" style="2768" customWidth="1"/>
    <col min="15108" max="15108" width="10" style="2768" customWidth="1"/>
    <col min="15109" max="15109" width="1.21875" style="2768" customWidth="1"/>
    <col min="15110" max="15110" width="9.109375" style="2768" customWidth="1"/>
    <col min="15111" max="15111" width="1.21875" style="2768" customWidth="1"/>
    <col min="15112" max="15112" width="11.21875" style="2768" customWidth="1"/>
    <col min="15113" max="15113" width="1.21875" style="2768" customWidth="1"/>
    <col min="15114" max="15114" width="9.109375" style="2768" customWidth="1"/>
    <col min="15115" max="15115" width="1.77734375" style="2768" customWidth="1"/>
    <col min="15116" max="15116" width="11" style="2768" customWidth="1"/>
    <col min="15117" max="15117" width="1.21875" style="2768" customWidth="1"/>
    <col min="15118" max="15118" width="10.77734375" style="2768" customWidth="1"/>
    <col min="15119" max="15119" width="1.21875" style="2768" customWidth="1"/>
    <col min="15120" max="15120" width="10" style="2768" customWidth="1"/>
    <col min="15121" max="15121" width="1.21875" style="2768" customWidth="1"/>
    <col min="15122" max="15122" width="9.21875" style="2768" customWidth="1"/>
    <col min="15123" max="15123" width="1.21875" style="2768" customWidth="1"/>
    <col min="15124" max="15124" width="7.77734375" style="2768" customWidth="1"/>
    <col min="15125" max="15125" width="1.21875" style="2768" customWidth="1"/>
    <col min="15126" max="15126" width="0.77734375" style="2768" customWidth="1"/>
    <col min="15127" max="15127" width="9.21875" style="2768" customWidth="1"/>
    <col min="15128" max="15128" width="1.21875" style="2768" customWidth="1"/>
    <col min="15129" max="15129" width="0.77734375" style="2768" customWidth="1"/>
    <col min="15130" max="15130" width="9.5546875" style="2768" bestFit="1" customWidth="1"/>
    <col min="15131" max="15132" width="0.77734375" style="2768" customWidth="1"/>
    <col min="15133" max="15133" width="9.77734375" style="2768" customWidth="1"/>
    <col min="15134" max="15134" width="1.109375" style="2768" customWidth="1"/>
    <col min="15135" max="15135" width="8.5546875" style="2768" customWidth="1"/>
    <col min="15136" max="15136" width="14.5546875" style="2768" customWidth="1"/>
    <col min="15137" max="15137" width="10" style="2768" customWidth="1"/>
    <col min="15138" max="15138" width="7.77734375" style="2768" bestFit="1" customWidth="1"/>
    <col min="15139" max="15139" width="9.77734375" style="2768" customWidth="1"/>
    <col min="15140" max="15356" width="8.77734375" style="2768"/>
    <col min="15357" max="15357" width="38.44140625" style="2768" customWidth="1"/>
    <col min="15358" max="15358" width="8.5546875" style="2768" customWidth="1"/>
    <col min="15359" max="15359" width="1.21875" style="2768" customWidth="1"/>
    <col min="15360" max="15360" width="8.77734375" style="2768" customWidth="1"/>
    <col min="15361" max="15361" width="1.21875" style="2768" customWidth="1"/>
    <col min="15362" max="15362" width="9.21875" style="2768" customWidth="1"/>
    <col min="15363" max="15363" width="1.21875" style="2768" customWidth="1"/>
    <col min="15364" max="15364" width="10" style="2768" customWidth="1"/>
    <col min="15365" max="15365" width="1.21875" style="2768" customWidth="1"/>
    <col min="15366" max="15366" width="9.109375" style="2768" customWidth="1"/>
    <col min="15367" max="15367" width="1.21875" style="2768" customWidth="1"/>
    <col min="15368" max="15368" width="11.21875" style="2768" customWidth="1"/>
    <col min="15369" max="15369" width="1.21875" style="2768" customWidth="1"/>
    <col min="15370" max="15370" width="9.109375" style="2768" customWidth="1"/>
    <col min="15371" max="15371" width="1.77734375" style="2768" customWidth="1"/>
    <col min="15372" max="15372" width="11" style="2768" customWidth="1"/>
    <col min="15373" max="15373" width="1.21875" style="2768" customWidth="1"/>
    <col min="15374" max="15374" width="10.77734375" style="2768" customWidth="1"/>
    <col min="15375" max="15375" width="1.21875" style="2768" customWidth="1"/>
    <col min="15376" max="15376" width="10" style="2768" customWidth="1"/>
    <col min="15377" max="15377" width="1.21875" style="2768" customWidth="1"/>
    <col min="15378" max="15378" width="9.21875" style="2768" customWidth="1"/>
    <col min="15379" max="15379" width="1.21875" style="2768" customWidth="1"/>
    <col min="15380" max="15380" width="7.77734375" style="2768" customWidth="1"/>
    <col min="15381" max="15381" width="1.21875" style="2768" customWidth="1"/>
    <col min="15382" max="15382" width="0.77734375" style="2768" customWidth="1"/>
    <col min="15383" max="15383" width="9.21875" style="2768" customWidth="1"/>
    <col min="15384" max="15384" width="1.21875" style="2768" customWidth="1"/>
    <col min="15385" max="15385" width="0.77734375" style="2768" customWidth="1"/>
    <col min="15386" max="15386" width="9.5546875" style="2768" bestFit="1" customWidth="1"/>
    <col min="15387" max="15388" width="0.77734375" style="2768" customWidth="1"/>
    <col min="15389" max="15389" width="9.77734375" style="2768" customWidth="1"/>
    <col min="15390" max="15390" width="1.109375" style="2768" customWidth="1"/>
    <col min="15391" max="15391" width="8.5546875" style="2768" customWidth="1"/>
    <col min="15392" max="15392" width="14.5546875" style="2768" customWidth="1"/>
    <col min="15393" max="15393" width="10" style="2768" customWidth="1"/>
    <col min="15394" max="15394" width="7.77734375" style="2768" bestFit="1" customWidth="1"/>
    <col min="15395" max="15395" width="9.77734375" style="2768" customWidth="1"/>
    <col min="15396" max="15612" width="8.77734375" style="2768"/>
    <col min="15613" max="15613" width="38.44140625" style="2768" customWidth="1"/>
    <col min="15614" max="15614" width="8.5546875" style="2768" customWidth="1"/>
    <col min="15615" max="15615" width="1.21875" style="2768" customWidth="1"/>
    <col min="15616" max="15616" width="8.77734375" style="2768" customWidth="1"/>
    <col min="15617" max="15617" width="1.21875" style="2768" customWidth="1"/>
    <col min="15618" max="15618" width="9.21875" style="2768" customWidth="1"/>
    <col min="15619" max="15619" width="1.21875" style="2768" customWidth="1"/>
    <col min="15620" max="15620" width="10" style="2768" customWidth="1"/>
    <col min="15621" max="15621" width="1.21875" style="2768" customWidth="1"/>
    <col min="15622" max="15622" width="9.109375" style="2768" customWidth="1"/>
    <col min="15623" max="15623" width="1.21875" style="2768" customWidth="1"/>
    <col min="15624" max="15624" width="11.21875" style="2768" customWidth="1"/>
    <col min="15625" max="15625" width="1.21875" style="2768" customWidth="1"/>
    <col min="15626" max="15626" width="9.109375" style="2768" customWidth="1"/>
    <col min="15627" max="15627" width="1.77734375" style="2768" customWidth="1"/>
    <col min="15628" max="15628" width="11" style="2768" customWidth="1"/>
    <col min="15629" max="15629" width="1.21875" style="2768" customWidth="1"/>
    <col min="15630" max="15630" width="10.77734375" style="2768" customWidth="1"/>
    <col min="15631" max="15631" width="1.21875" style="2768" customWidth="1"/>
    <col min="15632" max="15632" width="10" style="2768" customWidth="1"/>
    <col min="15633" max="15633" width="1.21875" style="2768" customWidth="1"/>
    <col min="15634" max="15634" width="9.21875" style="2768" customWidth="1"/>
    <col min="15635" max="15635" width="1.21875" style="2768" customWidth="1"/>
    <col min="15636" max="15636" width="7.77734375" style="2768" customWidth="1"/>
    <col min="15637" max="15637" width="1.21875" style="2768" customWidth="1"/>
    <col min="15638" max="15638" width="0.77734375" style="2768" customWidth="1"/>
    <col min="15639" max="15639" width="9.21875" style="2768" customWidth="1"/>
    <col min="15640" max="15640" width="1.21875" style="2768" customWidth="1"/>
    <col min="15641" max="15641" width="0.77734375" style="2768" customWidth="1"/>
    <col min="15642" max="15642" width="9.5546875" style="2768" bestFit="1" customWidth="1"/>
    <col min="15643" max="15644" width="0.77734375" style="2768" customWidth="1"/>
    <col min="15645" max="15645" width="9.77734375" style="2768" customWidth="1"/>
    <col min="15646" max="15646" width="1.109375" style="2768" customWidth="1"/>
    <col min="15647" max="15647" width="8.5546875" style="2768" customWidth="1"/>
    <col min="15648" max="15648" width="14.5546875" style="2768" customWidth="1"/>
    <col min="15649" max="15649" width="10" style="2768" customWidth="1"/>
    <col min="15650" max="15650" width="7.77734375" style="2768" bestFit="1" customWidth="1"/>
    <col min="15651" max="15651" width="9.77734375" style="2768" customWidth="1"/>
    <col min="15652" max="15868" width="8.77734375" style="2768"/>
    <col min="15869" max="15869" width="38.44140625" style="2768" customWidth="1"/>
    <col min="15870" max="15870" width="8.5546875" style="2768" customWidth="1"/>
    <col min="15871" max="15871" width="1.21875" style="2768" customWidth="1"/>
    <col min="15872" max="15872" width="8.77734375" style="2768" customWidth="1"/>
    <col min="15873" max="15873" width="1.21875" style="2768" customWidth="1"/>
    <col min="15874" max="15874" width="9.21875" style="2768" customWidth="1"/>
    <col min="15875" max="15875" width="1.21875" style="2768" customWidth="1"/>
    <col min="15876" max="15876" width="10" style="2768" customWidth="1"/>
    <col min="15877" max="15877" width="1.21875" style="2768" customWidth="1"/>
    <col min="15878" max="15878" width="9.109375" style="2768" customWidth="1"/>
    <col min="15879" max="15879" width="1.21875" style="2768" customWidth="1"/>
    <col min="15880" max="15880" width="11.21875" style="2768" customWidth="1"/>
    <col min="15881" max="15881" width="1.21875" style="2768" customWidth="1"/>
    <col min="15882" max="15882" width="9.109375" style="2768" customWidth="1"/>
    <col min="15883" max="15883" width="1.77734375" style="2768" customWidth="1"/>
    <col min="15884" max="15884" width="11" style="2768" customWidth="1"/>
    <col min="15885" max="15885" width="1.21875" style="2768" customWidth="1"/>
    <col min="15886" max="15886" width="10.77734375" style="2768" customWidth="1"/>
    <col min="15887" max="15887" width="1.21875" style="2768" customWidth="1"/>
    <col min="15888" max="15888" width="10" style="2768" customWidth="1"/>
    <col min="15889" max="15889" width="1.21875" style="2768" customWidth="1"/>
    <col min="15890" max="15890" width="9.21875" style="2768" customWidth="1"/>
    <col min="15891" max="15891" width="1.21875" style="2768" customWidth="1"/>
    <col min="15892" max="15892" width="7.77734375" style="2768" customWidth="1"/>
    <col min="15893" max="15893" width="1.21875" style="2768" customWidth="1"/>
    <col min="15894" max="15894" width="0.77734375" style="2768" customWidth="1"/>
    <col min="15895" max="15895" width="9.21875" style="2768" customWidth="1"/>
    <col min="15896" max="15896" width="1.21875" style="2768" customWidth="1"/>
    <col min="15897" max="15897" width="0.77734375" style="2768" customWidth="1"/>
    <col min="15898" max="15898" width="9.5546875" style="2768" bestFit="1" customWidth="1"/>
    <col min="15899" max="15900" width="0.77734375" style="2768" customWidth="1"/>
    <col min="15901" max="15901" width="9.77734375" style="2768" customWidth="1"/>
    <col min="15902" max="15902" width="1.109375" style="2768" customWidth="1"/>
    <col min="15903" max="15903" width="8.5546875" style="2768" customWidth="1"/>
    <col min="15904" max="15904" width="14.5546875" style="2768" customWidth="1"/>
    <col min="15905" max="15905" width="10" style="2768" customWidth="1"/>
    <col min="15906" max="15906" width="7.77734375" style="2768" bestFit="1" customWidth="1"/>
    <col min="15907" max="15907" width="9.77734375" style="2768" customWidth="1"/>
    <col min="15908" max="16124" width="8.77734375" style="2768"/>
    <col min="16125" max="16125" width="38.44140625" style="2768" customWidth="1"/>
    <col min="16126" max="16126" width="8.5546875" style="2768" customWidth="1"/>
    <col min="16127" max="16127" width="1.21875" style="2768" customWidth="1"/>
    <col min="16128" max="16128" width="8.77734375" style="2768" customWidth="1"/>
    <col min="16129" max="16129" width="1.21875" style="2768" customWidth="1"/>
    <col min="16130" max="16130" width="9.21875" style="2768" customWidth="1"/>
    <col min="16131" max="16131" width="1.21875" style="2768" customWidth="1"/>
    <col min="16132" max="16132" width="10" style="2768" customWidth="1"/>
    <col min="16133" max="16133" width="1.21875" style="2768" customWidth="1"/>
    <col min="16134" max="16134" width="9.109375" style="2768" customWidth="1"/>
    <col min="16135" max="16135" width="1.21875" style="2768" customWidth="1"/>
    <col min="16136" max="16136" width="11.21875" style="2768" customWidth="1"/>
    <col min="16137" max="16137" width="1.21875" style="2768" customWidth="1"/>
    <col min="16138" max="16138" width="9.109375" style="2768" customWidth="1"/>
    <col min="16139" max="16139" width="1.77734375" style="2768" customWidth="1"/>
    <col min="16140" max="16140" width="11" style="2768" customWidth="1"/>
    <col min="16141" max="16141" width="1.21875" style="2768" customWidth="1"/>
    <col min="16142" max="16142" width="10.77734375" style="2768" customWidth="1"/>
    <col min="16143" max="16143" width="1.21875" style="2768" customWidth="1"/>
    <col min="16144" max="16144" width="10" style="2768" customWidth="1"/>
    <col min="16145" max="16145" width="1.21875" style="2768" customWidth="1"/>
    <col min="16146" max="16146" width="9.21875" style="2768" customWidth="1"/>
    <col min="16147" max="16147" width="1.21875" style="2768" customWidth="1"/>
    <col min="16148" max="16148" width="7.77734375" style="2768" customWidth="1"/>
    <col min="16149" max="16149" width="1.21875" style="2768" customWidth="1"/>
    <col min="16150" max="16150" width="0.77734375" style="2768" customWidth="1"/>
    <col min="16151" max="16151" width="9.21875" style="2768" customWidth="1"/>
    <col min="16152" max="16152" width="1.21875" style="2768" customWidth="1"/>
    <col min="16153" max="16153" width="0.77734375" style="2768" customWidth="1"/>
    <col min="16154" max="16154" width="9.5546875" style="2768" bestFit="1" customWidth="1"/>
    <col min="16155" max="16156" width="0.77734375" style="2768" customWidth="1"/>
    <col min="16157" max="16157" width="9.77734375" style="2768" customWidth="1"/>
    <col min="16158" max="16158" width="1.109375" style="2768" customWidth="1"/>
    <col min="16159" max="16159" width="8.5546875" style="2768" customWidth="1"/>
    <col min="16160" max="16160" width="14.5546875" style="2768" customWidth="1"/>
    <col min="16161" max="16161" width="10" style="2768" customWidth="1"/>
    <col min="16162" max="16162" width="7.77734375" style="2768" bestFit="1" customWidth="1"/>
    <col min="16163" max="16163" width="9.77734375" style="2768" customWidth="1"/>
    <col min="16164" max="16384" width="8.77734375" style="2768"/>
  </cols>
  <sheetData>
    <row r="1" spans="1:36" ht="15">
      <c r="A1" s="2310" t="s">
        <v>980</v>
      </c>
    </row>
    <row r="2" spans="1:36" ht="10.5" customHeight="1"/>
    <row r="3" spans="1:36" ht="18">
      <c r="A3" s="2771" t="s">
        <v>0</v>
      </c>
      <c r="AI3" s="2772" t="s">
        <v>1169</v>
      </c>
    </row>
    <row r="4" spans="1:36" ht="18">
      <c r="A4" s="2773" t="s">
        <v>185</v>
      </c>
    </row>
    <row r="5" spans="1:36" ht="18">
      <c r="A5" s="2773" t="s">
        <v>149</v>
      </c>
      <c r="AB5" s="3810"/>
      <c r="AC5" s="3811"/>
      <c r="AD5" s="3811"/>
      <c r="AE5" s="2774"/>
      <c r="AF5" s="2774"/>
      <c r="AG5" s="2774"/>
      <c r="AH5" s="2774"/>
      <c r="AI5" s="2774"/>
      <c r="AJ5" s="2775"/>
    </row>
    <row r="6" spans="1:36" ht="18">
      <c r="A6" s="2771" t="str">
        <f>'Cashflow Governmental'!A6</f>
        <v>FISCAL YEAR 2019-2020</v>
      </c>
    </row>
    <row r="7" spans="1:36" ht="18">
      <c r="A7" s="2773" t="s">
        <v>1433</v>
      </c>
    </row>
    <row r="8" spans="1:36" ht="15.75">
      <c r="AA8" s="3812" t="s">
        <v>1473</v>
      </c>
      <c r="AB8" s="3812"/>
      <c r="AC8" s="3812"/>
      <c r="AD8" s="3812"/>
      <c r="AE8" s="3812"/>
      <c r="AF8" s="3812"/>
      <c r="AG8" s="3812"/>
      <c r="AH8" s="3812"/>
      <c r="AI8" s="3812"/>
    </row>
    <row r="9" spans="1:36" ht="15.75">
      <c r="B9" s="2776" t="str">
        <f>'Cashflow Governmental'!C13</f>
        <v>2019</v>
      </c>
      <c r="C9" s="2550"/>
      <c r="D9" s="2550"/>
      <c r="E9" s="2550"/>
      <c r="F9" s="2777"/>
      <c r="G9" s="2550"/>
      <c r="H9" s="2550"/>
      <c r="I9" s="2550"/>
      <c r="J9" s="2550"/>
      <c r="K9" s="2550"/>
      <c r="L9" s="2550"/>
      <c r="M9" s="2550"/>
      <c r="N9" s="2550"/>
      <c r="O9" s="2550"/>
      <c r="P9" s="2550"/>
      <c r="Q9" s="2550"/>
      <c r="R9" s="2550"/>
      <c r="S9" s="2550"/>
      <c r="T9" s="2776" t="str">
        <f>'Cashflow Governmental'!U13</f>
        <v>2020</v>
      </c>
      <c r="U9" s="2550"/>
      <c r="V9" s="2550"/>
      <c r="W9" s="2550"/>
      <c r="X9" s="2778"/>
      <c r="Y9" s="2550"/>
      <c r="Z9" s="2550"/>
      <c r="AA9" s="2550"/>
      <c r="AB9" s="2550"/>
      <c r="AC9" s="2550"/>
      <c r="AD9" s="2550"/>
      <c r="AE9" s="2779"/>
      <c r="AF9" s="2550"/>
      <c r="AG9" s="2780" t="s">
        <v>8</v>
      </c>
      <c r="AH9" s="2781"/>
      <c r="AI9" s="2782" t="s">
        <v>9</v>
      </c>
      <c r="AJ9" s="2775"/>
    </row>
    <row r="10" spans="1:36" ht="15.75">
      <c r="B10" s="2783" t="s">
        <v>125</v>
      </c>
      <c r="C10" s="2550"/>
      <c r="D10" s="2783" t="s">
        <v>126</v>
      </c>
      <c r="E10" s="2778"/>
      <c r="F10" s="2784" t="s">
        <v>127</v>
      </c>
      <c r="G10" s="2778"/>
      <c r="H10" s="2783" t="s">
        <v>128</v>
      </c>
      <c r="I10" s="2778"/>
      <c r="J10" s="2783" t="s">
        <v>129</v>
      </c>
      <c r="K10" s="2778"/>
      <c r="L10" s="2785" t="s">
        <v>144</v>
      </c>
      <c r="M10" s="2778"/>
      <c r="N10" s="2783" t="s">
        <v>145</v>
      </c>
      <c r="O10" s="2778"/>
      <c r="P10" s="2783" t="s">
        <v>132</v>
      </c>
      <c r="Q10" s="2778"/>
      <c r="R10" s="2783" t="s">
        <v>133</v>
      </c>
      <c r="S10" s="2550"/>
      <c r="T10" s="2783" t="s">
        <v>134</v>
      </c>
      <c r="U10" s="2778"/>
      <c r="V10" s="2783" t="s">
        <v>135</v>
      </c>
      <c r="W10" s="2778"/>
      <c r="X10" s="2783" t="s">
        <v>186</v>
      </c>
      <c r="Y10" s="2778"/>
      <c r="Z10" s="2778"/>
      <c r="AA10" s="2786" t="str">
        <f>'Cashflow Governmental'!AB14</f>
        <v>2019</v>
      </c>
      <c r="AB10" s="2778"/>
      <c r="AC10" s="2778"/>
      <c r="AD10" s="2786" t="str">
        <f>'Cashflow Governmental'!AE14</f>
        <v>2018</v>
      </c>
      <c r="AE10" s="2787"/>
      <c r="AF10" s="2787"/>
      <c r="AG10" s="2788" t="s">
        <v>12</v>
      </c>
      <c r="AH10" s="2789"/>
      <c r="AI10" s="2788" t="s">
        <v>13</v>
      </c>
      <c r="AJ10" s="2775"/>
    </row>
    <row r="11" spans="1:36" ht="3" customHeight="1">
      <c r="B11" s="2790"/>
      <c r="C11" s="1499"/>
      <c r="D11" s="2790"/>
      <c r="E11" s="2791"/>
      <c r="F11" s="2792"/>
      <c r="G11" s="2791"/>
      <c r="H11" s="2790"/>
      <c r="I11" s="2791"/>
      <c r="J11" s="2790"/>
      <c r="K11" s="2791"/>
      <c r="L11" s="2793"/>
      <c r="M11" s="2791"/>
      <c r="N11" s="2790"/>
      <c r="O11" s="2791"/>
      <c r="P11" s="2790"/>
      <c r="Q11" s="2791"/>
      <c r="R11" s="2790"/>
      <c r="S11" s="1499"/>
      <c r="T11" s="2794"/>
      <c r="U11" s="2791"/>
      <c r="V11" s="2790"/>
      <c r="W11" s="2791"/>
      <c r="X11" s="2790"/>
      <c r="Y11" s="2791"/>
      <c r="Z11" s="2791"/>
      <c r="AA11" s="2795"/>
      <c r="AB11" s="2791"/>
      <c r="AC11" s="2791"/>
      <c r="AD11" s="2795"/>
      <c r="AE11" s="2795"/>
      <c r="AF11" s="2796"/>
      <c r="AG11" s="2795"/>
      <c r="AH11" s="1496"/>
      <c r="AI11" s="1499"/>
    </row>
    <row r="12" spans="1:36" ht="15.75">
      <c r="A12" s="2797" t="s">
        <v>187</v>
      </c>
      <c r="B12" s="2530">
        <v>64.8</v>
      </c>
      <c r="C12" s="2530"/>
      <c r="D12" s="2798">
        <f>B75</f>
        <v>314.8</v>
      </c>
      <c r="E12" s="2530"/>
      <c r="F12" s="2798">
        <f>D75</f>
        <v>683.8</v>
      </c>
      <c r="G12" s="2530"/>
      <c r="H12" s="2798">
        <f>F75</f>
        <v>361.5</v>
      </c>
      <c r="I12" s="2530"/>
      <c r="J12" s="2798"/>
      <c r="K12" s="2530"/>
      <c r="L12" s="2798"/>
      <c r="M12" s="2530"/>
      <c r="N12" s="2798"/>
      <c r="O12" s="2530"/>
      <c r="P12" s="2798"/>
      <c r="Q12" s="2530"/>
      <c r="R12" s="2798"/>
      <c r="S12" s="2530"/>
      <c r="T12" s="2798"/>
      <c r="U12" s="2530"/>
      <c r="V12" s="2798"/>
      <c r="W12" s="2530"/>
      <c r="X12" s="2798"/>
      <c r="Y12" s="2799"/>
      <c r="Z12" s="2530"/>
      <c r="AA12" s="2530">
        <f>B12</f>
        <v>64.8</v>
      </c>
      <c r="AB12" s="2799"/>
      <c r="AC12" s="2530"/>
      <c r="AD12" s="3667">
        <v>153.1</v>
      </c>
      <c r="AE12" s="2800"/>
      <c r="AF12" s="2801"/>
      <c r="AG12" s="2802">
        <f>ROUND(SUM(AA12-AD12),1)</f>
        <v>-88.3</v>
      </c>
      <c r="AH12" s="2779"/>
      <c r="AI12" s="2803">
        <f>ROUND(SUM(AG12/AD12),3)</f>
        <v>-0.57699999999999996</v>
      </c>
      <c r="AJ12" s="2775"/>
    </row>
    <row r="13" spans="1:36" ht="12.75" customHeight="1">
      <c r="A13" s="1499"/>
      <c r="B13" s="1499"/>
      <c r="C13" s="1499"/>
      <c r="D13" s="1499"/>
      <c r="E13" s="1499"/>
      <c r="F13" s="2047"/>
      <c r="G13" s="1499"/>
      <c r="H13" s="1499"/>
      <c r="I13" s="1499"/>
      <c r="J13" s="1499"/>
      <c r="K13" s="1499"/>
      <c r="L13" s="1499"/>
      <c r="M13" s="1499"/>
      <c r="N13" s="1499"/>
      <c r="O13" s="1499"/>
      <c r="P13" s="1499"/>
      <c r="Q13" s="1499"/>
      <c r="R13" s="1499"/>
      <c r="S13" s="1499"/>
      <c r="T13" s="1499"/>
      <c r="U13" s="1499"/>
      <c r="V13" s="1499"/>
      <c r="W13" s="1499"/>
      <c r="X13" s="1499"/>
      <c r="Y13" s="2804"/>
      <c r="Z13" s="1499"/>
      <c r="AA13" s="2047"/>
      <c r="AB13" s="2805"/>
      <c r="AC13" s="2047"/>
      <c r="AD13" s="2703"/>
      <c r="AE13" s="2795"/>
      <c r="AF13" s="2806"/>
      <c r="AG13" s="2807"/>
      <c r="AH13" s="1496"/>
      <c r="AI13" s="1499"/>
    </row>
    <row r="14" spans="1:36" ht="14.25" customHeight="1">
      <c r="A14" s="2550" t="s">
        <v>14</v>
      </c>
      <c r="B14" s="1499"/>
      <c r="C14" s="1499"/>
      <c r="D14" s="1499"/>
      <c r="E14" s="1499"/>
      <c r="F14" s="2047"/>
      <c r="G14" s="1499"/>
      <c r="H14" s="1499"/>
      <c r="I14" s="1499"/>
      <c r="J14" s="1499"/>
      <c r="K14" s="1499"/>
      <c r="L14" s="1499"/>
      <c r="M14" s="1499"/>
      <c r="N14" s="1499"/>
      <c r="O14" s="1499"/>
      <c r="P14" s="1499"/>
      <c r="Q14" s="1499"/>
      <c r="R14" s="1499"/>
      <c r="S14" s="1499"/>
      <c r="T14" s="1499"/>
      <c r="U14" s="1499"/>
      <c r="V14" s="1499"/>
      <c r="W14" s="1499"/>
      <c r="X14" s="1499"/>
      <c r="Y14" s="2804"/>
      <c r="Z14" s="1499"/>
      <c r="AA14" s="2047"/>
      <c r="AB14" s="2805"/>
      <c r="AC14" s="2047"/>
      <c r="AD14" s="2703"/>
      <c r="AE14" s="2795"/>
      <c r="AF14" s="2806"/>
      <c r="AG14" s="2807"/>
      <c r="AH14" s="1496"/>
      <c r="AI14" s="1499"/>
    </row>
    <row r="15" spans="1:36" ht="14.25" customHeight="1">
      <c r="A15" s="2539" t="s">
        <v>1098</v>
      </c>
      <c r="B15" s="1480"/>
      <c r="C15" s="1480"/>
      <c r="D15" s="1480"/>
      <c r="E15" s="2808"/>
      <c r="F15" s="1480"/>
      <c r="G15" s="2808"/>
      <c r="H15" s="1499"/>
      <c r="I15" s="1499"/>
      <c r="J15" s="1499"/>
      <c r="K15" s="1499"/>
      <c r="L15" s="1499"/>
      <c r="M15" s="1499"/>
      <c r="N15" s="1499"/>
      <c r="O15" s="1499"/>
      <c r="P15" s="1499"/>
      <c r="Q15" s="1499"/>
      <c r="R15" s="1499"/>
      <c r="S15" s="1499"/>
      <c r="T15" s="1499"/>
      <c r="U15" s="1499"/>
      <c r="V15" s="1499"/>
      <c r="W15" s="1499"/>
      <c r="X15" s="1499"/>
      <c r="Y15" s="2809"/>
      <c r="Z15" s="1499"/>
      <c r="AA15" s="2047"/>
      <c r="AB15" s="2046"/>
      <c r="AC15" s="2047"/>
      <c r="AD15" s="3254"/>
      <c r="AE15" s="2795"/>
      <c r="AF15" s="2806"/>
      <c r="AG15" s="2807"/>
      <c r="AH15" s="1496"/>
      <c r="AI15" s="1499"/>
    </row>
    <row r="16" spans="1:36" ht="14.25" customHeight="1">
      <c r="A16" s="2620" t="s">
        <v>1101</v>
      </c>
      <c r="B16" s="1403">
        <v>4607.7</v>
      </c>
      <c r="C16" s="1460"/>
      <c r="D16" s="1403">
        <v>1242.3</v>
      </c>
      <c r="E16" s="1460"/>
      <c r="F16" s="1403">
        <v>2604.8999999999996</v>
      </c>
      <c r="G16" s="2546"/>
      <c r="H16" s="1403">
        <f>$AA16-$B16-$D16-$F16</f>
        <v>1665.7999999999993</v>
      </c>
      <c r="I16" s="2703"/>
      <c r="J16" s="1403"/>
      <c r="K16" s="2703"/>
      <c r="L16" s="1403"/>
      <c r="M16" s="2703"/>
      <c r="N16" s="1851"/>
      <c r="O16" s="2703"/>
      <c r="P16" s="1851"/>
      <c r="Q16" s="2703"/>
      <c r="R16" s="1851"/>
      <c r="S16" s="2703"/>
      <c r="T16" s="1851"/>
      <c r="U16" s="2703"/>
      <c r="V16" s="1851"/>
      <c r="W16" s="2703"/>
      <c r="X16" s="1851"/>
      <c r="Y16" s="2809"/>
      <c r="Z16" s="1499"/>
      <c r="AA16" s="1851">
        <v>10120.699999999999</v>
      </c>
      <c r="AB16" s="2046"/>
      <c r="AC16" s="2047"/>
      <c r="AD16" s="1851">
        <v>7945.4</v>
      </c>
      <c r="AE16" s="2795"/>
      <c r="AF16" s="2806"/>
      <c r="AG16" s="2810">
        <f>ROUND(SUM(AA16-AD16),1)</f>
        <v>2175.3000000000002</v>
      </c>
      <c r="AH16" s="1496"/>
      <c r="AI16" s="1711">
        <f>ROUND(IF(AD16=0,0,AG16/ABS(AD16)),3)</f>
        <v>0.27400000000000002</v>
      </c>
    </row>
    <row r="17" spans="1:35" ht="6" customHeight="1">
      <c r="A17" s="2620"/>
      <c r="B17" s="1403"/>
      <c r="C17" s="1460"/>
      <c r="D17" s="1403" t="s">
        <v>15</v>
      </c>
      <c r="E17" s="1460"/>
      <c r="F17" s="1403" t="s">
        <v>15</v>
      </c>
      <c r="G17" s="2546"/>
      <c r="H17" s="1403"/>
      <c r="I17" s="1499"/>
      <c r="J17" s="1851"/>
      <c r="K17" s="1499"/>
      <c r="L17" s="1851"/>
      <c r="M17" s="1499"/>
      <c r="N17" s="1851"/>
      <c r="O17" s="1499"/>
      <c r="P17" s="1851"/>
      <c r="Q17" s="1499"/>
      <c r="R17" s="1851"/>
      <c r="S17" s="1499"/>
      <c r="T17" s="1851"/>
      <c r="U17" s="1499"/>
      <c r="V17" s="1851"/>
      <c r="W17" s="1499"/>
      <c r="X17" s="1851"/>
      <c r="Y17" s="2811"/>
      <c r="Z17" s="1499"/>
      <c r="AA17" s="1851"/>
      <c r="AB17" s="2048"/>
      <c r="AC17" s="2047"/>
      <c r="AD17" s="1851"/>
      <c r="AE17" s="2795"/>
      <c r="AF17" s="2806"/>
      <c r="AG17" s="2810"/>
      <c r="AH17" s="1496"/>
      <c r="AI17" s="1711"/>
    </row>
    <row r="18" spans="1:35" ht="14.25" customHeight="1">
      <c r="A18" s="2620" t="s">
        <v>1162</v>
      </c>
      <c r="B18" s="1484"/>
      <c r="C18" s="1483"/>
      <c r="D18" s="1403"/>
      <c r="E18" s="1483"/>
      <c r="F18" s="1403"/>
      <c r="G18" s="1483"/>
      <c r="H18" s="1484"/>
      <c r="I18" s="1499"/>
      <c r="J18" s="1502"/>
      <c r="K18" s="1499"/>
      <c r="L18" s="1502"/>
      <c r="M18" s="1499"/>
      <c r="N18" s="1502"/>
      <c r="O18" s="1499"/>
      <c r="P18" s="1502"/>
      <c r="Q18" s="1499"/>
      <c r="R18" s="1502"/>
      <c r="S18" s="1499"/>
      <c r="T18" s="1502"/>
      <c r="U18" s="1499"/>
      <c r="V18" s="1502"/>
      <c r="W18" s="1499"/>
      <c r="X18" s="1851"/>
      <c r="Y18" s="2809"/>
      <c r="Z18" s="1499"/>
      <c r="AA18" s="1502"/>
      <c r="AB18" s="2046"/>
      <c r="AC18" s="2047"/>
      <c r="AD18" s="1502"/>
      <c r="AE18" s="2795"/>
      <c r="AF18" s="2806"/>
      <c r="AG18" s="2807"/>
      <c r="AH18" s="1496"/>
      <c r="AI18" s="1499"/>
    </row>
    <row r="19" spans="1:35" ht="14.25" customHeight="1">
      <c r="A19" s="2310" t="s">
        <v>1113</v>
      </c>
      <c r="B19" s="1403">
        <v>538.20000000000005</v>
      </c>
      <c r="C19" s="1460"/>
      <c r="D19" s="1403">
        <v>551</v>
      </c>
      <c r="E19" s="1460"/>
      <c r="F19" s="1403">
        <v>743.19999999999982</v>
      </c>
      <c r="G19" s="1483"/>
      <c r="H19" s="1403">
        <f>$AA19-$B19-$D19-$F19</f>
        <v>579.29999999999995</v>
      </c>
      <c r="I19" s="2703"/>
      <c r="J19" s="1403"/>
      <c r="K19" s="2703"/>
      <c r="L19" s="1403"/>
      <c r="M19" s="2703"/>
      <c r="N19" s="1851"/>
      <c r="O19" s="2703"/>
      <c r="P19" s="1851"/>
      <c r="Q19" s="2703"/>
      <c r="R19" s="1851"/>
      <c r="S19" s="2703"/>
      <c r="T19" s="1851"/>
      <c r="U19" s="2703"/>
      <c r="V19" s="1851"/>
      <c r="W19" s="2703"/>
      <c r="X19" s="1851"/>
      <c r="Y19" s="2809"/>
      <c r="Z19" s="1499"/>
      <c r="AA19" s="1851">
        <v>2411.6999999999998</v>
      </c>
      <c r="AB19" s="2046"/>
      <c r="AC19" s="2047"/>
      <c r="AD19" s="1851">
        <v>2303.3000000000002</v>
      </c>
      <c r="AE19" s="2795"/>
      <c r="AF19" s="2806"/>
      <c r="AG19" s="2810">
        <f>ROUND(SUM(AA19-AD19),1)</f>
        <v>108.4</v>
      </c>
      <c r="AH19" s="1496"/>
      <c r="AI19" s="1465">
        <f>ROUND(IF(AD19=0,0,AG19/ABS(AD19)),3)</f>
        <v>4.7E-2</v>
      </c>
    </row>
    <row r="20" spans="1:35" ht="14.25" customHeight="1">
      <c r="A20" s="2550" t="s">
        <v>1112</v>
      </c>
      <c r="B20" s="1500">
        <f>ROUND(SUM(B19:B19),1)</f>
        <v>538.20000000000005</v>
      </c>
      <c r="C20" s="1501"/>
      <c r="D20" s="1500">
        <f>ROUND(SUM(D19:D19),1)</f>
        <v>551</v>
      </c>
      <c r="E20" s="1501"/>
      <c r="F20" s="1500">
        <f>ROUND(SUM(F19:F19),1)</f>
        <v>743.2</v>
      </c>
      <c r="G20" s="1501"/>
      <c r="H20" s="1500">
        <f>ROUND(SUM(H19:H19),1)</f>
        <v>579.29999999999995</v>
      </c>
      <c r="I20" s="1499"/>
      <c r="J20" s="1500">
        <f>ROUND(SUM(J19:J19),1)</f>
        <v>0</v>
      </c>
      <c r="K20" s="1499"/>
      <c r="L20" s="1500">
        <f>ROUND(SUM(L19:L19),1)</f>
        <v>0</v>
      </c>
      <c r="M20" s="1499"/>
      <c r="N20" s="1500">
        <f>ROUND(SUM(N19:N19),1)</f>
        <v>0</v>
      </c>
      <c r="O20" s="1499"/>
      <c r="P20" s="1500">
        <f>ROUND(SUM(P19:P19),1)</f>
        <v>0</v>
      </c>
      <c r="Q20" s="1499"/>
      <c r="R20" s="1500">
        <f>ROUND(SUM(R19:R19),1)</f>
        <v>0</v>
      </c>
      <c r="S20" s="1499"/>
      <c r="T20" s="1500">
        <f>ROUND(SUM(T19:T19),1)</f>
        <v>0</v>
      </c>
      <c r="U20" s="1499"/>
      <c r="V20" s="1500">
        <f>ROUND(SUM(V19:V19),1)</f>
        <v>0</v>
      </c>
      <c r="W20" s="1499"/>
      <c r="X20" s="1500">
        <f>ROUND(SUM(X19:X19),1)</f>
        <v>0</v>
      </c>
      <c r="Y20" s="2809"/>
      <c r="Z20" s="1499"/>
      <c r="AA20" s="1500">
        <f>ROUND(SUM(AA19:AA19),1)</f>
        <v>2411.6999999999998</v>
      </c>
      <c r="AB20" s="2046"/>
      <c r="AC20" s="2047"/>
      <c r="AD20" s="1500">
        <f>ROUND(SUM(AD19:AD19),1)</f>
        <v>2303.3000000000002</v>
      </c>
      <c r="AE20" s="2795"/>
      <c r="AF20" s="2806"/>
      <c r="AG20" s="2812">
        <f>ROUND(SUM(AA20-AD20),1)</f>
        <v>108.4</v>
      </c>
      <c r="AH20" s="2779"/>
      <c r="AI20" s="1482">
        <f>ROUND(IF(AD20=0,0,AG20/ABS(AD20)),3)</f>
        <v>4.7E-2</v>
      </c>
    </row>
    <row r="21" spans="1:35" ht="14.25" customHeight="1">
      <c r="A21" s="2540" t="s">
        <v>1164</v>
      </c>
      <c r="B21" s="1484"/>
      <c r="C21" s="1501"/>
      <c r="D21" s="1484"/>
      <c r="E21" s="1501"/>
      <c r="F21" s="1484"/>
      <c r="G21" s="1501"/>
      <c r="H21" s="1484"/>
      <c r="I21" s="1499"/>
      <c r="J21" s="1484"/>
      <c r="K21" s="1499"/>
      <c r="L21" s="1484"/>
      <c r="M21" s="1499"/>
      <c r="N21" s="1484"/>
      <c r="O21" s="1499"/>
      <c r="P21" s="1484"/>
      <c r="Q21" s="1499"/>
      <c r="R21" s="1484"/>
      <c r="S21" s="1499"/>
      <c r="T21" s="1484"/>
      <c r="U21" s="1499"/>
      <c r="V21" s="1484"/>
      <c r="W21" s="1499"/>
      <c r="X21" s="1484"/>
      <c r="Y21" s="2809"/>
      <c r="Z21" s="1499"/>
      <c r="AA21" s="1484"/>
      <c r="AB21" s="2046"/>
      <c r="AC21" s="2047"/>
      <c r="AD21" s="1502"/>
      <c r="AE21" s="2795"/>
      <c r="AF21" s="2806"/>
      <c r="AG21" s="2807"/>
      <c r="AH21" s="1496"/>
      <c r="AI21" s="1499"/>
    </row>
    <row r="22" spans="1:35" ht="14.25" customHeight="1">
      <c r="A22" s="2310" t="s">
        <v>1131</v>
      </c>
      <c r="B22" s="1403">
        <v>82.9</v>
      </c>
      <c r="C22" s="1460"/>
      <c r="D22" s="1403">
        <v>86</v>
      </c>
      <c r="E22" s="1460"/>
      <c r="F22" s="1403">
        <v>86.699999999999989</v>
      </c>
      <c r="G22" s="1501"/>
      <c r="H22" s="1403">
        <f>$AA22-$B22-$D22-$F22</f>
        <v>118.90000000000003</v>
      </c>
      <c r="I22" s="2703"/>
      <c r="J22" s="1403"/>
      <c r="K22" s="2703"/>
      <c r="L22" s="1403"/>
      <c r="M22" s="2703"/>
      <c r="N22" s="1851"/>
      <c r="O22" s="2703"/>
      <c r="P22" s="1851"/>
      <c r="Q22" s="2703"/>
      <c r="R22" s="1851"/>
      <c r="S22" s="2703"/>
      <c r="T22" s="1851"/>
      <c r="U22" s="2703"/>
      <c r="V22" s="1851"/>
      <c r="W22" s="2703"/>
      <c r="X22" s="1851"/>
      <c r="Y22" s="2809"/>
      <c r="Z22" s="1499"/>
      <c r="AA22" s="1851">
        <v>374.5</v>
      </c>
      <c r="AB22" s="2046"/>
      <c r="AC22" s="2047"/>
      <c r="AD22" s="1851">
        <v>355.4</v>
      </c>
      <c r="AE22" s="2795"/>
      <c r="AF22" s="2806"/>
      <c r="AG22" s="2810">
        <f>ROUND(SUM(AA22-AD22),1)</f>
        <v>19.100000000000001</v>
      </c>
      <c r="AH22" s="1496"/>
      <c r="AI22" s="1465">
        <f>ROUND(IF(AD22=0,0,AG22/ABS(AD22)),3)</f>
        <v>5.3999999999999999E-2</v>
      </c>
    </row>
    <row r="23" spans="1:35" ht="14.25" customHeight="1">
      <c r="A23" s="2547" t="s">
        <v>1445</v>
      </c>
      <c r="B23" s="2554">
        <v>0</v>
      </c>
      <c r="C23" s="1483"/>
      <c r="D23" s="2554">
        <v>0.1</v>
      </c>
      <c r="E23" s="1483"/>
      <c r="F23" s="1851">
        <v>0</v>
      </c>
      <c r="G23" s="1483"/>
      <c r="H23" s="1403">
        <f>$AA23-$B23-$D23-$F23</f>
        <v>0.1</v>
      </c>
      <c r="I23" s="2826"/>
      <c r="J23" s="2554"/>
      <c r="K23" s="2826"/>
      <c r="L23" s="2554"/>
      <c r="M23" s="2826"/>
      <c r="N23" s="2554"/>
      <c r="O23" s="2826"/>
      <c r="P23" s="2554"/>
      <c r="Q23" s="2826"/>
      <c r="R23" s="2554"/>
      <c r="S23" s="2826"/>
      <c r="T23" s="2554"/>
      <c r="U23" s="2826"/>
      <c r="V23" s="2554"/>
      <c r="W23" s="2826"/>
      <c r="X23" s="2554"/>
      <c r="Y23" s="3762"/>
      <c r="Z23" s="2826"/>
      <c r="AA23" s="1851">
        <v>0.2</v>
      </c>
      <c r="AB23" s="3763"/>
      <c r="AC23" s="3764"/>
      <c r="AD23" s="2108">
        <v>0</v>
      </c>
      <c r="AE23" s="3765"/>
      <c r="AF23" s="3766"/>
      <c r="AG23" s="2810">
        <f>ROUND(SUM(AA23-AD23),1)</f>
        <v>0.2</v>
      </c>
      <c r="AH23" s="1496"/>
      <c r="AI23" s="1711">
        <f>ROUND(IF(AD23=0,1,AG23/ABS(AD23)),3)</f>
        <v>1</v>
      </c>
    </row>
    <row r="24" spans="1:35" ht="14.25" customHeight="1">
      <c r="A24" s="2550" t="s">
        <v>1126</v>
      </c>
      <c r="B24" s="2049">
        <f>ROUND(SUM(B22:B23),1)</f>
        <v>82.9</v>
      </c>
      <c r="C24" s="1501"/>
      <c r="D24" s="2109">
        <f>ROUND(SUM(D22:D23),1)</f>
        <v>86.1</v>
      </c>
      <c r="E24" s="1501"/>
      <c r="F24" s="2109">
        <f>ROUND(SUM(F22:F23),1)</f>
        <v>86.7</v>
      </c>
      <c r="G24" s="1501"/>
      <c r="H24" s="2109">
        <f>ROUND(SUM(H22:H23),1)</f>
        <v>119</v>
      </c>
      <c r="I24" s="1499"/>
      <c r="J24" s="2109">
        <f>ROUND(SUM(J22:J23),1)</f>
        <v>0</v>
      </c>
      <c r="K24" s="1499"/>
      <c r="L24" s="2109">
        <f>ROUND(SUM(L22:L23),1)</f>
        <v>0</v>
      </c>
      <c r="M24" s="1499"/>
      <c r="N24" s="2109">
        <f>ROUND(SUM(N22:N23),1)</f>
        <v>0</v>
      </c>
      <c r="O24" s="1499"/>
      <c r="P24" s="2109">
        <f>ROUND(SUM(P22:P23),1)</f>
        <v>0</v>
      </c>
      <c r="Q24" s="1499"/>
      <c r="R24" s="2109">
        <f>ROUND(SUM(R22:R23),1)</f>
        <v>0</v>
      </c>
      <c r="S24" s="1499"/>
      <c r="T24" s="2109">
        <f>ROUND(SUM(T22:T23),1)</f>
        <v>0</v>
      </c>
      <c r="U24" s="1499"/>
      <c r="V24" s="2109">
        <f>ROUND(SUM(V22:V23),1)</f>
        <v>0</v>
      </c>
      <c r="W24" s="1499"/>
      <c r="X24" s="2109">
        <f>ROUND(SUM(X22:X23),1)</f>
        <v>0</v>
      </c>
      <c r="Y24" s="2809"/>
      <c r="Z24" s="1499"/>
      <c r="AA24" s="1500">
        <f>SUM(AA22:AA23)</f>
        <v>374.7</v>
      </c>
      <c r="AB24" s="2046"/>
      <c r="AC24" s="2047"/>
      <c r="AD24" s="1500">
        <f>SUM(AD22:AD23)</f>
        <v>355.4</v>
      </c>
      <c r="AE24" s="2795"/>
      <c r="AF24" s="2806"/>
      <c r="AG24" s="2813">
        <f>ROUND(SUM(AA24-AD24),1)</f>
        <v>19.3</v>
      </c>
      <c r="AH24" s="2779"/>
      <c r="AI24" s="1495">
        <f>ROUND(IF(AD24=0,0,AG24/ABS(AD24)),3)</f>
        <v>5.3999999999999999E-2</v>
      </c>
    </row>
    <row r="25" spans="1:35" ht="14.25" customHeight="1">
      <c r="A25" s="2550"/>
      <c r="B25" s="2049"/>
      <c r="C25" s="1501"/>
      <c r="D25" s="1484"/>
      <c r="E25" s="1501"/>
      <c r="F25" s="1484"/>
      <c r="G25" s="1484"/>
      <c r="H25" s="1484"/>
      <c r="I25" s="1496"/>
      <c r="J25" s="1484"/>
      <c r="K25" s="1496"/>
      <c r="L25" s="1484"/>
      <c r="M25" s="1496"/>
      <c r="N25" s="1484"/>
      <c r="O25" s="1496"/>
      <c r="P25" s="1484"/>
      <c r="Q25" s="1496"/>
      <c r="R25" s="1484"/>
      <c r="S25" s="1496"/>
      <c r="T25" s="1484"/>
      <c r="U25" s="1496"/>
      <c r="V25" s="1484"/>
      <c r="W25" s="1496"/>
      <c r="X25" s="1484"/>
      <c r="Y25" s="2809"/>
      <c r="Z25" s="1499"/>
      <c r="AA25" s="2049"/>
      <c r="AB25" s="2046"/>
      <c r="AC25" s="2047"/>
      <c r="AD25" s="3668"/>
      <c r="AE25" s="2795"/>
      <c r="AF25" s="2806"/>
      <c r="AG25" s="2807"/>
      <c r="AH25" s="1496"/>
      <c r="AI25" s="1496"/>
    </row>
    <row r="26" spans="1:35" ht="14.25" customHeight="1">
      <c r="A26" s="2550" t="s">
        <v>1127</v>
      </c>
      <c r="B26" s="2560">
        <f>ROUND(SUM(B16+B20+B24),1)</f>
        <v>5228.8</v>
      </c>
      <c r="C26" s="1483"/>
      <c r="D26" s="2560">
        <f>ROUND(SUM(D16+D20+D24),1)</f>
        <v>1879.4</v>
      </c>
      <c r="E26" s="1483"/>
      <c r="F26" s="2560">
        <f>ROUND(SUM(F16+F20+F24),1)</f>
        <v>3434.8</v>
      </c>
      <c r="G26" s="1483"/>
      <c r="H26" s="2560">
        <f>ROUND(SUM(H16+H20+H24),1)</f>
        <v>2364.1</v>
      </c>
      <c r="I26" s="1499"/>
      <c r="J26" s="2050">
        <f>ROUND(SUM(J16+J20+J24),1)</f>
        <v>0</v>
      </c>
      <c r="K26" s="1499"/>
      <c r="L26" s="2050">
        <f>ROUND(SUM(L16+L20+L24),1)</f>
        <v>0</v>
      </c>
      <c r="M26" s="1499"/>
      <c r="N26" s="2050">
        <f>ROUND(SUM(N16+N20+N24),1)</f>
        <v>0</v>
      </c>
      <c r="O26" s="1499"/>
      <c r="P26" s="2050">
        <f>ROUND(SUM(P16+P20+P24),1)</f>
        <v>0</v>
      </c>
      <c r="Q26" s="1499"/>
      <c r="R26" s="2050">
        <f>ROUND(SUM(R16+R20+R24),1)</f>
        <v>0</v>
      </c>
      <c r="S26" s="1499"/>
      <c r="T26" s="2050">
        <f>ROUND(SUM(T16+T20+T24),1)</f>
        <v>0</v>
      </c>
      <c r="U26" s="1499"/>
      <c r="V26" s="2050">
        <f>ROUND(SUM(V16+V20+V24),1)</f>
        <v>0</v>
      </c>
      <c r="W26" s="1499"/>
      <c r="X26" s="2050">
        <f>ROUND(SUM(X16+X20+X24),1)</f>
        <v>0</v>
      </c>
      <c r="Y26" s="2809"/>
      <c r="Z26" s="1499"/>
      <c r="AA26" s="2050">
        <f>ROUND(SUM(AA16+AA20+AA24),1)</f>
        <v>12907.1</v>
      </c>
      <c r="AB26" s="2046"/>
      <c r="AC26" s="2047"/>
      <c r="AD26" s="2050">
        <f>ROUND(SUM(AD16+AD20+AD24),1)</f>
        <v>10604.1</v>
      </c>
      <c r="AE26" s="2795"/>
      <c r="AF26" s="2806"/>
      <c r="AG26" s="2050">
        <f>ROUND(SUM(AG16+AG20+AG24),1)</f>
        <v>2303</v>
      </c>
      <c r="AH26" s="2779"/>
      <c r="AI26" s="1497">
        <f>ROUND(IF(AD26=0,0,AG26/ABS(AD26)),3)</f>
        <v>0.217</v>
      </c>
    </row>
    <row r="27" spans="1:35" ht="14.25" customHeight="1">
      <c r="A27" s="2539"/>
      <c r="B27" s="1483"/>
      <c r="C27" s="1483"/>
      <c r="D27" s="1483"/>
      <c r="E27" s="1483"/>
      <c r="F27" s="1483"/>
      <c r="G27" s="1483"/>
      <c r="H27" s="1483"/>
      <c r="I27" s="1499"/>
      <c r="J27" s="2073"/>
      <c r="K27" s="1499"/>
      <c r="L27" s="2073"/>
      <c r="M27" s="1499"/>
      <c r="N27" s="2073"/>
      <c r="O27" s="1499"/>
      <c r="P27" s="2073"/>
      <c r="Q27" s="1499"/>
      <c r="R27" s="2073"/>
      <c r="S27" s="1499"/>
      <c r="T27" s="2073"/>
      <c r="U27" s="1499"/>
      <c r="V27" s="2073"/>
      <c r="W27" s="1499"/>
      <c r="X27" s="2073"/>
      <c r="Y27" s="2809"/>
      <c r="Z27" s="1499"/>
      <c r="AA27" s="1483"/>
      <c r="AB27" s="2046"/>
      <c r="AC27" s="2047"/>
      <c r="AD27" s="2067"/>
      <c r="AE27" s="2795"/>
      <c r="AF27" s="2806"/>
      <c r="AG27" s="2807"/>
      <c r="AH27" s="1496"/>
      <c r="AI27" s="1499"/>
    </row>
    <row r="28" spans="1:35" ht="14.25" customHeight="1">
      <c r="A28" s="2539" t="s">
        <v>1034</v>
      </c>
      <c r="B28" s="2051"/>
      <c r="C28" s="2065"/>
      <c r="D28" s="2065"/>
      <c r="E28" s="2065"/>
      <c r="F28" s="2065"/>
      <c r="G28" s="2065"/>
      <c r="H28" s="2065"/>
      <c r="I28" s="2045"/>
      <c r="J28" s="2045"/>
      <c r="K28" s="2045"/>
      <c r="L28" s="2045"/>
      <c r="M28" s="2045"/>
      <c r="N28" s="2045"/>
      <c r="O28" s="2045"/>
      <c r="P28" s="2045"/>
      <c r="Q28" s="2045"/>
      <c r="R28" s="2045"/>
      <c r="S28" s="2045"/>
      <c r="T28" s="2045"/>
      <c r="U28" s="2045"/>
      <c r="V28" s="2045"/>
      <c r="W28" s="2045"/>
      <c r="X28" s="2045"/>
      <c r="Y28" s="2052"/>
      <c r="Z28" s="2045"/>
      <c r="AA28" s="2051"/>
      <c r="AB28" s="2052"/>
      <c r="AC28" s="2045"/>
      <c r="AD28" s="2051"/>
      <c r="AE28" s="2814"/>
      <c r="AF28" s="2815"/>
      <c r="AG28" s="2810"/>
      <c r="AH28" s="1496"/>
      <c r="AI28" s="1498"/>
    </row>
    <row r="29" spans="1:35" ht="14.25" customHeight="1">
      <c r="A29" s="2563" t="s">
        <v>1156</v>
      </c>
      <c r="B29" s="2051"/>
      <c r="C29" s="2065"/>
      <c r="D29" s="2065"/>
      <c r="E29" s="2065"/>
      <c r="F29" s="2065"/>
      <c r="G29" s="2065"/>
      <c r="H29" s="2065"/>
      <c r="I29" s="2045"/>
      <c r="J29" s="2045"/>
      <c r="K29" s="2045"/>
      <c r="L29" s="2045"/>
      <c r="M29" s="2045"/>
      <c r="N29" s="2045"/>
      <c r="O29" s="2045"/>
      <c r="P29" s="2045"/>
      <c r="Q29" s="2045"/>
      <c r="R29" s="2045"/>
      <c r="S29" s="2045"/>
      <c r="T29" s="2045"/>
      <c r="U29" s="2045"/>
      <c r="V29" s="2045"/>
      <c r="W29" s="2045"/>
      <c r="X29" s="2045"/>
      <c r="Y29" s="2053"/>
      <c r="Z29" s="2045"/>
      <c r="AA29" s="2051"/>
      <c r="AB29" s="2053"/>
      <c r="AC29" s="2045"/>
      <c r="AD29" s="2051"/>
      <c r="AE29" s="2814"/>
      <c r="AF29" s="2815"/>
      <c r="AG29" s="2810"/>
      <c r="AH29" s="1496"/>
      <c r="AI29" s="1498"/>
    </row>
    <row r="30" spans="1:35" ht="14.25" customHeight="1">
      <c r="A30" s="2563" t="s">
        <v>1038</v>
      </c>
      <c r="B30" s="1403">
        <v>0</v>
      </c>
      <c r="C30" s="2065"/>
      <c r="D30" s="1403">
        <v>0</v>
      </c>
      <c r="E30" s="2065"/>
      <c r="F30" s="1403">
        <v>0</v>
      </c>
      <c r="G30" s="2065"/>
      <c r="H30" s="1403">
        <f>$AA30-$B30-$D30-$F30</f>
        <v>0</v>
      </c>
      <c r="I30" s="2703"/>
      <c r="J30" s="1403"/>
      <c r="K30" s="2703"/>
      <c r="L30" s="1403"/>
      <c r="M30" s="2703"/>
      <c r="N30" s="1851"/>
      <c r="O30" s="2703"/>
      <c r="P30" s="1851"/>
      <c r="Q30" s="2703"/>
      <c r="R30" s="1851"/>
      <c r="S30" s="2703"/>
      <c r="T30" s="1851"/>
      <c r="U30" s="2703"/>
      <c r="V30" s="1851"/>
      <c r="W30" s="2703"/>
      <c r="X30" s="1851"/>
      <c r="Y30" s="2809"/>
      <c r="Z30" s="1499"/>
      <c r="AA30" s="1851">
        <v>0</v>
      </c>
      <c r="AB30" s="2046"/>
      <c r="AC30" s="2047"/>
      <c r="AD30" s="1851">
        <v>0</v>
      </c>
      <c r="AE30" s="2814"/>
      <c r="AF30" s="2815"/>
      <c r="AG30" s="2810">
        <f>ROUND(SUM(AA30-AD30),1)</f>
        <v>0</v>
      </c>
      <c r="AH30" s="1496"/>
      <c r="AI30" s="1465">
        <f>ROUND(IF(AD30=0,0,AG30/ABS(AD30)),3)</f>
        <v>0</v>
      </c>
    </row>
    <row r="31" spans="1:35" ht="14.25" customHeight="1">
      <c r="A31" s="2563" t="s">
        <v>1161</v>
      </c>
      <c r="B31" s="1403" t="s">
        <v>15</v>
      </c>
      <c r="C31" s="2065"/>
      <c r="D31" s="1403"/>
      <c r="E31" s="2065"/>
      <c r="F31" s="1403"/>
      <c r="G31" s="2065"/>
      <c r="H31" s="1403"/>
      <c r="I31" s="2703"/>
      <c r="J31" s="1403"/>
      <c r="K31" s="2703"/>
      <c r="L31" s="1403"/>
      <c r="M31" s="2703"/>
      <c r="N31" s="1851"/>
      <c r="O31" s="2703"/>
      <c r="P31" s="1851"/>
      <c r="Q31" s="2703"/>
      <c r="R31" s="1851"/>
      <c r="S31" s="2703"/>
      <c r="T31" s="1851"/>
      <c r="U31" s="2703"/>
      <c r="V31" s="1851"/>
      <c r="W31" s="2703"/>
      <c r="X31" s="1851"/>
      <c r="Y31" s="2809"/>
      <c r="Z31" s="1499"/>
      <c r="AA31" s="1851"/>
      <c r="AB31" s="2046"/>
      <c r="AC31" s="2047"/>
      <c r="AD31" s="1851"/>
      <c r="AE31" s="2814"/>
      <c r="AF31" s="2815"/>
      <c r="AG31" s="2810"/>
      <c r="AH31" s="1496"/>
      <c r="AI31" s="1498"/>
    </row>
    <row r="32" spans="1:35" ht="14.25" customHeight="1">
      <c r="A32" s="2563" t="s">
        <v>1041</v>
      </c>
      <c r="B32" s="1403">
        <v>0</v>
      </c>
      <c r="C32" s="2065"/>
      <c r="D32" s="1403">
        <v>0</v>
      </c>
      <c r="E32" s="2065"/>
      <c r="F32" s="1403">
        <v>0</v>
      </c>
      <c r="G32" s="2065"/>
      <c r="H32" s="1403">
        <f t="shared" ref="H32:H43" si="0">$AA32-$B32-$D32-$F32</f>
        <v>0</v>
      </c>
      <c r="I32" s="2703"/>
      <c r="J32" s="1403"/>
      <c r="K32" s="2703"/>
      <c r="L32" s="1403"/>
      <c r="M32" s="2703"/>
      <c r="N32" s="1851"/>
      <c r="O32" s="2703"/>
      <c r="P32" s="1851"/>
      <c r="Q32" s="2703"/>
      <c r="R32" s="1851"/>
      <c r="S32" s="2703"/>
      <c r="T32" s="1851"/>
      <c r="U32" s="2703"/>
      <c r="V32" s="1851"/>
      <c r="W32" s="2703"/>
      <c r="X32" s="1851"/>
      <c r="Y32" s="2809"/>
      <c r="Z32" s="1499"/>
      <c r="AA32" s="1851">
        <v>0</v>
      </c>
      <c r="AB32" s="2046"/>
      <c r="AC32" s="2047"/>
      <c r="AD32" s="1851">
        <v>0</v>
      </c>
      <c r="AE32" s="2814"/>
      <c r="AF32" s="2815"/>
      <c r="AG32" s="2810">
        <f t="shared" ref="AG32:AG40" si="1">ROUND(SUM(AA32-AD32),1)</f>
        <v>0</v>
      </c>
      <c r="AH32" s="1496"/>
      <c r="AI32" s="1465">
        <f t="shared" ref="AI32:AI40" si="2">ROUND(IF(AD32=0,0,AG32/ABS(AD32)),3)</f>
        <v>0</v>
      </c>
    </row>
    <row r="33" spans="1:36" ht="14.25" customHeight="1">
      <c r="A33" s="2563" t="s">
        <v>1042</v>
      </c>
      <c r="B33" s="1403">
        <v>0</v>
      </c>
      <c r="C33" s="2065"/>
      <c r="D33" s="1403">
        <v>0</v>
      </c>
      <c r="E33" s="2065"/>
      <c r="F33" s="1403">
        <v>0</v>
      </c>
      <c r="G33" s="2065"/>
      <c r="H33" s="1403">
        <f t="shared" si="0"/>
        <v>0</v>
      </c>
      <c r="I33" s="2703"/>
      <c r="J33" s="1403"/>
      <c r="K33" s="2703"/>
      <c r="L33" s="1403"/>
      <c r="M33" s="2703"/>
      <c r="N33" s="1851"/>
      <c r="O33" s="2703"/>
      <c r="P33" s="1851"/>
      <c r="Q33" s="2703"/>
      <c r="R33" s="1851"/>
      <c r="S33" s="2703"/>
      <c r="T33" s="1851"/>
      <c r="U33" s="2703"/>
      <c r="V33" s="1851"/>
      <c r="W33" s="2703"/>
      <c r="X33" s="1851"/>
      <c r="Y33" s="2809"/>
      <c r="Z33" s="1499"/>
      <c r="AA33" s="1851">
        <v>0</v>
      </c>
      <c r="AB33" s="2046"/>
      <c r="AC33" s="2047"/>
      <c r="AD33" s="1851">
        <v>0</v>
      </c>
      <c r="AE33" s="2814"/>
      <c r="AF33" s="2815"/>
      <c r="AG33" s="2810">
        <f t="shared" si="1"/>
        <v>0</v>
      </c>
      <c r="AH33" s="1496"/>
      <c r="AI33" s="1465">
        <f t="shared" si="2"/>
        <v>0</v>
      </c>
    </row>
    <row r="34" spans="1:36" ht="14.25" customHeight="1">
      <c r="A34" s="2563" t="s">
        <v>1043</v>
      </c>
      <c r="B34" s="1403">
        <v>0</v>
      </c>
      <c r="C34" s="2065"/>
      <c r="D34" s="1403">
        <v>0</v>
      </c>
      <c r="E34" s="2065"/>
      <c r="F34" s="1403">
        <v>0</v>
      </c>
      <c r="G34" s="2065"/>
      <c r="H34" s="1403">
        <f t="shared" si="0"/>
        <v>0</v>
      </c>
      <c r="I34" s="2703"/>
      <c r="J34" s="1403"/>
      <c r="K34" s="2703"/>
      <c r="L34" s="1403"/>
      <c r="M34" s="2703"/>
      <c r="N34" s="1851"/>
      <c r="O34" s="2703"/>
      <c r="P34" s="1851"/>
      <c r="Q34" s="2703"/>
      <c r="R34" s="1851"/>
      <c r="S34" s="2703"/>
      <c r="T34" s="1851"/>
      <c r="U34" s="2703"/>
      <c r="V34" s="1851"/>
      <c r="W34" s="2703"/>
      <c r="X34" s="1851"/>
      <c r="Y34" s="2809"/>
      <c r="Z34" s="1499"/>
      <c r="AA34" s="1851">
        <v>0</v>
      </c>
      <c r="AB34" s="2046"/>
      <c r="AC34" s="2047"/>
      <c r="AD34" s="1851">
        <v>0</v>
      </c>
      <c r="AE34" s="2814"/>
      <c r="AF34" s="2815"/>
      <c r="AG34" s="2810">
        <f t="shared" si="1"/>
        <v>0</v>
      </c>
      <c r="AH34" s="1496"/>
      <c r="AI34" s="1465">
        <f t="shared" si="2"/>
        <v>0</v>
      </c>
    </row>
    <row r="35" spans="1:36" ht="14.25" customHeight="1">
      <c r="A35" s="2563" t="s">
        <v>1044</v>
      </c>
      <c r="B35" s="1403">
        <v>0</v>
      </c>
      <c r="C35" s="2065"/>
      <c r="D35" s="1403">
        <v>0</v>
      </c>
      <c r="E35" s="2065"/>
      <c r="F35" s="1403">
        <v>0</v>
      </c>
      <c r="G35" s="2065"/>
      <c r="H35" s="1403">
        <f t="shared" si="0"/>
        <v>0</v>
      </c>
      <c r="I35" s="2703"/>
      <c r="J35" s="1403"/>
      <c r="K35" s="2703"/>
      <c r="L35" s="1403"/>
      <c r="M35" s="2703"/>
      <c r="N35" s="1851"/>
      <c r="O35" s="2703"/>
      <c r="P35" s="1851"/>
      <c r="Q35" s="2703"/>
      <c r="R35" s="1851"/>
      <c r="S35" s="2703"/>
      <c r="T35" s="1851"/>
      <c r="U35" s="2703"/>
      <c r="V35" s="1851"/>
      <c r="W35" s="2703"/>
      <c r="X35" s="1851"/>
      <c r="Y35" s="2809"/>
      <c r="Z35" s="1499"/>
      <c r="AA35" s="1851">
        <v>0</v>
      </c>
      <c r="AB35" s="2046"/>
      <c r="AC35" s="2047"/>
      <c r="AD35" s="1851">
        <v>0</v>
      </c>
      <c r="AE35" s="2814"/>
      <c r="AF35" s="2815"/>
      <c r="AG35" s="2810">
        <f t="shared" si="1"/>
        <v>0</v>
      </c>
      <c r="AH35" s="1496"/>
      <c r="AI35" s="1465">
        <f t="shared" si="2"/>
        <v>0</v>
      </c>
    </row>
    <row r="36" spans="1:36" ht="14.25" customHeight="1">
      <c r="A36" s="2563" t="s">
        <v>1045</v>
      </c>
      <c r="B36" s="1403">
        <v>0</v>
      </c>
      <c r="C36" s="2065"/>
      <c r="D36" s="1403">
        <v>0</v>
      </c>
      <c r="E36" s="2065"/>
      <c r="F36" s="1403">
        <v>0</v>
      </c>
      <c r="G36" s="2065"/>
      <c r="H36" s="1403">
        <f t="shared" si="0"/>
        <v>0</v>
      </c>
      <c r="I36" s="2703"/>
      <c r="J36" s="1403"/>
      <c r="K36" s="2703"/>
      <c r="L36" s="1403"/>
      <c r="M36" s="2703"/>
      <c r="N36" s="1851"/>
      <c r="O36" s="2703"/>
      <c r="P36" s="1851"/>
      <c r="Q36" s="2703"/>
      <c r="R36" s="1851"/>
      <c r="S36" s="2703"/>
      <c r="T36" s="1851"/>
      <c r="U36" s="2703"/>
      <c r="V36" s="1851"/>
      <c r="W36" s="2703"/>
      <c r="X36" s="1851"/>
      <c r="Y36" s="2809"/>
      <c r="Z36" s="1499"/>
      <c r="AA36" s="1851">
        <v>0</v>
      </c>
      <c r="AB36" s="2046"/>
      <c r="AC36" s="2047"/>
      <c r="AD36" s="1851">
        <v>0</v>
      </c>
      <c r="AE36" s="2814"/>
      <c r="AF36" s="2815"/>
      <c r="AG36" s="2810">
        <f t="shared" si="1"/>
        <v>0</v>
      </c>
      <c r="AH36" s="1496"/>
      <c r="AI36" s="1465">
        <f t="shared" si="2"/>
        <v>0</v>
      </c>
    </row>
    <row r="37" spans="1:36" ht="14.25" customHeight="1">
      <c r="A37" s="2563" t="s">
        <v>1046</v>
      </c>
      <c r="B37" s="1403">
        <v>0</v>
      </c>
      <c r="C37" s="2065"/>
      <c r="D37" s="1403">
        <v>0</v>
      </c>
      <c r="E37" s="2065"/>
      <c r="F37" s="1403">
        <v>0</v>
      </c>
      <c r="G37" s="2065"/>
      <c r="H37" s="1403">
        <f t="shared" si="0"/>
        <v>0</v>
      </c>
      <c r="I37" s="2703"/>
      <c r="J37" s="1403"/>
      <c r="K37" s="2703"/>
      <c r="L37" s="1403"/>
      <c r="M37" s="2703"/>
      <c r="N37" s="1851"/>
      <c r="O37" s="2703"/>
      <c r="P37" s="1851"/>
      <c r="Q37" s="2703"/>
      <c r="R37" s="1851"/>
      <c r="S37" s="2703"/>
      <c r="T37" s="1851"/>
      <c r="U37" s="2703"/>
      <c r="V37" s="1851"/>
      <c r="W37" s="2703"/>
      <c r="X37" s="1851"/>
      <c r="Y37" s="2809"/>
      <c r="Z37" s="1499"/>
      <c r="AA37" s="1851">
        <v>0</v>
      </c>
      <c r="AB37" s="2046"/>
      <c r="AC37" s="2047"/>
      <c r="AD37" s="1851">
        <v>0</v>
      </c>
      <c r="AE37" s="2814"/>
      <c r="AF37" s="2815"/>
      <c r="AG37" s="2810">
        <f t="shared" si="1"/>
        <v>0</v>
      </c>
      <c r="AH37" s="1496"/>
      <c r="AI37" s="1465">
        <f t="shared" si="2"/>
        <v>0</v>
      </c>
    </row>
    <row r="38" spans="1:36" ht="14.25" customHeight="1">
      <c r="A38" s="2563" t="s">
        <v>1036</v>
      </c>
      <c r="B38" s="1403">
        <v>0.2</v>
      </c>
      <c r="C38" s="2065"/>
      <c r="D38" s="1403">
        <v>0</v>
      </c>
      <c r="E38" s="2065"/>
      <c r="F38" s="1403">
        <v>0.3</v>
      </c>
      <c r="G38" s="2065"/>
      <c r="H38" s="1403">
        <f t="shared" si="0"/>
        <v>9.9999999999999978E-2</v>
      </c>
      <c r="I38" s="2703"/>
      <c r="J38" s="1403"/>
      <c r="K38" s="2703"/>
      <c r="L38" s="1403"/>
      <c r="M38" s="2703"/>
      <c r="N38" s="1851"/>
      <c r="O38" s="2703"/>
      <c r="P38" s="1851"/>
      <c r="Q38" s="2703"/>
      <c r="R38" s="1851"/>
      <c r="S38" s="2703"/>
      <c r="T38" s="1851"/>
      <c r="U38" s="2703"/>
      <c r="V38" s="1851"/>
      <c r="W38" s="2703"/>
      <c r="X38" s="1851"/>
      <c r="Y38" s="2809"/>
      <c r="Z38" s="1499"/>
      <c r="AA38" s="1851">
        <v>0.6</v>
      </c>
      <c r="AB38" s="2046"/>
      <c r="AC38" s="2047"/>
      <c r="AD38" s="1851">
        <v>0.1</v>
      </c>
      <c r="AE38" s="2814"/>
      <c r="AF38" s="2815"/>
      <c r="AG38" s="2810">
        <f t="shared" si="1"/>
        <v>0.5</v>
      </c>
      <c r="AH38" s="1496"/>
      <c r="AI38" s="1465">
        <f>ROUND(IF(AD38=0,1,AG38/ABS(AD38)),3)</f>
        <v>5</v>
      </c>
    </row>
    <row r="39" spans="1:36" ht="14.25" customHeight="1">
      <c r="A39" s="2563" t="s">
        <v>1054</v>
      </c>
      <c r="B39" s="1403">
        <v>0</v>
      </c>
      <c r="C39" s="2065"/>
      <c r="D39" s="1403">
        <v>0.5</v>
      </c>
      <c r="E39" s="2065"/>
      <c r="F39" s="1403">
        <v>0</v>
      </c>
      <c r="G39" s="2065"/>
      <c r="H39" s="1403">
        <f t="shared" si="0"/>
        <v>0.8</v>
      </c>
      <c r="I39" s="2703"/>
      <c r="J39" s="1403"/>
      <c r="K39" s="2703"/>
      <c r="L39" s="1403"/>
      <c r="M39" s="2703"/>
      <c r="N39" s="1851"/>
      <c r="O39" s="2703"/>
      <c r="P39" s="1851"/>
      <c r="Q39" s="2703"/>
      <c r="R39" s="1851"/>
      <c r="S39" s="2703"/>
      <c r="T39" s="1851"/>
      <c r="U39" s="2703"/>
      <c r="V39" s="1851"/>
      <c r="W39" s="2703"/>
      <c r="X39" s="1851"/>
      <c r="Y39" s="2809"/>
      <c r="Z39" s="1499"/>
      <c r="AA39" s="1851">
        <v>1.3</v>
      </c>
      <c r="AB39" s="2046"/>
      <c r="AC39" s="2047"/>
      <c r="AD39" s="1851">
        <v>1.3</v>
      </c>
      <c r="AE39" s="2814"/>
      <c r="AF39" s="2815"/>
      <c r="AG39" s="2810">
        <f t="shared" si="1"/>
        <v>0</v>
      </c>
      <c r="AH39" s="1496"/>
      <c r="AI39" s="1465">
        <f>ROUND(IF(AD39=0,0,AG39/ABS(AD39)),3)</f>
        <v>0</v>
      </c>
    </row>
    <row r="40" spans="1:36" ht="14.25" customHeight="1">
      <c r="A40" s="2563" t="s">
        <v>1055</v>
      </c>
      <c r="B40" s="1403">
        <v>0</v>
      </c>
      <c r="C40" s="2065"/>
      <c r="D40" s="1403">
        <v>0</v>
      </c>
      <c r="E40" s="2065"/>
      <c r="F40" s="1403">
        <v>0</v>
      </c>
      <c r="G40" s="2065"/>
      <c r="H40" s="1403">
        <f t="shared" si="0"/>
        <v>0</v>
      </c>
      <c r="I40" s="2703"/>
      <c r="J40" s="1403"/>
      <c r="K40" s="2703"/>
      <c r="L40" s="1403"/>
      <c r="M40" s="2703"/>
      <c r="N40" s="1851"/>
      <c r="O40" s="2703"/>
      <c r="P40" s="1851"/>
      <c r="Q40" s="2703"/>
      <c r="R40" s="1851"/>
      <c r="S40" s="2703"/>
      <c r="T40" s="1851"/>
      <c r="U40" s="2703"/>
      <c r="V40" s="1851"/>
      <c r="W40" s="2703"/>
      <c r="X40" s="1851"/>
      <c r="Y40" s="2809"/>
      <c r="Z40" s="1499"/>
      <c r="AA40" s="1851">
        <v>0</v>
      </c>
      <c r="AB40" s="2046"/>
      <c r="AC40" s="2047"/>
      <c r="AD40" s="1851">
        <v>0</v>
      </c>
      <c r="AE40" s="2814"/>
      <c r="AF40" s="2815"/>
      <c r="AG40" s="2810">
        <f t="shared" si="1"/>
        <v>0</v>
      </c>
      <c r="AH40" s="1496"/>
      <c r="AI40" s="1465">
        <f t="shared" si="2"/>
        <v>0</v>
      </c>
    </row>
    <row r="41" spans="1:36" ht="14.25" customHeight="1">
      <c r="A41" s="2563" t="s">
        <v>1160</v>
      </c>
      <c r="B41" s="1403" t="s">
        <v>15</v>
      </c>
      <c r="C41" s="2065"/>
      <c r="D41" s="1403"/>
      <c r="E41" s="2065"/>
      <c r="F41" s="1403"/>
      <c r="G41" s="2065"/>
      <c r="H41" s="1403"/>
      <c r="I41" s="2703"/>
      <c r="J41" s="1403"/>
      <c r="K41" s="2703"/>
      <c r="L41" s="1403"/>
      <c r="M41" s="2703"/>
      <c r="N41" s="1851"/>
      <c r="O41" s="2703"/>
      <c r="P41" s="1851"/>
      <c r="Q41" s="2703"/>
      <c r="R41" s="1851"/>
      <c r="S41" s="2703"/>
      <c r="T41" s="1851"/>
      <c r="U41" s="2703"/>
      <c r="V41" s="1851"/>
      <c r="W41" s="2703"/>
      <c r="X41" s="1851"/>
      <c r="Y41" s="2809"/>
      <c r="Z41" s="1499"/>
      <c r="AA41" s="1851"/>
      <c r="AB41" s="2046"/>
      <c r="AC41" s="2047"/>
      <c r="AD41" s="1851"/>
      <c r="AE41" s="2814"/>
      <c r="AF41" s="2815"/>
      <c r="AG41" s="2810"/>
      <c r="AH41" s="1496"/>
      <c r="AI41" s="1498"/>
    </row>
    <row r="42" spans="1:36" ht="14.25" customHeight="1">
      <c r="A42" s="2563" t="s">
        <v>1232</v>
      </c>
      <c r="B42" s="1403">
        <v>42.4</v>
      </c>
      <c r="C42" s="2065"/>
      <c r="D42" s="1403">
        <v>36.000000000000007</v>
      </c>
      <c r="E42" s="2065"/>
      <c r="F42" s="1403">
        <v>37.499999999999993</v>
      </c>
      <c r="G42" s="2065"/>
      <c r="H42" s="1403">
        <f t="shared" si="0"/>
        <v>89.199999999999989</v>
      </c>
      <c r="I42" s="2703"/>
      <c r="J42" s="1403"/>
      <c r="K42" s="2703"/>
      <c r="L42" s="1403"/>
      <c r="M42" s="2703"/>
      <c r="N42" s="1851"/>
      <c r="O42" s="2703"/>
      <c r="P42" s="1851"/>
      <c r="Q42" s="2703"/>
      <c r="R42" s="1851"/>
      <c r="S42" s="2703"/>
      <c r="T42" s="1851"/>
      <c r="U42" s="2703"/>
      <c r="V42" s="1851"/>
      <c r="W42" s="2703"/>
      <c r="X42" s="1851"/>
      <c r="Y42" s="2809"/>
      <c r="Z42" s="1499"/>
      <c r="AA42" s="1851">
        <v>205.1</v>
      </c>
      <c r="AB42" s="2046"/>
      <c r="AC42" s="2047"/>
      <c r="AD42" s="1851">
        <v>171.5</v>
      </c>
      <c r="AE42" s="2814"/>
      <c r="AF42" s="2815"/>
      <c r="AG42" s="2810">
        <f>ROUND(SUM(AA42-AD42),1)</f>
        <v>33.6</v>
      </c>
      <c r="AH42" s="1496"/>
      <c r="AI42" s="1505">
        <f>ROUND(IF(AD42=0,0,AG42/ABS(AD42)),3)</f>
        <v>0.19600000000000001</v>
      </c>
    </row>
    <row r="43" spans="1:36" ht="14.25" customHeight="1">
      <c r="A43" s="2563" t="s">
        <v>1064</v>
      </c>
      <c r="B43" s="1403">
        <v>0</v>
      </c>
      <c r="C43" s="2065"/>
      <c r="D43" s="1403">
        <v>0</v>
      </c>
      <c r="E43" s="2065"/>
      <c r="F43" s="1403">
        <v>0</v>
      </c>
      <c r="G43" s="2065"/>
      <c r="H43" s="1403">
        <f t="shared" si="0"/>
        <v>0</v>
      </c>
      <c r="I43" s="2703"/>
      <c r="J43" s="1403"/>
      <c r="K43" s="2703"/>
      <c r="L43" s="1403"/>
      <c r="M43" s="2703"/>
      <c r="N43" s="1851"/>
      <c r="O43" s="2703"/>
      <c r="P43" s="1851"/>
      <c r="Q43" s="2703"/>
      <c r="R43" s="1851"/>
      <c r="S43" s="2703"/>
      <c r="T43" s="1851"/>
      <c r="U43" s="2703"/>
      <c r="V43" s="1851"/>
      <c r="W43" s="2703"/>
      <c r="X43" s="1851"/>
      <c r="Y43" s="2816"/>
      <c r="Z43" s="1499"/>
      <c r="AA43" s="1851">
        <v>0</v>
      </c>
      <c r="AB43" s="2230"/>
      <c r="AC43" s="2047"/>
      <c r="AD43" s="1851">
        <v>0.1</v>
      </c>
      <c r="AE43" s="2814"/>
      <c r="AF43" s="2815"/>
      <c r="AG43" s="2810">
        <f>ROUND(SUM(AA43-AD43),1)</f>
        <v>-0.1</v>
      </c>
      <c r="AH43" s="1496"/>
      <c r="AI43" s="1505">
        <f>ROUND(IF(AD43=0,0,AG43/ABS(AD43)),3)</f>
        <v>-1</v>
      </c>
    </row>
    <row r="44" spans="1:36" ht="14.25" customHeight="1">
      <c r="A44" s="2563" t="s">
        <v>1065</v>
      </c>
      <c r="B44" s="1403">
        <v>0</v>
      </c>
      <c r="C44" s="2065"/>
      <c r="D44" s="1403">
        <v>0</v>
      </c>
      <c r="E44" s="2065"/>
      <c r="F44" s="1403">
        <v>0</v>
      </c>
      <c r="G44" s="2065"/>
      <c r="H44" s="1403">
        <f>$AA44-$B44-$D44-$F44</f>
        <v>0</v>
      </c>
      <c r="I44" s="2703"/>
      <c r="J44" s="1403"/>
      <c r="K44" s="2703"/>
      <c r="L44" s="1403"/>
      <c r="M44" s="2703"/>
      <c r="N44" s="1851"/>
      <c r="O44" s="2703"/>
      <c r="P44" s="1851"/>
      <c r="Q44" s="2703"/>
      <c r="R44" s="1851"/>
      <c r="S44" s="2703"/>
      <c r="T44" s="1851"/>
      <c r="U44" s="2703"/>
      <c r="V44" s="1851"/>
      <c r="W44" s="2703"/>
      <c r="X44" s="1851"/>
      <c r="Y44" s="2809"/>
      <c r="Z44" s="1499"/>
      <c r="AA44" s="1851">
        <v>0</v>
      </c>
      <c r="AB44" s="2046"/>
      <c r="AC44" s="2047"/>
      <c r="AD44" s="1851">
        <v>0</v>
      </c>
      <c r="AE44" s="2814"/>
      <c r="AF44" s="2815"/>
      <c r="AG44" s="2810">
        <f>ROUND(SUM(AA44-AD44),1)</f>
        <v>0</v>
      </c>
      <c r="AH44" s="1496"/>
      <c r="AI44" s="1465">
        <f>ROUND(IF(AD44=0,0,AG44/ABS(AD44)),3)</f>
        <v>0</v>
      </c>
    </row>
    <row r="45" spans="1:36" s="2823" customFormat="1" ht="15.75">
      <c r="A45" s="2550" t="s">
        <v>1100</v>
      </c>
      <c r="B45" s="2109">
        <f>ROUND(SUM(B30:B44),1)</f>
        <v>42.6</v>
      </c>
      <c r="C45" s="2817"/>
      <c r="D45" s="2109">
        <f>ROUND(SUM(D30:D44),1)</f>
        <v>36.5</v>
      </c>
      <c r="E45" s="2817"/>
      <c r="F45" s="2109">
        <f>ROUND(SUM(F30:F44),1)</f>
        <v>37.799999999999997</v>
      </c>
      <c r="G45" s="2817"/>
      <c r="H45" s="2109">
        <f>ROUND(SUM(H30:H44),1)</f>
        <v>90.1</v>
      </c>
      <c r="I45" s="2818"/>
      <c r="J45" s="2100">
        <f>ROUND(SUM(J30:J44),1)</f>
        <v>0</v>
      </c>
      <c r="K45" s="2818"/>
      <c r="L45" s="2100">
        <f>ROUND(SUM(L30:L44),1)</f>
        <v>0</v>
      </c>
      <c r="M45" s="2818"/>
      <c r="N45" s="2100">
        <f>ROUND(SUM(N30:N44),1)</f>
        <v>0</v>
      </c>
      <c r="O45" s="2818"/>
      <c r="P45" s="2100">
        <f>ROUND(SUM(P30:P44),1)</f>
        <v>0</v>
      </c>
      <c r="Q45" s="2818"/>
      <c r="R45" s="2100">
        <f>ROUND(SUM(R30:R44),1)</f>
        <v>0</v>
      </c>
      <c r="S45" s="2818"/>
      <c r="T45" s="2100">
        <f>ROUND(SUM(T30:T44),1)</f>
        <v>0</v>
      </c>
      <c r="U45" s="2818"/>
      <c r="V45" s="2084">
        <f>ROUND(SUM(V30:V44),1)</f>
        <v>0</v>
      </c>
      <c r="W45" s="2818"/>
      <c r="X45" s="2084">
        <f>ROUND(SUM(X30:X44),1)</f>
        <v>0</v>
      </c>
      <c r="Y45" s="2819"/>
      <c r="Z45" s="2818"/>
      <c r="AA45" s="2084">
        <f>ROUND(SUM(AA30:AA44),1)</f>
        <v>207</v>
      </c>
      <c r="AB45" s="2819"/>
      <c r="AC45" s="2818"/>
      <c r="AD45" s="2084">
        <f>ROUND(SUM(AD30:AD44),1)</f>
        <v>173</v>
      </c>
      <c r="AE45" s="2820"/>
      <c r="AF45" s="2821"/>
      <c r="AG45" s="2100">
        <f>ROUND(SUM(AG30:AG44),1)</f>
        <v>34</v>
      </c>
      <c r="AH45" s="2779"/>
      <c r="AI45" s="2822">
        <f>ROUND(IF(AD45=0,0,AG45/ABS(AD45)),3)</f>
        <v>0.19700000000000001</v>
      </c>
      <c r="AJ45" s="2775"/>
    </row>
    <row r="46" spans="1:36" s="2823" customFormat="1" ht="14.25" customHeight="1">
      <c r="A46" s="2550"/>
      <c r="B46" s="1484"/>
      <c r="C46" s="2817"/>
      <c r="D46" s="1484"/>
      <c r="E46" s="2817"/>
      <c r="F46" s="1484"/>
      <c r="G46" s="2817"/>
      <c r="H46" s="1484"/>
      <c r="I46" s="2818"/>
      <c r="J46" s="1484"/>
      <c r="K46" s="2818"/>
      <c r="L46" s="1484"/>
      <c r="M46" s="2818"/>
      <c r="N46" s="1484"/>
      <c r="O46" s="2818"/>
      <c r="P46" s="1484"/>
      <c r="Q46" s="2818"/>
      <c r="R46" s="1484"/>
      <c r="S46" s="2818"/>
      <c r="T46" s="1484"/>
      <c r="U46" s="2818"/>
      <c r="V46" s="1502"/>
      <c r="W46" s="2818"/>
      <c r="X46" s="1502"/>
      <c r="Y46" s="2824"/>
      <c r="Z46" s="2818"/>
      <c r="AA46" s="1502"/>
      <c r="AB46" s="2824"/>
      <c r="AC46" s="2818"/>
      <c r="AD46" s="1502"/>
      <c r="AE46" s="2820"/>
      <c r="AF46" s="2821"/>
      <c r="AG46" s="2825"/>
      <c r="AH46" s="2779"/>
      <c r="AI46" s="2803"/>
      <c r="AJ46" s="2775"/>
    </row>
    <row r="47" spans="1:36" ht="15">
      <c r="A47" s="2826" t="s">
        <v>942</v>
      </c>
      <c r="B47" s="1403">
        <v>0</v>
      </c>
      <c r="C47" s="2827"/>
      <c r="D47" s="1403">
        <v>0</v>
      </c>
      <c r="E47" s="2827"/>
      <c r="F47" s="1403">
        <v>0</v>
      </c>
      <c r="G47" s="2065"/>
      <c r="H47" s="1403">
        <f t="shared" ref="H47" si="3">$AA47-$B47-$D47-$F47</f>
        <v>1.6</v>
      </c>
      <c r="I47" s="2045"/>
      <c r="J47" s="1403"/>
      <c r="K47" s="2045"/>
      <c r="L47" s="1403"/>
      <c r="M47" s="2045"/>
      <c r="N47" s="1851"/>
      <c r="O47" s="2045"/>
      <c r="P47" s="1851"/>
      <c r="Q47" s="2045"/>
      <c r="R47" s="1851"/>
      <c r="S47" s="2045"/>
      <c r="T47" s="1851"/>
      <c r="U47" s="2045"/>
      <c r="V47" s="1851"/>
      <c r="W47" s="2045"/>
      <c r="X47" s="1851"/>
      <c r="Y47" s="2828"/>
      <c r="Z47" s="2045"/>
      <c r="AA47" s="2829">
        <v>1.6</v>
      </c>
      <c r="AB47" s="2828"/>
      <c r="AC47" s="2045"/>
      <c r="AD47" s="2829">
        <v>1.6</v>
      </c>
      <c r="AE47" s="2814"/>
      <c r="AF47" s="2815"/>
      <c r="AG47" s="2830">
        <f>ROUND(SUM(AA47-AD47),1)</f>
        <v>0</v>
      </c>
      <c r="AH47" s="1496"/>
      <c r="AI47" s="1466">
        <f>ROUND(IF(AD47=0,0,AG47/ABS(AD47)),3)</f>
        <v>0</v>
      </c>
    </row>
    <row r="48" spans="1:36" ht="12" customHeight="1">
      <c r="A48" s="1499"/>
      <c r="B48" s="2831"/>
      <c r="C48" s="2065"/>
      <c r="D48" s="2831"/>
      <c r="E48" s="2065"/>
      <c r="F48" s="2831"/>
      <c r="G48" s="2065"/>
      <c r="H48" s="2831"/>
      <c r="I48" s="2045"/>
      <c r="J48" s="2832"/>
      <c r="K48" s="2045"/>
      <c r="L48" s="2832"/>
      <c r="M48" s="2045"/>
      <c r="N48" s="2832"/>
      <c r="O48" s="2045"/>
      <c r="P48" s="2832"/>
      <c r="Q48" s="2045"/>
      <c r="R48" s="2832"/>
      <c r="S48" s="2045"/>
      <c r="T48" s="2832"/>
      <c r="U48" s="2045"/>
      <c r="V48" s="2832"/>
      <c r="W48" s="2045"/>
      <c r="X48" s="2832"/>
      <c r="Y48" s="2828"/>
      <c r="Z48" s="2045"/>
      <c r="AA48" s="2065"/>
      <c r="AB48" s="2828"/>
      <c r="AC48" s="2045"/>
      <c r="AD48" s="2065"/>
      <c r="AE48" s="2814"/>
      <c r="AF48" s="2815"/>
      <c r="AG48" s="2810"/>
      <c r="AH48" s="1496"/>
      <c r="AI48" s="1499"/>
    </row>
    <row r="49" spans="1:36" ht="14.25" customHeight="1">
      <c r="A49" s="2550" t="s">
        <v>188</v>
      </c>
      <c r="B49" s="2833">
        <f>B26+B45+B47</f>
        <v>5271.4000000000005</v>
      </c>
      <c r="C49" s="2834"/>
      <c r="D49" s="2833">
        <f>ROUND(SUM(D26+D45+D47),1)</f>
        <v>1915.9</v>
      </c>
      <c r="E49" s="2835"/>
      <c r="F49" s="2833">
        <f>ROUND(SUM(F26+F45+F47),1)</f>
        <v>3472.6</v>
      </c>
      <c r="G49" s="2835"/>
      <c r="H49" s="2833">
        <f>ROUND(SUM(H26+H45+H47),1)</f>
        <v>2455.8000000000002</v>
      </c>
      <c r="I49" s="2836"/>
      <c r="J49" s="2837">
        <f>ROUND(SUM(J26+J45+J47),1)</f>
        <v>0</v>
      </c>
      <c r="K49" s="2836"/>
      <c r="L49" s="2837">
        <f>ROUND(SUM(L26+L45+L47),1)</f>
        <v>0</v>
      </c>
      <c r="M49" s="2836"/>
      <c r="N49" s="2837">
        <f>ROUND(SUM(N26+N45+N47),1)</f>
        <v>0</v>
      </c>
      <c r="O49" s="2836"/>
      <c r="P49" s="2837">
        <f>ROUND(SUM(P26+P45+P47),1)</f>
        <v>0</v>
      </c>
      <c r="Q49" s="2836"/>
      <c r="R49" s="2837">
        <f>ROUND(SUM(R26+R45+R47),1)</f>
        <v>0</v>
      </c>
      <c r="S49" s="2836"/>
      <c r="T49" s="2837">
        <f>ROUND(SUM(T26+T45+T47),1)</f>
        <v>0</v>
      </c>
      <c r="U49" s="2836"/>
      <c r="V49" s="2837">
        <f>ROUND(SUM(V26+V45+V47),1)</f>
        <v>0</v>
      </c>
      <c r="W49" s="2836"/>
      <c r="X49" s="2837">
        <f>ROUND(SUM(X26+X45+X47),1)</f>
        <v>0</v>
      </c>
      <c r="Y49" s="2819"/>
      <c r="Z49" s="2818"/>
      <c r="AA49" s="2837">
        <f>ROUND(SUM(AA26+AA45+AA47),1)</f>
        <v>13115.7</v>
      </c>
      <c r="AB49" s="2819"/>
      <c r="AC49" s="2818"/>
      <c r="AD49" s="2837">
        <f>ROUND(SUM(AD26+AD45+AD47),1)</f>
        <v>10778.7</v>
      </c>
      <c r="AE49" s="2820"/>
      <c r="AF49" s="2821"/>
      <c r="AG49" s="2837">
        <f>ROUND(SUM(AG26+AG45+AG47),1)</f>
        <v>2337</v>
      </c>
      <c r="AH49" s="2779"/>
      <c r="AI49" s="1497">
        <f>ROUND(IF(AD49=0,0,AG49/ABS(AD49)),3)</f>
        <v>0.217</v>
      </c>
      <c r="AJ49" s="2838"/>
    </row>
    <row r="50" spans="1:36" ht="19.5" customHeight="1">
      <c r="A50" s="1499"/>
      <c r="B50" s="2065"/>
      <c r="C50" s="2065"/>
      <c r="D50" s="2065"/>
      <c r="E50" s="2065"/>
      <c r="F50" s="2065"/>
      <c r="G50" s="2065"/>
      <c r="H50" s="2065"/>
      <c r="I50" s="2045"/>
      <c r="J50" s="2045"/>
      <c r="K50" s="2045"/>
      <c r="L50" s="2045"/>
      <c r="M50" s="2045"/>
      <c r="N50" s="2045"/>
      <c r="O50" s="2045"/>
      <c r="P50" s="2045"/>
      <c r="Q50" s="2045"/>
      <c r="R50" s="2045"/>
      <c r="S50" s="2045"/>
      <c r="T50" s="2045"/>
      <c r="U50" s="2045"/>
      <c r="V50" s="2045"/>
      <c r="W50" s="2045"/>
      <c r="X50" s="2045"/>
      <c r="Y50" s="2828"/>
      <c r="Z50" s="2045"/>
      <c r="AA50" s="2065"/>
      <c r="AB50" s="2828"/>
      <c r="AC50" s="2045"/>
      <c r="AD50" s="2065"/>
      <c r="AE50" s="2814"/>
      <c r="AF50" s="2815"/>
      <c r="AG50" s="2810"/>
      <c r="AH50" s="1496"/>
      <c r="AI50" s="1499"/>
    </row>
    <row r="51" spans="1:36" ht="15.75">
      <c r="A51" s="2839" t="s">
        <v>189</v>
      </c>
      <c r="B51" s="2065"/>
      <c r="C51" s="2065"/>
      <c r="D51" s="2065"/>
      <c r="E51" s="2065"/>
      <c r="F51" s="2065"/>
      <c r="G51" s="2065"/>
      <c r="H51" s="2065"/>
      <c r="I51" s="2045"/>
      <c r="J51" s="2045"/>
      <c r="K51" s="2045"/>
      <c r="L51" s="2045"/>
      <c r="M51" s="2045"/>
      <c r="N51" s="2045"/>
      <c r="O51" s="2045"/>
      <c r="P51" s="2045"/>
      <c r="Q51" s="2045"/>
      <c r="R51" s="2045"/>
      <c r="S51" s="2045"/>
      <c r="T51" s="2045"/>
      <c r="U51" s="2045"/>
      <c r="V51" s="2045"/>
      <c r="W51" s="2045"/>
      <c r="X51" s="2045"/>
      <c r="Y51" s="2828"/>
      <c r="Z51" s="2045"/>
      <c r="AA51" s="2065"/>
      <c r="AB51" s="2828"/>
      <c r="AC51" s="2045"/>
      <c r="AD51" s="2065"/>
      <c r="AE51" s="2814"/>
      <c r="AF51" s="2815"/>
      <c r="AG51" s="2810"/>
      <c r="AH51" s="1496"/>
      <c r="AI51" s="1499"/>
    </row>
    <row r="52" spans="1:36" ht="14.25" customHeight="1">
      <c r="A52" s="2840" t="s">
        <v>153</v>
      </c>
      <c r="B52" s="2065"/>
      <c r="C52" s="2065"/>
      <c r="D52" s="2065"/>
      <c r="E52" s="2065"/>
      <c r="F52" s="2065"/>
      <c r="G52" s="2065"/>
      <c r="H52" s="2065"/>
      <c r="I52" s="2045"/>
      <c r="J52" s="2045"/>
      <c r="K52" s="2045"/>
      <c r="L52" s="2045"/>
      <c r="M52" s="2045"/>
      <c r="N52" s="2045"/>
      <c r="O52" s="2045"/>
      <c r="P52" s="2045"/>
      <c r="Q52" s="2045"/>
      <c r="R52" s="2045"/>
      <c r="S52" s="2045"/>
      <c r="T52" s="2045"/>
      <c r="U52" s="2045"/>
      <c r="V52" s="2045"/>
      <c r="W52" s="2045"/>
      <c r="X52" s="2045"/>
      <c r="Y52" s="2828"/>
      <c r="Z52" s="2045"/>
      <c r="AA52" s="2065"/>
      <c r="AB52" s="2828"/>
      <c r="AC52" s="2045"/>
      <c r="AD52" s="2065"/>
      <c r="AE52" s="2814"/>
      <c r="AF52" s="2815"/>
      <c r="AG52" s="2810"/>
      <c r="AH52" s="1496"/>
      <c r="AI52" s="1499"/>
    </row>
    <row r="53" spans="1:36" ht="14.25" customHeight="1">
      <c r="A53" s="2840" t="s">
        <v>38</v>
      </c>
      <c r="B53" s="1403">
        <v>0.70000000000000007</v>
      </c>
      <c r="C53" s="2065"/>
      <c r="D53" s="1403">
        <v>2.2999999999999998</v>
      </c>
      <c r="E53" s="2841"/>
      <c r="F53" s="1403">
        <v>2.5999999999999996</v>
      </c>
      <c r="G53" s="2065"/>
      <c r="H53" s="1403">
        <f t="shared" ref="H53:H55" si="4">$AA53-$B53-$D53-$F53</f>
        <v>8.6</v>
      </c>
      <c r="I53" s="2045"/>
      <c r="J53" s="1403"/>
      <c r="K53" s="2045"/>
      <c r="L53" s="1403"/>
      <c r="M53" s="2045"/>
      <c r="N53" s="1851"/>
      <c r="O53" s="2045"/>
      <c r="P53" s="1851"/>
      <c r="Q53" s="2045"/>
      <c r="R53" s="1851"/>
      <c r="S53" s="2045"/>
      <c r="T53" s="1851"/>
      <c r="U53" s="2045"/>
      <c r="V53" s="1851"/>
      <c r="W53" s="2045"/>
      <c r="X53" s="1851"/>
      <c r="Y53" s="2828"/>
      <c r="Z53" s="2045"/>
      <c r="AA53" s="2051">
        <v>14.2</v>
      </c>
      <c r="AB53" s="2828"/>
      <c r="AC53" s="2045"/>
      <c r="AD53" s="2051">
        <v>9.8000000000000007</v>
      </c>
      <c r="AE53" s="2814"/>
      <c r="AF53" s="2815"/>
      <c r="AG53" s="2810">
        <f>ROUND(SUM(AA53-AD53),1)</f>
        <v>4.4000000000000004</v>
      </c>
      <c r="AH53" s="1496"/>
      <c r="AI53" s="1505">
        <f>ROUND(IF(AD53=0,0,AG53/ABS(AD53)),3)</f>
        <v>0.44900000000000001</v>
      </c>
    </row>
    <row r="54" spans="1:36" ht="14.25" customHeight="1">
      <c r="A54" s="2842" t="s">
        <v>1167</v>
      </c>
      <c r="B54" s="1403" t="s">
        <v>15</v>
      </c>
      <c r="C54" s="2065"/>
      <c r="D54" s="1403"/>
      <c r="E54" s="2065"/>
      <c r="F54" s="1403"/>
      <c r="G54" s="2065"/>
      <c r="H54" s="1403"/>
      <c r="I54" s="2045"/>
      <c r="J54" s="1851"/>
      <c r="K54" s="2045"/>
      <c r="L54" s="1403"/>
      <c r="M54" s="2045"/>
      <c r="N54" s="1851"/>
      <c r="O54" s="2045"/>
      <c r="P54" s="1851"/>
      <c r="Q54" s="2045"/>
      <c r="R54" s="1851"/>
      <c r="S54" s="2045"/>
      <c r="T54" s="1851"/>
      <c r="U54" s="2045"/>
      <c r="V54" s="1851"/>
      <c r="W54" s="2045"/>
      <c r="X54" s="1851"/>
      <c r="Y54" s="2828"/>
      <c r="Z54" s="2045"/>
      <c r="AA54" s="2065"/>
      <c r="AB54" s="2828"/>
      <c r="AC54" s="2045"/>
      <c r="AD54" s="2065"/>
      <c r="AE54" s="2814"/>
      <c r="AF54" s="2815"/>
      <c r="AG54" s="2810"/>
      <c r="AH54" s="1496"/>
      <c r="AI54" s="1499"/>
    </row>
    <row r="55" spans="1:36" ht="14.25" customHeight="1">
      <c r="A55" s="2843" t="s">
        <v>1166</v>
      </c>
      <c r="B55" s="1403">
        <v>72.400000000000006</v>
      </c>
      <c r="C55" s="2065"/>
      <c r="D55" s="1403">
        <v>121.1</v>
      </c>
      <c r="E55" s="2065"/>
      <c r="F55" s="1403">
        <v>230.29999999999998</v>
      </c>
      <c r="G55" s="2065"/>
      <c r="H55" s="1403">
        <f t="shared" si="4"/>
        <v>45.099999999999994</v>
      </c>
      <c r="I55" s="2045"/>
      <c r="J55" s="1403"/>
      <c r="K55" s="2045"/>
      <c r="L55" s="1403"/>
      <c r="M55" s="2045"/>
      <c r="N55" s="1851"/>
      <c r="O55" s="2045"/>
      <c r="P55" s="1851"/>
      <c r="Q55" s="2045"/>
      <c r="R55" s="1851"/>
      <c r="S55" s="2045"/>
      <c r="T55" s="1851"/>
      <c r="U55" s="2045"/>
      <c r="V55" s="1851"/>
      <c r="W55" s="2045"/>
      <c r="X55" s="1851"/>
      <c r="Y55" s="2828"/>
      <c r="Z55" s="2045"/>
      <c r="AA55" s="2844">
        <v>468.9</v>
      </c>
      <c r="AB55" s="2828"/>
      <c r="AC55" s="2045"/>
      <c r="AD55" s="2844">
        <v>381.8</v>
      </c>
      <c r="AE55" s="2814"/>
      <c r="AF55" s="2815"/>
      <c r="AG55" s="2845">
        <f>ROUND(SUM(AA55-AD55),1)</f>
        <v>87.1</v>
      </c>
      <c r="AH55" s="1496"/>
      <c r="AI55" s="1466">
        <f>ROUND(IF(AD55=0,0,AG55/ABS(AD55)),3)</f>
        <v>0.22800000000000001</v>
      </c>
    </row>
    <row r="56" spans="1:36" ht="15">
      <c r="A56" s="1499"/>
      <c r="B56" s="2831"/>
      <c r="C56" s="2065"/>
      <c r="D56" s="2831"/>
      <c r="E56" s="2065"/>
      <c r="F56" s="2831"/>
      <c r="G56" s="2065"/>
      <c r="H56" s="2831"/>
      <c r="I56" s="2045"/>
      <c r="J56" s="2832"/>
      <c r="K56" s="2045"/>
      <c r="L56" s="2832"/>
      <c r="M56" s="2045"/>
      <c r="N56" s="2832"/>
      <c r="O56" s="2045"/>
      <c r="P56" s="2832"/>
      <c r="Q56" s="2045"/>
      <c r="R56" s="2832"/>
      <c r="S56" s="2045"/>
      <c r="T56" s="2832"/>
      <c r="U56" s="2045"/>
      <c r="V56" s="2832"/>
      <c r="W56" s="2045"/>
      <c r="X56" s="2832"/>
      <c r="Y56" s="2828"/>
      <c r="Z56" s="2045"/>
      <c r="AA56" s="2065"/>
      <c r="AB56" s="2828"/>
      <c r="AC56" s="2045"/>
      <c r="AD56" s="2065"/>
      <c r="AE56" s="2814"/>
      <c r="AF56" s="2815"/>
      <c r="AG56" s="2810"/>
      <c r="AH56" s="1496"/>
      <c r="AI56" s="1499"/>
    </row>
    <row r="57" spans="1:36" ht="14.25" customHeight="1">
      <c r="A57" s="2839" t="s">
        <v>190</v>
      </c>
      <c r="B57" s="2833">
        <f>ROUND(SUM(B53:B55),1)</f>
        <v>73.099999999999994</v>
      </c>
      <c r="C57" s="2834"/>
      <c r="D57" s="2833">
        <f>ROUND(SUM(D53:D55),1)</f>
        <v>123.4</v>
      </c>
      <c r="E57" s="2835"/>
      <c r="F57" s="2833">
        <f>ROUND(SUM(F53:F55),1)</f>
        <v>232.9</v>
      </c>
      <c r="G57" s="2835"/>
      <c r="H57" s="2833">
        <f>ROUND(SUM(H53:H55),1)</f>
        <v>53.7</v>
      </c>
      <c r="I57" s="2836"/>
      <c r="J57" s="2837">
        <f>ROUND(SUM(J53:J55),1)</f>
        <v>0</v>
      </c>
      <c r="K57" s="2836"/>
      <c r="L57" s="2837">
        <f>ROUND(SUM(L53:L55),1)</f>
        <v>0</v>
      </c>
      <c r="M57" s="2836"/>
      <c r="N57" s="2837">
        <f>ROUND(SUM(N53:N55),1)</f>
        <v>0</v>
      </c>
      <c r="O57" s="2836"/>
      <c r="P57" s="2837">
        <f>ROUND(SUM(P53:P55),1)</f>
        <v>0</v>
      </c>
      <c r="Q57" s="2836"/>
      <c r="R57" s="2837">
        <f>ROUND(SUM(R53:R55),1)</f>
        <v>0</v>
      </c>
      <c r="S57" s="2836"/>
      <c r="T57" s="2837">
        <f>ROUND(SUM(T53:T55),1)</f>
        <v>0</v>
      </c>
      <c r="U57" s="2836"/>
      <c r="V57" s="2837">
        <f>ROUND(SUM(V53:V55),1)</f>
        <v>0</v>
      </c>
      <c r="W57" s="2836"/>
      <c r="X57" s="2837">
        <f>ROUND(SUM(X53:X55),1)</f>
        <v>0</v>
      </c>
      <c r="Y57" s="2819"/>
      <c r="Z57" s="2818"/>
      <c r="AA57" s="2837">
        <f>ROUND(SUM(AA53:AA55),1)</f>
        <v>483.1</v>
      </c>
      <c r="AB57" s="2819"/>
      <c r="AC57" s="2818"/>
      <c r="AD57" s="2837">
        <f>ROUND(SUM(AD53:AD55),1)</f>
        <v>391.6</v>
      </c>
      <c r="AE57" s="2820"/>
      <c r="AF57" s="2821"/>
      <c r="AG57" s="2837">
        <f>ROUND(SUM(AG53:AG55),1)</f>
        <v>91.5</v>
      </c>
      <c r="AH57" s="2779"/>
      <c r="AI57" s="1497">
        <f>ROUND(IF(AD57=0,0,AG57/ABS(AD57)),3)</f>
        <v>0.23400000000000001</v>
      </c>
      <c r="AJ57" s="2846"/>
    </row>
    <row r="58" spans="1:36" ht="12" customHeight="1">
      <c r="A58" s="1499"/>
      <c r="B58" s="2065"/>
      <c r="C58" s="2065"/>
      <c r="D58" s="2847"/>
      <c r="E58" s="2847"/>
      <c r="F58" s="2847"/>
      <c r="G58" s="2847"/>
      <c r="H58" s="2847"/>
      <c r="I58" s="2848"/>
      <c r="J58" s="2848"/>
      <c r="K58" s="2848"/>
      <c r="L58" s="2848"/>
      <c r="M58" s="2848"/>
      <c r="N58" s="2848"/>
      <c r="O58" s="2848"/>
      <c r="P58" s="2848"/>
      <c r="Q58" s="2848"/>
      <c r="R58" s="2848"/>
      <c r="S58" s="2848"/>
      <c r="T58" s="2848"/>
      <c r="U58" s="2848"/>
      <c r="V58" s="2848"/>
      <c r="W58" s="2848"/>
      <c r="X58" s="2848"/>
      <c r="Y58" s="2828"/>
      <c r="Z58" s="2045"/>
      <c r="AA58" s="2065"/>
      <c r="AB58" s="2828"/>
      <c r="AC58" s="2045"/>
      <c r="AD58" s="2065"/>
      <c r="AE58" s="2814"/>
      <c r="AF58" s="2815"/>
      <c r="AG58" s="2810"/>
      <c r="AH58" s="1496"/>
      <c r="AI58" s="1499"/>
    </row>
    <row r="59" spans="1:36" ht="14.25" customHeight="1">
      <c r="A59" s="2839" t="s">
        <v>44</v>
      </c>
      <c r="B59" s="2065"/>
      <c r="C59" s="2065"/>
      <c r="D59" s="2847"/>
      <c r="E59" s="2847"/>
      <c r="F59" s="2847"/>
      <c r="G59" s="2847"/>
      <c r="H59" s="2847"/>
      <c r="I59" s="2848"/>
      <c r="J59" s="2848"/>
      <c r="K59" s="2848"/>
      <c r="L59" s="2848"/>
      <c r="M59" s="2848"/>
      <c r="N59" s="2848"/>
      <c r="O59" s="2848"/>
      <c r="P59" s="2848"/>
      <c r="Q59" s="2848"/>
      <c r="R59" s="2848"/>
      <c r="S59" s="2848"/>
      <c r="T59" s="2848"/>
      <c r="U59" s="2848"/>
      <c r="V59" s="2848"/>
      <c r="W59" s="2848"/>
      <c r="X59" s="2848"/>
      <c r="Y59" s="2828"/>
      <c r="Z59" s="2045"/>
      <c r="AA59" s="2065"/>
      <c r="AB59" s="2828"/>
      <c r="AC59" s="2045"/>
      <c r="AD59" s="2065"/>
      <c r="AE59" s="2814"/>
      <c r="AF59" s="2815"/>
      <c r="AG59" s="2810"/>
      <c r="AH59" s="1496"/>
      <c r="AI59" s="1499"/>
    </row>
    <row r="60" spans="1:36" ht="14.25" customHeight="1">
      <c r="A60" s="2550" t="s">
        <v>191</v>
      </c>
      <c r="B60" s="2833">
        <f>ROUND(SUM(B49-B57),1)</f>
        <v>5198.3</v>
      </c>
      <c r="C60" s="2834"/>
      <c r="D60" s="2833">
        <f>ROUND(SUM(D49-D57),1)</f>
        <v>1792.5</v>
      </c>
      <c r="E60" s="2849"/>
      <c r="F60" s="2833">
        <f>ROUND(SUM(F49-F57),1)</f>
        <v>3239.7</v>
      </c>
      <c r="G60" s="2835"/>
      <c r="H60" s="2833">
        <f>ROUND(SUM(H49-H57),1)</f>
        <v>2402.1</v>
      </c>
      <c r="I60" s="2836"/>
      <c r="J60" s="2837">
        <f>ROUND(SUM(J49-J57),1)</f>
        <v>0</v>
      </c>
      <c r="K60" s="2836"/>
      <c r="L60" s="2837">
        <f>ROUND(SUM(L49-L57),1)</f>
        <v>0</v>
      </c>
      <c r="M60" s="2836"/>
      <c r="N60" s="2837">
        <f>ROUND(SUM(N49-N57),1)</f>
        <v>0</v>
      </c>
      <c r="O60" s="2836"/>
      <c r="P60" s="2837">
        <f>ROUND(SUM(P49-P57),1)</f>
        <v>0</v>
      </c>
      <c r="Q60" s="2836"/>
      <c r="R60" s="2837">
        <f>ROUND(SUM(R49-R57),1)</f>
        <v>0</v>
      </c>
      <c r="S60" s="2836"/>
      <c r="T60" s="2837">
        <f>ROUND(SUM(T49-T57),1)</f>
        <v>0</v>
      </c>
      <c r="U60" s="2836"/>
      <c r="V60" s="2837">
        <f>ROUND(SUM(V49-V57),1)</f>
        <v>0</v>
      </c>
      <c r="W60" s="2836"/>
      <c r="X60" s="2837">
        <f>ROUND(SUM(X49-X57),1)</f>
        <v>0</v>
      </c>
      <c r="Y60" s="2819"/>
      <c r="Z60" s="2818"/>
      <c r="AA60" s="2837">
        <f>ROUND(SUM(AA49-AA57),1)</f>
        <v>12632.6</v>
      </c>
      <c r="AB60" s="2819"/>
      <c r="AC60" s="2818"/>
      <c r="AD60" s="2837">
        <f>ROUND(SUM(AD49-AD57),1)</f>
        <v>10387.1</v>
      </c>
      <c r="AE60" s="2820"/>
      <c r="AF60" s="2821"/>
      <c r="AG60" s="2837">
        <f>ROUND(SUM(+AG49-AG57),1)</f>
        <v>2245.5</v>
      </c>
      <c r="AH60" s="2779"/>
      <c r="AI60" s="1497">
        <f>ROUND(IF(AD60=0,0,AG60/ABS(AD60)),3)</f>
        <v>0.216</v>
      </c>
      <c r="AJ60" s="2838"/>
    </row>
    <row r="61" spans="1:36" ht="19.5" customHeight="1">
      <c r="A61" s="1499"/>
      <c r="B61" s="2827"/>
      <c r="C61" s="2065"/>
      <c r="D61" s="2065"/>
      <c r="E61" s="2065"/>
      <c r="F61" s="2065"/>
      <c r="G61" s="2065"/>
      <c r="H61" s="2065"/>
      <c r="I61" s="2045"/>
      <c r="J61" s="2045"/>
      <c r="K61" s="2045"/>
      <c r="L61" s="2045"/>
      <c r="M61" s="2045"/>
      <c r="N61" s="2045"/>
      <c r="O61" s="2045"/>
      <c r="P61" s="2045"/>
      <c r="Q61" s="2045"/>
      <c r="R61" s="2045"/>
      <c r="S61" s="2045"/>
      <c r="T61" s="2045"/>
      <c r="U61" s="2045"/>
      <c r="V61" s="2045"/>
      <c r="W61" s="2045"/>
      <c r="X61" s="2045"/>
      <c r="Y61" s="2828"/>
      <c r="Z61" s="2045"/>
      <c r="AA61" s="2827"/>
      <c r="AB61" s="2828"/>
      <c r="AC61" s="2045"/>
      <c r="AD61" s="2827"/>
      <c r="AE61" s="2814"/>
      <c r="AF61" s="2815"/>
      <c r="AG61" s="2810"/>
      <c r="AH61" s="1496"/>
      <c r="AI61" s="1499"/>
    </row>
    <row r="62" spans="1:36" ht="19.5" customHeight="1">
      <c r="A62" s="1499"/>
      <c r="B62" s="2065"/>
      <c r="C62" s="2065"/>
      <c r="D62" s="2065"/>
      <c r="E62" s="2065"/>
      <c r="F62" s="2065"/>
      <c r="G62" s="2065"/>
      <c r="H62" s="2065"/>
      <c r="I62" s="2045"/>
      <c r="J62" s="2045"/>
      <c r="K62" s="2045"/>
      <c r="L62" s="2045"/>
      <c r="M62" s="2045"/>
      <c r="N62" s="2045"/>
      <c r="O62" s="2045"/>
      <c r="P62" s="2045"/>
      <c r="Q62" s="2045"/>
      <c r="R62" s="2045"/>
      <c r="S62" s="2045"/>
      <c r="T62" s="2045"/>
      <c r="U62" s="2045"/>
      <c r="V62" s="2045"/>
      <c r="W62" s="2045"/>
      <c r="X62" s="2045"/>
      <c r="Y62" s="2828"/>
      <c r="Z62" s="2045"/>
      <c r="AA62" s="2065"/>
      <c r="AB62" s="2828"/>
      <c r="AC62" s="2045"/>
      <c r="AD62" s="2065"/>
      <c r="AE62" s="2814"/>
      <c r="AF62" s="2815"/>
      <c r="AG62" s="2810"/>
      <c r="AH62" s="1496"/>
      <c r="AI62" s="1499"/>
    </row>
    <row r="63" spans="1:36" ht="14.25" customHeight="1">
      <c r="A63" s="2839" t="s">
        <v>46</v>
      </c>
      <c r="B63" s="2065"/>
      <c r="C63" s="2065"/>
      <c r="D63" s="2065"/>
      <c r="E63" s="2065"/>
      <c r="F63" s="2065"/>
      <c r="G63" s="2065"/>
      <c r="H63" s="2065"/>
      <c r="I63" s="2045"/>
      <c r="J63" s="2045"/>
      <c r="K63" s="2045"/>
      <c r="L63" s="2045"/>
      <c r="M63" s="2045"/>
      <c r="N63" s="2045"/>
      <c r="O63" s="2045"/>
      <c r="P63" s="2045"/>
      <c r="Q63" s="2045"/>
      <c r="R63" s="2045"/>
      <c r="S63" s="2045"/>
      <c r="T63" s="2045"/>
      <c r="U63" s="2045"/>
      <c r="V63" s="2045"/>
      <c r="W63" s="2045"/>
      <c r="X63" s="2045"/>
      <c r="Y63" s="2828"/>
      <c r="Z63" s="2045"/>
      <c r="AA63" s="2065"/>
      <c r="AB63" s="2828"/>
      <c r="AC63" s="2045"/>
      <c r="AD63" s="2065"/>
      <c r="AE63" s="2814"/>
      <c r="AF63" s="2815"/>
      <c r="AG63" s="2810"/>
      <c r="AH63" s="1496"/>
      <c r="AI63" s="1499"/>
    </row>
    <row r="64" spans="1:36" ht="14.25" customHeight="1">
      <c r="A64" s="2840" t="s">
        <v>182</v>
      </c>
      <c r="B64" s="1403">
        <v>219.3</v>
      </c>
      <c r="C64" s="2065"/>
      <c r="D64" s="1403">
        <v>206.59999999999997</v>
      </c>
      <c r="E64" s="2065"/>
      <c r="F64" s="1403">
        <v>86.5</v>
      </c>
      <c r="G64" s="2065"/>
      <c r="H64" s="1403">
        <f t="shared" ref="H64:H65" si="5">$AA64-$B64-$D64-$F64</f>
        <v>281.90000000000003</v>
      </c>
      <c r="I64" s="2045"/>
      <c r="J64" s="1403"/>
      <c r="K64" s="2045"/>
      <c r="L64" s="1403"/>
      <c r="M64" s="2045"/>
      <c r="N64" s="1851"/>
      <c r="O64" s="2045"/>
      <c r="P64" s="1851"/>
      <c r="Q64" s="2045"/>
      <c r="R64" s="1851"/>
      <c r="S64" s="2045"/>
      <c r="T64" s="1851"/>
      <c r="U64" s="2045"/>
      <c r="V64" s="1851"/>
      <c r="W64" s="2045"/>
      <c r="X64" s="1851"/>
      <c r="Y64" s="2828"/>
      <c r="Z64" s="2045"/>
      <c r="AA64" s="2051">
        <v>794.3</v>
      </c>
      <c r="AB64" s="2828"/>
      <c r="AC64" s="2045"/>
      <c r="AD64" s="2051">
        <v>850.4</v>
      </c>
      <c r="AE64" s="2814"/>
      <c r="AF64" s="2815"/>
      <c r="AG64" s="2810">
        <f>ROUND(SUM(AA64-AD64),1)</f>
        <v>-56.1</v>
      </c>
      <c r="AH64" s="1496"/>
      <c r="AI64" s="1465">
        <f>ROUND(IF(AD64=0,0,AG64/ABS(AD64)),3)</f>
        <v>-6.6000000000000003E-2</v>
      </c>
    </row>
    <row r="65" spans="1:38" ht="14.25" customHeight="1">
      <c r="A65" s="2840" t="s">
        <v>192</v>
      </c>
      <c r="B65" s="1403">
        <v>-5167.6000000000004</v>
      </c>
      <c r="C65" s="2065"/>
      <c r="D65" s="1403">
        <v>-1630.1000000000004</v>
      </c>
      <c r="E65" s="2065"/>
      <c r="F65" s="1403">
        <v>-3648.5</v>
      </c>
      <c r="G65" s="2065"/>
      <c r="H65" s="1403">
        <f t="shared" si="5"/>
        <v>-2430.7999999999993</v>
      </c>
      <c r="I65" s="2045"/>
      <c r="J65" s="1403"/>
      <c r="K65" s="2045"/>
      <c r="L65" s="1403"/>
      <c r="M65" s="2045"/>
      <c r="N65" s="1851"/>
      <c r="O65" s="2045"/>
      <c r="P65" s="1851"/>
      <c r="Q65" s="2045"/>
      <c r="R65" s="1851"/>
      <c r="S65" s="2045"/>
      <c r="T65" s="1851"/>
      <c r="U65" s="2045"/>
      <c r="V65" s="1851"/>
      <c r="W65" s="2045"/>
      <c r="X65" s="1851"/>
      <c r="Y65" s="2828"/>
      <c r="Z65" s="2045"/>
      <c r="AA65" s="2850">
        <v>-12877</v>
      </c>
      <c r="AB65" s="2828"/>
      <c r="AC65" s="2045"/>
      <c r="AD65" s="2850">
        <v>-10613.9</v>
      </c>
      <c r="AE65" s="2814"/>
      <c r="AF65" s="2815"/>
      <c r="AG65" s="2845">
        <f>ROUND(SUM(-(AA65-AD65)),1)</f>
        <v>2263.1</v>
      </c>
      <c r="AH65" s="1496"/>
      <c r="AI65" s="1466">
        <f>ROUND(IF(AD65=0,0,AG65/ABS(AD65)),3)</f>
        <v>0.21299999999999999</v>
      </c>
    </row>
    <row r="66" spans="1:38" ht="15">
      <c r="A66" s="1499"/>
      <c r="B66" s="2832"/>
      <c r="C66" s="2045"/>
      <c r="D66" s="2851"/>
      <c r="E66" s="2045"/>
      <c r="F66" s="2851"/>
      <c r="G66" s="2045"/>
      <c r="H66" s="2851"/>
      <c r="I66" s="2045"/>
      <c r="J66" s="2851"/>
      <c r="K66" s="2045"/>
      <c r="L66" s="2851"/>
      <c r="M66" s="2045"/>
      <c r="N66" s="2851"/>
      <c r="O66" s="2045"/>
      <c r="P66" s="2851"/>
      <c r="Q66" s="2045"/>
      <c r="R66" s="2851"/>
      <c r="S66" s="2045"/>
      <c r="T66" s="2851"/>
      <c r="U66" s="2045"/>
      <c r="V66" s="2851"/>
      <c r="W66" s="2045"/>
      <c r="X66" s="2851"/>
      <c r="Y66" s="2828"/>
      <c r="Z66" s="2045"/>
      <c r="AA66" s="2065"/>
      <c r="AB66" s="2828"/>
      <c r="AC66" s="2045"/>
      <c r="AD66" s="2065"/>
      <c r="AE66" s="2814"/>
      <c r="AF66" s="2815"/>
      <c r="AG66" s="2810"/>
      <c r="AH66" s="1496"/>
      <c r="AI66" s="1499"/>
    </row>
    <row r="67" spans="1:38" ht="14.25" customHeight="1">
      <c r="A67" s="2839" t="s">
        <v>963</v>
      </c>
      <c r="B67" s="2050">
        <f>ROUND(SUM(B64:B65),1)</f>
        <v>-4948.3</v>
      </c>
      <c r="C67" s="2818"/>
      <c r="D67" s="2050">
        <f>ROUND(SUM(D64:D65),1)</f>
        <v>-1423.5</v>
      </c>
      <c r="E67" s="2836"/>
      <c r="F67" s="2050">
        <f>ROUND(SUM(F64:F65),1)</f>
        <v>-3562</v>
      </c>
      <c r="G67" s="2836"/>
      <c r="H67" s="2050">
        <f>ROUND(SUM(H64:H65),1)</f>
        <v>-2148.9</v>
      </c>
      <c r="I67" s="2836"/>
      <c r="J67" s="2050">
        <f>ROUND(SUM(J64:J65),1)</f>
        <v>0</v>
      </c>
      <c r="K67" s="2836"/>
      <c r="L67" s="2050">
        <f>ROUND(SUM(L64:L65),1)</f>
        <v>0</v>
      </c>
      <c r="M67" s="2836"/>
      <c r="N67" s="2050">
        <f>ROUND(SUM(N64:N65),1)</f>
        <v>0</v>
      </c>
      <c r="O67" s="2836"/>
      <c r="P67" s="2050">
        <f>ROUND(SUM(P64:P65),1)</f>
        <v>0</v>
      </c>
      <c r="Q67" s="2836"/>
      <c r="R67" s="2050">
        <f>ROUND(SUM(R64:R65),1)</f>
        <v>0</v>
      </c>
      <c r="S67" s="2836"/>
      <c r="T67" s="2050">
        <f>ROUND(SUM(T64:T65),1)</f>
        <v>0</v>
      </c>
      <c r="U67" s="2836"/>
      <c r="V67" s="2050">
        <f>ROUND(SUM(V64:V65),1)</f>
        <v>0</v>
      </c>
      <c r="W67" s="2836"/>
      <c r="X67" s="2050">
        <f>ROUND(SUM(X64:X65),1)</f>
        <v>0</v>
      </c>
      <c r="Y67" s="2819"/>
      <c r="Z67" s="2818"/>
      <c r="AA67" s="2050">
        <f>ROUND(SUM(AA64:AA65),1)</f>
        <v>-12082.7</v>
      </c>
      <c r="AB67" s="2819"/>
      <c r="AC67" s="2818"/>
      <c r="AD67" s="2050">
        <f>ROUND(SUM(AD64:AD65),1)</f>
        <v>-9763.5</v>
      </c>
      <c r="AE67" s="2820"/>
      <c r="AF67" s="2821"/>
      <c r="AG67" s="2050">
        <f>ROUND(SUM(AG64-AG65),1)</f>
        <v>-2319.1999999999998</v>
      </c>
      <c r="AH67" s="2779"/>
      <c r="AI67" s="1497">
        <f>ROUND(IF(AD67=0,0,AG67/ABS(AD67)),3)</f>
        <v>-0.23799999999999999</v>
      </c>
      <c r="AJ67" s="2838"/>
    </row>
    <row r="68" spans="1:38" ht="19.5" customHeight="1">
      <c r="A68" s="1499"/>
      <c r="B68" s="2045"/>
      <c r="C68" s="2045"/>
      <c r="D68" s="2852"/>
      <c r="E68" s="2045"/>
      <c r="F68" s="2852"/>
      <c r="G68" s="2045"/>
      <c r="H68" s="2852"/>
      <c r="I68" s="2045"/>
      <c r="J68" s="2852"/>
      <c r="K68" s="2045"/>
      <c r="L68" s="2852"/>
      <c r="M68" s="2045"/>
      <c r="N68" s="2852"/>
      <c r="O68" s="2045"/>
      <c r="P68" s="2852"/>
      <c r="Q68" s="2045"/>
      <c r="R68" s="2852"/>
      <c r="S68" s="2045"/>
      <c r="T68" s="2852"/>
      <c r="U68" s="2045"/>
      <c r="V68" s="2852"/>
      <c r="W68" s="2045"/>
      <c r="X68" s="2852"/>
      <c r="Y68" s="2828"/>
      <c r="Z68" s="2045"/>
      <c r="AA68" s="2065"/>
      <c r="AB68" s="2828"/>
      <c r="AC68" s="2045"/>
      <c r="AD68" s="2065"/>
      <c r="AE68" s="2814"/>
      <c r="AF68" s="2815"/>
      <c r="AG68" s="2810"/>
      <c r="AH68" s="1496"/>
      <c r="AI68" s="1499"/>
    </row>
    <row r="69" spans="1:38" ht="19.5" customHeight="1">
      <c r="A69" s="1499"/>
      <c r="B69" s="2045"/>
      <c r="C69" s="2045"/>
      <c r="D69" s="2852"/>
      <c r="E69" s="2045"/>
      <c r="F69" s="2852"/>
      <c r="G69" s="2045"/>
      <c r="H69" s="2852"/>
      <c r="I69" s="2045"/>
      <c r="J69" s="2852"/>
      <c r="K69" s="2045"/>
      <c r="L69" s="2852"/>
      <c r="M69" s="2045"/>
      <c r="N69" s="2852"/>
      <c r="O69" s="2045"/>
      <c r="P69" s="2852"/>
      <c r="Q69" s="2045"/>
      <c r="R69" s="2852"/>
      <c r="S69" s="2045"/>
      <c r="T69" s="2852"/>
      <c r="U69" s="2045"/>
      <c r="V69" s="2852"/>
      <c r="W69" s="2045"/>
      <c r="X69" s="2852"/>
      <c r="Y69" s="2828"/>
      <c r="Z69" s="2045"/>
      <c r="AA69" s="2065"/>
      <c r="AB69" s="2828"/>
      <c r="AC69" s="2045"/>
      <c r="AD69" s="2065"/>
      <c r="AE69" s="2814"/>
      <c r="AF69" s="2815"/>
      <c r="AG69" s="2810"/>
      <c r="AH69" s="1496"/>
      <c r="AI69" s="1499"/>
    </row>
    <row r="70" spans="1:38" ht="14.25" customHeight="1">
      <c r="A70" s="2550" t="s">
        <v>193</v>
      </c>
      <c r="B70" s="2045"/>
      <c r="C70" s="2045"/>
      <c r="D70" s="2848"/>
      <c r="E70" s="2045"/>
      <c r="F70" s="2848"/>
      <c r="G70" s="2045"/>
      <c r="H70" s="2848"/>
      <c r="I70" s="2045"/>
      <c r="J70" s="2848"/>
      <c r="K70" s="2045"/>
      <c r="L70" s="2848"/>
      <c r="M70" s="2045"/>
      <c r="N70" s="2848"/>
      <c r="O70" s="2045"/>
      <c r="P70" s="2848"/>
      <c r="Q70" s="2045"/>
      <c r="R70" s="2848"/>
      <c r="S70" s="2045"/>
      <c r="T70" s="2848"/>
      <c r="U70" s="2045"/>
      <c r="V70" s="2848"/>
      <c r="W70" s="2045"/>
      <c r="X70" s="2848"/>
      <c r="Y70" s="2828"/>
      <c r="Z70" s="2045"/>
      <c r="AA70" s="2065"/>
      <c r="AB70" s="2828"/>
      <c r="AC70" s="2045"/>
      <c r="AD70" s="2065"/>
      <c r="AE70" s="2814"/>
      <c r="AF70" s="2815"/>
      <c r="AG70" s="2810"/>
      <c r="AH70" s="1496"/>
      <c r="AI70" s="1499"/>
    </row>
    <row r="71" spans="1:38" ht="14.25" customHeight="1">
      <c r="A71" s="2550" t="s">
        <v>194</v>
      </c>
      <c r="B71" s="2045"/>
      <c r="C71" s="2045"/>
      <c r="D71" s="2848"/>
      <c r="E71" s="2045"/>
      <c r="F71" s="2848"/>
      <c r="G71" s="2045"/>
      <c r="H71" s="2848"/>
      <c r="I71" s="2045"/>
      <c r="J71" s="2848"/>
      <c r="K71" s="2045"/>
      <c r="L71" s="2848"/>
      <c r="M71" s="2045"/>
      <c r="N71" s="2848"/>
      <c r="O71" s="2045"/>
      <c r="P71" s="2848"/>
      <c r="Q71" s="2045"/>
      <c r="R71" s="2848"/>
      <c r="S71" s="2045"/>
      <c r="T71" s="2848"/>
      <c r="U71" s="2045"/>
      <c r="V71" s="2848"/>
      <c r="W71" s="2045"/>
      <c r="X71" s="2848"/>
      <c r="Y71" s="2828"/>
      <c r="Z71" s="2045"/>
      <c r="AA71" s="2065"/>
      <c r="AB71" s="2828"/>
      <c r="AC71" s="2045"/>
      <c r="AD71" s="2065"/>
      <c r="AE71" s="2814"/>
      <c r="AF71" s="2815"/>
      <c r="AG71" s="2810"/>
      <c r="AH71" s="1496"/>
      <c r="AI71" s="1499"/>
    </row>
    <row r="72" spans="1:38" ht="14.25" customHeight="1">
      <c r="A72" s="2550" t="s">
        <v>1248</v>
      </c>
      <c r="B72" s="2837">
        <f>ROUND(SUM(+B60+B67),1)</f>
        <v>250</v>
      </c>
      <c r="C72" s="2818"/>
      <c r="D72" s="2837">
        <f>ROUND(SUM(+D60+D67),1)</f>
        <v>369</v>
      </c>
      <c r="E72" s="2818"/>
      <c r="F72" s="2837">
        <f>ROUND(SUM(+F60+F67),1)</f>
        <v>-322.3</v>
      </c>
      <c r="G72" s="2818"/>
      <c r="H72" s="2837">
        <f>ROUND(SUM(+H60+H67),1)</f>
        <v>253.2</v>
      </c>
      <c r="I72" s="2818"/>
      <c r="J72" s="2837">
        <f>ROUND(SUM(+J60+J67),1)</f>
        <v>0</v>
      </c>
      <c r="K72" s="2818"/>
      <c r="L72" s="2837">
        <f>ROUND(SUM(+L60+L67),1)</f>
        <v>0</v>
      </c>
      <c r="M72" s="2818"/>
      <c r="N72" s="2837">
        <f>ROUND(SUM(+N60+N67),1)</f>
        <v>0</v>
      </c>
      <c r="O72" s="2818"/>
      <c r="P72" s="2837">
        <f>ROUND(SUM(+P60+P67),1)</f>
        <v>0</v>
      </c>
      <c r="Q72" s="2818"/>
      <c r="R72" s="2837">
        <f>ROUND(SUM(+R60+R67),1)</f>
        <v>0</v>
      </c>
      <c r="S72" s="2818"/>
      <c r="T72" s="2837">
        <f>ROUND(SUM(+T60+T67),1)</f>
        <v>0</v>
      </c>
      <c r="U72" s="2818"/>
      <c r="V72" s="2837">
        <f>ROUND(SUM(+V60+V67),1)</f>
        <v>0</v>
      </c>
      <c r="W72" s="2818"/>
      <c r="X72" s="2837">
        <f>ROUND(SUM(+X60+X67),1)</f>
        <v>0</v>
      </c>
      <c r="Y72" s="2819"/>
      <c r="Z72" s="2818"/>
      <c r="AA72" s="2837">
        <f>ROUND(SUM(+AA60+AA67),1)</f>
        <v>549.9</v>
      </c>
      <c r="AB72" s="2819"/>
      <c r="AC72" s="2818"/>
      <c r="AD72" s="2837">
        <f>ROUND(SUM(+AD60+AD67),1)</f>
        <v>623.6</v>
      </c>
      <c r="AE72" s="2820"/>
      <c r="AF72" s="2821"/>
      <c r="AG72" s="2837">
        <f>ROUND(SUM(+AG60+AG67),1)</f>
        <v>-73.7</v>
      </c>
      <c r="AH72" s="2779"/>
      <c r="AI72" s="1506">
        <f>ROUND(IF(AD72=0,0,AG72/ABS(AD72)),3)</f>
        <v>-0.11799999999999999</v>
      </c>
      <c r="AJ72" s="2838"/>
    </row>
    <row r="73" spans="1:38" ht="15">
      <c r="A73" s="1499"/>
      <c r="B73" s="2047"/>
      <c r="C73" s="2047"/>
      <c r="D73" s="2853"/>
      <c r="E73" s="2047"/>
      <c r="F73" s="2854"/>
      <c r="G73" s="2047"/>
      <c r="H73" s="2854"/>
      <c r="I73" s="2047"/>
      <c r="J73" s="2854"/>
      <c r="K73" s="2047"/>
      <c r="L73" s="2855"/>
      <c r="M73" s="2047"/>
      <c r="N73" s="2854"/>
      <c r="O73" s="2047"/>
      <c r="P73" s="2854"/>
      <c r="Q73" s="2047"/>
      <c r="R73" s="2854"/>
      <c r="S73" s="2047"/>
      <c r="T73" s="2854"/>
      <c r="U73" s="2047"/>
      <c r="V73" s="2854"/>
      <c r="W73" s="2047"/>
      <c r="X73" s="2854"/>
      <c r="Y73" s="2805"/>
      <c r="Z73" s="2047"/>
      <c r="AA73" s="2047" t="s">
        <v>15</v>
      </c>
      <c r="AB73" s="2805"/>
      <c r="AC73" s="2047"/>
      <c r="AD73" s="3669"/>
      <c r="AE73" s="2792"/>
      <c r="AF73" s="2806"/>
      <c r="AG73" s="2807"/>
      <c r="AH73" s="1496"/>
      <c r="AI73" s="1499"/>
    </row>
    <row r="74" spans="1:38" ht="15">
      <c r="A74" s="1499"/>
      <c r="B74" s="1499"/>
      <c r="C74" s="1499"/>
      <c r="D74" s="2791"/>
      <c r="E74" s="1499"/>
      <c r="F74" s="2807"/>
      <c r="G74" s="1499"/>
      <c r="H74" s="1496"/>
      <c r="I74" s="1499"/>
      <c r="J74" s="1496"/>
      <c r="K74" s="1499"/>
      <c r="L74" s="2856"/>
      <c r="M74" s="1499"/>
      <c r="N74" s="1496"/>
      <c r="O74" s="1499"/>
      <c r="P74" s="1496"/>
      <c r="Q74" s="1499"/>
      <c r="R74" s="1496"/>
      <c r="S74" s="1499"/>
      <c r="T74" s="2807"/>
      <c r="U74" s="2047"/>
      <c r="V74" s="2807"/>
      <c r="W74" s="2047"/>
      <c r="X74" s="2807"/>
      <c r="Y74" s="2804"/>
      <c r="Z74" s="1499"/>
      <c r="AA74" s="2047"/>
      <c r="AB74" s="2805"/>
      <c r="AC74" s="2047"/>
      <c r="AD74" s="2703"/>
      <c r="AE74" s="2795"/>
      <c r="AF74" s="2806"/>
      <c r="AG74" s="2807"/>
      <c r="AH74" s="1496"/>
      <c r="AI74" s="1499"/>
    </row>
    <row r="75" spans="1:38" ht="19.5" customHeight="1" thickBot="1">
      <c r="A75" s="2550" t="s">
        <v>142</v>
      </c>
      <c r="B75" s="2857">
        <f>ROUND(SUM(B12+B72),1)</f>
        <v>314.8</v>
      </c>
      <c r="C75" s="2530"/>
      <c r="D75" s="2857">
        <f>ROUND(SUM(D12+D72),1)</f>
        <v>683.8</v>
      </c>
      <c r="E75" s="2530"/>
      <c r="F75" s="2857">
        <f>ROUND(SUM(F12+F72),1)</f>
        <v>361.5</v>
      </c>
      <c r="G75" s="2530"/>
      <c r="H75" s="2857">
        <f>ROUND(SUM(H12+H72),1)</f>
        <v>614.70000000000005</v>
      </c>
      <c r="I75" s="2530"/>
      <c r="J75" s="2857">
        <f>ROUND(SUM(J12+J72),1)</f>
        <v>0</v>
      </c>
      <c r="K75" s="2530"/>
      <c r="L75" s="2857">
        <f>ROUND(SUM(L12+L72),1)</f>
        <v>0</v>
      </c>
      <c r="M75" s="2530"/>
      <c r="N75" s="2857">
        <f>ROUND(SUM(N12+N72),1)</f>
        <v>0</v>
      </c>
      <c r="O75" s="2530"/>
      <c r="P75" s="2857">
        <f>ROUND(SUM(P12+P72),1)</f>
        <v>0</v>
      </c>
      <c r="Q75" s="2530"/>
      <c r="R75" s="2857">
        <f>ROUND(SUM(R12+R72),1)</f>
        <v>0</v>
      </c>
      <c r="S75" s="2530"/>
      <c r="T75" s="2857">
        <f>ROUND(SUM(T12+T72),1)</f>
        <v>0</v>
      </c>
      <c r="U75" s="2530"/>
      <c r="V75" s="2857">
        <f>ROUND(SUM(V12+V72),1)</f>
        <v>0</v>
      </c>
      <c r="W75" s="2530"/>
      <c r="X75" s="2857">
        <f>ROUND(SUM(X12+X72),1)</f>
        <v>0</v>
      </c>
      <c r="Y75" s="2799"/>
      <c r="Z75" s="2530"/>
      <c r="AA75" s="2857">
        <f>ROUND(SUM(AA12+AA72),1)</f>
        <v>614.70000000000005</v>
      </c>
      <c r="AB75" s="2799"/>
      <c r="AC75" s="2530"/>
      <c r="AD75" s="2857">
        <f>ROUND(SUM(AD12+AD72),1)</f>
        <v>776.7</v>
      </c>
      <c r="AE75" s="2858"/>
      <c r="AF75" s="2801"/>
      <c r="AG75" s="2857">
        <f>ROUND(SUM(+AG12+AG72),1)</f>
        <v>-162</v>
      </c>
      <c r="AH75" s="2779"/>
      <c r="AI75" s="2400">
        <f>ROUND(IF(AD75=0,0,AG75/ABS(AD75)),3)</f>
        <v>-0.20899999999999999</v>
      </c>
      <c r="AJ75" s="2859"/>
      <c r="AK75" s="2823"/>
      <c r="AL75" s="2823"/>
    </row>
    <row r="76" spans="1:38" ht="14.25" customHeight="1" thickTop="1">
      <c r="A76" s="2823"/>
      <c r="B76" s="2860"/>
      <c r="C76" s="2861"/>
      <c r="D76" s="2860"/>
      <c r="F76" s="2860"/>
      <c r="H76" s="2862"/>
      <c r="J76" s="2862"/>
      <c r="L76" s="2862"/>
      <c r="N76" s="2862"/>
      <c r="P76" s="2862"/>
      <c r="R76" s="2862"/>
      <c r="T76" s="2862"/>
      <c r="U76" s="2769"/>
      <c r="V76" s="2862"/>
      <c r="W76" s="2769"/>
      <c r="X76" s="2862"/>
      <c r="Y76" s="2860"/>
      <c r="Z76" s="2861"/>
      <c r="AA76" s="2860"/>
      <c r="AB76" s="2860"/>
      <c r="AC76" s="2861"/>
      <c r="AD76" s="2860"/>
      <c r="AE76" s="2863"/>
      <c r="AF76" s="2860"/>
      <c r="AG76" s="2860"/>
      <c r="AH76" s="2864"/>
      <c r="AI76" s="2865"/>
    </row>
    <row r="77" spans="1:38">
      <c r="L77" s="2769"/>
      <c r="T77" s="2866"/>
      <c r="U77" s="2866"/>
      <c r="V77" s="2866"/>
      <c r="W77" s="2866"/>
      <c r="X77" s="2866"/>
      <c r="AD77" s="2867"/>
    </row>
    <row r="78" spans="1:38" ht="12" customHeight="1">
      <c r="A78" s="1499"/>
      <c r="L78" s="2769"/>
      <c r="R78" s="2868"/>
      <c r="T78" s="2861"/>
      <c r="V78" s="2861"/>
      <c r="X78" s="2861"/>
    </row>
    <row r="79" spans="1:38">
      <c r="B79" s="2867"/>
      <c r="L79" s="2769"/>
      <c r="R79" s="2868"/>
      <c r="T79" s="2861"/>
      <c r="V79" s="2861"/>
      <c r="X79" s="2861"/>
    </row>
    <row r="80" spans="1:38">
      <c r="A80" s="2869"/>
      <c r="L80" s="2769"/>
    </row>
    <row r="81" spans="1:35">
      <c r="A81" s="2870"/>
      <c r="B81" s="2867"/>
      <c r="L81" s="2769"/>
      <c r="R81" s="2871"/>
    </row>
    <row r="82" spans="1:35">
      <c r="A82" s="2872"/>
      <c r="B82" s="2867"/>
      <c r="L82" s="2769"/>
    </row>
    <row r="83" spans="1:35">
      <c r="A83" s="2873"/>
      <c r="L83" s="2769"/>
      <c r="AI83" s="2861"/>
    </row>
    <row r="84" spans="1:35">
      <c r="L84" s="2769"/>
    </row>
    <row r="85" spans="1:35">
      <c r="L85" s="2769"/>
    </row>
    <row r="86" spans="1:35">
      <c r="L86" s="2769"/>
    </row>
    <row r="87" spans="1:35">
      <c r="L87" s="2769"/>
    </row>
    <row r="88" spans="1:35">
      <c r="L88" s="2769"/>
    </row>
    <row r="89" spans="1:35">
      <c r="L89" s="2769"/>
    </row>
    <row r="90" spans="1:35">
      <c r="L90" s="2769"/>
    </row>
    <row r="91" spans="1:35">
      <c r="L91" s="2769"/>
    </row>
    <row r="92" spans="1:35">
      <c r="L92" s="2769"/>
    </row>
    <row r="93" spans="1:35">
      <c r="L93" s="2769"/>
    </row>
    <row r="94" spans="1:35">
      <c r="L94" s="2769"/>
    </row>
    <row r="95" spans="1:35">
      <c r="L95" s="2769"/>
    </row>
    <row r="96" spans="1:35">
      <c r="L96" s="2769"/>
    </row>
    <row r="97" spans="12:12">
      <c r="L97" s="2769"/>
    </row>
    <row r="98" spans="12:12">
      <c r="L98" s="2769"/>
    </row>
    <row r="99" spans="12:12">
      <c r="L99" s="2769"/>
    </row>
    <row r="100" spans="12:12">
      <c r="L100" s="2769"/>
    </row>
    <row r="101" spans="12:12">
      <c r="L101" s="2769"/>
    </row>
    <row r="102" spans="12:12">
      <c r="L102" s="2769"/>
    </row>
    <row r="103" spans="12:12">
      <c r="L103" s="2769"/>
    </row>
    <row r="104" spans="12:12">
      <c r="L104" s="2769"/>
    </row>
    <row r="105" spans="12:12">
      <c r="L105" s="2769"/>
    </row>
    <row r="106" spans="12:12">
      <c r="L106" s="2769"/>
    </row>
    <row r="107" spans="12:12">
      <c r="L107" s="2769"/>
    </row>
    <row r="108" spans="12:12">
      <c r="L108" s="2769"/>
    </row>
    <row r="109" spans="12:12">
      <c r="L109" s="2769"/>
    </row>
    <row r="110" spans="12:12">
      <c r="L110" s="2769"/>
    </row>
    <row r="111" spans="12:12">
      <c r="L111" s="2769"/>
    </row>
    <row r="112" spans="12:12">
      <c r="L112" s="2769"/>
    </row>
    <row r="113" spans="12:12">
      <c r="L113" s="2769"/>
    </row>
    <row r="114" spans="12:12">
      <c r="L114" s="2769"/>
    </row>
    <row r="115" spans="12:12">
      <c r="L115" s="2769"/>
    </row>
    <row r="116" spans="12:12">
      <c r="L116" s="2769"/>
    </row>
    <row r="117" spans="12:12">
      <c r="L117" s="2769"/>
    </row>
    <row r="118" spans="12:12">
      <c r="L118" s="2769"/>
    </row>
    <row r="119" spans="12:12">
      <c r="L119" s="2769"/>
    </row>
    <row r="120" spans="12:12">
      <c r="L120" s="2769"/>
    </row>
    <row r="121" spans="12:12">
      <c r="L121" s="2769"/>
    </row>
    <row r="122" spans="12:12">
      <c r="L122" s="2769"/>
    </row>
    <row r="123" spans="12:12">
      <c r="L123" s="2769"/>
    </row>
    <row r="124" spans="12:12">
      <c r="L124" s="2769"/>
    </row>
    <row r="125" spans="12:12">
      <c r="L125" s="2769"/>
    </row>
    <row r="126" spans="12:12">
      <c r="L126" s="2769"/>
    </row>
    <row r="127" spans="12:12">
      <c r="L127" s="2769"/>
    </row>
    <row r="128" spans="12:12">
      <c r="L128" s="2769"/>
    </row>
    <row r="129" spans="12:12">
      <c r="L129" s="2769"/>
    </row>
    <row r="130" spans="12:12">
      <c r="L130" s="2769"/>
    </row>
    <row r="131" spans="12:12">
      <c r="L131" s="2769"/>
    </row>
    <row r="132" spans="12:12">
      <c r="L132" s="2769"/>
    </row>
    <row r="133" spans="12:12">
      <c r="L133" s="2769"/>
    </row>
    <row r="134" spans="12:12">
      <c r="L134" s="2769"/>
    </row>
    <row r="135" spans="12:12">
      <c r="L135" s="2769"/>
    </row>
    <row r="136" spans="12:12">
      <c r="L136" s="2769"/>
    </row>
    <row r="137" spans="12:12">
      <c r="L137" s="2769"/>
    </row>
    <row r="138" spans="12:12">
      <c r="L138" s="2769"/>
    </row>
    <row r="139" spans="12:12">
      <c r="L139" s="2769"/>
    </row>
    <row r="140" spans="12:12">
      <c r="L140" s="2769"/>
    </row>
    <row r="141" spans="12:12">
      <c r="L141" s="2769"/>
    </row>
    <row r="142" spans="12:12">
      <c r="L142" s="2769"/>
    </row>
    <row r="143" spans="12:12">
      <c r="L143" s="2769"/>
    </row>
    <row r="144" spans="12:12">
      <c r="L144" s="2769"/>
    </row>
    <row r="145" spans="12:12">
      <c r="L145" s="2769"/>
    </row>
    <row r="146" spans="12:12">
      <c r="L146" s="2769"/>
    </row>
    <row r="147" spans="12:12">
      <c r="L147" s="2769"/>
    </row>
    <row r="148" spans="12:12">
      <c r="L148" s="2769"/>
    </row>
    <row r="149" spans="12:12">
      <c r="L149" s="2769"/>
    </row>
    <row r="150" spans="12:12">
      <c r="L150" s="2769"/>
    </row>
    <row r="151" spans="12:12">
      <c r="L151" s="2769"/>
    </row>
    <row r="152" spans="12:12">
      <c r="L152" s="2769"/>
    </row>
    <row r="153" spans="12:12">
      <c r="L153" s="2769"/>
    </row>
    <row r="154" spans="12:12">
      <c r="L154" s="2769"/>
    </row>
    <row r="155" spans="12:12">
      <c r="L155" s="2769"/>
    </row>
    <row r="156" spans="12:12">
      <c r="L156" s="2769"/>
    </row>
    <row r="157" spans="12:12">
      <c r="L157" s="2769"/>
    </row>
    <row r="158" spans="12:12">
      <c r="L158" s="2769"/>
    </row>
    <row r="159" spans="12:12">
      <c r="L159" s="2769"/>
    </row>
    <row r="160" spans="12:12">
      <c r="L160" s="2769"/>
    </row>
    <row r="161" spans="12:12">
      <c r="L161" s="2769"/>
    </row>
    <row r="162" spans="12:12">
      <c r="L162" s="2769"/>
    </row>
    <row r="163" spans="12:12">
      <c r="L163" s="2769"/>
    </row>
    <row r="164" spans="12:12">
      <c r="L164" s="2769"/>
    </row>
    <row r="165" spans="12:12">
      <c r="L165" s="2769"/>
    </row>
    <row r="166" spans="12:12">
      <c r="L166" s="2769"/>
    </row>
    <row r="167" spans="12:12">
      <c r="L167" s="2769"/>
    </row>
    <row r="168" spans="12:12">
      <c r="L168" s="2769"/>
    </row>
    <row r="169" spans="12:12">
      <c r="L169" s="2769"/>
    </row>
    <row r="170" spans="12:12">
      <c r="L170" s="2769"/>
    </row>
    <row r="171" spans="12:12">
      <c r="L171" s="2769"/>
    </row>
    <row r="172" spans="12:12">
      <c r="L172" s="2769"/>
    </row>
    <row r="173" spans="12:12">
      <c r="L173" s="2769"/>
    </row>
    <row r="174" spans="12:12">
      <c r="L174" s="2769"/>
    </row>
    <row r="175" spans="12:12">
      <c r="L175" s="2769"/>
    </row>
    <row r="176" spans="12:12">
      <c r="L176" s="2769"/>
    </row>
    <row r="177" spans="12:12">
      <c r="L177" s="2769"/>
    </row>
    <row r="178" spans="12:12">
      <c r="L178" s="2769"/>
    </row>
    <row r="179" spans="12:12">
      <c r="L179" s="2769"/>
    </row>
    <row r="180" spans="12:12">
      <c r="L180" s="2769"/>
    </row>
    <row r="181" spans="12:12">
      <c r="L181" s="2769"/>
    </row>
    <row r="182" spans="12:12">
      <c r="L182" s="2769"/>
    </row>
    <row r="183" spans="12:12">
      <c r="L183" s="2769"/>
    </row>
    <row r="184" spans="12:12">
      <c r="L184" s="2769"/>
    </row>
    <row r="185" spans="12:12">
      <c r="L185" s="2769"/>
    </row>
    <row r="186" spans="12:12">
      <c r="L186" s="2769"/>
    </row>
    <row r="187" spans="12:12">
      <c r="L187" s="2769"/>
    </row>
    <row r="188" spans="12:12">
      <c r="L188" s="2769"/>
    </row>
    <row r="189" spans="12:12">
      <c r="L189" s="2769"/>
    </row>
    <row r="190" spans="12:12">
      <c r="L190" s="2769"/>
    </row>
    <row r="191" spans="12:12">
      <c r="L191" s="2769"/>
    </row>
    <row r="192" spans="12:12">
      <c r="L192" s="2769"/>
    </row>
    <row r="193" spans="12:12">
      <c r="L193" s="2769"/>
    </row>
    <row r="194" spans="12:12">
      <c r="L194" s="2769"/>
    </row>
    <row r="195" spans="12:12">
      <c r="L195" s="2769"/>
    </row>
    <row r="196" spans="12:12">
      <c r="L196" s="2769"/>
    </row>
    <row r="197" spans="12:12">
      <c r="L197" s="2769"/>
    </row>
    <row r="198" spans="12:12">
      <c r="L198" s="2769"/>
    </row>
    <row r="199" spans="12:12">
      <c r="L199" s="2769"/>
    </row>
    <row r="200" spans="12:12">
      <c r="L200" s="2769"/>
    </row>
    <row r="201" spans="12:12">
      <c r="L201" s="2769"/>
    </row>
    <row r="202" spans="12:12">
      <c r="L202" s="2769"/>
    </row>
    <row r="203" spans="12:12">
      <c r="L203" s="2769"/>
    </row>
    <row r="204" spans="12:12">
      <c r="L204" s="2769"/>
    </row>
    <row r="205" spans="12:12">
      <c r="L205" s="2769"/>
    </row>
    <row r="206" spans="12:12">
      <c r="L206" s="2769"/>
    </row>
    <row r="207" spans="12:12">
      <c r="L207" s="2769"/>
    </row>
    <row r="208" spans="12:12">
      <c r="L208" s="2769"/>
    </row>
    <row r="209" spans="12:12">
      <c r="L209" s="2769"/>
    </row>
    <row r="210" spans="12:12">
      <c r="L210" s="2769"/>
    </row>
    <row r="211" spans="12:12">
      <c r="L211" s="2769"/>
    </row>
    <row r="212" spans="12:12">
      <c r="L212" s="2769"/>
    </row>
    <row r="213" spans="12:12">
      <c r="L213" s="2769"/>
    </row>
    <row r="214" spans="12:12">
      <c r="L214" s="2769"/>
    </row>
    <row r="215" spans="12:12">
      <c r="L215" s="2769"/>
    </row>
    <row r="216" spans="12:12">
      <c r="L216" s="2769"/>
    </row>
    <row r="217" spans="12:12">
      <c r="L217" s="2769"/>
    </row>
    <row r="218" spans="12:12">
      <c r="L218" s="2769"/>
    </row>
    <row r="219" spans="12:12">
      <c r="L219" s="2769"/>
    </row>
    <row r="220" spans="12:12">
      <c r="L220" s="2769"/>
    </row>
    <row r="221" spans="12:12">
      <c r="L221" s="2769"/>
    </row>
    <row r="222" spans="12:12">
      <c r="L222" s="2769"/>
    </row>
    <row r="223" spans="12:12">
      <c r="L223" s="2769"/>
    </row>
    <row r="224" spans="12:12">
      <c r="L224" s="2769"/>
    </row>
    <row r="225" spans="12:12">
      <c r="L225" s="2769"/>
    </row>
    <row r="226" spans="12:12">
      <c r="L226" s="2769"/>
    </row>
    <row r="227" spans="12:12">
      <c r="L227" s="2769"/>
    </row>
    <row r="228" spans="12:12">
      <c r="L228" s="2769"/>
    </row>
    <row r="229" spans="12:12">
      <c r="L229" s="2769"/>
    </row>
    <row r="230" spans="12:12">
      <c r="L230" s="2769"/>
    </row>
    <row r="231" spans="12:12">
      <c r="L231" s="2769"/>
    </row>
    <row r="232" spans="12:12">
      <c r="L232" s="2769"/>
    </row>
    <row r="233" spans="12:12">
      <c r="L233" s="2769"/>
    </row>
    <row r="234" spans="12:12">
      <c r="L234" s="2769"/>
    </row>
    <row r="235" spans="12:12">
      <c r="L235" s="2769"/>
    </row>
    <row r="236" spans="12:12">
      <c r="L236" s="2769"/>
    </row>
    <row r="237" spans="12:12">
      <c r="L237" s="2769"/>
    </row>
    <row r="238" spans="12:12">
      <c r="L238" s="2769"/>
    </row>
    <row r="239" spans="12:12">
      <c r="L239" s="2769"/>
    </row>
    <row r="240" spans="12:12">
      <c r="L240" s="2769"/>
    </row>
    <row r="241" spans="12:12">
      <c r="L241" s="2769"/>
    </row>
    <row r="242" spans="12:12">
      <c r="L242" s="2769"/>
    </row>
    <row r="243" spans="12:12">
      <c r="L243" s="2769"/>
    </row>
    <row r="244" spans="12:12">
      <c r="L244" s="2769"/>
    </row>
    <row r="245" spans="12:12">
      <c r="L245" s="2769"/>
    </row>
    <row r="246" spans="12:12">
      <c r="L246" s="2769"/>
    </row>
    <row r="247" spans="12:12">
      <c r="L247" s="2769"/>
    </row>
    <row r="248" spans="12:12">
      <c r="L248" s="2769"/>
    </row>
    <row r="249" spans="12:12">
      <c r="L249" s="2769"/>
    </row>
    <row r="250" spans="12:12">
      <c r="L250" s="2769"/>
    </row>
    <row r="251" spans="12:12">
      <c r="L251" s="2769"/>
    </row>
    <row r="252" spans="12:12">
      <c r="L252" s="2769"/>
    </row>
    <row r="253" spans="12:12">
      <c r="L253" s="2769"/>
    </row>
    <row r="254" spans="12:12">
      <c r="L254" s="2769"/>
    </row>
    <row r="255" spans="12:12">
      <c r="L255" s="2769"/>
    </row>
    <row r="256" spans="12:12">
      <c r="L256" s="2769"/>
    </row>
    <row r="257" spans="12:12">
      <c r="L257" s="2769"/>
    </row>
    <row r="258" spans="12:12">
      <c r="L258" s="2769"/>
    </row>
    <row r="259" spans="12:12">
      <c r="L259" s="2769"/>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77734375" style="101" bestFit="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1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7" t="s">
        <v>980</v>
      </c>
    </row>
    <row r="2" spans="1:42">
      <c r="B2" s="844"/>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4"/>
      <c r="AJ3" s="318"/>
      <c r="AK3" s="318"/>
      <c r="AN3" s="397"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4"/>
      <c r="AJ5" s="318"/>
      <c r="AK5" s="318"/>
      <c r="AN5" s="270"/>
    </row>
    <row r="6" spans="1:42" ht="19.5" customHeight="1">
      <c r="A6" s="316"/>
      <c r="B6" s="1581" t="str">
        <f>'Cashflow Governmental'!A6</f>
        <v>FISCAL YEAR 2019-2020</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9"/>
      <c r="AJ6" s="321"/>
      <c r="AK6" s="321"/>
    </row>
    <row r="7" spans="1:42" ht="19.5" customHeight="1">
      <c r="A7" s="316"/>
      <c r="B7" s="322" t="s">
        <v>1437</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1288</v>
      </c>
      <c r="AD11" s="774"/>
      <c r="AE11" s="775"/>
      <c r="AF11" s="3813" t="s">
        <v>1473</v>
      </c>
      <c r="AG11" s="3814"/>
      <c r="AH11" s="3814"/>
      <c r="AI11" s="3814"/>
      <c r="AJ11" s="3814"/>
      <c r="AK11" s="3814"/>
      <c r="AL11" s="3814"/>
      <c r="AM11" s="3814"/>
      <c r="AN11" s="3814"/>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1289</v>
      </c>
      <c r="AD12" s="776"/>
      <c r="AE12" s="776"/>
      <c r="AF12" s="777"/>
      <c r="AG12" s="777"/>
      <c r="AH12" s="777"/>
      <c r="AI12" s="1121"/>
      <c r="AJ12" s="777"/>
      <c r="AK12" s="777"/>
      <c r="AL12" s="767" t="s">
        <v>8</v>
      </c>
      <c r="AM12" s="767"/>
      <c r="AN12" s="764" t="s">
        <v>9</v>
      </c>
      <c r="AO12" s="780"/>
    </row>
    <row r="13" spans="1:42" ht="15.75" customHeight="1">
      <c r="A13" s="31"/>
      <c r="B13" s="31"/>
      <c r="C13" s="31"/>
      <c r="D13" s="31"/>
      <c r="E13" s="1140" t="s">
        <v>125</v>
      </c>
      <c r="F13" s="254"/>
      <c r="G13" s="1140" t="s">
        <v>126</v>
      </c>
      <c r="H13" s="254"/>
      <c r="I13" s="1140" t="s">
        <v>127</v>
      </c>
      <c r="J13" s="254"/>
      <c r="K13" s="1140" t="s">
        <v>128</v>
      </c>
      <c r="L13" s="254"/>
      <c r="M13" s="1999" t="s">
        <v>129</v>
      </c>
      <c r="N13" s="254"/>
      <c r="O13" s="1140" t="s">
        <v>144</v>
      </c>
      <c r="P13" s="254"/>
      <c r="Q13" s="1140" t="s">
        <v>145</v>
      </c>
      <c r="R13" s="254"/>
      <c r="S13" s="1140" t="s">
        <v>132</v>
      </c>
      <c r="T13" s="254"/>
      <c r="U13" s="1140" t="s">
        <v>133</v>
      </c>
      <c r="V13" s="254"/>
      <c r="W13" s="1140" t="s">
        <v>134</v>
      </c>
      <c r="X13" s="254"/>
      <c r="Y13" s="1140" t="s">
        <v>135</v>
      </c>
      <c r="Z13" s="254"/>
      <c r="AA13" s="1140" t="s">
        <v>186</v>
      </c>
      <c r="AB13" s="771"/>
      <c r="AC13" s="2015" t="s">
        <v>1290</v>
      </c>
      <c r="AD13" s="254"/>
      <c r="AE13" s="254"/>
      <c r="AF13" s="1140" t="str">
        <f>'Cashflow Governmental'!AB14</f>
        <v>2019</v>
      </c>
      <c r="AG13" s="254"/>
      <c r="AH13" s="254"/>
      <c r="AI13" s="778" t="str">
        <f>'Cashflow Governmental'!AE14</f>
        <v>2018</v>
      </c>
      <c r="AJ13" s="779"/>
      <c r="AK13" s="779"/>
      <c r="AL13" s="772" t="s">
        <v>12</v>
      </c>
      <c r="AM13" s="766"/>
      <c r="AN13" s="772" t="s">
        <v>13</v>
      </c>
      <c r="AO13" s="114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1249</v>
      </c>
      <c r="C15" s="29"/>
      <c r="D15" s="31"/>
      <c r="E15" s="308">
        <f>'Exhibit I State'!E14+'Exhibit I Federal'!E14</f>
        <v>-1137.9000000000001</v>
      </c>
      <c r="F15" s="94"/>
      <c r="G15" s="94">
        <f>E103</f>
        <v>-1018.2</v>
      </c>
      <c r="H15" s="94"/>
      <c r="I15" s="94">
        <f>G103</f>
        <v>-1249.2</v>
      </c>
      <c r="J15" s="94"/>
      <c r="K15" s="94">
        <f>I103</f>
        <v>-1212.5</v>
      </c>
      <c r="L15" s="94"/>
      <c r="M15" s="94"/>
      <c r="N15" s="94"/>
      <c r="O15" s="94"/>
      <c r="P15" s="94"/>
      <c r="Q15" s="94"/>
      <c r="R15" s="94"/>
      <c r="S15" s="94"/>
      <c r="T15" s="94"/>
      <c r="U15" s="94"/>
      <c r="V15" s="94"/>
      <c r="W15" s="94"/>
      <c r="X15" s="94"/>
      <c r="Y15" s="94"/>
      <c r="Z15" s="94"/>
      <c r="AA15" s="94"/>
      <c r="AB15" s="94"/>
      <c r="AC15" s="94"/>
      <c r="AD15" s="94"/>
      <c r="AE15" s="95"/>
      <c r="AF15" s="135">
        <f>E15</f>
        <v>-1137.9000000000001</v>
      </c>
      <c r="AG15" s="218"/>
      <c r="AH15" s="219"/>
      <c r="AI15" s="3658">
        <f>'Exhibit I State'!AG14+'Exhibit I Federal'!AG14</f>
        <v>-1151.1999999999998</v>
      </c>
      <c r="AJ15" s="94"/>
      <c r="AK15" s="329"/>
      <c r="AL15" s="328">
        <f>+AF15-AI15</f>
        <v>13.299999999999727</v>
      </c>
      <c r="AM15" s="330"/>
      <c r="AN15" s="1470">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4"/>
      <c r="AH18" s="59"/>
      <c r="AI18" s="140"/>
      <c r="AJ18" s="165"/>
      <c r="AK18" s="326"/>
      <c r="AL18" s="327"/>
      <c r="AM18" s="327"/>
      <c r="AN18" s="327"/>
    </row>
    <row r="19" spans="1:46" ht="15.75">
      <c r="A19" s="31"/>
      <c r="B19" s="1070"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4"/>
      <c r="AH19" s="59"/>
      <c r="AI19" s="140"/>
      <c r="AJ19" s="165"/>
      <c r="AK19" s="326"/>
      <c r="AL19" s="327"/>
      <c r="AM19" s="327"/>
      <c r="AN19" s="327"/>
    </row>
    <row r="20" spans="1:46">
      <c r="A20" s="31"/>
      <c r="B20" s="685" t="s">
        <v>1114</v>
      </c>
      <c r="C20" s="31"/>
      <c r="D20" s="31"/>
      <c r="E20" s="1403">
        <f>+'Exhibit I State'!E19</f>
        <v>3.5</v>
      </c>
      <c r="F20" s="1460"/>
      <c r="G20" s="1403">
        <f>+'Exhibit I State'!G19</f>
        <v>0.29999999999999982</v>
      </c>
      <c r="H20" s="1460"/>
      <c r="I20" s="1403">
        <f>+'Exhibit I State'!I19</f>
        <v>19.5</v>
      </c>
      <c r="J20" s="1483"/>
      <c r="K20" s="1403">
        <f>+'Exhibit I State'!K19</f>
        <v>9.9999999999997868E-2</v>
      </c>
      <c r="L20" s="1499"/>
      <c r="M20" s="1403"/>
      <c r="N20" s="1499"/>
      <c r="O20" s="1403"/>
      <c r="P20" s="304"/>
      <c r="Q20" s="1403"/>
      <c r="R20" s="304"/>
      <c r="S20" s="1403"/>
      <c r="T20" s="304"/>
      <c r="U20" s="1403"/>
      <c r="V20" s="304"/>
      <c r="W20" s="1403"/>
      <c r="X20" s="304"/>
      <c r="Y20" s="1403"/>
      <c r="Z20" s="304"/>
      <c r="AA20" s="1403"/>
      <c r="AB20" s="1403"/>
      <c r="AC20" s="1403">
        <v>0</v>
      </c>
      <c r="AD20" s="1072"/>
      <c r="AE20" s="304"/>
      <c r="AF20" s="118">
        <f>ROUND(SUM(E20:AC20),1)</f>
        <v>23.4</v>
      </c>
      <c r="AG20" s="1073"/>
      <c r="AH20" s="305"/>
      <c r="AI20" s="3659">
        <f>+'Exhibit I State'!AG19</f>
        <v>19.399999999999999</v>
      </c>
      <c r="AJ20" s="306"/>
      <c r="AK20" s="310"/>
      <c r="AL20" s="313">
        <f>ROUND(SUM(AF20-AI20),1)</f>
        <v>4</v>
      </c>
      <c r="AM20" s="307"/>
      <c r="AN20" s="1521">
        <f>ROUND(IF(AI20=0,0,AL20/ABS(AI20)),3)</f>
        <v>0.20599999999999999</v>
      </c>
      <c r="AO20" s="554"/>
    </row>
    <row r="21" spans="1:46">
      <c r="A21" s="31"/>
      <c r="B21" s="685" t="s">
        <v>1116</v>
      </c>
      <c r="C21" s="31"/>
      <c r="D21" s="31"/>
      <c r="E21" s="1403">
        <f>+'Exhibit I State'!E20</f>
        <v>36.4</v>
      </c>
      <c r="F21" s="1460"/>
      <c r="G21" s="1403">
        <f>+'Exhibit I State'!G20</f>
        <v>34.800000000000004</v>
      </c>
      <c r="H21" s="1460"/>
      <c r="I21" s="1403">
        <f>+'Exhibit I State'!I20</f>
        <v>36.6</v>
      </c>
      <c r="J21" s="1483"/>
      <c r="K21" s="1403">
        <f>+'Exhibit I State'!K20</f>
        <v>30.39999999999997</v>
      </c>
      <c r="L21" s="1499"/>
      <c r="M21" s="1403"/>
      <c r="N21" s="1499"/>
      <c r="O21" s="1403"/>
      <c r="P21" s="304"/>
      <c r="Q21" s="1403"/>
      <c r="R21" s="304"/>
      <c r="S21" s="1403"/>
      <c r="T21" s="304"/>
      <c r="U21" s="1403"/>
      <c r="V21" s="304"/>
      <c r="W21" s="1403"/>
      <c r="X21" s="304"/>
      <c r="Y21" s="1403"/>
      <c r="Z21" s="304"/>
      <c r="AA21" s="1403"/>
      <c r="AB21" s="1403"/>
      <c r="AC21" s="1403">
        <v>0</v>
      </c>
      <c r="AD21" s="1072"/>
      <c r="AE21" s="304"/>
      <c r="AF21" s="66">
        <f>ROUND(SUM(E21:AC21),1)</f>
        <v>138.19999999999999</v>
      </c>
      <c r="AG21" s="1073"/>
      <c r="AH21" s="305"/>
      <c r="AI21" s="3659">
        <f>+'Exhibit I State'!AG20</f>
        <v>139.1</v>
      </c>
      <c r="AJ21" s="306"/>
      <c r="AK21" s="310"/>
      <c r="AL21" s="313">
        <f>ROUND(SUM(AF21-AI21),1)</f>
        <v>-0.9</v>
      </c>
      <c r="AM21" s="307"/>
      <c r="AN21" s="8">
        <f>ROUND(IF(AI21=0,0,AL21/ABS(AI21)),3)</f>
        <v>-6.0000000000000001E-3</v>
      </c>
      <c r="AO21" s="554"/>
    </row>
    <row r="22" spans="1:46">
      <c r="A22" s="31"/>
      <c r="B22" s="685" t="s">
        <v>1118</v>
      </c>
      <c r="C22" s="31"/>
      <c r="D22" s="31"/>
      <c r="E22" s="1403">
        <f>+'Exhibit I State'!E21</f>
        <v>14.2</v>
      </c>
      <c r="F22" s="1460"/>
      <c r="G22" s="1403">
        <f>+'Exhibit I State'!G21</f>
        <v>10.600000000000001</v>
      </c>
      <c r="H22" s="1460"/>
      <c r="I22" s="1403">
        <f>+'Exhibit I State'!I21</f>
        <v>9.8000000000000007</v>
      </c>
      <c r="J22" s="1483"/>
      <c r="K22" s="1403">
        <f>+'Exhibit I State'!K21</f>
        <v>14.500000000000004</v>
      </c>
      <c r="L22" s="1499"/>
      <c r="M22" s="1403"/>
      <c r="N22" s="1499"/>
      <c r="O22" s="1403"/>
      <c r="P22" s="304"/>
      <c r="Q22" s="1403"/>
      <c r="R22" s="304"/>
      <c r="S22" s="1403"/>
      <c r="T22" s="304"/>
      <c r="U22" s="1403"/>
      <c r="V22" s="304"/>
      <c r="W22" s="1403"/>
      <c r="X22" s="304"/>
      <c r="Y22" s="1403"/>
      <c r="Z22" s="304"/>
      <c r="AA22" s="1403"/>
      <c r="AB22" s="1403"/>
      <c r="AC22" s="1403">
        <v>0</v>
      </c>
      <c r="AD22" s="1072"/>
      <c r="AE22" s="304"/>
      <c r="AF22" s="66">
        <f>ROUND(SUM(E22:AC22),1)</f>
        <v>49.1</v>
      </c>
      <c r="AG22" s="1073"/>
      <c r="AH22" s="305"/>
      <c r="AI22" s="3659">
        <f>+'Exhibit I State'!AG21</f>
        <v>53.5</v>
      </c>
      <c r="AJ22" s="306"/>
      <c r="AK22" s="310"/>
      <c r="AL22" s="313">
        <f>ROUND(SUM(AF22-AI22),1)</f>
        <v>-4.4000000000000004</v>
      </c>
      <c r="AM22" s="307"/>
      <c r="AN22" s="1505">
        <f>ROUND(IF(AI22=0,0,AL22/ABS(AI22)),3)</f>
        <v>-8.2000000000000003E-2</v>
      </c>
      <c r="AO22" s="554"/>
    </row>
    <row r="23" spans="1:46" ht="15.75">
      <c r="A23" s="31"/>
      <c r="B23" s="312" t="s">
        <v>1207</v>
      </c>
      <c r="C23" s="31"/>
      <c r="D23" s="31"/>
      <c r="E23" s="1500">
        <f>ROUND(SUM(E20:E22),1)</f>
        <v>54.1</v>
      </c>
      <c r="F23" s="1501"/>
      <c r="G23" s="1500">
        <f>ROUND(SUM(G20:G22),1)</f>
        <v>45.7</v>
      </c>
      <c r="H23" s="1501"/>
      <c r="I23" s="1500">
        <f>ROUND(SUM(I20:I22),1)</f>
        <v>65.900000000000006</v>
      </c>
      <c r="J23" s="1501"/>
      <c r="K23" s="1500">
        <f>ROUND(SUM(K20:K22),1)</f>
        <v>45</v>
      </c>
      <c r="L23" s="1499"/>
      <c r="M23" s="1500">
        <f>ROUND(SUM(M20:M22),1)</f>
        <v>0</v>
      </c>
      <c r="N23" s="1499"/>
      <c r="O23" s="1500">
        <f>ROUND(SUM(O20:O22),1)</f>
        <v>0</v>
      </c>
      <c r="P23" s="304"/>
      <c r="Q23" s="1500">
        <f>ROUND(SUM(Q20:Q22),1)</f>
        <v>0</v>
      </c>
      <c r="R23" s="304"/>
      <c r="S23" s="1500">
        <f>ROUND(SUM(S20:S22),1)</f>
        <v>0</v>
      </c>
      <c r="T23" s="304"/>
      <c r="U23" s="1500">
        <f>ROUND(SUM(U20:U22),1)</f>
        <v>0</v>
      </c>
      <c r="V23" s="304"/>
      <c r="W23" s="1500">
        <f>ROUND(SUM(W20:W22),1)</f>
        <v>0</v>
      </c>
      <c r="X23" s="304"/>
      <c r="Y23" s="1500">
        <f>ROUND(SUM(Y20:Y22),1)</f>
        <v>0</v>
      </c>
      <c r="Z23" s="304"/>
      <c r="AA23" s="1500">
        <f>ROUND(SUM(AA20:AA22),1)</f>
        <v>0</v>
      </c>
      <c r="AB23" s="1502"/>
      <c r="AC23" s="1500">
        <f>ROUND(SUM(AC20:AC22),1)</f>
        <v>0</v>
      </c>
      <c r="AD23" s="1072"/>
      <c r="AE23" s="304"/>
      <c r="AF23" s="258">
        <f>ROUND(SUM(AF20:AF22),1)</f>
        <v>210.7</v>
      </c>
      <c r="AG23" s="1073"/>
      <c r="AH23" s="305"/>
      <c r="AI23" s="1586">
        <f>ROUND(SUM(AI20:AI22),1)</f>
        <v>212</v>
      </c>
      <c r="AJ23" s="306"/>
      <c r="AK23" s="310"/>
      <c r="AL23" s="1141">
        <f>ROUND(SUM(AF23-AI23),1)</f>
        <v>-1.3</v>
      </c>
      <c r="AM23" s="309"/>
      <c r="AN23" s="13">
        <f>ROUND(IF(AI23=0,0,AL23/ABS(AI23)),3)</f>
        <v>-6.0000000000000001E-3</v>
      </c>
      <c r="AO23" s="554"/>
    </row>
    <row r="24" spans="1:46" ht="15.75">
      <c r="A24" s="31"/>
      <c r="B24" s="1070" t="s">
        <v>1163</v>
      </c>
      <c r="C24" s="31"/>
      <c r="D24" s="31"/>
      <c r="E24" s="1502"/>
      <c r="F24" s="1501"/>
      <c r="G24" s="1502"/>
      <c r="H24" s="1501"/>
      <c r="I24" s="1502"/>
      <c r="J24" s="1501"/>
      <c r="K24" s="1502"/>
      <c r="L24" s="1499"/>
      <c r="M24" s="1502"/>
      <c r="N24" s="1499"/>
      <c r="O24" s="1502"/>
      <c r="P24" s="304"/>
      <c r="Q24" s="1502"/>
      <c r="R24" s="304"/>
      <c r="S24" s="1502"/>
      <c r="T24" s="304"/>
      <c r="U24" s="1502"/>
      <c r="V24" s="304"/>
      <c r="W24" s="1502"/>
      <c r="X24" s="304"/>
      <c r="Y24" s="1502"/>
      <c r="Z24" s="304"/>
      <c r="AA24" s="1502"/>
      <c r="AB24" s="1502"/>
      <c r="AC24" s="1502"/>
      <c r="AD24" s="1072"/>
      <c r="AE24" s="304"/>
      <c r="AF24" s="76"/>
      <c r="AG24" s="1073"/>
      <c r="AH24" s="305"/>
      <c r="AI24" s="115"/>
      <c r="AJ24" s="306"/>
      <c r="AK24" s="310"/>
      <c r="AL24" s="1075"/>
      <c r="AM24" s="309"/>
      <c r="AN24" s="24"/>
      <c r="AO24" s="554"/>
    </row>
    <row r="25" spans="1:46" ht="15.75">
      <c r="A25" s="31"/>
      <c r="B25" s="685" t="s">
        <v>1121</v>
      </c>
      <c r="C25" s="31"/>
      <c r="D25" s="31"/>
      <c r="E25" s="1403">
        <f>+'Exhibit I State'!E24</f>
        <v>0</v>
      </c>
      <c r="F25" s="1501"/>
      <c r="G25" s="1403">
        <f>+'Exhibit I State'!G24</f>
        <v>0</v>
      </c>
      <c r="H25" s="1501"/>
      <c r="I25" s="1403">
        <f>+'Exhibit I State'!I24</f>
        <v>0</v>
      </c>
      <c r="J25" s="1501"/>
      <c r="K25" s="1403">
        <f>+'Exhibit I State'!K24</f>
        <v>0</v>
      </c>
      <c r="L25" s="1499"/>
      <c r="M25" s="1403"/>
      <c r="N25" s="1499"/>
      <c r="O25" s="1403"/>
      <c r="P25" s="304"/>
      <c r="Q25" s="1403"/>
      <c r="R25" s="304"/>
      <c r="S25" s="1403"/>
      <c r="T25" s="304"/>
      <c r="U25" s="1403"/>
      <c r="V25" s="304"/>
      <c r="W25" s="1403"/>
      <c r="X25" s="304"/>
      <c r="Y25" s="1403"/>
      <c r="Z25" s="304"/>
      <c r="AA25" s="1403"/>
      <c r="AB25" s="1403"/>
      <c r="AC25" s="1403">
        <v>0</v>
      </c>
      <c r="AD25" s="1072"/>
      <c r="AE25" s="304"/>
      <c r="AF25" s="962">
        <v>0</v>
      </c>
      <c r="AG25" s="1073"/>
      <c r="AH25" s="305"/>
      <c r="AI25" s="3659">
        <f>+'Exhibit I State'!AG24</f>
        <v>0</v>
      </c>
      <c r="AJ25" s="306"/>
      <c r="AK25" s="310"/>
      <c r="AL25" s="313">
        <f>ROUND(SUM(AF25-AI25),1)</f>
        <v>0</v>
      </c>
      <c r="AM25" s="307"/>
      <c r="AN25" s="1498">
        <f>ROUND(IF(AI25=0,0,AL25/ABS(AI25)),3)</f>
        <v>0</v>
      </c>
      <c r="AO25" s="554"/>
      <c r="AP25" s="302"/>
      <c r="AQ25" s="302"/>
      <c r="AR25" s="302"/>
      <c r="AS25" s="302"/>
      <c r="AT25" s="302"/>
    </row>
    <row r="26" spans="1:46" ht="15.75">
      <c r="A26" s="31"/>
      <c r="B26" s="685" t="s">
        <v>1122</v>
      </c>
      <c r="C26" s="31"/>
      <c r="D26" s="31"/>
      <c r="E26" s="1403">
        <f>+'Exhibit I State'!E25</f>
        <v>3.3</v>
      </c>
      <c r="F26" s="1460"/>
      <c r="G26" s="1403">
        <f>+'Exhibit I State'!G25</f>
        <v>-0.1</v>
      </c>
      <c r="H26" s="1460"/>
      <c r="I26" s="1403">
        <f>+'Exhibit I State'!I25</f>
        <v>1.9</v>
      </c>
      <c r="J26" s="1501"/>
      <c r="K26" s="1403">
        <f>+'Exhibit I State'!K25</f>
        <v>0</v>
      </c>
      <c r="L26" s="1499"/>
      <c r="M26" s="1403"/>
      <c r="N26" s="1499"/>
      <c r="O26" s="1403"/>
      <c r="P26" s="304"/>
      <c r="Q26" s="1403"/>
      <c r="R26" s="304"/>
      <c r="S26" s="1403"/>
      <c r="T26" s="304"/>
      <c r="U26" s="1403"/>
      <c r="V26" s="304"/>
      <c r="W26" s="1403"/>
      <c r="X26" s="304"/>
      <c r="Y26" s="1403"/>
      <c r="Z26" s="304"/>
      <c r="AA26" s="1403"/>
      <c r="AB26" s="1403"/>
      <c r="AC26" s="1403">
        <v>0</v>
      </c>
      <c r="AD26" s="1072"/>
      <c r="AE26" s="304"/>
      <c r="AF26" s="66">
        <f>ROUND(SUM(E26:AC26),1)</f>
        <v>5.0999999999999996</v>
      </c>
      <c r="AG26" s="1073"/>
      <c r="AH26" s="305"/>
      <c r="AI26" s="3659">
        <f>+'Exhibit I State'!AG25</f>
        <v>5.5</v>
      </c>
      <c r="AJ26" s="306"/>
      <c r="AK26" s="310"/>
      <c r="AL26" s="313">
        <f>ROUND(SUM(AF26-AI26),1)</f>
        <v>-0.4</v>
      </c>
      <c r="AM26" s="307"/>
      <c r="AN26" s="1478">
        <f>ROUND(IF(AI26=0,1,AL26/ABS(AI26)),3)</f>
        <v>-7.2999999999999995E-2</v>
      </c>
      <c r="AO26" s="554"/>
      <c r="AP26" s="302"/>
      <c r="AQ26" s="302"/>
      <c r="AR26" s="302"/>
      <c r="AS26" s="302"/>
      <c r="AT26" s="302"/>
    </row>
    <row r="27" spans="1:46" ht="15.75">
      <c r="A27" s="31"/>
      <c r="B27" s="685" t="s">
        <v>1125</v>
      </c>
      <c r="C27" s="31"/>
      <c r="D27" s="31"/>
      <c r="E27" s="1403">
        <f>+'Exhibit I State'!E26</f>
        <v>56.3</v>
      </c>
      <c r="F27" s="1460"/>
      <c r="G27" s="1403">
        <f>+'Exhibit I State'!G26</f>
        <v>55.8</v>
      </c>
      <c r="H27" s="1460"/>
      <c r="I27" s="1403">
        <f>+'Exhibit I State'!I26</f>
        <v>58.400000000000006</v>
      </c>
      <c r="J27" s="1501"/>
      <c r="K27" s="1403">
        <f>+'Exhibit I State'!K26</f>
        <v>52.499999999999986</v>
      </c>
      <c r="L27" s="1499"/>
      <c r="M27" s="1403"/>
      <c r="N27" s="1499"/>
      <c r="O27" s="1403"/>
      <c r="P27" s="304"/>
      <c r="Q27" s="1403"/>
      <c r="R27" s="304"/>
      <c r="S27" s="1403"/>
      <c r="T27" s="304"/>
      <c r="U27" s="1403"/>
      <c r="V27" s="304"/>
      <c r="W27" s="1403"/>
      <c r="X27" s="304"/>
      <c r="Y27" s="1403"/>
      <c r="Z27" s="304"/>
      <c r="AA27" s="1403"/>
      <c r="AB27" s="1403"/>
      <c r="AC27" s="1403">
        <v>0</v>
      </c>
      <c r="AD27" s="1072"/>
      <c r="AE27" s="304"/>
      <c r="AF27" s="66">
        <f>ROUND(SUM(E27:AC27),1)</f>
        <v>223</v>
      </c>
      <c r="AG27" s="1073"/>
      <c r="AH27" s="305"/>
      <c r="AI27" s="3659">
        <f>+'Exhibit I State'!AG26</f>
        <v>216.5</v>
      </c>
      <c r="AJ27" s="306"/>
      <c r="AK27" s="310"/>
      <c r="AL27" s="313">
        <f>ROUND(SUM(AF27-AI27),1)</f>
        <v>6.5</v>
      </c>
      <c r="AM27" s="307"/>
      <c r="AN27" s="1465">
        <f>ROUND(IF(AI27=0,0,AL27/ABS(AI27)),3)</f>
        <v>0.03</v>
      </c>
      <c r="AO27" s="554"/>
      <c r="AP27" s="302"/>
      <c r="AQ27" s="302"/>
      <c r="AR27" s="302"/>
      <c r="AS27" s="302"/>
      <c r="AT27" s="302"/>
    </row>
    <row r="28" spans="1:46" ht="15.75">
      <c r="A28" s="31"/>
      <c r="B28" s="312" t="s">
        <v>1208</v>
      </c>
      <c r="C28" s="31"/>
      <c r="D28" s="31"/>
      <c r="E28" s="1500">
        <f>ROUND(SUM(E25:E27),1)</f>
        <v>59.6</v>
      </c>
      <c r="F28" s="1460"/>
      <c r="G28" s="1500">
        <f>ROUND(SUM(G25:G27),1)</f>
        <v>55.7</v>
      </c>
      <c r="H28" s="1460"/>
      <c r="I28" s="1500">
        <f>ROUND(SUM(I25:I27),1)</f>
        <v>60.3</v>
      </c>
      <c r="J28" s="1501"/>
      <c r="K28" s="1500">
        <f>ROUND(SUM(K25:K27),1)</f>
        <v>52.5</v>
      </c>
      <c r="L28" s="1499"/>
      <c r="M28" s="1500">
        <f>ROUND(SUM(M25:M27),1)</f>
        <v>0</v>
      </c>
      <c r="N28" s="1499"/>
      <c r="O28" s="1500">
        <f>ROUND(SUM(O25:O27),1)</f>
        <v>0</v>
      </c>
      <c r="P28" s="304"/>
      <c r="Q28" s="1500">
        <f>ROUND(SUM(Q25:Q27),1)</f>
        <v>0</v>
      </c>
      <c r="R28" s="304"/>
      <c r="S28" s="1500">
        <f>ROUND(SUM(S25:S27),1)</f>
        <v>0</v>
      </c>
      <c r="T28" s="304"/>
      <c r="U28" s="1500">
        <f>ROUND(SUM(U25:U27),1)</f>
        <v>0</v>
      </c>
      <c r="V28" s="304"/>
      <c r="W28" s="1500">
        <f>ROUND(SUM(W25:W27),1)</f>
        <v>0</v>
      </c>
      <c r="X28" s="304"/>
      <c r="Y28" s="1500">
        <f>ROUND(SUM(Y25:Y27),1)</f>
        <v>0</v>
      </c>
      <c r="Z28" s="304"/>
      <c r="AA28" s="1500">
        <f>ROUND(SUM(AA25:AA27),1)</f>
        <v>0</v>
      </c>
      <c r="AB28" s="1502"/>
      <c r="AC28" s="1500">
        <f>ROUND(SUM(AC25:AC27),1)</f>
        <v>0</v>
      </c>
      <c r="AD28" s="1072"/>
      <c r="AE28" s="304"/>
      <c r="AF28" s="691">
        <f>ROUND(SUM(AF25:AF27),1)</f>
        <v>228.1</v>
      </c>
      <c r="AG28" s="1073"/>
      <c r="AH28" s="305"/>
      <c r="AI28" s="1586">
        <f>ROUND(SUM(AI25:AI27),1)</f>
        <v>222</v>
      </c>
      <c r="AJ28" s="306"/>
      <c r="AK28" s="310"/>
      <c r="AL28" s="691">
        <f>ROUND(SUM(AL25:AL27),1)</f>
        <v>6.1</v>
      </c>
      <c r="AM28" s="307"/>
      <c r="AN28" s="1495">
        <f>ROUND(IF(AI28=0,0,AL28/ABS(AI28)),3)</f>
        <v>2.7E-2</v>
      </c>
      <c r="AO28" s="554"/>
      <c r="AP28" s="302"/>
      <c r="AQ28" s="302"/>
      <c r="AR28" s="302"/>
      <c r="AS28" s="302"/>
      <c r="AT28" s="302"/>
    </row>
    <row r="29" spans="1:46" ht="15.75">
      <c r="A29" s="31"/>
      <c r="B29" s="1070" t="s">
        <v>1164</v>
      </c>
      <c r="C29" s="31"/>
      <c r="D29" s="31"/>
      <c r="E29" s="1906"/>
      <c r="F29" s="1906"/>
      <c r="G29" s="1906"/>
      <c r="H29" s="1906"/>
      <c r="I29" s="1906"/>
      <c r="J29" s="1906"/>
      <c r="K29" s="1906"/>
      <c r="L29" s="1503"/>
      <c r="M29" s="1503"/>
      <c r="N29" s="1503"/>
      <c r="O29" s="1503"/>
      <c r="P29" s="165"/>
      <c r="Q29" s="1503"/>
      <c r="R29" s="165"/>
      <c r="S29" s="1503"/>
      <c r="T29" s="165"/>
      <c r="U29" s="1503"/>
      <c r="V29" s="165"/>
      <c r="W29" s="1503"/>
      <c r="X29" s="165"/>
      <c r="Y29" s="1503"/>
      <c r="Z29" s="165"/>
      <c r="AA29" s="1503"/>
      <c r="AB29" s="1503"/>
      <c r="AC29" s="1503"/>
      <c r="AD29" s="165"/>
      <c r="AE29" s="252"/>
      <c r="AF29" s="165"/>
      <c r="AG29" s="1084"/>
      <c r="AH29" s="59"/>
      <c r="AI29" s="140"/>
      <c r="AJ29" s="165"/>
      <c r="AK29" s="326"/>
      <c r="AL29" s="327"/>
      <c r="AM29" s="327"/>
      <c r="AN29" s="1504"/>
    </row>
    <row r="30" spans="1:46" ht="15.75">
      <c r="A30" s="31"/>
      <c r="B30" s="685" t="s">
        <v>1131</v>
      </c>
      <c r="C30" s="31"/>
      <c r="D30" s="31"/>
      <c r="E30" s="1403">
        <f>+'Exhibit I State'!E29</f>
        <v>0</v>
      </c>
      <c r="F30" s="1460"/>
      <c r="G30" s="1403">
        <f>+'Exhibit I State'!G29</f>
        <v>0</v>
      </c>
      <c r="H30" s="1460"/>
      <c r="I30" s="1403">
        <f>+'Exhibit I State'!I29</f>
        <v>11.9</v>
      </c>
      <c r="J30" s="1501"/>
      <c r="K30" s="1403">
        <f>+'Exhibit I State'!K29</f>
        <v>11.9</v>
      </c>
      <c r="L30" s="1499"/>
      <c r="M30" s="1403"/>
      <c r="N30" s="1499"/>
      <c r="O30" s="1403"/>
      <c r="P30" s="304"/>
      <c r="Q30" s="1403"/>
      <c r="R30" s="304"/>
      <c r="S30" s="1403"/>
      <c r="T30" s="304"/>
      <c r="U30" s="1403"/>
      <c r="V30" s="304"/>
      <c r="W30" s="1403"/>
      <c r="X30" s="304"/>
      <c r="Y30" s="1403"/>
      <c r="Z30" s="304"/>
      <c r="AA30" s="1403"/>
      <c r="AB30" s="1403"/>
      <c r="AC30" s="1403">
        <v>0</v>
      </c>
      <c r="AD30" s="1072"/>
      <c r="AE30" s="304"/>
      <c r="AF30" s="66">
        <f>ROUND(SUM(E30:AC30),1)</f>
        <v>23.8</v>
      </c>
      <c r="AG30" s="1073"/>
      <c r="AH30" s="305"/>
      <c r="AI30" s="3659">
        <f>+'Exhibit I State'!AG29</f>
        <v>23.8</v>
      </c>
      <c r="AJ30" s="306"/>
      <c r="AK30" s="310"/>
      <c r="AL30" s="313">
        <f>ROUND(SUM(AF30-AI30),1)</f>
        <v>0</v>
      </c>
      <c r="AM30" s="307"/>
      <c r="AN30" s="1465">
        <f>ROUND(IF(AI30=0,0,AL30/ABS(AI30)),3)</f>
        <v>0</v>
      </c>
      <c r="AO30" s="554"/>
      <c r="AP30" s="302"/>
      <c r="AQ30" s="302"/>
      <c r="AR30" s="302"/>
    </row>
    <row r="31" spans="1:46" ht="15.75">
      <c r="A31" s="31"/>
      <c r="B31" s="312" t="s">
        <v>1209</v>
      </c>
      <c r="C31" s="31"/>
      <c r="D31" s="31"/>
      <c r="E31" s="258">
        <f>ROUND(SUM(E30:E30),1)</f>
        <v>0</v>
      </c>
      <c r="F31" s="941"/>
      <c r="G31" s="258">
        <f>ROUND(SUM(G30:G30),1)</f>
        <v>0</v>
      </c>
      <c r="H31" s="941"/>
      <c r="I31" s="258">
        <f>ROUND(SUM(I30:I30),1)</f>
        <v>11.9</v>
      </c>
      <c r="J31" s="941"/>
      <c r="K31" s="258">
        <f>ROUND(SUM(K30:K30),1)</f>
        <v>11.9</v>
      </c>
      <c r="L31" s="304"/>
      <c r="M31" s="61">
        <f>ROUND(SUM(M30:M30),1)</f>
        <v>0</v>
      </c>
      <c r="N31" s="304"/>
      <c r="O31" s="61">
        <f>ROUND(SUM(O30:O30),1)</f>
        <v>0</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79"/>
      <c r="AC31" s="61">
        <f>ROUND(SUM(AC30:AC30),1)</f>
        <v>0</v>
      </c>
      <c r="AD31" s="1072"/>
      <c r="AE31" s="304"/>
      <c r="AF31" s="61">
        <f>ROUND(SUM(AF30:AF30),1)</f>
        <v>23.8</v>
      </c>
      <c r="AG31" s="1073"/>
      <c r="AH31" s="305"/>
      <c r="AI31" s="3609">
        <f>ROUND(SUM(AI30:AI30),1)</f>
        <v>23.8</v>
      </c>
      <c r="AJ31" s="306"/>
      <c r="AK31" s="310"/>
      <c r="AL31" s="1141">
        <f>ROUND(SUM(AF31-AI31),1)</f>
        <v>0</v>
      </c>
      <c r="AM31" s="309"/>
      <c r="AN31" s="1482">
        <f>ROUND(IF(AI31=0,0,AL31/ABS(AI31)),3)</f>
        <v>0</v>
      </c>
      <c r="AO31" s="554"/>
      <c r="AP31" s="302"/>
      <c r="AQ31" s="302"/>
      <c r="AR31" s="302"/>
    </row>
    <row r="32" spans="1:46" ht="15.75">
      <c r="A32" s="31"/>
      <c r="B32" s="312"/>
      <c r="C32" s="31"/>
      <c r="D32" s="31"/>
      <c r="E32" s="258"/>
      <c r="F32" s="941"/>
      <c r="G32" s="258"/>
      <c r="H32" s="941"/>
      <c r="I32" s="258"/>
      <c r="J32" s="941"/>
      <c r="K32" s="258"/>
      <c r="L32" s="304"/>
      <c r="M32" s="258"/>
      <c r="N32" s="304"/>
      <c r="O32" s="258"/>
      <c r="P32" s="304"/>
      <c r="Q32" s="258"/>
      <c r="R32" s="304"/>
      <c r="S32" s="258"/>
      <c r="T32" s="304"/>
      <c r="U32" s="258"/>
      <c r="V32" s="304"/>
      <c r="W32" s="258"/>
      <c r="X32" s="304"/>
      <c r="Y32" s="258"/>
      <c r="Z32" s="304"/>
      <c r="AA32" s="258"/>
      <c r="AB32" s="1579"/>
      <c r="AC32" s="258"/>
      <c r="AD32" s="1072"/>
      <c r="AE32" s="304"/>
      <c r="AF32" s="258"/>
      <c r="AG32" s="1073"/>
      <c r="AH32" s="305"/>
      <c r="AI32" s="305"/>
      <c r="AJ32" s="306"/>
      <c r="AK32" s="310"/>
      <c r="AL32" s="311"/>
      <c r="AM32" s="307"/>
      <c r="AN32" s="1494"/>
      <c r="AO32" s="554"/>
      <c r="AP32" s="302"/>
      <c r="AQ32" s="302"/>
      <c r="AR32" s="302"/>
    </row>
    <row r="33" spans="1:44" ht="15.75">
      <c r="A33" s="31"/>
      <c r="B33" s="312" t="s">
        <v>1127</v>
      </c>
      <c r="C33" s="31"/>
      <c r="D33" s="31"/>
      <c r="E33" s="1907">
        <f>ROUND(SUM(E11+E28+E23+E31),1)</f>
        <v>113.7</v>
      </c>
      <c r="F33" s="1578"/>
      <c r="G33" s="1907">
        <f>ROUND(SUM(G11+G28+G23+G31),1)</f>
        <v>101.4</v>
      </c>
      <c r="H33" s="1578"/>
      <c r="I33" s="1907">
        <f>ROUND(SUM(I11+I28+I23+I31),1)</f>
        <v>138.1</v>
      </c>
      <c r="J33" s="1578"/>
      <c r="K33" s="1907">
        <f>ROUND(SUM(K11+K28+K23+K31),1)</f>
        <v>109.4</v>
      </c>
      <c r="L33" s="304"/>
      <c r="M33" s="1074">
        <f>ROUND(SUM(M11+M28+M23+M31),1)</f>
        <v>0</v>
      </c>
      <c r="N33" s="304"/>
      <c r="O33" s="1074">
        <f>ROUND(SUM(O11+O28+O23+O31),1)</f>
        <v>0</v>
      </c>
      <c r="P33" s="304"/>
      <c r="Q33" s="1074">
        <f>ROUND(SUM(Q11+Q28+Q23+Q31),1)</f>
        <v>0</v>
      </c>
      <c r="R33" s="304"/>
      <c r="S33" s="1074">
        <f>ROUND(SUM(S11+S28+S23+S31),1)</f>
        <v>0</v>
      </c>
      <c r="T33" s="304"/>
      <c r="U33" s="1074">
        <f>ROUND(SUM(U11+U28+U23+U31),1)</f>
        <v>0</v>
      </c>
      <c r="V33" s="304"/>
      <c r="W33" s="1074">
        <f>ROUND(SUM(W11+W28+W23+W31),1)</f>
        <v>0</v>
      </c>
      <c r="X33" s="304"/>
      <c r="Y33" s="1074">
        <f>ROUND(SUM(Y11+Y28+Y23+Y31),1)</f>
        <v>0</v>
      </c>
      <c r="Z33" s="304"/>
      <c r="AA33" s="1074">
        <f>ROUND(SUM(AA11+AA28+AA23+AA31),1)</f>
        <v>0</v>
      </c>
      <c r="AB33" s="1076"/>
      <c r="AC33" s="1074">
        <f>ROUND(SUM(AC15+AC28+AC23+AC31),1)</f>
        <v>0</v>
      </c>
      <c r="AD33" s="1072"/>
      <c r="AE33" s="304"/>
      <c r="AF33" s="1074">
        <f>ROUND(SUM(AF28+AF23+AF31),1)</f>
        <v>462.6</v>
      </c>
      <c r="AG33" s="1073"/>
      <c r="AH33" s="305"/>
      <c r="AI33" s="1074">
        <f>ROUND(SUM(AI28+AI23+AI31),1)</f>
        <v>457.8</v>
      </c>
      <c r="AJ33" s="306"/>
      <c r="AK33" s="310"/>
      <c r="AL33" s="1141">
        <f>ROUND(SUM(AF33-AI33),1)</f>
        <v>4.8</v>
      </c>
      <c r="AM33" s="309"/>
      <c r="AN33" s="1482">
        <f>ROUND(IF(AI33=0,0,AL33/ABS(AI33)),3)</f>
        <v>0.01</v>
      </c>
      <c r="AO33" s="554"/>
      <c r="AP33" s="302"/>
      <c r="AQ33" s="302"/>
      <c r="AR33" s="302"/>
    </row>
    <row r="34" spans="1:44" ht="15.75">
      <c r="A34" s="31"/>
      <c r="B34" s="312"/>
      <c r="C34" s="31"/>
      <c r="D34" s="31"/>
      <c r="E34" s="1908"/>
      <c r="F34" s="1578"/>
      <c r="G34" s="1908"/>
      <c r="H34" s="1578"/>
      <c r="I34" s="1908"/>
      <c r="J34" s="1578"/>
      <c r="K34" s="1908"/>
      <c r="L34" s="304"/>
      <c r="M34" s="1076"/>
      <c r="N34" s="304"/>
      <c r="O34" s="1076"/>
      <c r="P34" s="304"/>
      <c r="Q34" s="1076"/>
      <c r="R34" s="304"/>
      <c r="S34" s="1076"/>
      <c r="T34" s="304"/>
      <c r="U34" s="1076"/>
      <c r="V34" s="304"/>
      <c r="W34" s="1076"/>
      <c r="X34" s="304"/>
      <c r="Y34" s="1076"/>
      <c r="Z34" s="304"/>
      <c r="AA34" s="1076"/>
      <c r="AB34" s="1076"/>
      <c r="AC34" s="1076"/>
      <c r="AD34" s="1416"/>
      <c r="AE34" s="304"/>
      <c r="AF34" s="1076"/>
      <c r="AG34" s="1073"/>
      <c r="AH34" s="305"/>
      <c r="AI34" s="1076"/>
      <c r="AJ34" s="306"/>
      <c r="AK34" s="310"/>
      <c r="AL34" s="1075"/>
      <c r="AM34" s="309"/>
      <c r="AN34" s="1470"/>
      <c r="AO34" s="554"/>
      <c r="AP34" s="302"/>
      <c r="AQ34" s="302"/>
      <c r="AR34" s="302"/>
    </row>
    <row r="35" spans="1:44" ht="15.75">
      <c r="A35" s="31"/>
      <c r="B35" s="261" t="s">
        <v>1034</v>
      </c>
      <c r="C35" s="31"/>
      <c r="D35" s="31"/>
      <c r="E35" s="672"/>
      <c r="F35" s="1578"/>
      <c r="G35" s="672"/>
      <c r="H35" s="1578"/>
      <c r="I35" s="672"/>
      <c r="J35" s="1578"/>
      <c r="K35" s="672"/>
      <c r="L35" s="66"/>
      <c r="M35" s="170"/>
      <c r="N35" s="66"/>
      <c r="O35" s="170"/>
      <c r="P35" s="66"/>
      <c r="Q35" s="170"/>
      <c r="R35" s="66"/>
      <c r="S35" s="170"/>
      <c r="T35" s="66"/>
      <c r="U35" s="170"/>
      <c r="V35" s="66"/>
      <c r="W35" s="170"/>
      <c r="X35" s="66"/>
      <c r="Y35" s="170"/>
      <c r="Z35" s="66"/>
      <c r="AA35" s="170"/>
      <c r="AB35" s="170"/>
      <c r="AC35" s="170"/>
      <c r="AD35" s="66"/>
      <c r="AE35" s="57"/>
      <c r="AF35" s="278"/>
      <c r="AG35" s="996"/>
      <c r="AH35" s="60"/>
      <c r="AI35" s="3660"/>
      <c r="AJ35" s="77"/>
      <c r="AK35" s="335"/>
      <c r="AL35" s="58"/>
      <c r="AM35" s="333"/>
      <c r="AN35" s="1465"/>
      <c r="AO35" s="327"/>
    </row>
    <row r="36" spans="1:44" ht="15.75">
      <c r="A36" s="31"/>
      <c r="B36" s="911" t="s">
        <v>1155</v>
      </c>
      <c r="C36" s="31"/>
      <c r="D36" s="31"/>
      <c r="E36" s="672"/>
      <c r="F36" s="1578"/>
      <c r="G36" s="672"/>
      <c r="H36" s="1578"/>
      <c r="I36" s="672"/>
      <c r="J36" s="1578"/>
      <c r="K36" s="672"/>
      <c r="L36" s="66"/>
      <c r="M36" s="170"/>
      <c r="N36" s="66"/>
      <c r="O36" s="170"/>
      <c r="P36" s="66"/>
      <c r="Q36" s="170"/>
      <c r="R36" s="66"/>
      <c r="S36" s="170"/>
      <c r="T36" s="66"/>
      <c r="U36" s="170"/>
      <c r="V36" s="66"/>
      <c r="W36" s="170"/>
      <c r="X36" s="66"/>
      <c r="Y36" s="170"/>
      <c r="Z36" s="66"/>
      <c r="AA36" s="170"/>
      <c r="AB36" s="170"/>
      <c r="AC36" s="170"/>
      <c r="AD36" s="66"/>
      <c r="AE36" s="57"/>
      <c r="AF36" s="278"/>
      <c r="AG36" s="996"/>
      <c r="AH36" s="60"/>
      <c r="AI36" s="3660"/>
      <c r="AJ36" s="77"/>
      <c r="AK36" s="335"/>
      <c r="AL36" s="58"/>
      <c r="AM36" s="333"/>
      <c r="AN36" s="1465"/>
      <c r="AO36" s="327"/>
    </row>
    <row r="37" spans="1:44" ht="15.75">
      <c r="A37" s="31"/>
      <c r="B37" s="911" t="s">
        <v>1068</v>
      </c>
      <c r="C37" s="31"/>
      <c r="D37" s="31"/>
      <c r="E37" s="672">
        <f>+'Exhibit I State'!E36+'Exhibit I Federal'!E19</f>
        <v>0</v>
      </c>
      <c r="F37" s="1578"/>
      <c r="G37" s="672">
        <f>+'Exhibit I State'!G36+'Exhibit I Federal'!G19</f>
        <v>0</v>
      </c>
      <c r="H37" s="1578"/>
      <c r="I37" s="672">
        <f>+'Exhibit I State'!I36+'Exhibit I Federal'!I19</f>
        <v>23</v>
      </c>
      <c r="J37" s="1578"/>
      <c r="K37" s="672">
        <f>+'Exhibit I State'!K36+'Exhibit I Federal'!K19</f>
        <v>0</v>
      </c>
      <c r="L37" s="66"/>
      <c r="M37" s="672"/>
      <c r="N37" s="66"/>
      <c r="O37" s="672"/>
      <c r="P37" s="66"/>
      <c r="Q37" s="672"/>
      <c r="R37" s="66"/>
      <c r="S37" s="672"/>
      <c r="T37" s="66"/>
      <c r="U37" s="672"/>
      <c r="V37" s="66"/>
      <c r="W37" s="672"/>
      <c r="X37" s="66"/>
      <c r="Y37" s="672"/>
      <c r="Z37" s="66"/>
      <c r="AA37" s="672"/>
      <c r="AB37" s="170"/>
      <c r="AC37" s="170">
        <v>0</v>
      </c>
      <c r="AD37" s="66"/>
      <c r="AE37" s="57"/>
      <c r="AF37" s="278">
        <f>ROUND(SUM(E37:AC37),1)</f>
        <v>23</v>
      </c>
      <c r="AG37" s="996"/>
      <c r="AH37" s="60"/>
      <c r="AI37" s="3660">
        <f>+'Exhibit I State'!AG36+'Exhibit I Federal'!AG19</f>
        <v>23</v>
      </c>
      <c r="AJ37" s="77"/>
      <c r="AK37" s="335"/>
      <c r="AL37" s="58">
        <f t="shared" ref="AL37:AL60" si="0">ROUND(SUM(+AF37-AI37),1)</f>
        <v>0</v>
      </c>
      <c r="AM37" s="333"/>
      <c r="AN37" s="1465">
        <f>ROUND(IF(AI37=0,0,AL37/ABS(AI37)),3)</f>
        <v>0</v>
      </c>
      <c r="AO37" s="327"/>
    </row>
    <row r="38" spans="1:44" ht="15.75">
      <c r="A38" s="31"/>
      <c r="B38" s="911" t="s">
        <v>1156</v>
      </c>
      <c r="C38" s="31"/>
      <c r="D38" s="31"/>
      <c r="E38" s="672"/>
      <c r="F38" s="1578"/>
      <c r="G38" s="672"/>
      <c r="H38" s="1578"/>
      <c r="I38" s="672"/>
      <c r="J38" s="1578"/>
      <c r="K38" s="672"/>
      <c r="L38" s="66"/>
      <c r="M38" s="672"/>
      <c r="N38" s="66"/>
      <c r="O38" s="672"/>
      <c r="P38" s="66"/>
      <c r="Q38" s="672"/>
      <c r="R38" s="66"/>
      <c r="S38" s="672"/>
      <c r="T38" s="66"/>
      <c r="U38" s="672"/>
      <c r="V38" s="66"/>
      <c r="W38" s="672"/>
      <c r="X38" s="66"/>
      <c r="Y38" s="672"/>
      <c r="Z38" s="66"/>
      <c r="AA38" s="672"/>
      <c r="AB38" s="170"/>
      <c r="AC38" s="170"/>
      <c r="AD38" s="66"/>
      <c r="AE38" s="57"/>
      <c r="AF38" s="278"/>
      <c r="AG38" s="996"/>
      <c r="AH38" s="60"/>
      <c r="AI38" s="3660"/>
      <c r="AJ38" s="77"/>
      <c r="AK38" s="335"/>
      <c r="AL38" s="58"/>
      <c r="AM38" s="333"/>
      <c r="AN38" s="1465"/>
      <c r="AO38" s="327"/>
    </row>
    <row r="39" spans="1:44" ht="15.75">
      <c r="A39" s="31"/>
      <c r="B39" s="911" t="s">
        <v>1069</v>
      </c>
      <c r="C39" s="31"/>
      <c r="D39" s="31"/>
      <c r="E39" s="672">
        <f>+'Exhibit I State'!E38+'Exhibit I Federal'!E21</f>
        <v>10.1</v>
      </c>
      <c r="F39" s="1578"/>
      <c r="G39" s="672">
        <f>+'Exhibit I State'!G38+'Exhibit I Federal'!G21</f>
        <v>9.2999999999999989</v>
      </c>
      <c r="H39" s="1578"/>
      <c r="I39" s="672">
        <f>+'Exhibit I State'!I38+'Exhibit I Federal'!I21</f>
        <v>8.7000000000000011</v>
      </c>
      <c r="J39" s="1578"/>
      <c r="K39" s="672">
        <f>+'Exhibit I State'!K38+'Exhibit I Federal'!K21</f>
        <v>8.1999999999999975</v>
      </c>
      <c r="L39" s="66"/>
      <c r="M39" s="672"/>
      <c r="N39" s="66"/>
      <c r="O39" s="672"/>
      <c r="P39" s="66"/>
      <c r="Q39" s="672"/>
      <c r="R39" s="66"/>
      <c r="S39" s="672"/>
      <c r="T39" s="66"/>
      <c r="U39" s="672"/>
      <c r="V39" s="66"/>
      <c r="W39" s="672"/>
      <c r="X39" s="66"/>
      <c r="Y39" s="672"/>
      <c r="Z39" s="66"/>
      <c r="AA39" s="672"/>
      <c r="AB39" s="170"/>
      <c r="AC39" s="170">
        <v>0</v>
      </c>
      <c r="AD39" s="66"/>
      <c r="AE39" s="57"/>
      <c r="AF39" s="1102">
        <f>ROUND(SUM(E39:AC39),1)</f>
        <v>36.299999999999997</v>
      </c>
      <c r="AG39" s="996"/>
      <c r="AH39" s="60"/>
      <c r="AI39" s="3660">
        <f>+'Exhibit I State'!AG38+'Exhibit I Federal'!AG21</f>
        <v>42.5</v>
      </c>
      <c r="AJ39" s="77"/>
      <c r="AK39" s="335"/>
      <c r="AL39" s="58">
        <f t="shared" si="0"/>
        <v>-6.2</v>
      </c>
      <c r="AM39" s="333"/>
      <c r="AN39" s="1465">
        <f>ROUND(IF(AI39=0,0,AL39/ABS(AI39)),3)</f>
        <v>-0.14599999999999999</v>
      </c>
      <c r="AO39" s="327"/>
    </row>
    <row r="40" spans="1:44" ht="15.75">
      <c r="A40" s="31"/>
      <c r="B40" s="911" t="s">
        <v>1161</v>
      </c>
      <c r="C40" s="31"/>
      <c r="D40" s="31"/>
      <c r="E40" s="672"/>
      <c r="F40" s="1578"/>
      <c r="G40" s="672"/>
      <c r="H40" s="1578"/>
      <c r="I40" s="672"/>
      <c r="J40" s="1578"/>
      <c r="K40" s="672"/>
      <c r="L40" s="66"/>
      <c r="M40" s="672"/>
      <c r="N40" s="66"/>
      <c r="O40" s="672"/>
      <c r="P40" s="66"/>
      <c r="Q40" s="672"/>
      <c r="R40" s="66"/>
      <c r="S40" s="672"/>
      <c r="T40" s="66"/>
      <c r="U40" s="672"/>
      <c r="V40" s="66"/>
      <c r="W40" s="672"/>
      <c r="X40" s="66"/>
      <c r="Y40" s="672"/>
      <c r="Z40" s="66"/>
      <c r="AA40" s="672"/>
      <c r="AB40" s="170"/>
      <c r="AC40" s="170"/>
      <c r="AD40" s="66"/>
      <c r="AE40" s="57"/>
      <c r="AF40" s="278"/>
      <c r="AG40" s="996"/>
      <c r="AH40" s="60"/>
      <c r="AI40" s="3660"/>
      <c r="AJ40" s="77"/>
      <c r="AK40" s="335"/>
      <c r="AL40" s="58"/>
      <c r="AM40" s="333"/>
      <c r="AN40" s="1465"/>
      <c r="AO40" s="327"/>
    </row>
    <row r="41" spans="1:44" ht="15.75">
      <c r="A41" s="31"/>
      <c r="B41" s="911" t="s">
        <v>1073</v>
      </c>
      <c r="C41" s="31"/>
      <c r="D41" s="31"/>
      <c r="E41" s="672">
        <f>+'Exhibit I State'!E40+'Exhibit I Federal'!E23</f>
        <v>0.8</v>
      </c>
      <c r="F41" s="1578"/>
      <c r="G41" s="672">
        <f>+'Exhibit I State'!G40+'Exhibit I Federal'!G23</f>
        <v>5.6000000000000005</v>
      </c>
      <c r="H41" s="1578"/>
      <c r="I41" s="672">
        <f>+'Exhibit I State'!I40+'Exhibit I Federal'!I23</f>
        <v>3.6999999999999984</v>
      </c>
      <c r="J41" s="1578"/>
      <c r="K41" s="672">
        <f>+'Exhibit I State'!K40+'Exhibit I Federal'!K23</f>
        <v>2.5</v>
      </c>
      <c r="L41" s="66"/>
      <c r="M41" s="672"/>
      <c r="N41" s="66"/>
      <c r="O41" s="672"/>
      <c r="P41" s="66"/>
      <c r="Q41" s="672"/>
      <c r="R41" s="66"/>
      <c r="S41" s="672"/>
      <c r="T41" s="66"/>
      <c r="U41" s="672"/>
      <c r="V41" s="66"/>
      <c r="W41" s="672"/>
      <c r="X41" s="66"/>
      <c r="Y41" s="672"/>
      <c r="Z41" s="66"/>
      <c r="AA41" s="672"/>
      <c r="AB41" s="170"/>
      <c r="AC41" s="170">
        <v>0</v>
      </c>
      <c r="AD41" s="66"/>
      <c r="AE41" s="57"/>
      <c r="AF41" s="1102">
        <f t="shared" ref="AF41:AF45" si="1">ROUND(SUM(E41:AC41),1)</f>
        <v>12.6</v>
      </c>
      <c r="AG41" s="996"/>
      <c r="AH41" s="60"/>
      <c r="AI41" s="3660">
        <f>+'Exhibit I State'!AG40+'Exhibit I Federal'!AG23</f>
        <v>18.899999999999999</v>
      </c>
      <c r="AJ41" s="77"/>
      <c r="AK41" s="335"/>
      <c r="AL41" s="58">
        <f t="shared" si="0"/>
        <v>-6.3</v>
      </c>
      <c r="AM41" s="333"/>
      <c r="AN41" s="1465">
        <f>ROUND(IF(AI41=0,0,AL41/ABS(AI41)),3)</f>
        <v>-0.33300000000000002</v>
      </c>
      <c r="AO41" s="327"/>
    </row>
    <row r="42" spans="1:44" ht="15.75">
      <c r="A42" s="31"/>
      <c r="B42" s="911" t="s">
        <v>1223</v>
      </c>
      <c r="C42" s="31"/>
      <c r="D42" s="31"/>
      <c r="E42" s="672">
        <f>+'Exhibit I State'!E41+'Exhibit I Federal'!E24</f>
        <v>0</v>
      </c>
      <c r="F42" s="1578"/>
      <c r="G42" s="672">
        <f>+'Exhibit I State'!G41+'Exhibit I Federal'!G24</f>
        <v>0</v>
      </c>
      <c r="H42" s="1578"/>
      <c r="I42" s="672">
        <f>+'Exhibit I State'!I41+'Exhibit I Federal'!I24</f>
        <v>0</v>
      </c>
      <c r="J42" s="1578"/>
      <c r="K42" s="672">
        <f>+'Exhibit I State'!K41+'Exhibit I Federal'!K24</f>
        <v>0</v>
      </c>
      <c r="L42" s="66"/>
      <c r="M42" s="672"/>
      <c r="N42" s="66"/>
      <c r="O42" s="672"/>
      <c r="P42" s="66"/>
      <c r="Q42" s="672"/>
      <c r="R42" s="66"/>
      <c r="S42" s="672"/>
      <c r="T42" s="66"/>
      <c r="U42" s="672"/>
      <c r="V42" s="66"/>
      <c r="W42" s="672"/>
      <c r="X42" s="66"/>
      <c r="Y42" s="672"/>
      <c r="Z42" s="66"/>
      <c r="AA42" s="672"/>
      <c r="AB42" s="170"/>
      <c r="AC42" s="170">
        <v>0</v>
      </c>
      <c r="AD42" s="66"/>
      <c r="AE42" s="57"/>
      <c r="AF42" s="1102">
        <f t="shared" si="1"/>
        <v>0</v>
      </c>
      <c r="AG42" s="1523"/>
      <c r="AH42" s="60"/>
      <c r="AI42" s="3660">
        <f>+'Exhibit I State'!AG41+'Exhibit I Federal'!AG24</f>
        <v>0</v>
      </c>
      <c r="AJ42" s="77"/>
      <c r="AK42" s="335"/>
      <c r="AL42" s="58">
        <f>ROUND(SUM(+AF42-AI42),1)</f>
        <v>0</v>
      </c>
      <c r="AM42" s="333"/>
      <c r="AN42" s="1465">
        <f>ROUND(IF(AI42=0,0,AL42/ABS(AI42)),3)</f>
        <v>0</v>
      </c>
      <c r="AO42" s="327"/>
    </row>
    <row r="43" spans="1:44" ht="15.75">
      <c r="A43" s="31"/>
      <c r="B43" s="911" t="s">
        <v>1076</v>
      </c>
      <c r="C43" s="31"/>
      <c r="D43" s="31"/>
      <c r="E43" s="672">
        <f>+'Exhibit I State'!E42+'Exhibit I Federal'!E25</f>
        <v>67</v>
      </c>
      <c r="F43" s="1578"/>
      <c r="G43" s="672">
        <f>+'Exhibit I State'!G42+'Exhibit I Federal'!G25</f>
        <v>69.300000000000011</v>
      </c>
      <c r="H43" s="1578"/>
      <c r="I43" s="672">
        <f>+'Exhibit I State'!I42+'Exhibit I Federal'!I25</f>
        <v>65.399999999999977</v>
      </c>
      <c r="J43" s="1578"/>
      <c r="K43" s="672">
        <f>+'Exhibit I State'!K42+'Exhibit I Federal'!K25</f>
        <v>60.800000000000011</v>
      </c>
      <c r="L43" s="66"/>
      <c r="M43" s="672"/>
      <c r="N43" s="66"/>
      <c r="O43" s="672"/>
      <c r="P43" s="66"/>
      <c r="Q43" s="672"/>
      <c r="R43" s="66"/>
      <c r="S43" s="672"/>
      <c r="T43" s="66"/>
      <c r="U43" s="672"/>
      <c r="V43" s="66"/>
      <c r="W43" s="672"/>
      <c r="X43" s="66"/>
      <c r="Y43" s="672"/>
      <c r="Z43" s="66"/>
      <c r="AA43" s="672"/>
      <c r="AB43" s="170"/>
      <c r="AC43" s="170">
        <v>0</v>
      </c>
      <c r="AD43" s="66"/>
      <c r="AE43" s="57"/>
      <c r="AF43" s="1102">
        <f>ROUND(SUM(E43:AC43),1)</f>
        <v>262.5</v>
      </c>
      <c r="AG43" s="996"/>
      <c r="AH43" s="60"/>
      <c r="AI43" s="3660">
        <f>+'Exhibit I State'!AG42+'Exhibit I Federal'!AG25</f>
        <v>288.7</v>
      </c>
      <c r="AJ43" s="77"/>
      <c r="AK43" s="335"/>
      <c r="AL43" s="58">
        <f t="shared" si="0"/>
        <v>-26.2</v>
      </c>
      <c r="AM43" s="333"/>
      <c r="AN43" s="1465">
        <f>ROUND(IF(AI43=0,0,AL43/ABS(AI43)),3)</f>
        <v>-9.0999999999999998E-2</v>
      </c>
      <c r="AO43" s="327"/>
    </row>
    <row r="44" spans="1:44" ht="15.75">
      <c r="A44" s="31"/>
      <c r="B44" s="911" t="s">
        <v>1077</v>
      </c>
      <c r="C44" s="31"/>
      <c r="D44" s="31"/>
      <c r="E44" s="672">
        <f>+'Exhibit I State'!E43+'Exhibit I Federal'!E26</f>
        <v>0.2</v>
      </c>
      <c r="F44" s="1578"/>
      <c r="G44" s="672">
        <f>+'Exhibit I State'!G43+'Exhibit I Federal'!G26</f>
        <v>9.9999999999999978E-2</v>
      </c>
      <c r="H44" s="1578"/>
      <c r="I44" s="672">
        <f>+'Exhibit I State'!I43+'Exhibit I Federal'!I26</f>
        <v>0</v>
      </c>
      <c r="J44" s="1578"/>
      <c r="K44" s="672">
        <f>+'Exhibit I State'!K43+'Exhibit I Federal'!K26</f>
        <v>0</v>
      </c>
      <c r="L44" s="66"/>
      <c r="M44" s="672"/>
      <c r="N44" s="66"/>
      <c r="O44" s="672"/>
      <c r="P44" s="66"/>
      <c r="Q44" s="672"/>
      <c r="R44" s="66"/>
      <c r="S44" s="672"/>
      <c r="T44" s="66"/>
      <c r="U44" s="672"/>
      <c r="V44" s="66"/>
      <c r="W44" s="672"/>
      <c r="X44" s="66"/>
      <c r="Y44" s="672"/>
      <c r="Z44" s="66"/>
      <c r="AA44" s="672"/>
      <c r="AB44" s="170"/>
      <c r="AC44" s="170">
        <v>0</v>
      </c>
      <c r="AD44" s="66"/>
      <c r="AE44" s="57"/>
      <c r="AF44" s="1102">
        <f t="shared" si="1"/>
        <v>0.3</v>
      </c>
      <c r="AG44" s="996"/>
      <c r="AH44" s="60"/>
      <c r="AI44" s="3661">
        <f>+'Exhibit I State'!AG43+'Exhibit I Federal'!AG26</f>
        <v>0.5</v>
      </c>
      <c r="AJ44" s="77"/>
      <c r="AK44" s="335"/>
      <c r="AL44" s="684">
        <f>ROUND(SUM(+AF44-AI44),1)</f>
        <v>-0.2</v>
      </c>
      <c r="AM44" s="962"/>
      <c r="AN44" s="1465">
        <f>ROUND(IF(AI44=0,1,AL44/ABS(AI44)),3)</f>
        <v>-0.4</v>
      </c>
      <c r="AO44" s="327"/>
    </row>
    <row r="45" spans="1:44" ht="15.75">
      <c r="A45" s="31"/>
      <c r="B45" s="911" t="s">
        <v>1035</v>
      </c>
      <c r="C45" s="31"/>
      <c r="D45" s="31"/>
      <c r="E45" s="672">
        <f>+'Exhibit I State'!E44+'Exhibit I Federal'!E27</f>
        <v>2.2999999999999998</v>
      </c>
      <c r="F45" s="1578"/>
      <c r="G45" s="672">
        <f>+'Exhibit I State'!G44+'Exhibit I Federal'!G27</f>
        <v>2</v>
      </c>
      <c r="H45" s="1578"/>
      <c r="I45" s="672">
        <f>+'Exhibit I State'!I44+'Exhibit I Federal'!I27</f>
        <v>2.3000000000000007</v>
      </c>
      <c r="J45" s="1578"/>
      <c r="K45" s="672">
        <f>+'Exhibit I State'!K44+'Exhibit I Federal'!K27</f>
        <v>1.7000000000000002</v>
      </c>
      <c r="L45" s="66"/>
      <c r="M45" s="672"/>
      <c r="N45" s="66"/>
      <c r="O45" s="672"/>
      <c r="P45" s="66"/>
      <c r="Q45" s="672"/>
      <c r="R45" s="66"/>
      <c r="S45" s="672"/>
      <c r="T45" s="66"/>
      <c r="U45" s="672"/>
      <c r="V45" s="66"/>
      <c r="W45" s="672"/>
      <c r="X45" s="66"/>
      <c r="Y45" s="672"/>
      <c r="Z45" s="66"/>
      <c r="AA45" s="672"/>
      <c r="AB45" s="170"/>
      <c r="AC45" s="170">
        <v>0</v>
      </c>
      <c r="AD45" s="66"/>
      <c r="AE45" s="57"/>
      <c r="AF45" s="1102">
        <f t="shared" si="1"/>
        <v>8.3000000000000007</v>
      </c>
      <c r="AG45" s="996"/>
      <c r="AH45" s="60"/>
      <c r="AI45" s="3660">
        <f>+'Exhibit I State'!AG44+'Exhibit I Federal'!AG27</f>
        <v>9.9</v>
      </c>
      <c r="AJ45" s="77"/>
      <c r="AK45" s="335"/>
      <c r="AL45" s="58">
        <f t="shared" si="0"/>
        <v>-1.6</v>
      </c>
      <c r="AM45" s="333"/>
      <c r="AN45" s="1521">
        <f>ROUND(IF(AI45=0,1,AL45/ABS(AI45)),3)</f>
        <v>-0.16200000000000001</v>
      </c>
      <c r="AO45" s="327"/>
    </row>
    <row r="46" spans="1:44" ht="15.75">
      <c r="A46" s="31"/>
      <c r="B46" s="911" t="s">
        <v>1036</v>
      </c>
      <c r="C46" s="31"/>
      <c r="D46" s="31"/>
      <c r="E46" s="672">
        <f>+'Exhibit I State'!E45+'Exhibit I Federal'!E28</f>
        <v>1.1000000000000001</v>
      </c>
      <c r="F46" s="1578"/>
      <c r="G46" s="672">
        <f>+'Exhibit I State'!G45+'Exhibit I Federal'!G28</f>
        <v>1</v>
      </c>
      <c r="H46" s="1578"/>
      <c r="I46" s="672">
        <f>+'Exhibit I State'!I45+'Exhibit I Federal'!I28</f>
        <v>1</v>
      </c>
      <c r="J46" s="1578"/>
      <c r="K46" s="672">
        <f>+'Exhibit I State'!K45+'Exhibit I Federal'!K28</f>
        <v>1.0999999999999992</v>
      </c>
      <c r="L46" s="66"/>
      <c r="M46" s="672"/>
      <c r="N46" s="66"/>
      <c r="O46" s="672"/>
      <c r="P46" s="66"/>
      <c r="Q46" s="672"/>
      <c r="R46" s="66"/>
      <c r="S46" s="672"/>
      <c r="T46" s="66"/>
      <c r="U46" s="672"/>
      <c r="V46" s="66"/>
      <c r="W46" s="672"/>
      <c r="X46" s="66"/>
      <c r="Y46" s="672"/>
      <c r="Z46" s="66"/>
      <c r="AA46" s="672"/>
      <c r="AB46" s="170"/>
      <c r="AC46" s="170">
        <v>0</v>
      </c>
      <c r="AD46" s="66"/>
      <c r="AE46" s="57"/>
      <c r="AF46" s="1102">
        <f>ROUND(SUM(E46:AC46),1)</f>
        <v>4.2</v>
      </c>
      <c r="AG46" s="996"/>
      <c r="AH46" s="60"/>
      <c r="AI46" s="3660">
        <f>+'Exhibit I State'!AG45+'Exhibit I Federal'!AG28</f>
        <v>3.3</v>
      </c>
      <c r="AJ46" s="77"/>
      <c r="AK46" s="335"/>
      <c r="AL46" s="58">
        <f>ROUND(SUM(+AF46-AI46),1)</f>
        <v>0.9</v>
      </c>
      <c r="AM46" s="333"/>
      <c r="AN46" s="1465">
        <f>ROUND(IF(AI46=0,1,AL46/ABS(AI46)),3)</f>
        <v>0.27300000000000002</v>
      </c>
      <c r="AO46" s="327"/>
    </row>
    <row r="47" spans="1:44" ht="15.75">
      <c r="A47" s="31"/>
      <c r="B47" s="911" t="s">
        <v>1159</v>
      </c>
      <c r="C47" s="31"/>
      <c r="D47" s="31"/>
      <c r="E47" s="672"/>
      <c r="F47" s="1578"/>
      <c r="G47" s="672"/>
      <c r="H47" s="1578"/>
      <c r="I47" s="672"/>
      <c r="J47" s="1578"/>
      <c r="K47" s="672"/>
      <c r="L47" s="66"/>
      <c r="M47" s="672"/>
      <c r="N47" s="66"/>
      <c r="O47" s="672"/>
      <c r="P47" s="66"/>
      <c r="Q47" s="672"/>
      <c r="R47" s="66"/>
      <c r="S47" s="672"/>
      <c r="T47" s="66"/>
      <c r="U47" s="672"/>
      <c r="V47" s="66"/>
      <c r="W47" s="672"/>
      <c r="X47" s="66"/>
      <c r="Y47" s="672"/>
      <c r="Z47" s="66"/>
      <c r="AA47" s="672"/>
      <c r="AB47" s="170"/>
      <c r="AC47" s="170"/>
      <c r="AD47" s="66"/>
      <c r="AE47" s="57"/>
      <c r="AF47" s="1102"/>
      <c r="AG47" s="996"/>
      <c r="AH47" s="60"/>
      <c r="AI47" s="3660"/>
      <c r="AJ47" s="77"/>
      <c r="AK47" s="335"/>
      <c r="AL47" s="58"/>
      <c r="AM47" s="333"/>
      <c r="AN47" s="8"/>
      <c r="AO47" s="327"/>
    </row>
    <row r="48" spans="1:44" ht="15.75">
      <c r="A48" s="31"/>
      <c r="B48" s="911" t="s">
        <v>1081</v>
      </c>
      <c r="C48" s="31"/>
      <c r="D48" s="31"/>
      <c r="E48" s="672">
        <f>+'Exhibit I State'!E47+'Exhibit I Federal'!E30</f>
        <v>200.8</v>
      </c>
      <c r="F48" s="1578"/>
      <c r="G48" s="672">
        <f>+'Exhibit I State'!G47+'Exhibit I Federal'!G30</f>
        <v>2.8</v>
      </c>
      <c r="H48" s="1578"/>
      <c r="I48" s="672">
        <f>+'Exhibit I State'!I47+'Exhibit I Federal'!I30</f>
        <v>146.39999999999998</v>
      </c>
      <c r="J48" s="1578"/>
      <c r="K48" s="672">
        <f>+'Exhibit I State'!K47+'Exhibit I Federal'!K30</f>
        <v>155.30000000000001</v>
      </c>
      <c r="L48" s="66"/>
      <c r="M48" s="672"/>
      <c r="N48" s="66"/>
      <c r="O48" s="672"/>
      <c r="P48" s="66"/>
      <c r="Q48" s="672"/>
      <c r="R48" s="66"/>
      <c r="S48" s="672"/>
      <c r="T48" s="66"/>
      <c r="U48" s="672"/>
      <c r="V48" s="66"/>
      <c r="W48" s="672"/>
      <c r="X48" s="66"/>
      <c r="Y48" s="672"/>
      <c r="Z48" s="66"/>
      <c r="AA48" s="672"/>
      <c r="AB48" s="170"/>
      <c r="AC48" s="170">
        <v>0</v>
      </c>
      <c r="AD48" s="66"/>
      <c r="AE48" s="57"/>
      <c r="AF48" s="1102">
        <f>ROUND(SUM(E48:AC48),1)</f>
        <v>505.3</v>
      </c>
      <c r="AG48" s="996"/>
      <c r="AH48" s="60"/>
      <c r="AI48" s="3660">
        <f>+'Exhibit I State'!AG47+'Exhibit I Federal'!AG30</f>
        <v>554.1</v>
      </c>
      <c r="AJ48" s="77"/>
      <c r="AK48" s="335"/>
      <c r="AL48" s="58">
        <f t="shared" si="0"/>
        <v>-48.8</v>
      </c>
      <c r="AM48" s="333"/>
      <c r="AN48" s="1941">
        <f>ROUND(IF(AI48=0,1,AL48/ABS(AI48)),3)</f>
        <v>-8.7999999999999995E-2</v>
      </c>
      <c r="AO48" s="327"/>
    </row>
    <row r="49" spans="1:41" ht="15.75">
      <c r="A49" s="31"/>
      <c r="B49" s="911" t="s">
        <v>1083</v>
      </c>
      <c r="C49" s="31"/>
      <c r="D49" s="31"/>
      <c r="E49" s="672">
        <f>+'Exhibit I State'!E48+'Exhibit I Federal'!E31</f>
        <v>0</v>
      </c>
      <c r="F49" s="672">
        <v>0</v>
      </c>
      <c r="G49" s="672">
        <f>+'Exhibit I State'!G48+'Exhibit I Federal'!G31</f>
        <v>0</v>
      </c>
      <c r="H49" s="672"/>
      <c r="I49" s="672">
        <f>+'Exhibit I State'!I48+'Exhibit I Federal'!I31</f>
        <v>0</v>
      </c>
      <c r="J49" s="672"/>
      <c r="K49" s="672">
        <f>+'Exhibit I State'!K48+'Exhibit I Federal'!K31</f>
        <v>0</v>
      </c>
      <c r="L49" s="170"/>
      <c r="M49" s="672"/>
      <c r="N49" s="170"/>
      <c r="O49" s="672"/>
      <c r="P49" s="170"/>
      <c r="Q49" s="672"/>
      <c r="R49" s="66"/>
      <c r="S49" s="672"/>
      <c r="T49" s="66"/>
      <c r="U49" s="672"/>
      <c r="V49" s="66"/>
      <c r="W49" s="672"/>
      <c r="X49" s="66"/>
      <c r="Y49" s="672"/>
      <c r="Z49" s="66"/>
      <c r="AA49" s="672"/>
      <c r="AB49" s="170"/>
      <c r="AC49" s="170">
        <v>0</v>
      </c>
      <c r="AD49" s="66"/>
      <c r="AE49" s="57"/>
      <c r="AF49" s="1102">
        <f>ROUND(SUM(E49:AC49),1)</f>
        <v>0</v>
      </c>
      <c r="AG49" s="1523"/>
      <c r="AH49" s="60"/>
      <c r="AI49" s="3660">
        <f>+'Exhibit I State'!AG48+'Exhibit I Federal'!AG31</f>
        <v>0</v>
      </c>
      <c r="AJ49" s="77"/>
      <c r="AK49" s="335"/>
      <c r="AL49" s="58">
        <f t="shared" si="0"/>
        <v>0</v>
      </c>
      <c r="AM49" s="333"/>
      <c r="AN49" s="1465">
        <f>ROUND(IF(AI49=0,0,AL49/ABS(AI49)),3)</f>
        <v>0</v>
      </c>
      <c r="AO49" s="327"/>
    </row>
    <row r="50" spans="1:41" ht="15.75">
      <c r="A50" s="31"/>
      <c r="B50" s="911" t="s">
        <v>1084</v>
      </c>
      <c r="C50" s="31"/>
      <c r="D50" s="31"/>
      <c r="E50" s="672">
        <f>+'Exhibit I State'!E49+'Exhibit I Federal'!E32</f>
        <v>3.5</v>
      </c>
      <c r="F50" s="1578"/>
      <c r="G50" s="672">
        <f>+'Exhibit I State'!G49+'Exhibit I Federal'!G32</f>
        <v>0.10000000000000009</v>
      </c>
      <c r="H50" s="1578"/>
      <c r="I50" s="672">
        <f>+'Exhibit I State'!I49+'Exhibit I Federal'!I32</f>
        <v>0.39999999999999991</v>
      </c>
      <c r="J50" s="1578"/>
      <c r="K50" s="672">
        <f>+'Exhibit I State'!K49+'Exhibit I Federal'!K32</f>
        <v>-0.10000000000000009</v>
      </c>
      <c r="L50" s="66"/>
      <c r="M50" s="672"/>
      <c r="N50" s="66"/>
      <c r="O50" s="672"/>
      <c r="P50" s="66"/>
      <c r="Q50" s="672"/>
      <c r="R50" s="66"/>
      <c r="S50" s="672"/>
      <c r="T50" s="66"/>
      <c r="U50" s="672"/>
      <c r="V50" s="66"/>
      <c r="W50" s="672"/>
      <c r="X50" s="66"/>
      <c r="Y50" s="672"/>
      <c r="Z50" s="66"/>
      <c r="AA50" s="672"/>
      <c r="AB50" s="170"/>
      <c r="AC50" s="170">
        <v>0</v>
      </c>
      <c r="AD50" s="66"/>
      <c r="AE50" s="57"/>
      <c r="AF50" s="1102">
        <f>ROUND(SUM(E50:AC50),1)</f>
        <v>3.9</v>
      </c>
      <c r="AG50" s="996"/>
      <c r="AH50" s="60"/>
      <c r="AI50" s="3660">
        <f>+'Exhibit I State'!AG49+'Exhibit I Federal'!AG32</f>
        <v>2</v>
      </c>
      <c r="AJ50" s="77"/>
      <c r="AK50" s="335"/>
      <c r="AL50" s="58">
        <f t="shared" si="0"/>
        <v>1.9</v>
      </c>
      <c r="AM50" s="333"/>
      <c r="AN50" s="1610">
        <f>ROUND(IF(AI50=0,1,AL50/ABS(AI50)),3)</f>
        <v>0.95</v>
      </c>
      <c r="AO50" s="327"/>
    </row>
    <row r="51" spans="1:41" ht="15.75">
      <c r="A51" s="31"/>
      <c r="B51" s="911" t="s">
        <v>1054</v>
      </c>
      <c r="C51" s="31"/>
      <c r="D51" s="31"/>
      <c r="E51" s="672">
        <f>+'Exhibit I State'!E50+'Exhibit I Federal'!E33</f>
        <v>0.3</v>
      </c>
      <c r="F51" s="1578"/>
      <c r="G51" s="672">
        <f>+'Exhibit I State'!G50+'Exhibit I Federal'!G33</f>
        <v>0</v>
      </c>
      <c r="H51" s="1578"/>
      <c r="I51" s="672">
        <f>+'Exhibit I State'!I50+'Exhibit I Federal'!I33</f>
        <v>0.3</v>
      </c>
      <c r="J51" s="1578"/>
      <c r="K51" s="672">
        <f>+'Exhibit I State'!K50+'Exhibit I Federal'!K33</f>
        <v>0</v>
      </c>
      <c r="L51" s="66"/>
      <c r="M51" s="672"/>
      <c r="N51" s="66"/>
      <c r="O51" s="672"/>
      <c r="P51" s="66"/>
      <c r="Q51" s="672"/>
      <c r="R51" s="66"/>
      <c r="S51" s="672"/>
      <c r="T51" s="66"/>
      <c r="U51" s="672"/>
      <c r="V51" s="66"/>
      <c r="W51" s="672"/>
      <c r="X51" s="66"/>
      <c r="Y51" s="672"/>
      <c r="Z51" s="66"/>
      <c r="AA51" s="672"/>
      <c r="AB51" s="170"/>
      <c r="AC51" s="170">
        <v>0</v>
      </c>
      <c r="AD51" s="66"/>
      <c r="AE51" s="57"/>
      <c r="AF51" s="1102">
        <f>ROUND(SUM(E51:AC51),1)</f>
        <v>0.6</v>
      </c>
      <c r="AG51" s="996"/>
      <c r="AH51" s="60"/>
      <c r="AI51" s="3660">
        <f>+'Exhibit I State'!AG50+'Exhibit I Federal'!AG33</f>
        <v>0.3</v>
      </c>
      <c r="AJ51" s="77"/>
      <c r="AK51" s="335"/>
      <c r="AL51" s="58">
        <f t="shared" si="0"/>
        <v>0.3</v>
      </c>
      <c r="AM51" s="333"/>
      <c r="AN51" s="8">
        <f>ROUND(IF(AI51=0,0,AL51/ABS(AI51)),3)</f>
        <v>1</v>
      </c>
      <c r="AO51" s="327"/>
    </row>
    <row r="52" spans="1:41" ht="15.75">
      <c r="A52" s="31"/>
      <c r="B52" s="911" t="s">
        <v>1055</v>
      </c>
      <c r="C52" s="31"/>
      <c r="D52" s="31"/>
      <c r="E52" s="672">
        <f>+'Exhibit I State'!E51+'Exhibit I Federal'!E34</f>
        <v>0.9</v>
      </c>
      <c r="F52" s="1578"/>
      <c r="G52" s="672">
        <f>+'Exhibit I State'!G51+'Exhibit I Federal'!G34</f>
        <v>0.8</v>
      </c>
      <c r="H52" s="1578"/>
      <c r="I52" s="672">
        <f>+'Exhibit I State'!I51+'Exhibit I Federal'!I34</f>
        <v>0.49999999999999989</v>
      </c>
      <c r="J52" s="1578"/>
      <c r="K52" s="672">
        <f>+'Exhibit I State'!K51+'Exhibit I Federal'!K34</f>
        <v>0.6</v>
      </c>
      <c r="L52" s="66"/>
      <c r="M52" s="672"/>
      <c r="N52" s="66"/>
      <c r="O52" s="672"/>
      <c r="P52" s="66"/>
      <c r="Q52" s="672"/>
      <c r="R52" s="66"/>
      <c r="S52" s="672"/>
      <c r="T52" s="66"/>
      <c r="U52" s="672"/>
      <c r="V52" s="66"/>
      <c r="W52" s="672"/>
      <c r="X52" s="66"/>
      <c r="Y52" s="672"/>
      <c r="Z52" s="66"/>
      <c r="AA52" s="672"/>
      <c r="AB52" s="170"/>
      <c r="AC52" s="170">
        <v>0</v>
      </c>
      <c r="AD52" s="66"/>
      <c r="AE52" s="57"/>
      <c r="AF52" s="1102">
        <f>ROUND(SUM(E52:AC52),1)</f>
        <v>2.8</v>
      </c>
      <c r="AG52" s="996"/>
      <c r="AH52" s="60"/>
      <c r="AI52" s="3662">
        <f>+'Exhibit I State'!AG51+'Exhibit I Federal'!AG34</f>
        <v>2.9000000000000004</v>
      </c>
      <c r="AJ52" s="77"/>
      <c r="AK52" s="335"/>
      <c r="AL52" s="58">
        <f t="shared" si="0"/>
        <v>-0.1</v>
      </c>
      <c r="AM52" s="333"/>
      <c r="AN52" s="8">
        <f>ROUND(IF(AI52=0,0,AL52/ABS(AI52)),3)</f>
        <v>-3.4000000000000002E-2</v>
      </c>
      <c r="AO52" s="327"/>
    </row>
    <row r="53" spans="1:41" ht="15.75">
      <c r="A53" s="31"/>
      <c r="B53" s="911" t="s">
        <v>1160</v>
      </c>
      <c r="C53" s="31"/>
      <c r="D53" s="31"/>
      <c r="E53" s="672"/>
      <c r="F53" s="1578"/>
      <c r="G53" s="672"/>
      <c r="H53" s="1578"/>
      <c r="I53" s="672"/>
      <c r="J53" s="1578"/>
      <c r="K53" s="672"/>
      <c r="L53" s="66"/>
      <c r="M53" s="672"/>
      <c r="N53" s="66"/>
      <c r="O53" s="672"/>
      <c r="P53" s="66"/>
      <c r="Q53" s="672"/>
      <c r="R53" s="66"/>
      <c r="S53" s="672"/>
      <c r="T53" s="66"/>
      <c r="U53" s="672"/>
      <c r="V53" s="66"/>
      <c r="W53" s="672"/>
      <c r="X53" s="66"/>
      <c r="Y53" s="672"/>
      <c r="Z53" s="66"/>
      <c r="AA53" s="672"/>
      <c r="AB53" s="170"/>
      <c r="AC53" s="672" t="s">
        <v>15</v>
      </c>
      <c r="AD53" s="66"/>
      <c r="AE53" s="57"/>
      <c r="AF53" s="1102"/>
      <c r="AG53" s="996"/>
      <c r="AH53" s="60"/>
      <c r="AI53" s="3660"/>
      <c r="AJ53" s="77"/>
      <c r="AK53" s="335"/>
      <c r="AL53" s="58"/>
      <c r="AM53" s="333"/>
      <c r="AN53" s="8"/>
      <c r="AO53" s="327"/>
    </row>
    <row r="54" spans="1:41" ht="15.75">
      <c r="A54" s="31"/>
      <c r="B54" s="911" t="s">
        <v>1085</v>
      </c>
      <c r="C54" s="31"/>
      <c r="D54" s="31"/>
      <c r="E54" s="672">
        <f>+'Exhibit I State'!E53+'Exhibit I Federal'!E36</f>
        <v>0</v>
      </c>
      <c r="F54" s="1578"/>
      <c r="G54" s="672">
        <f>+'Exhibit I State'!G53+'Exhibit I Federal'!G36</f>
        <v>0</v>
      </c>
      <c r="H54" s="1578"/>
      <c r="I54" s="672">
        <f>+'Exhibit I State'!I53+'Exhibit I Federal'!I36</f>
        <v>0</v>
      </c>
      <c r="J54" s="1578"/>
      <c r="K54" s="672">
        <f>+'Exhibit I State'!K53+'Exhibit I Federal'!K36</f>
        <v>0</v>
      </c>
      <c r="L54" s="66"/>
      <c r="M54" s="672"/>
      <c r="N54" s="66"/>
      <c r="O54" s="672"/>
      <c r="P54" s="66"/>
      <c r="Q54" s="672"/>
      <c r="R54" s="66"/>
      <c r="S54" s="672"/>
      <c r="T54" s="66"/>
      <c r="U54" s="672"/>
      <c r="V54" s="66"/>
      <c r="W54" s="672"/>
      <c r="X54" s="66"/>
      <c r="Y54" s="672"/>
      <c r="Z54" s="66"/>
      <c r="AA54" s="672"/>
      <c r="AB54" s="170"/>
      <c r="AC54" s="362">
        <v>0</v>
      </c>
      <c r="AD54" s="118"/>
      <c r="AE54" s="692"/>
      <c r="AF54" s="1102">
        <f t="shared" ref="AF54:AF58" si="2">ROUND(SUM(E54:AC54),1)</f>
        <v>0</v>
      </c>
      <c r="AG54" s="1128"/>
      <c r="AH54" s="68"/>
      <c r="AI54" s="3660">
        <f>+'Exhibit I State'!AG53+'Exhibit I Federal'!AG36</f>
        <v>0</v>
      </c>
      <c r="AJ54" s="77"/>
      <c r="AK54" s="335"/>
      <c r="AL54" s="684">
        <f>ROUND(SUM(+AF54-AI54),1)</f>
        <v>0</v>
      </c>
      <c r="AM54" s="962"/>
      <c r="AN54" s="1465">
        <f>ROUND(IF(AI54=0,0,AL54/ABS(AI54)),3)</f>
        <v>0</v>
      </c>
      <c r="AO54" s="327"/>
    </row>
    <row r="55" spans="1:41" ht="15.75">
      <c r="A55" s="31"/>
      <c r="B55" s="911" t="s">
        <v>1087</v>
      </c>
      <c r="C55" s="31"/>
      <c r="D55" s="31"/>
      <c r="E55" s="672">
        <f>+'Exhibit I State'!E54+'Exhibit I Federal'!E37</f>
        <v>10.1</v>
      </c>
      <c r="F55" s="1578"/>
      <c r="G55" s="672">
        <f>+'Exhibit I State'!G54+'Exhibit I Federal'!G37</f>
        <v>0.5</v>
      </c>
      <c r="H55" s="1578"/>
      <c r="I55" s="672">
        <f>+'Exhibit I State'!I54+'Exhibit I Federal'!I37</f>
        <v>0.30000000000000071</v>
      </c>
      <c r="J55" s="1578"/>
      <c r="K55" s="672">
        <f>+'Exhibit I State'!K54+'Exhibit I Federal'!K37</f>
        <v>0.59999999999999964</v>
      </c>
      <c r="L55" s="66"/>
      <c r="M55" s="672"/>
      <c r="N55" s="66"/>
      <c r="O55" s="672"/>
      <c r="P55" s="66"/>
      <c r="Q55" s="672"/>
      <c r="R55" s="66"/>
      <c r="S55" s="672"/>
      <c r="T55" s="66"/>
      <c r="U55" s="672"/>
      <c r="V55" s="66"/>
      <c r="W55" s="672"/>
      <c r="X55" s="66"/>
      <c r="Y55" s="672"/>
      <c r="Z55" s="66"/>
      <c r="AA55" s="672"/>
      <c r="AB55" s="170"/>
      <c r="AC55" s="362">
        <v>0</v>
      </c>
      <c r="AD55" s="118"/>
      <c r="AE55" s="692"/>
      <c r="AF55" s="1102">
        <f t="shared" si="2"/>
        <v>11.5</v>
      </c>
      <c r="AG55" s="1128"/>
      <c r="AH55" s="68"/>
      <c r="AI55" s="3660">
        <f>+'Exhibit I State'!AG54+'Exhibit I Federal'!AG37</f>
        <v>0.1</v>
      </c>
      <c r="AJ55" s="77"/>
      <c r="AK55" s="335"/>
      <c r="AL55" s="684">
        <f>ROUND(SUM(+AF55-AI55),1)</f>
        <v>11.4</v>
      </c>
      <c r="AM55" s="962"/>
      <c r="AN55" s="1505">
        <f>ROUND(IF(AI55=0,1,AL55/ABS(AI55)),3)</f>
        <v>114</v>
      </c>
      <c r="AO55" s="327"/>
    </row>
    <row r="56" spans="1:41" ht="15.75">
      <c r="A56" s="31"/>
      <c r="B56" s="911" t="s">
        <v>1088</v>
      </c>
      <c r="C56" s="31"/>
      <c r="D56" s="31"/>
      <c r="E56" s="672">
        <f>+'Exhibit I State'!E55+'Exhibit I Federal'!E38</f>
        <v>-0.9</v>
      </c>
      <c r="F56" s="1578"/>
      <c r="G56" s="672">
        <f>+'Exhibit I State'!G55+'Exhibit I Federal'!G38</f>
        <v>0</v>
      </c>
      <c r="H56" s="1578"/>
      <c r="I56" s="672">
        <f>+'Exhibit I State'!I55+'Exhibit I Federal'!I38</f>
        <v>0</v>
      </c>
      <c r="J56" s="1578"/>
      <c r="K56" s="672">
        <f>+'Exhibit I State'!K55+'Exhibit I Federal'!K38</f>
        <v>0</v>
      </c>
      <c r="L56" s="66"/>
      <c r="M56" s="672"/>
      <c r="N56" s="66"/>
      <c r="O56" s="672"/>
      <c r="P56" s="66"/>
      <c r="Q56" s="672"/>
      <c r="R56" s="66"/>
      <c r="S56" s="672"/>
      <c r="T56" s="66"/>
      <c r="U56" s="672"/>
      <c r="V56" s="66"/>
      <c r="W56" s="672"/>
      <c r="X56" s="66"/>
      <c r="Y56" s="672"/>
      <c r="Z56" s="66"/>
      <c r="AA56" s="672"/>
      <c r="AB56" s="170"/>
      <c r="AC56" s="362">
        <v>0</v>
      </c>
      <c r="AD56" s="118"/>
      <c r="AE56" s="692"/>
      <c r="AF56" s="1102">
        <f t="shared" si="2"/>
        <v>-0.9</v>
      </c>
      <c r="AG56" s="2269"/>
      <c r="AH56" s="68"/>
      <c r="AI56" s="3660">
        <f>+'Exhibit I State'!AG55+'Exhibit I Federal'!AG38</f>
        <v>0</v>
      </c>
      <c r="AJ56" s="77"/>
      <c r="AK56" s="335"/>
      <c r="AL56" s="684">
        <f>ROUND(SUM(+AF56-AI56),1)</f>
        <v>-0.9</v>
      </c>
      <c r="AM56" s="962"/>
      <c r="AN56" s="1465">
        <f>ROUND(IF(AI56=0,-1,AL56/ABS(AI56)),3)</f>
        <v>-1</v>
      </c>
      <c r="AO56" s="327"/>
    </row>
    <row r="57" spans="1:41" ht="15.75">
      <c r="A57" s="31"/>
      <c r="B57" s="911" t="s">
        <v>1090</v>
      </c>
      <c r="C57" s="31"/>
      <c r="D57" s="31"/>
      <c r="E57" s="672">
        <f>+'Exhibit I State'!E56</f>
        <v>0</v>
      </c>
      <c r="F57" s="1578"/>
      <c r="G57" s="672">
        <f>+'Exhibit I State'!G56</f>
        <v>0.1</v>
      </c>
      <c r="H57" s="1578"/>
      <c r="I57" s="672">
        <f>+'Exhibit I State'!I56</f>
        <v>0.1</v>
      </c>
      <c r="J57" s="1578"/>
      <c r="K57" s="672">
        <f>+'Exhibit I State'!K56</f>
        <v>0</v>
      </c>
      <c r="L57" s="66"/>
      <c r="M57" s="672"/>
      <c r="N57" s="66"/>
      <c r="O57" s="672"/>
      <c r="P57" s="66"/>
      <c r="Q57" s="672"/>
      <c r="R57" s="66"/>
      <c r="S57" s="672"/>
      <c r="T57" s="66"/>
      <c r="U57" s="672"/>
      <c r="V57" s="66"/>
      <c r="W57" s="672"/>
      <c r="X57" s="66"/>
      <c r="Y57" s="672"/>
      <c r="Z57" s="66"/>
      <c r="AA57" s="672"/>
      <c r="AB57" s="170"/>
      <c r="AC57" s="362">
        <v>0</v>
      </c>
      <c r="AD57" s="118"/>
      <c r="AE57" s="692"/>
      <c r="AF57" s="1102">
        <f t="shared" si="2"/>
        <v>0.2</v>
      </c>
      <c r="AG57" s="2270"/>
      <c r="AH57" s="68"/>
      <c r="AI57" s="3660">
        <f>+'Exhibit I State'!AG56</f>
        <v>0.1</v>
      </c>
      <c r="AJ57" s="77"/>
      <c r="AK57" s="335"/>
      <c r="AL57" s="684">
        <f>ROUND(SUM(+AF57-AI57),1)</f>
        <v>0.1</v>
      </c>
      <c r="AM57" s="962"/>
      <c r="AN57" s="1465">
        <f>ROUND(IF(AI57=0,0,AL57/ABS(AI57)),3)</f>
        <v>1</v>
      </c>
      <c r="AO57" s="327"/>
    </row>
    <row r="58" spans="1:41" ht="15.75">
      <c r="A58" s="31"/>
      <c r="B58" s="911" t="s">
        <v>1091</v>
      </c>
      <c r="C58" s="31"/>
      <c r="D58" s="31"/>
      <c r="E58" s="672">
        <f>+'Exhibit I State'!E57+'Exhibit I Federal'!E39</f>
        <v>0.2</v>
      </c>
      <c r="F58" s="1578"/>
      <c r="G58" s="672">
        <f>+'Exhibit I State'!G57+'Exhibit I Federal'!G39</f>
        <v>0.49999999999999994</v>
      </c>
      <c r="H58" s="1578"/>
      <c r="I58" s="672">
        <f>+'Exhibit I State'!I57+'Exhibit I Federal'!I39</f>
        <v>0.40000000000000019</v>
      </c>
      <c r="J58" s="1578"/>
      <c r="K58" s="672">
        <f>+'Exhibit I State'!K57+'Exhibit I Federal'!K39</f>
        <v>9.9999999999999811E-2</v>
      </c>
      <c r="L58" s="66"/>
      <c r="M58" s="672"/>
      <c r="N58" s="66"/>
      <c r="O58" s="672"/>
      <c r="P58" s="66"/>
      <c r="Q58" s="672"/>
      <c r="R58" s="66"/>
      <c r="S58" s="1144"/>
      <c r="T58" s="66"/>
      <c r="U58" s="1144"/>
      <c r="V58" s="66"/>
      <c r="W58" s="1144"/>
      <c r="X58" s="66"/>
      <c r="Y58" s="1144"/>
      <c r="Z58" s="66"/>
      <c r="AA58" s="1144"/>
      <c r="AB58" s="170"/>
      <c r="AC58" s="362">
        <v>0</v>
      </c>
      <c r="AD58" s="118"/>
      <c r="AE58" s="692"/>
      <c r="AF58" s="1102">
        <f t="shared" si="2"/>
        <v>1.2</v>
      </c>
      <c r="AG58" s="1128"/>
      <c r="AH58" s="68"/>
      <c r="AI58" s="3660">
        <f>+'Exhibit I State'!AG57+'Exhibit I Federal'!AG39</f>
        <v>5.4</v>
      </c>
      <c r="AJ58" s="77"/>
      <c r="AK58" s="335"/>
      <c r="AL58" s="58">
        <f t="shared" si="0"/>
        <v>-4.2</v>
      </c>
      <c r="AM58" s="333"/>
      <c r="AN58" s="1941">
        <f>ROUND(IF(AI58=0,1,AL58/ABS(AI58)),3)</f>
        <v>-0.77800000000000002</v>
      </c>
      <c r="AO58" s="327"/>
    </row>
    <row r="59" spans="1:41" ht="15.75">
      <c r="A59" s="31"/>
      <c r="B59" s="911" t="s">
        <v>1093</v>
      </c>
      <c r="C59" s="31"/>
      <c r="D59" s="31"/>
      <c r="E59" s="672">
        <f>+'Exhibit I State'!E58+'Exhibit I Federal'!E40</f>
        <v>3.6</v>
      </c>
      <c r="F59" s="1578"/>
      <c r="G59" s="672">
        <f>+'Exhibit I State'!G58+'Exhibit I Federal'!G40</f>
        <v>0.80000000000000027</v>
      </c>
      <c r="H59" s="1578"/>
      <c r="I59" s="672">
        <f>+'Exhibit I State'!I58+'Exhibit I Federal'!I40</f>
        <v>1.0999999999999996</v>
      </c>
      <c r="J59" s="1578"/>
      <c r="K59" s="672">
        <f>+'Exhibit I State'!K58+'Exhibit I Federal'!K40</f>
        <v>14.499999999999998</v>
      </c>
      <c r="L59" s="66"/>
      <c r="M59" s="672"/>
      <c r="N59" s="66"/>
      <c r="O59" s="672"/>
      <c r="P59" s="66"/>
      <c r="Q59" s="672"/>
      <c r="R59" s="66"/>
      <c r="S59" s="1144"/>
      <c r="T59" s="66"/>
      <c r="U59" s="1144"/>
      <c r="V59" s="66"/>
      <c r="W59" s="1144"/>
      <c r="X59" s="66"/>
      <c r="Y59" s="1144"/>
      <c r="Z59" s="66"/>
      <c r="AA59" s="1144"/>
      <c r="AB59" s="170"/>
      <c r="AC59" s="362">
        <v>0</v>
      </c>
      <c r="AD59" s="118"/>
      <c r="AE59" s="692"/>
      <c r="AF59" s="1102">
        <f>ROUND(SUM(E59:AC59),1)</f>
        <v>20</v>
      </c>
      <c r="AG59" s="1128"/>
      <c r="AH59" s="68"/>
      <c r="AI59" s="3662">
        <f>+'Exhibit I State'!AG58+'Exhibit I Federal'!AG40</f>
        <v>4.5999999999999996</v>
      </c>
      <c r="AJ59" s="77"/>
      <c r="AK59" s="335"/>
      <c r="AL59" s="58">
        <f t="shared" si="0"/>
        <v>15.4</v>
      </c>
      <c r="AM59" s="333"/>
      <c r="AN59" s="1406">
        <f>ROUND(IF(AI59=0,0,AL59/ABS(AI59)),3)</f>
        <v>3.3479999999999999</v>
      </c>
      <c r="AO59" s="327"/>
    </row>
    <row r="60" spans="1:41" ht="15.75">
      <c r="A60" s="31"/>
      <c r="B60" s="911" t="s">
        <v>1065</v>
      </c>
      <c r="C60" s="31"/>
      <c r="D60" s="31"/>
      <c r="E60" s="672">
        <f>+'Exhibit I State'!E59+'Exhibit I Federal'!E41</f>
        <v>4.1999999999999993</v>
      </c>
      <c r="F60" s="1578"/>
      <c r="G60" s="672">
        <f>+'Exhibit I State'!G59+'Exhibit I Federal'!G41</f>
        <v>0</v>
      </c>
      <c r="H60" s="1578"/>
      <c r="I60" s="672">
        <f>+'Exhibit I State'!I59+'Exhibit I Federal'!I41</f>
        <v>0</v>
      </c>
      <c r="J60" s="1578"/>
      <c r="K60" s="672">
        <f>+'Exhibit I State'!K59+'Exhibit I Federal'!K41</f>
        <v>0</v>
      </c>
      <c r="L60" s="66"/>
      <c r="M60" s="672"/>
      <c r="N60" s="66"/>
      <c r="O60" s="672"/>
      <c r="P60" s="66"/>
      <c r="Q60" s="672"/>
      <c r="R60" s="66"/>
      <c r="S60" s="1144"/>
      <c r="T60" s="66"/>
      <c r="U60" s="1144"/>
      <c r="V60" s="66"/>
      <c r="W60" s="1144"/>
      <c r="X60" s="66"/>
      <c r="Y60" s="1144"/>
      <c r="Z60" s="66"/>
      <c r="AA60" s="1144"/>
      <c r="AB60" s="170"/>
      <c r="AC60" s="362">
        <v>0</v>
      </c>
      <c r="AD60" s="118"/>
      <c r="AE60" s="692"/>
      <c r="AF60" s="1102">
        <f>ROUND(SUM(E60:AC60),1)</f>
        <v>4.2</v>
      </c>
      <c r="AG60" s="1128"/>
      <c r="AH60" s="68"/>
      <c r="AI60" s="3660">
        <f>+'Exhibit I State'!AG59+'Exhibit I Federal'!AG41</f>
        <v>1.1000000000000001</v>
      </c>
      <c r="AJ60" s="77"/>
      <c r="AK60" s="335"/>
      <c r="AL60" s="58">
        <f t="shared" si="0"/>
        <v>3.1</v>
      </c>
      <c r="AM60" s="333"/>
      <c r="AN60" s="1521">
        <f>ROUND(IF(AI60=0,1,AL60/ABS(AI60)),3)</f>
        <v>2.8180000000000001</v>
      </c>
      <c r="AO60" s="327"/>
    </row>
    <row r="61" spans="1:41" s="332" customFormat="1" ht="15.75">
      <c r="A61" s="29"/>
      <c r="B61" s="312" t="s">
        <v>1203</v>
      </c>
      <c r="C61" s="29"/>
      <c r="D61" s="29"/>
      <c r="E61" s="258">
        <f>ROUND(SUM(E37:E60),1)</f>
        <v>304.2</v>
      </c>
      <c r="F61" s="941"/>
      <c r="G61" s="258">
        <f>ROUND(SUM(G37:G60),1)</f>
        <v>92.9</v>
      </c>
      <c r="H61" s="1085"/>
      <c r="I61" s="258">
        <f>ROUND(SUM(I37:I60),1)</f>
        <v>253.6</v>
      </c>
      <c r="J61" s="941"/>
      <c r="K61" s="258">
        <f>ROUND(SUM(K37:K60),1)</f>
        <v>245.3</v>
      </c>
      <c r="L61" s="941"/>
      <c r="M61" s="258">
        <f>ROUND(SUM(M37:M60),1)</f>
        <v>0</v>
      </c>
      <c r="N61" s="941"/>
      <c r="O61" s="258">
        <f>ROUND(SUM(O37:O60),1)</f>
        <v>0</v>
      </c>
      <c r="P61" s="941"/>
      <c r="Q61" s="258">
        <f>ROUND(SUM(Q37:Q60),1)</f>
        <v>0</v>
      </c>
      <c r="R61" s="941"/>
      <c r="S61" s="1586">
        <f>ROUND(SUM(S37:S60),1)</f>
        <v>0</v>
      </c>
      <c r="T61" s="941"/>
      <c r="U61" s="258">
        <f>ROUND(SUM(U37:U60),1)</f>
        <v>0</v>
      </c>
      <c r="V61" s="941"/>
      <c r="W61" s="258">
        <f>ROUND(SUM(W37:W60),1)</f>
        <v>0</v>
      </c>
      <c r="X61" s="941"/>
      <c r="Y61" s="258">
        <f>ROUND(SUM(Y37:Y60),1)</f>
        <v>0</v>
      </c>
      <c r="Z61" s="941"/>
      <c r="AA61" s="258">
        <f>ROUND(SUM(AA37:AA60),1)</f>
        <v>0</v>
      </c>
      <c r="AB61" s="1579"/>
      <c r="AC61" s="1586">
        <f>ROUND(SUM(AC37:AC60),1)</f>
        <v>0</v>
      </c>
      <c r="AD61" s="112"/>
      <c r="AE61" s="693"/>
      <c r="AF61" s="1586">
        <f>ROUND(SUM(AF37:AF60),1)</f>
        <v>896</v>
      </c>
      <c r="AG61" s="1108"/>
      <c r="AH61" s="115"/>
      <c r="AI61" s="1586">
        <f>ROUND(SUM(AI37:AI60),1)</f>
        <v>957.4</v>
      </c>
      <c r="AJ61" s="84"/>
      <c r="AK61" s="335"/>
      <c r="AL61" s="258">
        <f>ROUND(SUM(AL37:AL60),1)</f>
        <v>-61.4</v>
      </c>
      <c r="AM61" s="1086"/>
      <c r="AN61" s="1087">
        <f>ROUND(SUM(AL61/AI61),3)</f>
        <v>-6.4000000000000001E-2</v>
      </c>
    </row>
    <row r="62" spans="1:41" ht="15.75">
      <c r="A62" s="31"/>
      <c r="B62" s="312"/>
      <c r="C62" s="31"/>
      <c r="D62" s="31"/>
      <c r="E62" s="1578"/>
      <c r="F62" s="1578"/>
      <c r="G62" s="1578"/>
      <c r="H62" s="703"/>
      <c r="I62" s="1578"/>
      <c r="J62" s="1578"/>
      <c r="K62" s="1578"/>
      <c r="L62" s="66"/>
      <c r="M62" s="1578"/>
      <c r="N62" s="66"/>
      <c r="O62" s="1578"/>
      <c r="P62" s="66"/>
      <c r="Q62" s="672"/>
      <c r="R62" s="66"/>
      <c r="S62" s="914"/>
      <c r="T62" s="66"/>
      <c r="U62" s="1578"/>
      <c r="V62" s="66"/>
      <c r="W62" s="1578"/>
      <c r="X62" s="66"/>
      <c r="Y62" s="1578"/>
      <c r="Z62" s="66"/>
      <c r="AA62" s="1578"/>
      <c r="AB62" s="1578"/>
      <c r="AC62" s="914"/>
      <c r="AD62" s="118"/>
      <c r="AE62" s="692"/>
      <c r="AF62" s="1102"/>
      <c r="AG62" s="1107"/>
      <c r="AH62" s="67"/>
      <c r="AI62" s="118"/>
      <c r="AJ62" s="77"/>
      <c r="AK62" s="335"/>
      <c r="AL62" s="58"/>
      <c r="AM62" s="336"/>
      <c r="AN62" s="334"/>
    </row>
    <row r="63" spans="1:41" ht="15.75">
      <c r="A63" s="31"/>
      <c r="B63" s="31" t="s">
        <v>150</v>
      </c>
      <c r="C63" s="31"/>
      <c r="D63" s="31"/>
      <c r="E63" s="703">
        <f>+'Exhibit I State'!E62+'Exhibit I Federal'!E44</f>
        <v>38.299999999999997</v>
      </c>
      <c r="F63" s="1578"/>
      <c r="G63" s="703">
        <f>+'Exhibit I State'!G62+'Exhibit I Federal'!G44</f>
        <v>142.89999999999998</v>
      </c>
      <c r="H63" s="1578"/>
      <c r="I63" s="703">
        <f>+'Exhibit I State'!I62+'Exhibit I Federal'!I44</f>
        <v>132.20000000000005</v>
      </c>
      <c r="J63" s="1578"/>
      <c r="K63" s="703">
        <f>+'Exhibit I State'!K62+'Exhibit I Federal'!K44</f>
        <v>155.69999999999999</v>
      </c>
      <c r="L63" s="66"/>
      <c r="M63" s="703"/>
      <c r="N63" s="66"/>
      <c r="O63" s="703"/>
      <c r="P63" s="66"/>
      <c r="Q63" s="3248"/>
      <c r="R63" s="66"/>
      <c r="S63" s="1057"/>
      <c r="T63" s="66"/>
      <c r="U63" s="1057"/>
      <c r="V63" s="66"/>
      <c r="W63" s="1057"/>
      <c r="X63" s="66"/>
      <c r="Y63" s="1057"/>
      <c r="Z63" s="66"/>
      <c r="AA63" s="1057"/>
      <c r="AB63" s="278"/>
      <c r="AC63" s="1102">
        <v>0</v>
      </c>
      <c r="AD63" s="118"/>
      <c r="AE63" s="692"/>
      <c r="AF63" s="118">
        <f>ROUND(SUM(E63:AC63),1)</f>
        <v>469.1</v>
      </c>
      <c r="AG63" s="1103"/>
      <c r="AH63" s="67"/>
      <c r="AI63" s="118">
        <f>+'Exhibit I State'!AG62+'Exhibit I Federal'!AG44</f>
        <v>568.4</v>
      </c>
      <c r="AJ63" s="77"/>
      <c r="AK63" s="337"/>
      <c r="AL63" s="338">
        <f>ROUND(SUM(+AF63-AI63),1)</f>
        <v>-99.3</v>
      </c>
      <c r="AM63" s="336"/>
      <c r="AN63" s="339">
        <f>ROUND(SUM(AL63/AI63),3)</f>
        <v>-0.17499999999999999</v>
      </c>
    </row>
    <row r="64" spans="1:41" ht="15.75">
      <c r="A64" s="31"/>
      <c r="B64" s="31"/>
      <c r="C64" s="31"/>
      <c r="D64" s="31"/>
      <c r="E64" s="704"/>
      <c r="F64" s="1578"/>
      <c r="G64" s="704"/>
      <c r="H64" s="1578"/>
      <c r="I64" s="704"/>
      <c r="J64" s="1578"/>
      <c r="K64" s="704"/>
      <c r="L64" s="66"/>
      <c r="M64" s="88"/>
      <c r="N64" s="66"/>
      <c r="O64" s="88"/>
      <c r="P64" s="66"/>
      <c r="Q64" s="672"/>
      <c r="R64" s="66"/>
      <c r="S64" s="126"/>
      <c r="T64" s="66"/>
      <c r="U64" s="88"/>
      <c r="V64" s="66"/>
      <c r="W64" s="88"/>
      <c r="X64" s="66"/>
      <c r="Y64" s="88"/>
      <c r="Z64" s="66"/>
      <c r="AA64" s="88"/>
      <c r="AB64" s="56"/>
      <c r="AC64" s="126"/>
      <c r="AD64" s="118"/>
      <c r="AE64" s="692"/>
      <c r="AF64" s="126"/>
      <c r="AG64" s="1103"/>
      <c r="AH64" s="67"/>
      <c r="AI64" s="126"/>
      <c r="AJ64" s="56"/>
      <c r="AK64" s="337"/>
      <c r="AL64" s="58"/>
      <c r="AM64" s="327"/>
      <c r="AN64" s="334"/>
    </row>
    <row r="65" spans="1:44" ht="15.75">
      <c r="A65" s="31"/>
      <c r="B65" s="29" t="s">
        <v>197</v>
      </c>
      <c r="C65" s="31"/>
      <c r="D65" s="31"/>
      <c r="E65" s="1905">
        <f>ROUND(SUM(+E61+E63+E33),1)</f>
        <v>456.2</v>
      </c>
      <c r="F65" s="941"/>
      <c r="G65" s="1905">
        <f>ROUND(SUM(+G61+G63+G33),1)</f>
        <v>337.2</v>
      </c>
      <c r="H65" s="941"/>
      <c r="I65" s="1905">
        <f>ROUND(SUM(+I61+I63+I33),1)</f>
        <v>523.9</v>
      </c>
      <c r="J65" s="941"/>
      <c r="K65" s="1905">
        <f>ROUND(SUM(+K61+K63+K33),1)</f>
        <v>510.4</v>
      </c>
      <c r="L65" s="62"/>
      <c r="M65" s="314">
        <f>ROUND(SUM(+M61+M63+M33),1)</f>
        <v>0</v>
      </c>
      <c r="N65" s="62"/>
      <c r="O65" s="314">
        <f>ROUND(SUM(+O61+O63+O33),1)</f>
        <v>0</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75"/>
      <c r="AC65" s="314">
        <f>ROUND(SUM(+AC61+AC63+AC33),1)</f>
        <v>0</v>
      </c>
      <c r="AD65" s="62"/>
      <c r="AE65" s="64"/>
      <c r="AF65" s="314">
        <f>ROUND(SUM(+AF61+AF63+AF33),1)</f>
        <v>1827.7</v>
      </c>
      <c r="AG65" s="216"/>
      <c r="AH65" s="76"/>
      <c r="AI65" s="314">
        <f>ROUND(SUM(+AI61+AI63+AI33),1)</f>
        <v>1983.6</v>
      </c>
      <c r="AJ65" s="84"/>
      <c r="AK65" s="337"/>
      <c r="AL65" s="314">
        <f>ROUND(SUM(+AL61+AL63+AL33),1)</f>
        <v>-155.9</v>
      </c>
      <c r="AM65" s="166"/>
      <c r="AN65" s="919">
        <f>ROUND(SUM(AL65/AI65),3)</f>
        <v>-7.9000000000000001E-2</v>
      </c>
      <c r="AO65" s="332"/>
      <c r="AP65" s="340"/>
      <c r="AQ65" s="332"/>
      <c r="AR65" s="332"/>
    </row>
    <row r="66" spans="1:44" ht="15.75">
      <c r="A66" s="31"/>
      <c r="B66" s="31"/>
      <c r="C66" s="31"/>
      <c r="D66" s="31"/>
      <c r="E66" s="704"/>
      <c r="F66" s="1578"/>
      <c r="G66" s="704"/>
      <c r="H66" s="1578"/>
      <c r="I66" s="704"/>
      <c r="J66" s="1578"/>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8"/>
      <c r="F67" s="1578"/>
      <c r="G67" s="1578"/>
      <c r="H67" s="1578"/>
      <c r="I67" s="1578"/>
      <c r="J67" s="1578"/>
      <c r="K67" s="1578"/>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8"/>
      <c r="F68" s="1578"/>
      <c r="G68" s="1578"/>
      <c r="H68" s="1578"/>
      <c r="I68" s="1578"/>
      <c r="J68" s="1578"/>
      <c r="K68" s="1578"/>
      <c r="L68" s="66"/>
      <c r="M68" s="66"/>
      <c r="N68" s="66"/>
      <c r="O68" s="66"/>
      <c r="P68" s="66"/>
      <c r="Q68" s="672"/>
      <c r="R68" s="66"/>
      <c r="S68" s="118"/>
      <c r="T68" s="66"/>
      <c r="U68" s="66"/>
      <c r="V68" s="66"/>
      <c r="W68" s="66"/>
      <c r="X68" s="66"/>
      <c r="Y68" s="1578" t="s">
        <v>15</v>
      </c>
      <c r="Z68" s="66"/>
      <c r="AA68" s="1578"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8"/>
      <c r="G69" s="703">
        <f>+'Exhibit I State'!G68+'Exhibit I Federal'!G50</f>
        <v>3.2000000000000011</v>
      </c>
      <c r="H69" s="703"/>
      <c r="I69" s="703">
        <f>+'Exhibit I State'!I68+'Exhibit I Federal'!I50</f>
        <v>10.299999999999999</v>
      </c>
      <c r="J69" s="1578"/>
      <c r="K69" s="703">
        <f>+'Exhibit I State'!K68+'Exhibit I Federal'!K50</f>
        <v>10.700000000000001</v>
      </c>
      <c r="L69" s="66"/>
      <c r="M69" s="703"/>
      <c r="N69" s="66"/>
      <c r="O69" s="703"/>
      <c r="P69" s="66"/>
      <c r="Q69" s="672"/>
      <c r="R69" s="66"/>
      <c r="S69" s="1144"/>
      <c r="T69" s="66"/>
      <c r="U69" s="1144"/>
      <c r="V69" s="66"/>
      <c r="W69" s="1144"/>
      <c r="X69" s="66"/>
      <c r="Y69" s="1144"/>
      <c r="Z69" s="66"/>
      <c r="AA69" s="1144"/>
      <c r="AB69" s="278"/>
      <c r="AC69" s="278">
        <v>0</v>
      </c>
      <c r="AD69" s="66"/>
      <c r="AE69" s="57"/>
      <c r="AF69" s="66">
        <f>ROUND(SUM(E69:AC69),1)</f>
        <v>33.4</v>
      </c>
      <c r="AG69" s="79"/>
      <c r="AH69" s="56"/>
      <c r="AI69" s="118">
        <f>+'Exhibit I State'!AG68+'Exhibit I Federal'!AG50</f>
        <v>58.9</v>
      </c>
      <c r="AJ69" s="77"/>
      <c r="AK69" s="335"/>
      <c r="AL69" s="58">
        <f>ROUND(SUM(+AF69-AI69),1)</f>
        <v>-25.5</v>
      </c>
      <c r="AM69" s="336"/>
      <c r="AN69" s="1941">
        <f>ROUND(IF(AI69=0,1,AL69/ABS(AI69)),3)</f>
        <v>-0.433</v>
      </c>
    </row>
    <row r="70" spans="1:44" ht="15.75">
      <c r="A70" s="31"/>
      <c r="B70" s="31" t="s">
        <v>26</v>
      </c>
      <c r="C70" s="31"/>
      <c r="D70" s="31"/>
      <c r="E70" s="703">
        <f>+'Exhibit I State'!E69+'Exhibit I Federal'!E51</f>
        <v>25.1</v>
      </c>
      <c r="F70" s="1578"/>
      <c r="G70" s="703">
        <f>+'Exhibit I State'!G69+'Exhibit I Federal'!G51</f>
        <v>33.5</v>
      </c>
      <c r="H70" s="1578"/>
      <c r="I70" s="703">
        <f>+'Exhibit I State'!I69+'Exhibit I Federal'!I51</f>
        <v>2.1000000000000014</v>
      </c>
      <c r="J70" s="1578"/>
      <c r="K70" s="703">
        <f>+'Exhibit I State'!K69+'Exhibit I Federal'!K51</f>
        <v>15</v>
      </c>
      <c r="L70" s="66"/>
      <c r="M70" s="703"/>
      <c r="N70" s="66"/>
      <c r="O70" s="703"/>
      <c r="P70" s="66"/>
      <c r="Q70" s="672"/>
      <c r="R70" s="66"/>
      <c r="S70" s="1144"/>
      <c r="T70" s="66"/>
      <c r="U70" s="1144"/>
      <c r="V70" s="66"/>
      <c r="W70" s="1144"/>
      <c r="X70" s="66"/>
      <c r="Y70" s="1144"/>
      <c r="Z70" s="66"/>
      <c r="AA70" s="1144"/>
      <c r="AB70" s="278"/>
      <c r="AC70" s="278">
        <v>0</v>
      </c>
      <c r="AD70" s="66"/>
      <c r="AE70" s="57"/>
      <c r="AF70" s="118">
        <f>ROUND(SUM(E70:AC70),1)</f>
        <v>75.7</v>
      </c>
      <c r="AG70" s="79"/>
      <c r="AH70" s="56"/>
      <c r="AI70" s="118">
        <f>+'Exhibit I State'!AG69+'Exhibit I Federal'!AG51</f>
        <v>52.5</v>
      </c>
      <c r="AJ70" s="77"/>
      <c r="AK70" s="335"/>
      <c r="AL70" s="58">
        <f t="shared" ref="AL70:AL77" si="3">ROUND(SUM(+AF70-AI70),1)</f>
        <v>23.2</v>
      </c>
      <c r="AM70" s="336"/>
      <c r="AN70" s="1465">
        <f>ROUND(IF(AI70=0,0,AL70/ABS(AI70)),3)</f>
        <v>0.442</v>
      </c>
    </row>
    <row r="71" spans="1:44" ht="15.75">
      <c r="A71" s="31"/>
      <c r="B71" s="31" t="s">
        <v>27</v>
      </c>
      <c r="C71" s="31"/>
      <c r="D71" s="31"/>
      <c r="E71" s="703">
        <f>+'Exhibit I State'!E70+'Exhibit I Federal'!E52</f>
        <v>31.2</v>
      </c>
      <c r="F71" s="1578"/>
      <c r="G71" s="703">
        <f>+'Exhibit I State'!G70+'Exhibit I Federal'!G52</f>
        <v>121.8</v>
      </c>
      <c r="H71" s="1578"/>
      <c r="I71" s="703">
        <f>+'Exhibit I State'!I70+'Exhibit I Federal'!I52</f>
        <v>149</v>
      </c>
      <c r="J71" s="1578"/>
      <c r="K71" s="703">
        <f>+'Exhibit I State'!K70+'Exhibit I Federal'!K52</f>
        <v>39.399999999999977</v>
      </c>
      <c r="L71" s="66"/>
      <c r="M71" s="703"/>
      <c r="N71" s="66"/>
      <c r="O71" s="703"/>
      <c r="P71" s="66"/>
      <c r="Q71" s="672"/>
      <c r="R71" s="66"/>
      <c r="S71" s="1144"/>
      <c r="T71" s="66"/>
      <c r="U71" s="1144"/>
      <c r="V71" s="66"/>
      <c r="W71" s="1144"/>
      <c r="X71" s="66"/>
      <c r="Y71" s="1144"/>
      <c r="Z71" s="66"/>
      <c r="AA71" s="1144"/>
      <c r="AB71" s="703" t="s">
        <v>1285</v>
      </c>
      <c r="AC71" s="703">
        <v>0</v>
      </c>
      <c r="AD71" s="66"/>
      <c r="AE71" s="57"/>
      <c r="AF71" s="118">
        <f>ROUND(SUM(E71:AC71),1)</f>
        <v>341.4</v>
      </c>
      <c r="AG71" s="79"/>
      <c r="AH71" s="56"/>
      <c r="AI71" s="118">
        <f>+'Exhibit I State'!AG70+'Exhibit I Federal'!AG52</f>
        <v>287.89999999999998</v>
      </c>
      <c r="AJ71" s="77"/>
      <c r="AK71" s="335"/>
      <c r="AL71" s="58">
        <f t="shared" si="3"/>
        <v>53.5</v>
      </c>
      <c r="AM71" s="336"/>
      <c r="AN71" s="1465">
        <f>ROUND(IF(AI71=0,0,AL71/ABS(AI71)),3)</f>
        <v>0.186</v>
      </c>
      <c r="AO71" s="327"/>
    </row>
    <row r="72" spans="1:44" ht="15.75">
      <c r="A72" s="31"/>
      <c r="B72" s="31" t="s">
        <v>28</v>
      </c>
      <c r="C72" s="31"/>
      <c r="D72" s="31"/>
      <c r="E72" s="703"/>
      <c r="F72" s="1578"/>
      <c r="G72" s="703"/>
      <c r="H72" s="1578"/>
      <c r="I72" s="703"/>
      <c r="J72" s="1578"/>
      <c r="K72" s="703"/>
      <c r="L72" s="66"/>
      <c r="M72" s="703"/>
      <c r="N72" s="66"/>
      <c r="O72" s="703"/>
      <c r="P72" s="66"/>
      <c r="Q72" s="672"/>
      <c r="R72" s="66"/>
      <c r="S72" s="1144"/>
      <c r="T72" s="66"/>
      <c r="U72" s="1144"/>
      <c r="V72" s="66"/>
      <c r="W72" s="1144"/>
      <c r="X72" s="66"/>
      <c r="Y72" s="1144"/>
      <c r="Z72" s="66"/>
      <c r="AA72" s="1144"/>
      <c r="AB72" s="278"/>
      <c r="AC72" s="278"/>
      <c r="AD72" s="66"/>
      <c r="AE72" s="57"/>
      <c r="AF72" s="914"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8"/>
      <c r="G73" s="703">
        <f>+'Exhibit I State'!G72+'Exhibit I Federal'!G54</f>
        <v>0</v>
      </c>
      <c r="H73" s="1578"/>
      <c r="I73" s="703">
        <f>+'Exhibit I State'!I72+'Exhibit I Federal'!I54</f>
        <v>0</v>
      </c>
      <c r="J73" s="1578"/>
      <c r="K73" s="703">
        <f>+'Exhibit I State'!K72+'Exhibit I Federal'!K54</f>
        <v>0</v>
      </c>
      <c r="L73" s="66"/>
      <c r="M73" s="703"/>
      <c r="N73" s="66"/>
      <c r="O73" s="703"/>
      <c r="P73" s="66"/>
      <c r="Q73" s="672"/>
      <c r="R73" s="66"/>
      <c r="S73" s="1144"/>
      <c r="T73" s="66"/>
      <c r="U73" s="1144"/>
      <c r="V73" s="66"/>
      <c r="W73" s="1144"/>
      <c r="X73" s="66"/>
      <c r="Y73" s="1144"/>
      <c r="Z73" s="66"/>
      <c r="AA73" s="1144"/>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8"/>
      <c r="G74" s="703">
        <f>+'Exhibit I State'!G73+'Exhibit I Federal'!G55</f>
        <v>41.600000000000009</v>
      </c>
      <c r="H74" s="1578"/>
      <c r="I74" s="703">
        <f>+'Exhibit I State'!I73+'Exhibit I Federal'!I55</f>
        <v>20.599999999999994</v>
      </c>
      <c r="J74" s="1578"/>
      <c r="K74" s="703">
        <f>+'Exhibit I State'!K73+'Exhibit I Federal'!K55</f>
        <v>75.999999999999986</v>
      </c>
      <c r="L74" s="66"/>
      <c r="M74" s="703"/>
      <c r="N74" s="66"/>
      <c r="O74" s="703"/>
      <c r="P74" s="66"/>
      <c r="Q74" s="672"/>
      <c r="R74" s="66"/>
      <c r="S74" s="1144"/>
      <c r="T74" s="66"/>
      <c r="U74" s="1144"/>
      <c r="V74" s="66"/>
      <c r="W74" s="1144"/>
      <c r="X74" s="66"/>
      <c r="Y74" s="1144"/>
      <c r="Z74" s="66"/>
      <c r="AA74" s="1144"/>
      <c r="AB74" s="278"/>
      <c r="AC74" s="278">
        <v>0</v>
      </c>
      <c r="AD74" s="66"/>
      <c r="AE74" s="57"/>
      <c r="AF74" s="118">
        <f t="shared" si="4"/>
        <v>169</v>
      </c>
      <c r="AG74" s="79"/>
      <c r="AH74" s="56"/>
      <c r="AI74" s="127">
        <f>+'Exhibit I State'!AG73+'Exhibit I Federal'!AG55</f>
        <v>120.7</v>
      </c>
      <c r="AJ74" s="77"/>
      <c r="AK74" s="335"/>
      <c r="AL74" s="58">
        <f t="shared" si="3"/>
        <v>48.3</v>
      </c>
      <c r="AM74" s="336"/>
      <c r="AN74" s="8">
        <f>ROUND(IF(AI74=0,0,AL74/ABS(AI74)),3)</f>
        <v>0.4</v>
      </c>
    </row>
    <row r="75" spans="1:44" ht="15.75">
      <c r="A75" s="31"/>
      <c r="B75" s="31" t="s">
        <v>31</v>
      </c>
      <c r="C75" s="31"/>
      <c r="D75" s="31"/>
      <c r="E75" s="703">
        <f>+'Exhibit I State'!E74+'Exhibit I Federal'!E56</f>
        <v>10</v>
      </c>
      <c r="F75" s="1578"/>
      <c r="G75" s="703">
        <f>+'Exhibit I State'!G74+'Exhibit I Federal'!G56</f>
        <v>-0.1</v>
      </c>
      <c r="H75" s="1578"/>
      <c r="I75" s="703">
        <f>+'Exhibit I State'!I74+'Exhibit I Federal'!I56</f>
        <v>-0.70000000000000107</v>
      </c>
      <c r="J75" s="1578"/>
      <c r="K75" s="703">
        <f>+'Exhibit I State'!K74+'Exhibit I Federal'!K56</f>
        <v>9.9999999999999645E-2</v>
      </c>
      <c r="L75" s="66"/>
      <c r="M75" s="703"/>
      <c r="N75" s="66"/>
      <c r="O75" s="703"/>
      <c r="P75" s="66"/>
      <c r="Q75" s="672"/>
      <c r="R75" s="66"/>
      <c r="S75" s="1144"/>
      <c r="T75" s="66"/>
      <c r="U75" s="1144"/>
      <c r="V75" s="66"/>
      <c r="W75" s="1144"/>
      <c r="X75" s="66"/>
      <c r="Y75" s="1144"/>
      <c r="Z75" s="66"/>
      <c r="AA75" s="1144"/>
      <c r="AB75" s="278"/>
      <c r="AC75" s="278">
        <v>0</v>
      </c>
      <c r="AD75" s="66"/>
      <c r="AE75" s="57"/>
      <c r="AF75" s="118">
        <f t="shared" si="4"/>
        <v>9.3000000000000007</v>
      </c>
      <c r="AG75" s="79"/>
      <c r="AH75" s="56"/>
      <c r="AI75" s="127">
        <f>+'Exhibit I State'!AG74+'Exhibit I Federal'!AG56</f>
        <v>32.200000000000003</v>
      </c>
      <c r="AJ75" s="77"/>
      <c r="AK75" s="335"/>
      <c r="AL75" s="58">
        <f t="shared" si="3"/>
        <v>-22.9</v>
      </c>
      <c r="AM75" s="336"/>
      <c r="AN75" s="1505">
        <f>ROUND(IF(AI75=0,1,AL75/ABS(AI75)),3)</f>
        <v>-0.71099999999999997</v>
      </c>
      <c r="AO75" s="327"/>
    </row>
    <row r="76" spans="1:44" ht="15.75">
      <c r="A76" s="31"/>
      <c r="B76" s="31" t="s">
        <v>32</v>
      </c>
      <c r="C76" s="31"/>
      <c r="D76" s="31"/>
      <c r="E76" s="703">
        <f>+'Exhibit I State'!E75+'Exhibit I Federal'!E57</f>
        <v>0</v>
      </c>
      <c r="F76" s="1578"/>
      <c r="G76" s="703">
        <f>+'Exhibit I State'!G75+'Exhibit I Federal'!G57</f>
        <v>10.9</v>
      </c>
      <c r="H76" s="1578"/>
      <c r="I76" s="703">
        <f>+'Exhibit I State'!I75+'Exhibit I Federal'!I57</f>
        <v>86.1</v>
      </c>
      <c r="J76" s="1578"/>
      <c r="K76" s="703">
        <f>+'Exhibit I State'!K75+'Exhibit I Federal'!K57</f>
        <v>6</v>
      </c>
      <c r="L76" s="66"/>
      <c r="M76" s="703"/>
      <c r="N76" s="66"/>
      <c r="O76" s="703"/>
      <c r="P76" s="66"/>
      <c r="Q76" s="672"/>
      <c r="R76" s="66"/>
      <c r="S76" s="1144"/>
      <c r="T76" s="66"/>
      <c r="U76" s="1144"/>
      <c r="V76" s="66"/>
      <c r="W76" s="1144"/>
      <c r="X76" s="66"/>
      <c r="Y76" s="1144"/>
      <c r="Z76" s="66"/>
      <c r="AA76" s="1144"/>
      <c r="AB76" s="278"/>
      <c r="AC76" s="278">
        <v>0</v>
      </c>
      <c r="AD76" s="66"/>
      <c r="AE76" s="57"/>
      <c r="AF76" s="118">
        <f t="shared" si="4"/>
        <v>103</v>
      </c>
      <c r="AG76" s="79"/>
      <c r="AH76" s="56"/>
      <c r="AI76" s="127">
        <f>+'Exhibit I State'!AG75+'Exhibit I Federal'!AG57</f>
        <v>176.5</v>
      </c>
      <c r="AJ76" s="66"/>
      <c r="AK76" s="337"/>
      <c r="AL76" s="58">
        <f t="shared" si="3"/>
        <v>-73.5</v>
      </c>
      <c r="AM76" s="336"/>
      <c r="AN76" s="1465">
        <f>ROUND(IF(AI76=0,1,AL76/ABS(AI76)),3)</f>
        <v>-0.41599999999999998</v>
      </c>
      <c r="AO76" s="327"/>
    </row>
    <row r="77" spans="1:44" ht="15.75">
      <c r="A77" s="31"/>
      <c r="B77" s="31" t="s">
        <v>33</v>
      </c>
      <c r="C77" s="29"/>
      <c r="D77" s="31"/>
      <c r="E77" s="703">
        <f>+'Exhibit I State'!E76+'Exhibit I Federal'!E58</f>
        <v>26.7</v>
      </c>
      <c r="F77" s="1578"/>
      <c r="G77" s="703">
        <f>+'Exhibit I State'!G76+'Exhibit I Federal'!G58</f>
        <v>149.20000000000002</v>
      </c>
      <c r="H77" s="1578"/>
      <c r="I77" s="703">
        <f>+'Exhibit I State'!I76+'Exhibit I Federal'!I58</f>
        <v>197.4</v>
      </c>
      <c r="J77" s="1578"/>
      <c r="K77" s="703">
        <f>+'Exhibit I State'!K76+'Exhibit I Federal'!K58</f>
        <v>39.199999999999989</v>
      </c>
      <c r="L77" s="66"/>
      <c r="M77" s="703"/>
      <c r="N77" s="66"/>
      <c r="O77" s="703"/>
      <c r="P77" s="66"/>
      <c r="Q77" s="672"/>
      <c r="R77" s="66"/>
      <c r="S77" s="1144"/>
      <c r="T77" s="66"/>
      <c r="U77" s="1144"/>
      <c r="V77" s="66"/>
      <c r="W77" s="1144"/>
      <c r="X77" s="66"/>
      <c r="Y77" s="1144"/>
      <c r="Z77" s="66"/>
      <c r="AA77" s="1144"/>
      <c r="AB77" s="278"/>
      <c r="AC77" s="278">
        <v>0</v>
      </c>
      <c r="AD77" s="66"/>
      <c r="AE77" s="57"/>
      <c r="AF77" s="118">
        <f t="shared" si="4"/>
        <v>412.5</v>
      </c>
      <c r="AG77" s="79"/>
      <c r="AH77" s="56"/>
      <c r="AI77" s="127">
        <f>+'Exhibit I State'!AG76+'Exhibit I Federal'!AG58</f>
        <v>326.2</v>
      </c>
      <c r="AJ77" s="66"/>
      <c r="AK77" s="337"/>
      <c r="AL77" s="58">
        <f t="shared" si="3"/>
        <v>86.3</v>
      </c>
      <c r="AM77" s="336"/>
      <c r="AN77" s="1610">
        <f>ROUND(IF(AI77=0,0,AL77/ABS(AI77)),3)</f>
        <v>0.26500000000000001</v>
      </c>
      <c r="AO77" s="327"/>
    </row>
    <row r="78" spans="1:44" ht="15.75">
      <c r="A78" s="31"/>
      <c r="B78" s="31" t="s">
        <v>34</v>
      </c>
      <c r="C78" s="31"/>
      <c r="D78" s="31"/>
      <c r="E78" s="703">
        <f>+'Exhibit I State'!E77+'Exhibit I Federal'!E59</f>
        <v>232.7</v>
      </c>
      <c r="F78" s="1578"/>
      <c r="G78" s="703">
        <f>+'Exhibit I State'!G77+'Exhibit I Federal'!G59</f>
        <v>44.70000000000001</v>
      </c>
      <c r="H78" s="1578"/>
      <c r="I78" s="703">
        <f>+'Exhibit I State'!I77+'Exhibit I Federal'!I59</f>
        <v>70.800000000000011</v>
      </c>
      <c r="J78" s="1578"/>
      <c r="K78" s="703">
        <f>+'Exhibit I State'!K77+'Exhibit I Federal'!K59</f>
        <v>57.100000000000009</v>
      </c>
      <c r="L78" s="66"/>
      <c r="M78" s="703"/>
      <c r="N78" s="66"/>
      <c r="O78" s="703"/>
      <c r="P78" s="66"/>
      <c r="Q78" s="672"/>
      <c r="R78" s="66"/>
      <c r="S78" s="1144"/>
      <c r="T78" s="66"/>
      <c r="U78" s="1144"/>
      <c r="V78" s="66"/>
      <c r="W78" s="1144"/>
      <c r="X78" s="66"/>
      <c r="Y78" s="1144"/>
      <c r="Z78" s="66"/>
      <c r="AA78" s="1144"/>
      <c r="AB78" s="278"/>
      <c r="AC78" s="278">
        <v>0</v>
      </c>
      <c r="AD78" s="66"/>
      <c r="AE78" s="57"/>
      <c r="AF78" s="118">
        <f>ROUND(SUM(E78:AC78),1)</f>
        <v>405.3</v>
      </c>
      <c r="AG78" s="79"/>
      <c r="AH78" s="56"/>
      <c r="AI78" s="1063">
        <f>+'Exhibit I State'!AG77+'Exhibit I Federal'!AG59</f>
        <v>486.9</v>
      </c>
      <c r="AJ78" s="56"/>
      <c r="AK78" s="337"/>
      <c r="AL78" s="58">
        <f>ROUND(SUM(+AF78-AI78),1)</f>
        <v>-81.599999999999994</v>
      </c>
      <c r="AM78" s="327"/>
      <c r="AN78" s="1466">
        <f>ROUND(IF(AI78=0,0,AL78/ABS(AI78)),3)</f>
        <v>-0.16800000000000001</v>
      </c>
      <c r="AO78" s="327"/>
    </row>
    <row r="79" spans="1:44" ht="15.75">
      <c r="A79" s="31"/>
      <c r="B79" s="29" t="s">
        <v>198</v>
      </c>
      <c r="C79" s="31"/>
      <c r="D79" s="31"/>
      <c r="E79" s="296">
        <f>ROUND(SUM(E69:E78),1)</f>
        <v>365.7</v>
      </c>
      <c r="F79" s="941"/>
      <c r="G79" s="296">
        <f>ROUND(SUM(G69:G78),1)</f>
        <v>404.8</v>
      </c>
      <c r="H79" s="941"/>
      <c r="I79" s="296">
        <f>ROUND(SUM(I69:I78),1)</f>
        <v>535.6</v>
      </c>
      <c r="J79" s="1579"/>
      <c r="K79" s="296">
        <f>ROUND(SUM(K69:K78),1)</f>
        <v>243.5</v>
      </c>
      <c r="L79" s="76"/>
      <c r="M79" s="296">
        <f>ROUND(SUM(M69:M78),1)</f>
        <v>0</v>
      </c>
      <c r="N79" s="76"/>
      <c r="O79" s="296">
        <f>ROUND(SUM(O69:O78),1)</f>
        <v>0</v>
      </c>
      <c r="P79" s="62"/>
      <c r="Q79" s="296">
        <f>ROUND(SUM(Q69:Q78),1)</f>
        <v>0</v>
      </c>
      <c r="R79" s="62"/>
      <c r="S79" s="1118">
        <f>ROUND(SUM(S69:S78),1)</f>
        <v>0</v>
      </c>
      <c r="T79" s="62"/>
      <c r="U79" s="296">
        <f>ROUND(SUM(U69:U78),1)</f>
        <v>0</v>
      </c>
      <c r="V79" s="62"/>
      <c r="W79" s="296">
        <f>ROUND(SUM(W69:W78),1)</f>
        <v>0</v>
      </c>
      <c r="X79" s="62"/>
      <c r="Y79" s="296">
        <f>ROUND(SUM(Y69:Y78),1)</f>
        <v>0</v>
      </c>
      <c r="Z79" s="62"/>
      <c r="AA79" s="296">
        <f>ROUND(SUM(AA69:AA78),1)</f>
        <v>0</v>
      </c>
      <c r="AB79" s="1579"/>
      <c r="AC79" s="296">
        <f>ROUND(SUM(AC69:AC78),1)</f>
        <v>0</v>
      </c>
      <c r="AD79" s="62"/>
      <c r="AE79" s="64"/>
      <c r="AF79" s="1118">
        <f>ROUND(SUM(AF69:AF78),1)</f>
        <v>1549.6</v>
      </c>
      <c r="AG79" s="216"/>
      <c r="AH79" s="76"/>
      <c r="AI79" s="1118">
        <f>ROUND(SUM(AI69:AI78),1)</f>
        <v>1541.8</v>
      </c>
      <c r="AJ79" s="76"/>
      <c r="AK79" s="337"/>
      <c r="AL79" s="296">
        <f>ROUND(SUM(AL69:AL78),1)</f>
        <v>7.8</v>
      </c>
      <c r="AM79" s="343"/>
      <c r="AN79" s="919">
        <f>ROUND(SUM(AL79/AI79),3)</f>
        <v>5.0000000000000001E-3</v>
      </c>
      <c r="AO79" s="332"/>
      <c r="AP79" s="340"/>
      <c r="AQ79" s="332"/>
      <c r="AR79" s="332"/>
    </row>
    <row r="80" spans="1:44" ht="15.75">
      <c r="A80" s="31"/>
      <c r="B80" s="31" t="s">
        <v>199</v>
      </c>
      <c r="C80" s="31"/>
      <c r="D80" s="31"/>
      <c r="E80" s="1578"/>
      <c r="F80" s="1578"/>
      <c r="G80" s="1578"/>
      <c r="H80" s="1578"/>
      <c r="I80" s="1578"/>
      <c r="J80" s="1578"/>
      <c r="K80" s="1578"/>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200</v>
      </c>
      <c r="C81" s="31"/>
      <c r="D81" s="31"/>
      <c r="E81" s="703">
        <f>+'Exhibit I State'!E80+'Exhibit I Federal'!E62</f>
        <v>0</v>
      </c>
      <c r="F81" s="1578"/>
      <c r="G81" s="703">
        <f>+'Exhibit I State'!G80+'Exhibit I Federal'!G62</f>
        <v>0</v>
      </c>
      <c r="H81" s="1578"/>
      <c r="I81" s="703">
        <f>+'Exhibit I State'!I80+'Exhibit I Federal'!I62</f>
        <v>0</v>
      </c>
      <c r="J81" s="1578"/>
      <c r="K81" s="703">
        <f>+'Exhibit I State'!K80+'Exhibit I Federal'!K62</f>
        <v>0</v>
      </c>
      <c r="L81" s="66"/>
      <c r="M81" s="703"/>
      <c r="N81" s="66"/>
      <c r="O81" s="703"/>
      <c r="P81" s="66"/>
      <c r="Q81" s="703"/>
      <c r="R81" s="66"/>
      <c r="S81" s="1587"/>
      <c r="T81" s="66"/>
      <c r="U81" s="1587"/>
      <c r="V81" s="66"/>
      <c r="W81" s="1587"/>
      <c r="X81" s="66"/>
      <c r="Y81" s="1587"/>
      <c r="Z81" s="66"/>
      <c r="AA81" s="1587"/>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8"/>
      <c r="G82" s="703">
        <f>+'Exhibit I State'!G81+'Exhibit I Federal'!G63</f>
        <v>0</v>
      </c>
      <c r="H82" s="1578"/>
      <c r="I82" s="703">
        <f>+'Exhibit I State'!I81+'Exhibit I Federal'!I63</f>
        <v>0</v>
      </c>
      <c r="J82" s="1578"/>
      <c r="K82" s="703">
        <f>+'Exhibit I State'!K81+'Exhibit I Federal'!K63</f>
        <v>0</v>
      </c>
      <c r="L82" s="66"/>
      <c r="M82" s="703"/>
      <c r="N82" s="66"/>
      <c r="O82" s="703"/>
      <c r="P82" s="66"/>
      <c r="Q82" s="703"/>
      <c r="R82" s="66"/>
      <c r="S82" s="1587"/>
      <c r="T82" s="66"/>
      <c r="U82" s="1587"/>
      <c r="V82" s="66"/>
      <c r="W82" s="1587"/>
      <c r="X82" s="66"/>
      <c r="Y82" s="1587"/>
      <c r="Z82" s="66"/>
      <c r="AA82" s="1587"/>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8"/>
      <c r="G83" s="703">
        <f>+'Exhibit I State'!G82+'Exhibit I Federal'!G64</f>
        <v>0</v>
      </c>
      <c r="H83" s="1578"/>
      <c r="I83" s="703">
        <f>+'Exhibit I State'!I82+'Exhibit I Federal'!I64</f>
        <v>0</v>
      </c>
      <c r="J83" s="1578"/>
      <c r="K83" s="703">
        <f>+'Exhibit I State'!K82+'Exhibit I Federal'!K64</f>
        <v>0</v>
      </c>
      <c r="L83" s="66"/>
      <c r="M83" s="703"/>
      <c r="N83" s="66"/>
      <c r="O83" s="703"/>
      <c r="P83" s="66"/>
      <c r="Q83" s="703"/>
      <c r="R83" s="66"/>
      <c r="S83" s="1587"/>
      <c r="T83" s="66"/>
      <c r="U83" s="1587"/>
      <c r="V83" s="66"/>
      <c r="W83" s="1587"/>
      <c r="X83" s="66"/>
      <c r="Y83" s="1587"/>
      <c r="Z83" s="346"/>
      <c r="AA83" s="1587"/>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8"/>
      <c r="G84" s="703">
        <f>+'Exhibit I State'!G83+'Exhibit I Federal'!G65</f>
        <v>528.1</v>
      </c>
      <c r="H84" s="672"/>
      <c r="I84" s="703">
        <f>+'Exhibit I State'!I83+'Exhibit I Federal'!I65</f>
        <v>536.4</v>
      </c>
      <c r="J84" s="672"/>
      <c r="K84" s="703">
        <f>+'Exhibit I State'!K83+'Exhibit I Federal'!K65</f>
        <v>600.69999999999982</v>
      </c>
      <c r="L84" s="66"/>
      <c r="M84" s="703"/>
      <c r="N84" s="66"/>
      <c r="O84" s="703"/>
      <c r="P84" s="66"/>
      <c r="Q84" s="703"/>
      <c r="R84" s="66"/>
      <c r="S84" s="1587"/>
      <c r="T84" s="66"/>
      <c r="U84" s="1587"/>
      <c r="V84" s="66"/>
      <c r="W84" s="1587"/>
      <c r="X84" s="66"/>
      <c r="Y84" s="1587"/>
      <c r="Z84" s="66"/>
      <c r="AA84" s="1587"/>
      <c r="AB84" s="278"/>
      <c r="AC84" s="278">
        <v>0</v>
      </c>
      <c r="AD84" s="66"/>
      <c r="AE84" s="57"/>
      <c r="AF84" s="119">
        <f>ROUND(SUM(E84:AC84),1)</f>
        <v>2099.3000000000002</v>
      </c>
      <c r="AG84" s="79"/>
      <c r="AH84" s="56"/>
      <c r="AI84" s="3663">
        <f>+'Exhibit I State'!AG83+'Exhibit I Federal'!AG65</f>
        <v>2147.5</v>
      </c>
      <c r="AJ84" s="78"/>
      <c r="AK84" s="335"/>
      <c r="AL84" s="338">
        <f>ROUND(SUM(+AF84-AI84),1)</f>
        <v>-48.2</v>
      </c>
      <c r="AM84" s="327"/>
      <c r="AN84" s="922">
        <f>ROUND(IF(AI84=0,0,AL84/ABS(AI84)),3)</f>
        <v>-2.1999999999999999E-2</v>
      </c>
    </row>
    <row r="85" spans="1:44" ht="15.75">
      <c r="A85" s="31"/>
      <c r="B85" s="31"/>
      <c r="C85" s="31"/>
      <c r="D85" s="31"/>
      <c r="E85" s="704"/>
      <c r="F85" s="1578"/>
      <c r="G85" s="704"/>
      <c r="H85" s="1578"/>
      <c r="I85" s="704"/>
      <c r="J85" s="1578"/>
      <c r="K85" s="704"/>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203</v>
      </c>
      <c r="C86" s="31"/>
      <c r="D86" s="31"/>
      <c r="E86" s="941">
        <f>ROUND(SUM(+E84+E79),1)</f>
        <v>799.8</v>
      </c>
      <c r="F86" s="941"/>
      <c r="G86" s="941">
        <f>ROUND(SUM(+G84+G79),1)</f>
        <v>932.9</v>
      </c>
      <c r="H86" s="941"/>
      <c r="I86" s="941">
        <f>ROUND(SUM(+I84+I79),1)</f>
        <v>1072</v>
      </c>
      <c r="J86" s="941"/>
      <c r="K86" s="941">
        <f>ROUND(SUM(+K84+K79),1)</f>
        <v>844.2</v>
      </c>
      <c r="L86" s="62"/>
      <c r="M86" s="941">
        <f>ROUND(SUM(+M84+M79),1)</f>
        <v>0</v>
      </c>
      <c r="N86" s="62"/>
      <c r="O86" s="941">
        <f>ROUND(SUM(+O84+O79),1)</f>
        <v>0</v>
      </c>
      <c r="P86" s="62"/>
      <c r="Q86" s="941">
        <f>ROUND(SUM(+Q84+Q79),1)</f>
        <v>0</v>
      </c>
      <c r="R86" s="62"/>
      <c r="S86" s="112">
        <f>ROUND(SUM(+S84+S79),1)</f>
        <v>0</v>
      </c>
      <c r="T86" s="62"/>
      <c r="U86" s="941">
        <f>ROUND(SUM(+U84+U79),1)</f>
        <v>0</v>
      </c>
      <c r="V86" s="62"/>
      <c r="W86" s="941">
        <f>ROUND(SUM(+W84+W79),1)</f>
        <v>0</v>
      </c>
      <c r="X86" s="62"/>
      <c r="Y86" s="941">
        <f>ROUND(SUM(+Y84+Y79),1)</f>
        <v>0</v>
      </c>
      <c r="Z86" s="62"/>
      <c r="AA86" s="941">
        <f>ROUND(SUM(+AA84+AA79),1)</f>
        <v>0</v>
      </c>
      <c r="AB86" s="941"/>
      <c r="AC86" s="941">
        <f>ROUND(SUM(+AC84+AC79),1)</f>
        <v>0</v>
      </c>
      <c r="AD86" s="62"/>
      <c r="AE86" s="64"/>
      <c r="AF86" s="112">
        <f>ROUND(SUM(+AF84+AF79),1)</f>
        <v>3648.9</v>
      </c>
      <c r="AG86" s="216"/>
      <c r="AH86" s="76"/>
      <c r="AI86" s="112">
        <f>ROUND(SUM(+AI84+AI79),1)</f>
        <v>3689.3</v>
      </c>
      <c r="AJ86" s="76"/>
      <c r="AK86" s="337"/>
      <c r="AL86" s="74">
        <f>ROUND(SUM(AL79+AL84),1)</f>
        <v>-40.4</v>
      </c>
      <c r="AM86" s="343"/>
      <c r="AN86" s="301">
        <f>ROUND(SUM(AL86/AI86),3)</f>
        <v>-1.0999999999999999E-2</v>
      </c>
      <c r="AO86" s="332"/>
      <c r="AP86" s="340"/>
      <c r="AQ86" s="332"/>
      <c r="AR86" s="332"/>
    </row>
    <row r="87" spans="1:44" ht="15.75">
      <c r="A87" s="31"/>
      <c r="B87" s="31"/>
      <c r="C87" s="31"/>
      <c r="D87" s="31"/>
      <c r="E87" s="704"/>
      <c r="F87" s="1578"/>
      <c r="G87" s="704"/>
      <c r="H87" s="1578"/>
      <c r="I87" s="704"/>
      <c r="J87" s="1578"/>
      <c r="K87" s="704"/>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204</v>
      </c>
      <c r="C88" s="31"/>
      <c r="D88" s="31"/>
      <c r="E88" s="1578"/>
      <c r="F88" s="1578"/>
      <c r="G88" s="1578"/>
      <c r="H88" s="1578"/>
      <c r="I88" s="1578"/>
      <c r="J88" s="1578"/>
      <c r="K88" s="1578"/>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205</v>
      </c>
      <c r="C89" s="31"/>
      <c r="D89" s="31"/>
      <c r="E89" s="941">
        <f>ROUND(SUM(E65-E86),1)</f>
        <v>-343.6</v>
      </c>
      <c r="F89" s="941"/>
      <c r="G89" s="941">
        <f>ROUND(SUM(G65-G86),1)</f>
        <v>-595.70000000000005</v>
      </c>
      <c r="H89" s="941"/>
      <c r="I89" s="941">
        <f>ROUND(SUM(I65-I86),1)</f>
        <v>-548.1</v>
      </c>
      <c r="J89" s="941"/>
      <c r="K89" s="941">
        <f>ROUND(SUM(K65-K86),1)</f>
        <v>-333.8</v>
      </c>
      <c r="L89" s="62"/>
      <c r="M89" s="941">
        <f>ROUND(SUM(M65-M86),1)</f>
        <v>0</v>
      </c>
      <c r="N89" s="62"/>
      <c r="O89" s="941">
        <f>ROUND(SUM(O65-O86),1)</f>
        <v>0</v>
      </c>
      <c r="P89" s="62"/>
      <c r="Q89" s="941">
        <f>ROUND(SUM(Q65-Q86),1)</f>
        <v>0</v>
      </c>
      <c r="R89" s="62"/>
      <c r="S89" s="112">
        <f>ROUND(SUM(S65-S86),1)</f>
        <v>0</v>
      </c>
      <c r="T89" s="62"/>
      <c r="U89" s="941">
        <f>ROUND(SUM(U65-U86),1)</f>
        <v>0</v>
      </c>
      <c r="V89" s="62"/>
      <c r="W89" s="941">
        <f>ROUND(SUM(W65-W86),1)</f>
        <v>0</v>
      </c>
      <c r="X89" s="62"/>
      <c r="Y89" s="941">
        <f>ROUND(SUM(Y65-Y86),1)</f>
        <v>0</v>
      </c>
      <c r="Z89" s="62"/>
      <c r="AA89" s="941">
        <f>ROUND(SUM(AA65-AA86),1)</f>
        <v>0</v>
      </c>
      <c r="AB89" s="941"/>
      <c r="AC89" s="941">
        <f>ROUND(SUM(AC65-AC86),1)</f>
        <v>0</v>
      </c>
      <c r="AD89" s="62"/>
      <c r="AE89" s="64"/>
      <c r="AF89" s="112">
        <f>ROUND(SUM(AF65-AF86),1)</f>
        <v>-1821.2</v>
      </c>
      <c r="AG89" s="216"/>
      <c r="AH89" s="76"/>
      <c r="AI89" s="112">
        <f>ROUND(SUM(AI65-AI86),1)</f>
        <v>-1705.7</v>
      </c>
      <c r="AJ89" s="76"/>
      <c r="AK89" s="337"/>
      <c r="AL89" s="74">
        <f>ROUND(SUM(AL65-AL86),1)</f>
        <v>-115.5</v>
      </c>
      <c r="AM89" s="343"/>
      <c r="AN89" s="301">
        <f>ROUND(IF(AI89=0,0,AL89/ABS(AI89)),3)</f>
        <v>-6.8000000000000005E-2</v>
      </c>
      <c r="AO89" s="332"/>
      <c r="AP89" s="332"/>
      <c r="AQ89" s="332"/>
      <c r="AR89" s="332"/>
    </row>
    <row r="90" spans="1:44" ht="15.75">
      <c r="A90" s="31"/>
      <c r="B90" s="31"/>
      <c r="C90" s="31"/>
      <c r="D90" s="31"/>
      <c r="E90" s="704"/>
      <c r="F90" s="1578"/>
      <c r="G90" s="704"/>
      <c r="H90" s="1578"/>
      <c r="I90" s="704"/>
      <c r="J90" s="1578"/>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8"/>
      <c r="F91" s="1578"/>
      <c r="G91" s="1578"/>
      <c r="H91" s="1578"/>
      <c r="I91" s="1578"/>
      <c r="J91" s="1578"/>
      <c r="K91" s="1578"/>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2" customFormat="1" ht="15.75">
      <c r="A92" s="107"/>
      <c r="B92" s="107" t="s">
        <v>207</v>
      </c>
      <c r="C92" s="107"/>
      <c r="D92" s="107"/>
      <c r="E92" s="703">
        <f>+'Exhibit I State'!E91+'Exhibit I Federal'!E73</f>
        <v>0</v>
      </c>
      <c r="F92" s="1578"/>
      <c r="G92" s="703">
        <f>+'Exhibit I State'!G91+'Exhibit I Federal'!G73</f>
        <v>0</v>
      </c>
      <c r="H92" s="672"/>
      <c r="I92" s="703">
        <f>+'Exhibit I State'!I91+'Exhibit I Federal'!I73</f>
        <v>0</v>
      </c>
      <c r="J92" s="1578"/>
      <c r="K92" s="703">
        <f>+'Exhibit I State'!K91+'Exhibit I Federal'!K73</f>
        <v>0</v>
      </c>
      <c r="L92" s="118"/>
      <c r="M92" s="703"/>
      <c r="N92" s="362"/>
      <c r="O92" s="703"/>
      <c r="P92" s="118"/>
      <c r="Q92" s="1587"/>
      <c r="R92" s="118"/>
      <c r="S92" s="1587"/>
      <c r="T92" s="118"/>
      <c r="U92" s="1587"/>
      <c r="V92" s="118"/>
      <c r="W92" s="1587"/>
      <c r="X92" s="118"/>
      <c r="Y92" s="1587"/>
      <c r="Z92" s="118"/>
      <c r="AA92" s="1587"/>
      <c r="AB92" s="1102"/>
      <c r="AC92" s="1102">
        <v>0</v>
      </c>
      <c r="AD92" s="118"/>
      <c r="AE92" s="692"/>
      <c r="AF92" s="119">
        <f>ROUND(SUM(E92:AC92),1)</f>
        <v>0</v>
      </c>
      <c r="AG92" s="1103"/>
      <c r="AH92" s="67"/>
      <c r="AI92" s="127">
        <f>+'Exhibit I State'!AG91+'Exhibit I Federal'!AG73</f>
        <v>0</v>
      </c>
      <c r="AJ92" s="127"/>
      <c r="AK92" s="1130"/>
      <c r="AL92" s="1855">
        <f>ROUND(SUM(+AF92-AI92),1)</f>
        <v>0</v>
      </c>
      <c r="AM92" s="1105"/>
      <c r="AN92" s="1711">
        <f>ROUND(IF(AI92=0,0,AL92/ABS(AI92)),3)</f>
        <v>0</v>
      </c>
    </row>
    <row r="93" spans="1:44" s="1112" customFormat="1" ht="15.75">
      <c r="A93" s="107"/>
      <c r="B93" s="1788" t="s">
        <v>174</v>
      </c>
      <c r="C93" s="107"/>
      <c r="D93" s="107"/>
      <c r="E93" s="703">
        <f>+'Exhibit I State'!E92+'Exhibit I Federal'!E73</f>
        <v>509.2</v>
      </c>
      <c r="F93" s="1578"/>
      <c r="G93" s="703">
        <f>+'Exhibit I State'!G92+'Exhibit I Federal'!G73</f>
        <v>412.40000000000003</v>
      </c>
      <c r="H93" s="703"/>
      <c r="I93" s="703">
        <f>+'Exhibit I State'!I92+'Exhibit I Federal'!I73</f>
        <v>633.49999999999977</v>
      </c>
      <c r="J93" s="1578"/>
      <c r="K93" s="703">
        <f>+'Exhibit I State'!K92+'Exhibit I Federal'!K73</f>
        <v>260.60000000000014</v>
      </c>
      <c r="L93" s="118"/>
      <c r="M93" s="703"/>
      <c r="N93" s="118"/>
      <c r="O93" s="703"/>
      <c r="P93" s="118"/>
      <c r="Q93" s="1587"/>
      <c r="R93" s="118"/>
      <c r="S93" s="1587"/>
      <c r="T93" s="118"/>
      <c r="U93" s="1587"/>
      <c r="V93" s="118"/>
      <c r="W93" s="1587"/>
      <c r="X93" s="118"/>
      <c r="Y93" s="1587"/>
      <c r="Z93" s="118"/>
      <c r="AA93" s="1587"/>
      <c r="AB93" s="3624"/>
      <c r="AC93" s="1851">
        <v>0</v>
      </c>
      <c r="AD93" s="118"/>
      <c r="AE93" s="692"/>
      <c r="AF93" s="119">
        <f>ROUND(SUM(E93:AC93),1)</f>
        <v>1815.7</v>
      </c>
      <c r="AG93" s="1103"/>
      <c r="AH93" s="67"/>
      <c r="AI93" s="118">
        <v>1691.2</v>
      </c>
      <c r="AJ93" s="119"/>
      <c r="AK93" s="1104"/>
      <c r="AL93" s="1855">
        <f>ROUND(SUM(+AF93-AI93),1)</f>
        <v>124.5</v>
      </c>
      <c r="AM93" s="1124"/>
      <c r="AN93" s="1856">
        <f>ROUND(IF(AI93=0,0,AL93/ABS(AI93)),3)</f>
        <v>7.3999999999999996E-2</v>
      </c>
      <c r="AO93" s="1124"/>
      <c r="AP93" s="1125"/>
    </row>
    <row r="94" spans="1:44" ht="15.75">
      <c r="A94" s="31"/>
      <c r="B94" s="54" t="s">
        <v>208</v>
      </c>
      <c r="C94" s="31"/>
      <c r="D94" s="31"/>
      <c r="E94" s="703">
        <f>+'Exhibit I State'!E93+'Exhibit I Federal'!E74</f>
        <v>-45.9</v>
      </c>
      <c r="F94" s="1578"/>
      <c r="G94" s="703">
        <f>+'Exhibit I State'!G93+'Exhibit I Federal'!G74</f>
        <v>-47.70000000000001</v>
      </c>
      <c r="H94" s="1578"/>
      <c r="I94" s="703">
        <f>+'Exhibit I State'!I93+'Exhibit I Federal'!I74</f>
        <v>-48.699999999999996</v>
      </c>
      <c r="J94" s="1578"/>
      <c r="K94" s="703">
        <f>+'Exhibit I State'!K93+'Exhibit I Federal'!K74</f>
        <v>-48.799999999999976</v>
      </c>
      <c r="L94" s="118"/>
      <c r="M94" s="703"/>
      <c r="N94" s="118"/>
      <c r="O94" s="703"/>
      <c r="P94" s="118"/>
      <c r="Q94" s="1587"/>
      <c r="R94" s="118"/>
      <c r="S94" s="1587"/>
      <c r="T94" s="118"/>
      <c r="U94" s="1587"/>
      <c r="V94" s="118"/>
      <c r="W94" s="1587"/>
      <c r="X94" s="118"/>
      <c r="Y94" s="1587"/>
      <c r="Z94" s="118"/>
      <c r="AA94" s="1587"/>
      <c r="AB94" s="3624"/>
      <c r="AC94" s="3610">
        <v>0</v>
      </c>
      <c r="AD94" s="66"/>
      <c r="AE94" s="57"/>
      <c r="AF94" s="119">
        <f>ROUND(SUM(E94:AC94),1)</f>
        <v>-191.1</v>
      </c>
      <c r="AG94" s="79"/>
      <c r="AH94" s="56"/>
      <c r="AI94" s="3712">
        <v>-108</v>
      </c>
      <c r="AJ94" s="56"/>
      <c r="AK94" s="337"/>
      <c r="AL94" s="916">
        <f>ROUND(-SUM(+AF94-AI94),1)</f>
        <v>83.1</v>
      </c>
      <c r="AM94" s="327"/>
      <c r="AN94" s="922">
        <f>ROUND(IF(AI94=0,0,AL94/ABS(AI94)),3)</f>
        <v>0.76900000000000002</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1210</v>
      </c>
      <c r="C96" s="31"/>
      <c r="D96" s="31"/>
      <c r="E96" s="62">
        <f>ROUND(SUM(E92:E95),1)</f>
        <v>463.3</v>
      </c>
      <c r="F96" s="62"/>
      <c r="G96" s="941">
        <f>ROUND(SUM(G92:G95),1)</f>
        <v>364.7</v>
      </c>
      <c r="H96" s="62"/>
      <c r="I96" s="941">
        <f>ROUND(SUM(I92:I95),1)</f>
        <v>584.79999999999995</v>
      </c>
      <c r="J96" s="62"/>
      <c r="K96" s="941">
        <f>ROUND(SUM(K92:K95),1)</f>
        <v>211.8</v>
      </c>
      <c r="L96" s="62"/>
      <c r="M96" s="941">
        <f>ROUND(SUM(M92:M95),1)</f>
        <v>0</v>
      </c>
      <c r="N96" s="62"/>
      <c r="O96" s="941">
        <f>ROUND(SUM(O92:O95),1)</f>
        <v>0</v>
      </c>
      <c r="P96" s="62"/>
      <c r="Q96" s="941">
        <f>ROUND(SUM(Q92:Q95),1)</f>
        <v>0</v>
      </c>
      <c r="R96" s="62"/>
      <c r="S96" s="112">
        <f>ROUND(SUM(S92:S95),1)</f>
        <v>0</v>
      </c>
      <c r="T96" s="62"/>
      <c r="U96" s="941">
        <f>ROUND(SUM(U92:U95),1)</f>
        <v>0</v>
      </c>
      <c r="V96" s="62"/>
      <c r="W96" s="941">
        <f>ROUND(SUM(W92:W95),1)</f>
        <v>0</v>
      </c>
      <c r="X96" s="62"/>
      <c r="Y96" s="941">
        <f>ROUND(SUM(Y92:Y95),1)</f>
        <v>0</v>
      </c>
      <c r="Z96" s="62"/>
      <c r="AA96" s="941">
        <f>ROUND(SUM(AA92:AA95),1)</f>
        <v>0</v>
      </c>
      <c r="AB96" s="941"/>
      <c r="AC96" s="941">
        <f>ROUND(SUM(AC92:AC95),1)</f>
        <v>0</v>
      </c>
      <c r="AD96" s="62"/>
      <c r="AE96" s="64"/>
      <c r="AF96" s="112">
        <f>ROUND(SUM(AF92:AF95),1)</f>
        <v>1624.6</v>
      </c>
      <c r="AG96" s="216"/>
      <c r="AH96" s="76"/>
      <c r="AI96" s="112">
        <f>ROUND(SUM(AI92:AI95),1)</f>
        <v>1583.2</v>
      </c>
      <c r="AJ96" s="76"/>
      <c r="AK96" s="337"/>
      <c r="AL96" s="74">
        <f>ROUND(SUM(AF96-AI96),1)</f>
        <v>41.4</v>
      </c>
      <c r="AM96" s="343"/>
      <c r="AN96" s="351">
        <f>ROUND(SUM(AL96/ABS(AI96)),3)</f>
        <v>2.5999999999999999E-2</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8"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1" t="s">
        <v>15</v>
      </c>
      <c r="H100" s="62"/>
      <c r="I100" s="62"/>
      <c r="J100" s="62"/>
      <c r="K100" s="941"/>
      <c r="L100" s="62"/>
      <c r="M100" s="941"/>
      <c r="N100" s="62"/>
      <c r="O100" s="941"/>
      <c r="P100" s="62"/>
      <c r="Q100" s="941"/>
      <c r="R100" s="62"/>
      <c r="S100" s="941"/>
      <c r="T100" s="62"/>
      <c r="U100" s="941"/>
      <c r="V100" s="62"/>
      <c r="W100" s="941"/>
      <c r="X100" s="62"/>
      <c r="Y100" s="941"/>
      <c r="Z100" s="62"/>
      <c r="AA100" s="941"/>
      <c r="AB100" s="941"/>
      <c r="AC100" s="941"/>
      <c r="AD100" s="62"/>
      <c r="AE100" s="64"/>
      <c r="AF100" s="62" t="s">
        <v>15</v>
      </c>
      <c r="AG100" s="216"/>
      <c r="AH100" s="76"/>
      <c r="AI100" s="3664"/>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1201</v>
      </c>
      <c r="C101" s="31"/>
      <c r="D101" s="31"/>
      <c r="E101" s="350">
        <f>ROUND(SUM(E89+E96),1)</f>
        <v>119.7</v>
      </c>
      <c r="F101" s="62"/>
      <c r="G101" s="350">
        <f>ROUND(SUM(G89+G96),1)</f>
        <v>-231</v>
      </c>
      <c r="H101" s="62"/>
      <c r="I101" s="350">
        <f>ROUND(SUM(I89+I96),1)</f>
        <v>36.700000000000003</v>
      </c>
      <c r="J101" s="62"/>
      <c r="K101" s="350">
        <f>ROUND(SUM(K89+K96),1)</f>
        <v>-122</v>
      </c>
      <c r="L101" s="62"/>
      <c r="M101" s="350">
        <f>ROUND(SUM(M89+M96),1)</f>
        <v>0</v>
      </c>
      <c r="N101" s="62"/>
      <c r="O101" s="350">
        <f>ROUND(SUM(O89+O96),1)</f>
        <v>0</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2016"/>
      <c r="AC101" s="350">
        <f>ROUND(SUM(AC89+AC96),1)</f>
        <v>0</v>
      </c>
      <c r="AD101" s="62"/>
      <c r="AE101" s="64"/>
      <c r="AF101" s="350">
        <f>ROUND(AF89+AF96,1)</f>
        <v>-196.6</v>
      </c>
      <c r="AG101" s="216"/>
      <c r="AH101" s="76"/>
      <c r="AI101" s="3665">
        <f>ROUND(SUM(AI89+AI96),1)</f>
        <v>-122.5</v>
      </c>
      <c r="AJ101" s="349"/>
      <c r="AK101" s="348"/>
      <c r="AL101" s="350">
        <f>ROUND(SUM(+AF101-AI101),1)</f>
        <v>-74.099999999999994</v>
      </c>
      <c r="AM101" s="343"/>
      <c r="AN101" s="1675">
        <f>ROUND(IF(AI101=0,0,AL101/ABS(AI101)),3)</f>
        <v>-0.60499999999999998</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5" t="s">
        <v>184</v>
      </c>
      <c r="AJ102" s="275"/>
      <c r="AK102" s="37"/>
      <c r="AL102" s="327"/>
      <c r="AM102" s="327"/>
      <c r="AN102" s="334"/>
      <c r="AO102" s="327"/>
      <c r="AP102" s="327"/>
    </row>
    <row r="103" spans="1:55" s="30" customFormat="1" ht="15" customHeight="1" thickBot="1">
      <c r="A103" s="31"/>
      <c r="B103" s="29" t="s">
        <v>1211</v>
      </c>
      <c r="C103" s="31"/>
      <c r="E103" s="267">
        <f>ROUND(SUM(+E101+E15),1)</f>
        <v>-1018.2</v>
      </c>
      <c r="F103" s="94"/>
      <c r="G103" s="267">
        <f>ROUND(SUM(+G101+G15),1)</f>
        <v>-1249.2</v>
      </c>
      <c r="H103" s="94"/>
      <c r="I103" s="267">
        <f>ROUND(SUM(+I101+I15),1)</f>
        <v>-1212.5</v>
      </c>
      <c r="J103" s="94"/>
      <c r="K103" s="267">
        <f>ROUND(SUM(+K101+K15),1)</f>
        <v>-1334.5</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-1334.5</v>
      </c>
      <c r="AG103" s="94"/>
      <c r="AH103" s="95"/>
      <c r="AI103" s="262">
        <f>ROUND(SUM(+AI101+AI15),1)</f>
        <v>-1273.7</v>
      </c>
      <c r="AJ103" s="273"/>
      <c r="AK103" s="219"/>
      <c r="AL103" s="267">
        <f>ROUND(SUM(+AL101+AL15),1)</f>
        <v>-60.8</v>
      </c>
      <c r="AM103" s="182"/>
      <c r="AN103" s="287">
        <f>ROUND(SUM(-(+AF103-AI103)/AI103),3)</f>
        <v>-4.8000000000000001E-2</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3" t="s">
        <v>1317</v>
      </c>
      <c r="C105" s="355"/>
      <c r="D105" s="355"/>
      <c r="E105" s="356"/>
      <c r="F105" s="356"/>
      <c r="G105" s="356"/>
      <c r="AI105" s="3666"/>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77734375" defaultRowHeight="15"/>
  <cols>
    <col min="1" max="1" width="2.5546875" style="2660" customWidth="1"/>
    <col min="2" max="2" width="14.21875" style="2660" customWidth="1"/>
    <col min="3" max="3" width="26.21875" style="2660" customWidth="1"/>
    <col min="4" max="4" width="2" style="2660" customWidth="1"/>
    <col min="5" max="5" width="11.109375" style="2661" bestFit="1" customWidth="1"/>
    <col min="6" max="6" width="1.77734375" style="2661" customWidth="1"/>
    <col min="7" max="7" width="11.77734375" style="2661" customWidth="1"/>
    <col min="8" max="8" width="1.77734375" style="2661" customWidth="1"/>
    <col min="9" max="9" width="11.109375" style="2661" bestFit="1" customWidth="1"/>
    <col min="10" max="10" width="1.77734375" style="2661" customWidth="1"/>
    <col min="11" max="11" width="12" style="2661" customWidth="1"/>
    <col min="12" max="12" width="1.21875" style="2660" customWidth="1"/>
    <col min="13" max="13" width="10.21875" style="2660" bestFit="1" customWidth="1"/>
    <col min="14" max="14" width="1.77734375" style="2660" customWidth="1"/>
    <col min="15" max="15" width="11.21875" style="2660" customWidth="1"/>
    <col min="16" max="16" width="1.77734375" style="2660" customWidth="1"/>
    <col min="17" max="17" width="12.77734375" style="2660" customWidth="1"/>
    <col min="18" max="18" width="1.77734375" style="2660" customWidth="1"/>
    <col min="19" max="19" width="10.5546875" style="2660" customWidth="1"/>
    <col min="20" max="20" width="1.77734375" style="2660" customWidth="1"/>
    <col min="21" max="21" width="10.77734375" style="2660" customWidth="1"/>
    <col min="22" max="22" width="1.77734375" style="2660" customWidth="1"/>
    <col min="23" max="23" width="10.77734375" style="2660" customWidth="1"/>
    <col min="24" max="24" width="1.77734375" style="2660" customWidth="1"/>
    <col min="25" max="25" width="10.77734375" style="2660" customWidth="1"/>
    <col min="26" max="26" width="1.77734375" style="2660" customWidth="1"/>
    <col min="27" max="27" width="9" style="2660" bestFit="1" customWidth="1"/>
    <col min="28" max="29" width="1.77734375" style="2661" customWidth="1"/>
    <col min="30" max="30" width="11.109375" style="2661" bestFit="1" customWidth="1"/>
    <col min="31" max="32" width="1.109375" style="2661" customWidth="1"/>
    <col min="33" max="33" width="11.21875" style="2661" customWidth="1"/>
    <col min="34" max="35" width="1" style="2661" customWidth="1"/>
    <col min="36" max="36" width="13.44140625" style="2661" bestFit="1" customWidth="1"/>
    <col min="37" max="37" width="1.21875" style="2660" customWidth="1"/>
    <col min="38" max="38" width="12.77734375" style="2660" customWidth="1"/>
    <col min="39" max="40" width="8.77734375" style="2660"/>
    <col min="41" max="41" width="19.77734375" style="2660" bestFit="1" customWidth="1"/>
    <col min="42" max="16384" width="8.77734375" style="2660"/>
  </cols>
  <sheetData>
    <row r="1" spans="1:39">
      <c r="B1" s="2310" t="s">
        <v>980</v>
      </c>
    </row>
    <row r="2" spans="1:39">
      <c r="B2" s="2662"/>
    </row>
    <row r="3" spans="1:39" ht="19.5" customHeight="1">
      <c r="A3" s="2663"/>
      <c r="B3" s="2671" t="s">
        <v>0</v>
      </c>
      <c r="C3" s="2664"/>
      <c r="D3" s="2664"/>
      <c r="E3" s="2665"/>
      <c r="F3" s="2666"/>
      <c r="G3" s="2666"/>
      <c r="H3" s="2666"/>
      <c r="I3" s="2666"/>
      <c r="J3" s="2666"/>
      <c r="K3" s="2666"/>
      <c r="L3" s="2667"/>
      <c r="M3" s="2667"/>
      <c r="N3" s="2667"/>
      <c r="O3" s="2667"/>
      <c r="P3" s="2667"/>
      <c r="Q3" s="2667"/>
      <c r="R3" s="2667"/>
      <c r="S3" s="2667"/>
      <c r="T3" s="2667"/>
      <c r="U3" s="2667"/>
      <c r="V3" s="2667"/>
      <c r="W3" s="2667"/>
      <c r="X3" s="2667"/>
      <c r="Y3" s="2667"/>
      <c r="Z3" s="2667"/>
      <c r="AA3" s="2667"/>
      <c r="AB3" s="2666"/>
      <c r="AC3" s="2666"/>
      <c r="AD3" s="2666"/>
      <c r="AE3" s="2666"/>
      <c r="AF3" s="2666"/>
      <c r="AG3" s="2666"/>
      <c r="AH3" s="2666"/>
      <c r="AI3" s="2666"/>
      <c r="AL3" s="2609" t="s">
        <v>195</v>
      </c>
    </row>
    <row r="4" spans="1:39" ht="19.5" customHeight="1">
      <c r="A4" s="2663"/>
      <c r="B4" s="2671" t="s">
        <v>212</v>
      </c>
      <c r="C4" s="2664"/>
      <c r="D4" s="2664"/>
      <c r="E4" s="2665"/>
      <c r="F4" s="2666"/>
      <c r="G4" s="2666"/>
      <c r="H4" s="2666"/>
      <c r="I4" s="2666"/>
      <c r="J4" s="2666"/>
      <c r="K4" s="2666"/>
      <c r="L4" s="2667"/>
      <c r="M4" s="2667"/>
      <c r="N4" s="2667"/>
      <c r="O4" s="2667"/>
      <c r="P4" s="2667"/>
      <c r="Q4" s="2667"/>
      <c r="R4" s="2667"/>
      <c r="S4" s="2667"/>
      <c r="T4" s="2667"/>
      <c r="U4" s="2667"/>
      <c r="V4" s="2667"/>
      <c r="W4" s="2667"/>
      <c r="X4" s="2667"/>
      <c r="Y4" s="2667"/>
      <c r="Z4" s="2667"/>
      <c r="AA4" s="2667"/>
      <c r="AB4" s="2666"/>
      <c r="AC4" s="2666"/>
      <c r="AE4" s="3339"/>
      <c r="AF4" s="3339"/>
    </row>
    <row r="5" spans="1:39" ht="19.5" customHeight="1">
      <c r="A5" s="2663"/>
      <c r="B5" s="2509" t="s">
        <v>149</v>
      </c>
      <c r="C5" s="2664"/>
      <c r="D5" s="2664"/>
      <c r="E5" s="2665"/>
      <c r="F5" s="2666"/>
      <c r="G5" s="2666"/>
      <c r="H5" s="2666"/>
      <c r="I5" s="2666"/>
      <c r="J5" s="2666"/>
      <c r="K5" s="2666"/>
      <c r="L5" s="2667"/>
      <c r="M5" s="2667"/>
      <c r="N5" s="2667"/>
      <c r="O5" s="2667"/>
      <c r="P5" s="2667"/>
      <c r="Q5" s="2667"/>
      <c r="R5" s="2667"/>
      <c r="S5" s="2667"/>
      <c r="T5" s="2667"/>
      <c r="U5" s="2667"/>
      <c r="V5" s="2667"/>
      <c r="W5" s="2667"/>
      <c r="X5" s="2667"/>
      <c r="Y5" s="2667"/>
      <c r="Z5" s="2667"/>
      <c r="AA5" s="2667"/>
      <c r="AB5" s="2666"/>
      <c r="AC5" s="2666"/>
      <c r="AD5" s="2666"/>
      <c r="AE5" s="2666"/>
      <c r="AF5" s="2666"/>
      <c r="AG5" s="2666"/>
      <c r="AH5" s="2666"/>
      <c r="AI5" s="2666"/>
      <c r="AL5" s="2668"/>
    </row>
    <row r="6" spans="1:39" ht="19.5" customHeight="1">
      <c r="A6" s="2663"/>
      <c r="B6" s="2509" t="str">
        <f>'Cashflow Governmental'!A6</f>
        <v>FISCAL YEAR 2019-2020</v>
      </c>
      <c r="C6" s="2664"/>
      <c r="D6" s="2664"/>
      <c r="E6" s="2665"/>
      <c r="F6" s="2666"/>
      <c r="G6" s="2666"/>
      <c r="H6" s="2669"/>
      <c r="I6" s="2666"/>
      <c r="J6" s="2666"/>
      <c r="K6" s="2666"/>
      <c r="L6" s="2667"/>
      <c r="M6" s="2667"/>
      <c r="N6" s="2667"/>
      <c r="O6" s="2667"/>
      <c r="P6" s="2667"/>
      <c r="Q6" s="2667"/>
      <c r="R6" s="2667"/>
      <c r="S6" s="2667"/>
      <c r="T6" s="2667"/>
      <c r="U6" s="2667"/>
      <c r="V6" s="2667"/>
      <c r="W6" s="2667"/>
      <c r="X6" s="2667"/>
      <c r="Y6" s="2667"/>
      <c r="Z6" s="2667"/>
      <c r="AA6" s="2667"/>
      <c r="AB6" s="2666"/>
      <c r="AC6" s="2666"/>
      <c r="AD6" s="2666"/>
      <c r="AE6" s="2670"/>
      <c r="AF6" s="2670"/>
      <c r="AG6" s="2670"/>
      <c r="AH6" s="2670"/>
      <c r="AI6" s="2670"/>
    </row>
    <row r="7" spans="1:39" ht="19.5" customHeight="1">
      <c r="A7" s="2663"/>
      <c r="B7" s="2671" t="s">
        <v>1434</v>
      </c>
      <c r="C7" s="2664"/>
      <c r="D7" s="2664"/>
      <c r="E7" s="2665"/>
      <c r="F7" s="2666"/>
      <c r="G7" s="2666"/>
      <c r="H7" s="2669"/>
      <c r="I7" s="2666"/>
      <c r="J7" s="2666"/>
      <c r="K7" s="2666"/>
      <c r="L7" s="2667"/>
      <c r="M7" s="2667"/>
      <c r="N7" s="2667"/>
      <c r="O7" s="2667"/>
      <c r="P7" s="2667"/>
      <c r="Q7" s="2667"/>
      <c r="R7" s="2667"/>
      <c r="S7" s="2667"/>
      <c r="T7" s="2667"/>
      <c r="U7" s="2667"/>
      <c r="V7" s="2667"/>
      <c r="W7" s="2667"/>
      <c r="X7" s="2667"/>
      <c r="Y7" s="2667"/>
      <c r="Z7" s="2667"/>
      <c r="AA7" s="2667"/>
      <c r="AB7" s="2666"/>
      <c r="AC7" s="2666"/>
      <c r="AD7" s="2666"/>
      <c r="AE7" s="2670"/>
      <c r="AF7" s="2670"/>
      <c r="AG7" s="2670"/>
      <c r="AH7" s="2670"/>
      <c r="AI7" s="2670"/>
    </row>
    <row r="8" spans="1:39" ht="19.5" customHeight="1">
      <c r="A8" s="2663"/>
      <c r="C8" s="2664"/>
      <c r="D8" s="2664"/>
      <c r="E8" s="2665"/>
      <c r="F8" s="2666"/>
      <c r="G8" s="2666"/>
      <c r="H8" s="2666"/>
      <c r="I8" s="2666"/>
      <c r="J8" s="2666"/>
      <c r="K8" s="2666"/>
      <c r="L8" s="2667"/>
      <c r="M8" s="2667"/>
      <c r="N8" s="2667"/>
      <c r="O8" s="2667"/>
      <c r="P8" s="2667"/>
      <c r="Q8" s="2667"/>
      <c r="R8" s="2667"/>
      <c r="S8" s="2667"/>
      <c r="T8" s="2667"/>
      <c r="U8" s="2667"/>
      <c r="V8" s="2667"/>
      <c r="W8" s="2667"/>
      <c r="X8" s="2667"/>
      <c r="Y8" s="2667"/>
      <c r="Z8" s="2667"/>
      <c r="AA8" s="2667"/>
      <c r="AB8" s="2666"/>
      <c r="AC8" s="2672"/>
    </row>
    <row r="9" spans="1:39" ht="15.75" customHeight="1">
      <c r="A9" s="2663"/>
      <c r="B9" s="2671"/>
      <c r="C9" s="2664"/>
      <c r="D9" s="2664"/>
      <c r="E9" s="2665"/>
      <c r="F9" s="2666"/>
      <c r="G9" s="2666"/>
      <c r="H9" s="2666"/>
      <c r="I9" s="2666"/>
      <c r="J9" s="2666"/>
      <c r="K9" s="2666"/>
      <c r="L9" s="2667"/>
      <c r="M9" s="2667"/>
      <c r="N9" s="2667"/>
      <c r="O9" s="2667"/>
      <c r="P9" s="2667"/>
      <c r="Q9" s="2667"/>
      <c r="R9" s="2667"/>
      <c r="S9" s="2667"/>
      <c r="T9" s="2667"/>
      <c r="U9" s="2667"/>
      <c r="V9" s="2667"/>
      <c r="W9" s="2667"/>
      <c r="X9" s="2667"/>
      <c r="Y9" s="2667"/>
      <c r="Z9" s="2667"/>
      <c r="AA9" s="2667"/>
      <c r="AB9" s="2666"/>
      <c r="AC9" s="2672"/>
    </row>
    <row r="10" spans="1:39" ht="15.75" customHeight="1">
      <c r="A10" s="2663"/>
      <c r="B10" s="2673"/>
      <c r="C10" s="2664"/>
      <c r="D10" s="2664"/>
      <c r="E10" s="2665"/>
      <c r="F10" s="2666"/>
      <c r="G10" s="2666"/>
      <c r="H10" s="2666"/>
      <c r="I10" s="2666"/>
      <c r="J10" s="2666"/>
      <c r="K10" s="2666"/>
      <c r="L10" s="2667"/>
      <c r="M10" s="2667"/>
      <c r="N10" s="2667"/>
      <c r="O10" s="2667"/>
      <c r="P10" s="2667"/>
      <c r="Q10" s="2667"/>
      <c r="R10" s="2667"/>
      <c r="S10" s="2667"/>
      <c r="T10" s="2667"/>
      <c r="U10" s="2667"/>
      <c r="V10" s="2667"/>
      <c r="W10" s="2667"/>
      <c r="X10" s="2667"/>
      <c r="Y10" s="2667"/>
      <c r="Z10" s="2667"/>
      <c r="AA10" s="2667"/>
      <c r="AB10" s="2666"/>
      <c r="AC10" s="2672"/>
      <c r="AD10" s="3809" t="s">
        <v>1473</v>
      </c>
      <c r="AE10" s="3809"/>
      <c r="AF10" s="3809"/>
      <c r="AG10" s="3809"/>
      <c r="AH10" s="3809"/>
      <c r="AI10" s="3809"/>
      <c r="AJ10" s="3809"/>
      <c r="AK10" s="3809"/>
      <c r="AL10" s="3809"/>
    </row>
    <row r="11" spans="1:39" ht="15.75" customHeight="1">
      <c r="A11" s="2674"/>
      <c r="B11" s="2674"/>
      <c r="C11" s="2674"/>
      <c r="D11" s="2674"/>
      <c r="E11" s="2675" t="str">
        <f>'Cashflow Governmental'!C13</f>
        <v>2019</v>
      </c>
      <c r="F11" s="2676"/>
      <c r="G11" s="2676"/>
      <c r="H11" s="2676"/>
      <c r="I11" s="2676"/>
      <c r="J11" s="2676"/>
      <c r="K11" s="2676"/>
      <c r="L11" s="2677"/>
      <c r="M11" s="2677"/>
      <c r="N11" s="2677"/>
      <c r="O11" s="2677"/>
      <c r="P11" s="2677"/>
      <c r="Q11" s="2677"/>
      <c r="R11" s="2677"/>
      <c r="S11" s="2677"/>
      <c r="T11" s="2677"/>
      <c r="U11" s="2677"/>
      <c r="V11" s="2677"/>
      <c r="W11" s="2611" t="str">
        <f>'Cashflow Governmental'!U13</f>
        <v>2020</v>
      </c>
      <c r="X11" s="2677"/>
      <c r="Y11" s="2677"/>
      <c r="Z11" s="2677"/>
      <c r="AA11" s="2677"/>
      <c r="AB11" s="2676"/>
      <c r="AC11" s="2676"/>
      <c r="AD11" s="2678"/>
      <c r="AE11" s="2678"/>
      <c r="AF11" s="2678"/>
      <c r="AG11" s="2678"/>
      <c r="AH11" s="2678"/>
      <c r="AI11" s="2678"/>
      <c r="AJ11" s="2679" t="s">
        <v>8</v>
      </c>
      <c r="AK11" s="2521"/>
      <c r="AL11" s="2680" t="s">
        <v>9</v>
      </c>
      <c r="AM11" s="2681"/>
    </row>
    <row r="12" spans="1:39" ht="15.75" customHeight="1">
      <c r="A12" s="2111"/>
      <c r="B12" s="2111"/>
      <c r="C12" s="2111"/>
      <c r="D12" s="2111"/>
      <c r="E12" s="2682" t="s">
        <v>125</v>
      </c>
      <c r="F12" s="2633"/>
      <c r="G12" s="2682" t="s">
        <v>126</v>
      </c>
      <c r="H12" s="2633"/>
      <c r="I12" s="2682" t="s">
        <v>127</v>
      </c>
      <c r="J12" s="2633"/>
      <c r="K12" s="2682" t="s">
        <v>128</v>
      </c>
      <c r="L12" s="2504"/>
      <c r="M12" s="2683" t="s">
        <v>129</v>
      </c>
      <c r="N12" s="2504"/>
      <c r="O12" s="2683" t="s">
        <v>144</v>
      </c>
      <c r="P12" s="2504"/>
      <c r="Q12" s="2683" t="s">
        <v>145</v>
      </c>
      <c r="R12" s="2504"/>
      <c r="S12" s="2683" t="s">
        <v>132</v>
      </c>
      <c r="T12" s="2504"/>
      <c r="U12" s="2683" t="s">
        <v>133</v>
      </c>
      <c r="V12" s="2504"/>
      <c r="W12" s="2683" t="s">
        <v>134</v>
      </c>
      <c r="X12" s="2504"/>
      <c r="Y12" s="2683" t="s">
        <v>135</v>
      </c>
      <c r="Z12" s="2504"/>
      <c r="AA12" s="2683" t="s">
        <v>186</v>
      </c>
      <c r="AB12" s="2633"/>
      <c r="AC12" s="2633"/>
      <c r="AD12" s="2682" t="str">
        <f>'Cashflow Governmental'!AB14</f>
        <v>2019</v>
      </c>
      <c r="AE12" s="2633"/>
      <c r="AF12" s="2633"/>
      <c r="AG12" s="2682" t="str">
        <f>'Cashflow Governmental'!AE14</f>
        <v>2018</v>
      </c>
      <c r="AH12" s="2684"/>
      <c r="AI12" s="2684"/>
      <c r="AJ12" s="2685" t="s">
        <v>12</v>
      </c>
      <c r="AK12" s="2517"/>
      <c r="AL12" s="2686" t="s">
        <v>13</v>
      </c>
      <c r="AM12" s="2681"/>
    </row>
    <row r="13" spans="1:39" ht="5.25" customHeight="1">
      <c r="A13" s="2111"/>
      <c r="B13" s="2504"/>
      <c r="C13" s="2504"/>
      <c r="D13" s="2111"/>
      <c r="E13" s="2058"/>
      <c r="F13" s="2058"/>
      <c r="G13" s="2058"/>
      <c r="H13" s="2058"/>
      <c r="I13" s="2058"/>
      <c r="J13" s="2058"/>
      <c r="K13" s="2058"/>
      <c r="L13" s="1503"/>
      <c r="M13" s="1503"/>
      <c r="N13" s="1503"/>
      <c r="O13" s="1503"/>
      <c r="P13" s="1503"/>
      <c r="Q13" s="1503"/>
      <c r="R13" s="1503"/>
      <c r="S13" s="1503"/>
      <c r="T13" s="1503"/>
      <c r="U13" s="1503"/>
      <c r="V13" s="1503"/>
      <c r="W13" s="1503"/>
      <c r="X13" s="1503"/>
      <c r="Y13" s="1503"/>
      <c r="Z13" s="1503"/>
      <c r="AA13" s="1503"/>
      <c r="AB13" s="2058"/>
      <c r="AC13" s="2063"/>
      <c r="AD13" s="2058"/>
      <c r="AE13" s="2058"/>
      <c r="AF13" s="2261"/>
      <c r="AG13" s="2058"/>
      <c r="AH13" s="2058"/>
      <c r="AI13" s="2687"/>
      <c r="AJ13" s="2688"/>
      <c r="AK13" s="2689"/>
      <c r="AL13" s="2689"/>
    </row>
    <row r="14" spans="1:39" ht="15.75">
      <c r="A14" s="2111"/>
      <c r="B14" s="1915" t="s">
        <v>1282</v>
      </c>
      <c r="C14" s="2504"/>
      <c r="D14" s="2111"/>
      <c r="E14" s="2530">
        <v>-633.20000000000005</v>
      </c>
      <c r="F14" s="2058"/>
      <c r="G14" s="2096">
        <f>E102</f>
        <v>-446.5</v>
      </c>
      <c r="H14" s="2690"/>
      <c r="I14" s="2096">
        <f>G102</f>
        <v>-699.4</v>
      </c>
      <c r="J14" s="2690"/>
      <c r="K14" s="2096">
        <f>I102</f>
        <v>-636.70000000000005</v>
      </c>
      <c r="L14" s="2691"/>
      <c r="M14" s="2532"/>
      <c r="N14" s="1503"/>
      <c r="O14" s="2532"/>
      <c r="P14" s="1503"/>
      <c r="Q14" s="2532"/>
      <c r="R14" s="2532"/>
      <c r="S14" s="2532"/>
      <c r="T14" s="2532"/>
      <c r="U14" s="2532"/>
      <c r="V14" s="2532"/>
      <c r="W14" s="2532"/>
      <c r="X14" s="2532"/>
      <c r="Y14" s="2532"/>
      <c r="Z14" s="2532"/>
      <c r="AA14" s="2532"/>
      <c r="AB14" s="2058"/>
      <c r="AC14" s="2063"/>
      <c r="AD14" s="2096">
        <f>E14</f>
        <v>-633.20000000000005</v>
      </c>
      <c r="AE14" s="2058"/>
      <c r="AF14" s="2261"/>
      <c r="AG14" s="3656">
        <v>-568.4</v>
      </c>
      <c r="AH14" s="2058"/>
      <c r="AI14" s="2687"/>
      <c r="AJ14" s="2096">
        <f>ROUND(AD14-AG14,1)</f>
        <v>-64.8</v>
      </c>
      <c r="AK14" s="2692"/>
      <c r="AL14" s="2693">
        <f>ROUND(IF(AG14=0,0,AJ14/ABS(AG14)),3)</f>
        <v>-0.114</v>
      </c>
    </row>
    <row r="15" spans="1:39" ht="15.75">
      <c r="A15" s="2111"/>
      <c r="B15" s="2504"/>
      <c r="C15" s="2504"/>
      <c r="D15" s="2111"/>
      <c r="E15" s="2058"/>
      <c r="F15" s="2058"/>
      <c r="G15" s="2058"/>
      <c r="H15" s="2058"/>
      <c r="I15" s="2058"/>
      <c r="J15" s="2058"/>
      <c r="K15" s="2058"/>
      <c r="L15" s="1503"/>
      <c r="M15" s="1503"/>
      <c r="N15" s="1503"/>
      <c r="O15" s="1503"/>
      <c r="P15" s="1503"/>
      <c r="Q15" s="1503"/>
      <c r="R15" s="1503"/>
      <c r="S15" s="1503"/>
      <c r="T15" s="1503"/>
      <c r="U15" s="1503"/>
      <c r="V15" s="1503"/>
      <c r="W15" s="1503"/>
      <c r="X15" s="1503"/>
      <c r="Y15" s="1503"/>
      <c r="Z15" s="1503"/>
      <c r="AA15" s="1503"/>
      <c r="AB15" s="2058"/>
      <c r="AC15" s="2063"/>
      <c r="AD15" s="2058"/>
      <c r="AE15" s="2058"/>
      <c r="AF15" s="2261"/>
      <c r="AG15" s="2058"/>
      <c r="AH15" s="2058"/>
      <c r="AI15" s="2687"/>
      <c r="AJ15" s="2688"/>
      <c r="AK15" s="2689"/>
      <c r="AL15" s="2689"/>
    </row>
    <row r="16" spans="1:39" ht="15.75">
      <c r="A16" s="2111"/>
      <c r="B16" s="2504" t="s">
        <v>196</v>
      </c>
      <c r="C16" s="2111"/>
      <c r="D16" s="2111"/>
      <c r="E16" s="2058"/>
      <c r="F16" s="2058"/>
      <c r="G16" s="2058"/>
      <c r="H16" s="2058"/>
      <c r="I16" s="2058"/>
      <c r="J16" s="2058"/>
      <c r="K16" s="2058"/>
      <c r="L16" s="1503"/>
      <c r="M16" s="1503"/>
      <c r="N16" s="1503"/>
      <c r="O16" s="1503"/>
      <c r="P16" s="1503"/>
      <c r="Q16" s="1503"/>
      <c r="R16" s="1503"/>
      <c r="S16" s="1503"/>
      <c r="T16" s="1503"/>
      <c r="U16" s="1503"/>
      <c r="V16" s="1503"/>
      <c r="W16" s="1503"/>
      <c r="X16" s="1503"/>
      <c r="Y16" s="1503"/>
      <c r="Z16" s="1503"/>
      <c r="AA16" s="1503"/>
      <c r="AB16" s="2058"/>
      <c r="AC16" s="2063"/>
      <c r="AD16" s="2058"/>
      <c r="AE16" s="3340"/>
      <c r="AF16" s="2085"/>
      <c r="AG16" s="2058"/>
      <c r="AH16" s="2058"/>
      <c r="AI16" s="2687"/>
      <c r="AJ16" s="2694"/>
      <c r="AK16" s="1504"/>
      <c r="AL16" s="1504"/>
    </row>
    <row r="17" spans="1:39" ht="15.75">
      <c r="A17" s="2111"/>
      <c r="B17" s="2539" t="s">
        <v>1098</v>
      </c>
      <c r="C17" s="2111"/>
      <c r="D17" s="2111"/>
      <c r="E17" s="2058"/>
      <c r="F17" s="2058"/>
      <c r="G17" s="2058"/>
      <c r="H17" s="2058"/>
      <c r="I17" s="2058"/>
      <c r="J17" s="2058"/>
      <c r="K17" s="2058"/>
      <c r="L17" s="1503"/>
      <c r="M17" s="1503"/>
      <c r="N17" s="1503"/>
      <c r="O17" s="1503"/>
      <c r="P17" s="1503"/>
      <c r="Q17" s="1503"/>
      <c r="R17" s="1503"/>
      <c r="S17" s="1503"/>
      <c r="T17" s="1503"/>
      <c r="U17" s="1503"/>
      <c r="V17" s="1503"/>
      <c r="W17" s="1503"/>
      <c r="X17" s="1503"/>
      <c r="Y17" s="1503"/>
      <c r="Z17" s="1503"/>
      <c r="AA17" s="1503"/>
      <c r="AB17" s="2058"/>
      <c r="AC17" s="2063"/>
      <c r="AD17" s="2058"/>
      <c r="AE17" s="3341"/>
      <c r="AF17" s="2085"/>
      <c r="AG17" s="2058"/>
      <c r="AH17" s="2058"/>
      <c r="AI17" s="2687"/>
      <c r="AJ17" s="2694"/>
      <c r="AK17" s="1504"/>
      <c r="AL17" s="1504"/>
    </row>
    <row r="18" spans="1:39" ht="15.75">
      <c r="A18" s="2111"/>
      <c r="B18" s="2540" t="s">
        <v>1111</v>
      </c>
      <c r="C18" s="2111"/>
      <c r="D18" s="2111"/>
      <c r="E18" s="2695"/>
      <c r="F18" s="2058"/>
      <c r="G18" s="2062"/>
      <c r="H18" s="2062"/>
      <c r="I18" s="2062"/>
      <c r="J18" s="2062"/>
      <c r="K18" s="2062"/>
      <c r="L18" s="2073"/>
      <c r="M18" s="2073"/>
      <c r="N18" s="2073"/>
      <c r="O18" s="2073"/>
      <c r="P18" s="2073"/>
      <c r="Q18" s="2073"/>
      <c r="R18" s="2073"/>
      <c r="S18" s="2073"/>
      <c r="T18" s="2073"/>
      <c r="U18" s="2073"/>
      <c r="V18" s="2073"/>
      <c r="W18" s="2073"/>
      <c r="X18" s="2073"/>
      <c r="Y18" s="2073"/>
      <c r="Z18" s="2073"/>
      <c r="AA18" s="2073"/>
      <c r="AB18" s="2062"/>
      <c r="AC18" s="2106"/>
      <c r="AD18" s="3342" t="s">
        <v>15</v>
      </c>
      <c r="AE18" s="3343"/>
      <c r="AF18" s="2043"/>
      <c r="AG18" s="2062" t="s">
        <v>15</v>
      </c>
      <c r="AH18" s="2062"/>
      <c r="AI18" s="2696"/>
      <c r="AJ18" s="2697"/>
      <c r="AK18" s="1504"/>
      <c r="AL18" s="1504"/>
    </row>
    <row r="19" spans="1:39" s="2661" customFormat="1">
      <c r="A19" s="2542"/>
      <c r="B19" s="2411" t="s">
        <v>1114</v>
      </c>
      <c r="C19" s="2542"/>
      <c r="D19" s="2698" t="s">
        <v>15</v>
      </c>
      <c r="E19" s="2067">
        <v>3.5</v>
      </c>
      <c r="F19" s="2067"/>
      <c r="G19" s="2067">
        <v>0.29999999999999982</v>
      </c>
      <c r="H19" s="2067"/>
      <c r="I19" s="2067">
        <v>19.5</v>
      </c>
      <c r="J19" s="2067"/>
      <c r="K19" s="2067">
        <f>$AD19-$E19-$G19-$I19</f>
        <v>9.9999999999997868E-2</v>
      </c>
      <c r="L19" s="2065"/>
      <c r="M19" s="2067"/>
      <c r="N19" s="2054"/>
      <c r="O19" s="2067"/>
      <c r="P19" s="2054"/>
      <c r="Q19" s="1851"/>
      <c r="R19" s="2054"/>
      <c r="S19" s="1851"/>
      <c r="T19" s="2054"/>
      <c r="U19" s="1851"/>
      <c r="V19" s="2054"/>
      <c r="W19" s="1851"/>
      <c r="X19" s="2054"/>
      <c r="Y19" s="1851"/>
      <c r="Z19" s="2054"/>
      <c r="AA19" s="1851"/>
      <c r="AB19" s="2067"/>
      <c r="AC19" s="2068"/>
      <c r="AD19" s="2067">
        <v>23.4</v>
      </c>
      <c r="AE19" s="3344"/>
      <c r="AF19" s="3345"/>
      <c r="AG19" s="2067">
        <v>19.399999999999999</v>
      </c>
      <c r="AH19" s="2699"/>
      <c r="AI19" s="2700"/>
      <c r="AJ19" s="2067">
        <f>ROUND(AD19-AG19,1)</f>
        <v>4</v>
      </c>
      <c r="AK19" s="2701"/>
      <c r="AL19" s="2702">
        <f>ROUND(IF(AG19=0,0,AJ19/ABS(AG19)),3)</f>
        <v>0.20599999999999999</v>
      </c>
    </row>
    <row r="20" spans="1:39" s="2661" customFormat="1" ht="15.75">
      <c r="A20" s="2542"/>
      <c r="B20" s="2411" t="s">
        <v>1116</v>
      </c>
      <c r="C20" s="2542"/>
      <c r="D20" s="2542"/>
      <c r="E20" s="2067">
        <v>36.4</v>
      </c>
      <c r="F20" s="2067"/>
      <c r="G20" s="2067">
        <v>34.800000000000004</v>
      </c>
      <c r="H20" s="2067"/>
      <c r="I20" s="2067">
        <v>36.6</v>
      </c>
      <c r="J20" s="2067"/>
      <c r="K20" s="2067">
        <f t="shared" ref="K20:K21" si="0">$AD20-$E20-$G20-$I20</f>
        <v>30.39999999999997</v>
      </c>
      <c r="L20" s="2703"/>
      <c r="M20" s="2067"/>
      <c r="N20" s="2703"/>
      <c r="O20" s="2067"/>
      <c r="P20" s="2703"/>
      <c r="Q20" s="1851"/>
      <c r="R20" s="2703"/>
      <c r="S20" s="1851"/>
      <c r="T20" s="2703"/>
      <c r="U20" s="1851"/>
      <c r="V20" s="2703"/>
      <c r="W20" s="1851"/>
      <c r="X20" s="2703"/>
      <c r="Y20" s="1851"/>
      <c r="Z20" s="2703"/>
      <c r="AA20" s="1851"/>
      <c r="AB20" s="2067"/>
      <c r="AC20" s="2106"/>
      <c r="AD20" s="2067">
        <v>138.19999999999999</v>
      </c>
      <c r="AE20" s="3343"/>
      <c r="AF20" s="2043"/>
      <c r="AG20" s="2067">
        <v>139.1</v>
      </c>
      <c r="AH20" s="2062"/>
      <c r="AI20" s="2696"/>
      <c r="AJ20" s="2062">
        <f>ROUND(AD20-AG20,1)</f>
        <v>-0.9</v>
      </c>
      <c r="AK20" s="2704"/>
      <c r="AL20" s="1711">
        <f>ROUND(IF(AG20=0,0,AJ20/ABS(AG20)),3)</f>
        <v>-6.0000000000000001E-3</v>
      </c>
      <c r="AM20" s="2694"/>
    </row>
    <row r="21" spans="1:39" s="2661" customFormat="1" ht="15.75">
      <c r="A21" s="2542"/>
      <c r="B21" s="2411" t="s">
        <v>1118</v>
      </c>
      <c r="C21" s="2542"/>
      <c r="D21" s="2542"/>
      <c r="E21" s="2067">
        <v>14.2</v>
      </c>
      <c r="F21" s="2067"/>
      <c r="G21" s="2067">
        <v>10.600000000000001</v>
      </c>
      <c r="H21" s="2067"/>
      <c r="I21" s="2067">
        <v>9.8000000000000007</v>
      </c>
      <c r="J21" s="2067"/>
      <c r="K21" s="2067">
        <f t="shared" si="0"/>
        <v>14.500000000000004</v>
      </c>
      <c r="L21" s="2703"/>
      <c r="M21" s="2067"/>
      <c r="N21" s="2703"/>
      <c r="O21" s="2067"/>
      <c r="P21" s="2703"/>
      <c r="Q21" s="1851"/>
      <c r="R21" s="2703"/>
      <c r="S21" s="1851"/>
      <c r="T21" s="2703"/>
      <c r="U21" s="1851"/>
      <c r="V21" s="2703"/>
      <c r="W21" s="1851"/>
      <c r="X21" s="2703"/>
      <c r="Y21" s="1851"/>
      <c r="Z21" s="2703"/>
      <c r="AA21" s="1851"/>
      <c r="AB21" s="2067"/>
      <c r="AC21" s="2106"/>
      <c r="AD21" s="2067">
        <v>49.1</v>
      </c>
      <c r="AE21" s="3343"/>
      <c r="AF21" s="2043"/>
      <c r="AG21" s="2067">
        <v>53.5</v>
      </c>
      <c r="AH21" s="2062"/>
      <c r="AI21" s="2696"/>
      <c r="AJ21" s="2062">
        <f>ROUND(AD21-AG21,1)</f>
        <v>-4.4000000000000004</v>
      </c>
      <c r="AK21" s="2704"/>
      <c r="AL21" s="2271">
        <f>ROUND(IF(AG21=0,0,AJ21/ABS(AG21)),3)</f>
        <v>-8.2000000000000003E-2</v>
      </c>
    </row>
    <row r="22" spans="1:39" ht="15.75">
      <c r="A22" s="2111"/>
      <c r="B22" s="2550" t="s">
        <v>1207</v>
      </c>
      <c r="C22" s="2111"/>
      <c r="D22" s="2111"/>
      <c r="E22" s="1500">
        <f>ROUND(SUM(E19:E21),1)</f>
        <v>54.1</v>
      </c>
      <c r="F22" s="2067"/>
      <c r="G22" s="1500">
        <f>ROUND(SUM(G19:G21),1)</f>
        <v>45.7</v>
      </c>
      <c r="H22" s="2067"/>
      <c r="I22" s="1500">
        <f>ROUND(SUM(I19:I21),1)</f>
        <v>65.900000000000006</v>
      </c>
      <c r="J22" s="2067"/>
      <c r="K22" s="1500">
        <f>ROUND(SUM(K19:K21),1)</f>
        <v>45</v>
      </c>
      <c r="L22" s="1483"/>
      <c r="M22" s="1500">
        <f>ROUND(SUM(M19:M21),1)</f>
        <v>0</v>
      </c>
      <c r="N22" s="1483"/>
      <c r="O22" s="1500">
        <f>ROUND(SUM(O19:O21),1)</f>
        <v>0</v>
      </c>
      <c r="P22" s="2073"/>
      <c r="Q22" s="1500">
        <f>ROUND(SUM(Q19:Q21),1)</f>
        <v>0</v>
      </c>
      <c r="R22" s="2073"/>
      <c r="S22" s="1500">
        <f>ROUND(SUM(S19:S21),1)</f>
        <v>0</v>
      </c>
      <c r="T22" s="2073"/>
      <c r="U22" s="1500">
        <f>ROUND(SUM(U19:U21),1)</f>
        <v>0</v>
      </c>
      <c r="V22" s="2073"/>
      <c r="W22" s="1500">
        <f>ROUND(SUM(W19:W21),1)</f>
        <v>0</v>
      </c>
      <c r="X22" s="2073"/>
      <c r="Y22" s="1500">
        <f>ROUND(SUM(Y19:Y21),1)</f>
        <v>0</v>
      </c>
      <c r="Z22" s="2073"/>
      <c r="AA22" s="1500">
        <f>ROUND(SUM(AA19:AA21),1)</f>
        <v>0</v>
      </c>
      <c r="AB22" s="2062"/>
      <c r="AC22" s="2106"/>
      <c r="AD22" s="1500">
        <f>ROUND(SUM(AD19:AD21),1)</f>
        <v>210.7</v>
      </c>
      <c r="AE22" s="3346"/>
      <c r="AF22" s="2043"/>
      <c r="AG22" s="1500">
        <f>ROUND(SUM(AG19:AG21),1)</f>
        <v>212</v>
      </c>
      <c r="AH22" s="2062"/>
      <c r="AI22" s="2696"/>
      <c r="AJ22" s="1500">
        <f>ROUND(SUM(AJ19:AJ21),1)</f>
        <v>-1.3</v>
      </c>
      <c r="AK22" s="2705"/>
      <c r="AL22" s="1482">
        <f>ROUND(IF(AG22=0,0,AJ22/ABS(AG22)),3)</f>
        <v>-6.0000000000000001E-3</v>
      </c>
    </row>
    <row r="23" spans="1:39" ht="15.75">
      <c r="A23" s="2111"/>
      <c r="B23" s="2540" t="s">
        <v>1102</v>
      </c>
      <c r="C23" s="2111"/>
      <c r="D23" s="2111"/>
      <c r="E23" s="2067"/>
      <c r="F23" s="2067"/>
      <c r="G23" s="2067"/>
      <c r="H23" s="2067"/>
      <c r="I23" s="2067"/>
      <c r="J23" s="2067"/>
      <c r="K23" s="2067"/>
      <c r="L23" s="1483"/>
      <c r="M23" s="1483"/>
      <c r="N23" s="1483"/>
      <c r="O23" s="1483"/>
      <c r="P23" s="2073"/>
      <c r="Q23" s="2706"/>
      <c r="R23" s="2073"/>
      <c r="S23" s="2706"/>
      <c r="T23" s="2073"/>
      <c r="U23" s="2706"/>
      <c r="V23" s="2073"/>
      <c r="W23" s="2707"/>
      <c r="X23" s="2073"/>
      <c r="Y23" s="2706"/>
      <c r="Z23" s="2073"/>
      <c r="AA23" s="2707"/>
      <c r="AB23" s="2062"/>
      <c r="AC23" s="2106"/>
      <c r="AD23" s="2061"/>
      <c r="AE23" s="3343"/>
      <c r="AF23" s="2043"/>
      <c r="AG23" s="2061"/>
      <c r="AH23" s="2062"/>
      <c r="AI23" s="2696"/>
      <c r="AJ23" s="2061"/>
      <c r="AK23" s="1504"/>
      <c r="AL23" s="2708"/>
    </row>
    <row r="24" spans="1:39" s="2661" customFormat="1" ht="15.75">
      <c r="A24" s="2542"/>
      <c r="B24" s="2411" t="s">
        <v>1121</v>
      </c>
      <c r="C24" s="2542"/>
      <c r="D24" s="2542"/>
      <c r="E24" s="2067">
        <v>0</v>
      </c>
      <c r="F24" s="2067"/>
      <c r="G24" s="2067">
        <v>0</v>
      </c>
      <c r="H24" s="2067"/>
      <c r="I24" s="2067">
        <v>0</v>
      </c>
      <c r="J24" s="2067"/>
      <c r="K24" s="2067">
        <f t="shared" ref="K24:K26" si="1">$AD24-$E24-$G24-$I24</f>
        <v>0</v>
      </c>
      <c r="L24" s="2703"/>
      <c r="M24" s="2067"/>
      <c r="N24" s="2703"/>
      <c r="O24" s="2067"/>
      <c r="P24" s="2703"/>
      <c r="Q24" s="1851"/>
      <c r="R24" s="2703"/>
      <c r="S24" s="1851"/>
      <c r="T24" s="2703"/>
      <c r="U24" s="1851"/>
      <c r="V24" s="2703"/>
      <c r="W24" s="1851"/>
      <c r="X24" s="2703"/>
      <c r="Y24" s="1851"/>
      <c r="Z24" s="2703"/>
      <c r="AA24" s="1851"/>
      <c r="AB24" s="2062"/>
      <c r="AC24" s="2106"/>
      <c r="AD24" s="2067">
        <v>0</v>
      </c>
      <c r="AE24" s="3346"/>
      <c r="AF24" s="2043"/>
      <c r="AG24" s="2067">
        <v>0</v>
      </c>
      <c r="AH24" s="2062"/>
      <c r="AI24" s="2696"/>
      <c r="AJ24" s="2062">
        <f>ROUND(AD24-AG24,1)</f>
        <v>0</v>
      </c>
      <c r="AK24" s="2694"/>
      <c r="AL24" s="1711">
        <f>ROUND(IF(AG24=0,0,AJ24/ABS(AG24)),3)</f>
        <v>0</v>
      </c>
    </row>
    <row r="25" spans="1:39" s="2661" customFormat="1" ht="15.75">
      <c r="A25" s="2542"/>
      <c r="B25" s="2411" t="s">
        <v>1122</v>
      </c>
      <c r="C25" s="2542"/>
      <c r="D25" s="2542"/>
      <c r="E25" s="2067">
        <v>3.3</v>
      </c>
      <c r="F25" s="2067"/>
      <c r="G25" s="2067">
        <v>-0.1</v>
      </c>
      <c r="H25" s="2067"/>
      <c r="I25" s="2067">
        <v>1.9</v>
      </c>
      <c r="J25" s="2067"/>
      <c r="K25" s="2067">
        <f t="shared" si="1"/>
        <v>0</v>
      </c>
      <c r="L25" s="2703"/>
      <c r="M25" s="2067"/>
      <c r="N25" s="2703"/>
      <c r="O25" s="2067"/>
      <c r="P25" s="2703"/>
      <c r="Q25" s="1851"/>
      <c r="R25" s="2703"/>
      <c r="S25" s="1851"/>
      <c r="T25" s="2703"/>
      <c r="U25" s="1851"/>
      <c r="V25" s="2703"/>
      <c r="W25" s="1851"/>
      <c r="X25" s="2703"/>
      <c r="Y25" s="1851"/>
      <c r="Z25" s="2703"/>
      <c r="AA25" s="1851"/>
      <c r="AB25" s="2062"/>
      <c r="AC25" s="2106"/>
      <c r="AD25" s="2067">
        <v>5.0999999999999996</v>
      </c>
      <c r="AE25" s="3346"/>
      <c r="AF25" s="2043"/>
      <c r="AG25" s="2067">
        <v>5.5</v>
      </c>
      <c r="AH25" s="2062"/>
      <c r="AI25" s="2696"/>
      <c r="AJ25" s="2062">
        <f>ROUND(AD25-AG25,1)</f>
        <v>-0.4</v>
      </c>
      <c r="AK25" s="2694"/>
      <c r="AL25" s="1786">
        <f>ROUND(IF(AG25=0,1,AJ25/ABS(AG25)),3)</f>
        <v>-7.2999999999999995E-2</v>
      </c>
    </row>
    <row r="26" spans="1:39" s="2661" customFormat="1" ht="15.75">
      <c r="A26" s="2542"/>
      <c r="B26" s="2411" t="s">
        <v>1125</v>
      </c>
      <c r="C26" s="2633"/>
      <c r="D26" s="2542"/>
      <c r="E26" s="2067">
        <v>56.3</v>
      </c>
      <c r="F26" s="2067"/>
      <c r="G26" s="2067">
        <v>55.8</v>
      </c>
      <c r="H26" s="2067"/>
      <c r="I26" s="2067">
        <v>58.400000000000006</v>
      </c>
      <c r="J26" s="2067"/>
      <c r="K26" s="2067">
        <f t="shared" si="1"/>
        <v>52.499999999999986</v>
      </c>
      <c r="L26" s="2703"/>
      <c r="M26" s="2067"/>
      <c r="N26" s="2703"/>
      <c r="O26" s="2067"/>
      <c r="P26" s="2703"/>
      <c r="Q26" s="1851"/>
      <c r="R26" s="2703"/>
      <c r="S26" s="1851"/>
      <c r="T26" s="2703"/>
      <c r="U26" s="1851"/>
      <c r="V26" s="2703"/>
      <c r="W26" s="1851"/>
      <c r="X26" s="2703"/>
      <c r="Y26" s="1851"/>
      <c r="Z26" s="2703"/>
      <c r="AA26" s="1851"/>
      <c r="AB26" s="2062"/>
      <c r="AC26" s="2106"/>
      <c r="AD26" s="2067">
        <v>223</v>
      </c>
      <c r="AE26" s="3343"/>
      <c r="AF26" s="2043"/>
      <c r="AG26" s="2067">
        <v>216.5</v>
      </c>
      <c r="AH26" s="2062"/>
      <c r="AI26" s="2696"/>
      <c r="AJ26" s="2062">
        <f>ROUND(AD26-AG26,1)</f>
        <v>6.5</v>
      </c>
      <c r="AK26" s="2704"/>
      <c r="AL26" s="2709">
        <f>ROUND(IF(AG26=0,0,AJ26/ABS(AG26)),3)</f>
        <v>0.03</v>
      </c>
    </row>
    <row r="27" spans="1:39" ht="15.75">
      <c r="A27" s="2111"/>
      <c r="B27" s="2550" t="s">
        <v>1208</v>
      </c>
      <c r="C27" s="2504"/>
      <c r="D27" s="2111"/>
      <c r="E27" s="1500">
        <f>ROUND(SUM(E24:E26),1)</f>
        <v>59.6</v>
      </c>
      <c r="F27" s="2067"/>
      <c r="G27" s="1500">
        <f>ROUND(SUM(G24:G26),1)</f>
        <v>55.7</v>
      </c>
      <c r="H27" s="2067"/>
      <c r="I27" s="1500">
        <f>ROUND(SUM(I24:I26),1)</f>
        <v>60.3</v>
      </c>
      <c r="J27" s="2067"/>
      <c r="K27" s="1500">
        <f>ROUND(SUM(K24:K26),1)</f>
        <v>52.5</v>
      </c>
      <c r="L27" s="1483"/>
      <c r="M27" s="1500">
        <f>ROUND(SUM(M24:M26),1)</f>
        <v>0</v>
      </c>
      <c r="N27" s="1483"/>
      <c r="O27" s="1500">
        <f>ROUND(SUM(O24:O26),1)</f>
        <v>0</v>
      </c>
      <c r="P27" s="2073"/>
      <c r="Q27" s="1500">
        <f>ROUND(SUM(Q24:Q26),1)</f>
        <v>0</v>
      </c>
      <c r="R27" s="2073"/>
      <c r="S27" s="1500">
        <f>ROUND(SUM(S24:S26),1)</f>
        <v>0</v>
      </c>
      <c r="T27" s="2073"/>
      <c r="U27" s="1500">
        <f>ROUND(SUM(U24:U26),1)</f>
        <v>0</v>
      </c>
      <c r="V27" s="2073"/>
      <c r="W27" s="1500">
        <f>ROUND(SUM(W24:W26),1)</f>
        <v>0</v>
      </c>
      <c r="X27" s="2073"/>
      <c r="Y27" s="1500">
        <f>ROUND(SUM(Y24:Y26),1)</f>
        <v>0</v>
      </c>
      <c r="Z27" s="2073"/>
      <c r="AA27" s="1500">
        <f>ROUND(SUM(AA24:AA26),1)</f>
        <v>0</v>
      </c>
      <c r="AB27" s="2062"/>
      <c r="AC27" s="2106"/>
      <c r="AD27" s="1500">
        <f>ROUND(SUM(AD24:AD26),1)</f>
        <v>228.1</v>
      </c>
      <c r="AE27" s="3346"/>
      <c r="AF27" s="2043"/>
      <c r="AG27" s="1500">
        <f>ROUND(SUM(AG24:AG26),1)</f>
        <v>222</v>
      </c>
      <c r="AH27" s="2062"/>
      <c r="AI27" s="2696"/>
      <c r="AJ27" s="1500">
        <f>ROUND(SUM(AJ24:AJ26),1)</f>
        <v>6.1</v>
      </c>
      <c r="AK27" s="2705"/>
      <c r="AL27" s="1497">
        <f>ROUND(IF(AG27=0,0,AJ27/ABS(AG27)),3)</f>
        <v>2.7E-2</v>
      </c>
    </row>
    <row r="28" spans="1:39" ht="15.75">
      <c r="A28" s="2111"/>
      <c r="B28" s="2540" t="s">
        <v>1103</v>
      </c>
      <c r="C28" s="2111"/>
      <c r="D28" s="2111"/>
      <c r="E28" s="2710"/>
      <c r="F28" s="2067"/>
      <c r="G28" s="2710"/>
      <c r="H28" s="2067"/>
      <c r="I28" s="2066"/>
      <c r="J28" s="2067"/>
      <c r="K28" s="2066"/>
      <c r="L28" s="1483"/>
      <c r="M28" s="1483"/>
      <c r="N28" s="1483"/>
      <c r="O28" s="1483"/>
      <c r="P28" s="2073"/>
      <c r="Q28" s="2706"/>
      <c r="R28" s="2073"/>
      <c r="S28" s="2706"/>
      <c r="T28" s="2073"/>
      <c r="U28" s="2706"/>
      <c r="V28" s="2073"/>
      <c r="W28" s="2706"/>
      <c r="X28" s="2073"/>
      <c r="Y28" s="2706"/>
      <c r="Z28" s="2073"/>
      <c r="AA28" s="2706"/>
      <c r="AB28" s="2062"/>
      <c r="AC28" s="2106"/>
      <c r="AD28" s="2062"/>
      <c r="AE28" s="3347"/>
      <c r="AF28" s="3348"/>
      <c r="AG28" s="2062"/>
      <c r="AH28" s="2061"/>
      <c r="AI28" s="2711"/>
      <c r="AJ28" s="2061"/>
      <c r="AK28" s="2712"/>
      <c r="AL28" s="1465"/>
      <c r="AM28" s="1504"/>
    </row>
    <row r="29" spans="1:39" ht="15.75">
      <c r="A29" s="2111"/>
      <c r="B29" s="2310" t="s">
        <v>1131</v>
      </c>
      <c r="C29" s="2111"/>
      <c r="D29" s="2111"/>
      <c r="E29" s="2067">
        <v>0</v>
      </c>
      <c r="F29" s="2067"/>
      <c r="G29" s="2067">
        <v>0</v>
      </c>
      <c r="H29" s="2067"/>
      <c r="I29" s="2067">
        <v>11.9</v>
      </c>
      <c r="J29" s="2067"/>
      <c r="K29" s="2067">
        <f t="shared" ref="K29" si="2">$AD29-$E29-$G29-$I29</f>
        <v>11.9</v>
      </c>
      <c r="L29" s="2703"/>
      <c r="M29" s="2067"/>
      <c r="N29" s="2703"/>
      <c r="O29" s="2067"/>
      <c r="P29" s="2703"/>
      <c r="Q29" s="1851"/>
      <c r="R29" s="2703"/>
      <c r="S29" s="1851"/>
      <c r="T29" s="2703"/>
      <c r="U29" s="1851"/>
      <c r="V29" s="2703"/>
      <c r="W29" s="1851"/>
      <c r="X29" s="2703"/>
      <c r="Y29" s="1851"/>
      <c r="Z29" s="2703"/>
      <c r="AA29" s="1851"/>
      <c r="AB29" s="2062"/>
      <c r="AC29" s="2106"/>
      <c r="AD29" s="2067">
        <v>23.8</v>
      </c>
      <c r="AE29" s="3349"/>
      <c r="AF29" s="3348"/>
      <c r="AG29" s="2067">
        <v>23.8</v>
      </c>
      <c r="AH29" s="2061"/>
      <c r="AI29" s="2711"/>
      <c r="AJ29" s="2062">
        <f>ROUND(AD29-AG29,1)</f>
        <v>0</v>
      </c>
      <c r="AK29" s="2712"/>
      <c r="AL29" s="1466">
        <f>ROUND(IF(AG29=0,0,AJ29/ABS(AG29)),3)</f>
        <v>0</v>
      </c>
      <c r="AM29" s="1504"/>
    </row>
    <row r="30" spans="1:39" ht="15.75">
      <c r="B30" s="2550" t="s">
        <v>1209</v>
      </c>
      <c r="C30" s="2111"/>
      <c r="D30" s="2111"/>
      <c r="E30" s="1500">
        <f>ROUND(SUM(E29:E29),1)</f>
        <v>0</v>
      </c>
      <c r="F30" s="2067"/>
      <c r="G30" s="1500">
        <f>ROUND(SUM(G29:G29),1)</f>
        <v>0</v>
      </c>
      <c r="H30" s="2067"/>
      <c r="I30" s="1500">
        <f>ROUND(SUM(I29:I29),1)</f>
        <v>11.9</v>
      </c>
      <c r="J30" s="2067"/>
      <c r="K30" s="1500">
        <f>ROUND(SUM(K29:K29),1)</f>
        <v>11.9</v>
      </c>
      <c r="L30" s="1483"/>
      <c r="M30" s="1500">
        <f>ROUND(SUM(M29:M29),1)</f>
        <v>0</v>
      </c>
      <c r="N30" s="1483"/>
      <c r="O30" s="1500">
        <f>ROUND(SUM(O29:O29),1)</f>
        <v>0</v>
      </c>
      <c r="P30" s="2073"/>
      <c r="Q30" s="1500">
        <f>ROUND(SUM(Q29:Q29),1)</f>
        <v>0</v>
      </c>
      <c r="R30" s="2073"/>
      <c r="S30" s="1500">
        <f>ROUND(SUM(S29:S29),1)</f>
        <v>0</v>
      </c>
      <c r="T30" s="2073"/>
      <c r="U30" s="1500">
        <f>ROUND(SUM(U29:U29),1)</f>
        <v>0</v>
      </c>
      <c r="V30" s="2073"/>
      <c r="W30" s="1500">
        <f>ROUND(SUM(W29:W29),1)</f>
        <v>0</v>
      </c>
      <c r="X30" s="2073"/>
      <c r="Y30" s="1500">
        <f>ROUND(SUM(Y29:Y29),1)</f>
        <v>0</v>
      </c>
      <c r="Z30" s="2073"/>
      <c r="AA30" s="1500">
        <f>ROUND(SUM(AA29:AA29),1)</f>
        <v>0</v>
      </c>
      <c r="AB30" s="2062"/>
      <c r="AC30" s="2106"/>
      <c r="AD30" s="1500">
        <f>ROUND(SUM(AD29:AD29),1)</f>
        <v>23.8</v>
      </c>
      <c r="AE30" s="3349"/>
      <c r="AF30" s="3348"/>
      <c r="AG30" s="1500">
        <f>ROUND(SUM(AG29:AG29),1)</f>
        <v>23.8</v>
      </c>
      <c r="AH30" s="2061"/>
      <c r="AI30" s="2711"/>
      <c r="AJ30" s="1500">
        <f>ROUND(SUM(AJ29:AJ29),1)</f>
        <v>0</v>
      </c>
      <c r="AK30" s="2712"/>
      <c r="AL30" s="1482">
        <f>ROUND(IF(AG30=0,0,AJ30/ABS(AG30)),3)</f>
        <v>0</v>
      </c>
      <c r="AM30" s="1504"/>
    </row>
    <row r="31" spans="1:39" ht="15.75">
      <c r="A31" s="2111"/>
      <c r="B31" s="2504"/>
      <c r="C31" s="2111"/>
      <c r="D31" s="2111"/>
      <c r="E31" s="2710"/>
      <c r="F31" s="2067"/>
      <c r="G31" s="2710"/>
      <c r="H31" s="2067"/>
      <c r="I31" s="2066"/>
      <c r="J31" s="2067"/>
      <c r="K31" s="2066"/>
      <c r="L31" s="1483"/>
      <c r="M31" s="1483"/>
      <c r="N31" s="1483"/>
      <c r="O31" s="1483"/>
      <c r="P31" s="2073"/>
      <c r="Q31" s="2706"/>
      <c r="R31" s="2073"/>
      <c r="S31" s="2706"/>
      <c r="T31" s="2073"/>
      <c r="U31" s="2706"/>
      <c r="V31" s="2073"/>
      <c r="W31" s="2706"/>
      <c r="X31" s="2073"/>
      <c r="Y31" s="2706"/>
      <c r="Z31" s="2073"/>
      <c r="AA31" s="2706"/>
      <c r="AB31" s="2062"/>
      <c r="AC31" s="2106"/>
      <c r="AD31" s="2062"/>
      <c r="AE31" s="3349"/>
      <c r="AF31" s="3348"/>
      <c r="AG31" s="2062"/>
      <c r="AH31" s="2061"/>
      <c r="AI31" s="2711"/>
      <c r="AJ31" s="2061"/>
      <c r="AK31" s="2712"/>
      <c r="AL31" s="2713"/>
      <c r="AM31" s="1504"/>
    </row>
    <row r="32" spans="1:39" s="2717" customFormat="1" ht="15.75">
      <c r="A32" s="2504"/>
      <c r="B32" s="2550" t="s">
        <v>1127</v>
      </c>
      <c r="C32" s="2504"/>
      <c r="D32" s="2504"/>
      <c r="E32" s="2714">
        <f>ROUND(SUM(+E27+E22+E30),1)</f>
        <v>113.7</v>
      </c>
      <c r="F32" s="2117"/>
      <c r="G32" s="2714">
        <f>ROUND(SUM(+G27+G22+G30),1)</f>
        <v>101.4</v>
      </c>
      <c r="H32" s="2117"/>
      <c r="I32" s="2714">
        <f>ROUND(SUM(+I27+I22+I30),1)</f>
        <v>138.1</v>
      </c>
      <c r="J32" s="2117"/>
      <c r="K32" s="2714">
        <f>ROUND(SUM(+K27+K22+K30),1)</f>
        <v>109.4</v>
      </c>
      <c r="L32" s="1501"/>
      <c r="M32" s="2102">
        <f>ROUND(SUM(+M27+M22+M30),1)</f>
        <v>0</v>
      </c>
      <c r="N32" s="1501"/>
      <c r="O32" s="2102">
        <f>ROUND(SUM(+O27+O22+O30),1)</f>
        <v>0</v>
      </c>
      <c r="P32" s="1501"/>
      <c r="Q32" s="2102">
        <f>ROUND(SUM(+Q27+Q22+Q30),1)</f>
        <v>0</v>
      </c>
      <c r="R32" s="1501"/>
      <c r="S32" s="2102">
        <f>ROUND(SUM(+S27+S22+S30),1)</f>
        <v>0</v>
      </c>
      <c r="T32" s="1501"/>
      <c r="U32" s="2102">
        <f>ROUND(SUM(+U27+U22+U30),1)</f>
        <v>0</v>
      </c>
      <c r="V32" s="1501"/>
      <c r="W32" s="2102">
        <f>ROUND(SUM(+W27+W22+W30),1)</f>
        <v>0</v>
      </c>
      <c r="X32" s="1501"/>
      <c r="Y32" s="2102">
        <f>ROUND(SUM(+Y27+Y22+Y30),1)</f>
        <v>0</v>
      </c>
      <c r="Z32" s="1501"/>
      <c r="AA32" s="2102">
        <f>ROUND(SUM(+AA27+AA22+AA30),1)</f>
        <v>0</v>
      </c>
      <c r="AB32" s="2117"/>
      <c r="AC32" s="2634"/>
      <c r="AD32" s="2102">
        <f>ROUND(SUM(+AD27+AD22+AD30),1)</f>
        <v>462.6</v>
      </c>
      <c r="AE32" s="3350"/>
      <c r="AF32" s="3351"/>
      <c r="AG32" s="2102">
        <f>ROUND(SUM(+AG27+AG22+AG30),1)</f>
        <v>457.8</v>
      </c>
      <c r="AH32" s="2715"/>
      <c r="AI32" s="2711"/>
      <c r="AJ32" s="2102">
        <f>ROUND(SUM(+AJ27+AJ22+AJ30),1)</f>
        <v>4.8</v>
      </c>
      <c r="AK32" s="2516"/>
      <c r="AL32" s="1497">
        <f>ROUND(IF(AG32=0,1,AJ32/ABS(AG32)),3)</f>
        <v>0.01</v>
      </c>
      <c r="AM32" s="2716"/>
    </row>
    <row r="33" spans="1:40" ht="15.75">
      <c r="A33" s="2111"/>
      <c r="B33" s="2546"/>
      <c r="C33" s="2111"/>
      <c r="D33" s="2111"/>
      <c r="E33" s="2710"/>
      <c r="F33" s="2067"/>
      <c r="G33" s="2710"/>
      <c r="H33" s="2067"/>
      <c r="I33" s="2066"/>
      <c r="J33" s="2067"/>
      <c r="K33" s="2066"/>
      <c r="L33" s="1483"/>
      <c r="M33" s="1483"/>
      <c r="N33" s="1483"/>
      <c r="O33" s="1483"/>
      <c r="P33" s="2073"/>
      <c r="Q33" s="2706"/>
      <c r="R33" s="2073"/>
      <c r="S33" s="2706"/>
      <c r="T33" s="2073"/>
      <c r="U33" s="2718"/>
      <c r="V33" s="2062"/>
      <c r="W33" s="2718"/>
      <c r="X33" s="2062"/>
      <c r="Y33" s="2718"/>
      <c r="Z33" s="2062"/>
      <c r="AA33" s="2718"/>
      <c r="AB33" s="2062"/>
      <c r="AC33" s="2106"/>
      <c r="AD33" s="2062"/>
      <c r="AE33" s="3349"/>
      <c r="AF33" s="3348"/>
      <c r="AG33" s="2062"/>
      <c r="AH33" s="2061"/>
      <c r="AI33" s="2711"/>
      <c r="AJ33" s="2061"/>
      <c r="AK33" s="2719"/>
      <c r="AL33" s="1711"/>
      <c r="AM33" s="2694"/>
      <c r="AN33" s="2661"/>
    </row>
    <row r="34" spans="1:40" ht="15.75">
      <c r="A34" s="2111"/>
      <c r="B34" s="2539" t="s">
        <v>1034</v>
      </c>
      <c r="C34" s="2111"/>
      <c r="D34" s="2111"/>
      <c r="E34" s="2066"/>
      <c r="F34" s="2067"/>
      <c r="G34" s="2066"/>
      <c r="H34" s="2067"/>
      <c r="I34" s="2066"/>
      <c r="J34" s="2067"/>
      <c r="K34" s="2066"/>
      <c r="L34" s="1483"/>
      <c r="M34" s="1483"/>
      <c r="N34" s="1483"/>
      <c r="O34" s="1483"/>
      <c r="P34" s="2073"/>
      <c r="Q34" s="2706"/>
      <c r="R34" s="2073"/>
      <c r="S34" s="2706"/>
      <c r="T34" s="2073"/>
      <c r="U34" s="2718"/>
      <c r="V34" s="2062"/>
      <c r="W34" s="2718"/>
      <c r="X34" s="2062"/>
      <c r="Y34" s="2718"/>
      <c r="Z34" s="2062"/>
      <c r="AA34" s="2718"/>
      <c r="AB34" s="2062"/>
      <c r="AC34" s="2106"/>
      <c r="AD34" s="2062"/>
      <c r="AE34" s="3343"/>
      <c r="AF34" s="2043"/>
      <c r="AG34" s="2062"/>
      <c r="AH34" s="2061"/>
      <c r="AI34" s="2711"/>
      <c r="AJ34" s="2061"/>
      <c r="AK34" s="2704"/>
      <c r="AL34" s="1860"/>
      <c r="AM34" s="2661"/>
      <c r="AN34" s="2661"/>
    </row>
    <row r="35" spans="1:40" ht="15.75">
      <c r="A35" s="2111"/>
      <c r="B35" s="2563" t="s">
        <v>1155</v>
      </c>
      <c r="C35" s="2546"/>
      <c r="D35" s="2111"/>
      <c r="E35" s="2066"/>
      <c r="F35" s="2067"/>
      <c r="G35" s="2066"/>
      <c r="H35" s="2067"/>
      <c r="I35" s="2066"/>
      <c r="J35" s="2067"/>
      <c r="K35" s="2066"/>
      <c r="L35" s="1483"/>
      <c r="M35" s="1483"/>
      <c r="N35" s="1483"/>
      <c r="O35" s="1483"/>
      <c r="P35" s="2073"/>
      <c r="Q35" s="2706"/>
      <c r="R35" s="2073"/>
      <c r="S35" s="2706"/>
      <c r="T35" s="2073"/>
      <c r="U35" s="2718"/>
      <c r="V35" s="2062"/>
      <c r="W35" s="2718"/>
      <c r="X35" s="2062"/>
      <c r="Y35" s="2718"/>
      <c r="Z35" s="2062"/>
      <c r="AA35" s="2718"/>
      <c r="AB35" s="2062"/>
      <c r="AC35" s="2106"/>
      <c r="AD35" s="2062"/>
      <c r="AE35" s="3346"/>
      <c r="AF35" s="2043"/>
      <c r="AG35" s="2062"/>
      <c r="AH35" s="2061"/>
      <c r="AI35" s="2711"/>
      <c r="AJ35" s="2061"/>
      <c r="AK35" s="2704"/>
      <c r="AL35" s="1860"/>
      <c r="AM35" s="2661"/>
      <c r="AN35" s="2661"/>
    </row>
    <row r="36" spans="1:40" ht="15.75">
      <c r="A36" s="2111"/>
      <c r="B36" s="2563" t="s">
        <v>1068</v>
      </c>
      <c r="C36" s="2546"/>
      <c r="D36" s="2111"/>
      <c r="E36" s="2067">
        <v>0</v>
      </c>
      <c r="F36" s="2067"/>
      <c r="G36" s="2067">
        <v>0</v>
      </c>
      <c r="H36" s="2067"/>
      <c r="I36" s="2067">
        <v>23</v>
      </c>
      <c r="J36" s="2067"/>
      <c r="K36" s="2067">
        <f t="shared" ref="K36:K59" si="3">$AD36-$E36-$G36-$I36</f>
        <v>0</v>
      </c>
      <c r="L36" s="2703"/>
      <c r="M36" s="2067"/>
      <c r="N36" s="2703"/>
      <c r="O36" s="2067"/>
      <c r="P36" s="2703"/>
      <c r="Q36" s="1851"/>
      <c r="R36" s="2703"/>
      <c r="S36" s="1851"/>
      <c r="T36" s="2703"/>
      <c r="U36" s="1851"/>
      <c r="V36" s="2703"/>
      <c r="W36" s="1851"/>
      <c r="X36" s="2703"/>
      <c r="Y36" s="1851"/>
      <c r="Z36" s="2703"/>
      <c r="AA36" s="1851"/>
      <c r="AB36" s="2062"/>
      <c r="AC36" s="2106"/>
      <c r="AD36" s="2067">
        <v>23</v>
      </c>
      <c r="AE36" s="3346"/>
      <c r="AF36" s="2043"/>
      <c r="AG36" s="2067">
        <v>23</v>
      </c>
      <c r="AH36" s="2061"/>
      <c r="AI36" s="2711"/>
      <c r="AJ36" s="2062">
        <f t="shared" ref="AJ36:AJ59" si="4">ROUND(AD36-AG36,1)</f>
        <v>0</v>
      </c>
      <c r="AK36" s="2704"/>
      <c r="AL36" s="1711">
        <f>ROUND(IF(AG36=0,0,AJ36/ABS(AG36)),3)</f>
        <v>0</v>
      </c>
      <c r="AM36" s="2661"/>
      <c r="AN36" s="2661"/>
    </row>
    <row r="37" spans="1:40" ht="15.75">
      <c r="A37" s="2111"/>
      <c r="B37" s="2563" t="s">
        <v>1156</v>
      </c>
      <c r="C37" s="2546"/>
      <c r="D37" s="2111"/>
      <c r="E37" s="2067" t="s">
        <v>15</v>
      </c>
      <c r="F37" s="2067"/>
      <c r="G37" s="2067"/>
      <c r="H37" s="2067"/>
      <c r="I37" s="2067"/>
      <c r="J37" s="2067"/>
      <c r="K37" s="2067"/>
      <c r="L37" s="2703"/>
      <c r="M37" s="2067"/>
      <c r="N37" s="2703"/>
      <c r="O37" s="2067"/>
      <c r="P37" s="2703"/>
      <c r="Q37" s="1851"/>
      <c r="R37" s="2703"/>
      <c r="S37" s="1851"/>
      <c r="T37" s="2703"/>
      <c r="U37" s="1851"/>
      <c r="V37" s="2703"/>
      <c r="W37" s="1851"/>
      <c r="X37" s="2703"/>
      <c r="Y37" s="1851"/>
      <c r="Z37" s="2703"/>
      <c r="AA37" s="1851"/>
      <c r="AB37" s="2062"/>
      <c r="AC37" s="2106"/>
      <c r="AD37" s="2718"/>
      <c r="AE37" s="3346"/>
      <c r="AF37" s="2043"/>
      <c r="AG37" s="2718"/>
      <c r="AH37" s="2061"/>
      <c r="AI37" s="2711"/>
      <c r="AJ37" s="2062"/>
      <c r="AK37" s="2704"/>
      <c r="AL37" s="1860"/>
      <c r="AM37" s="2661"/>
      <c r="AN37" s="2661"/>
    </row>
    <row r="38" spans="1:40" ht="15.75">
      <c r="A38" s="2111"/>
      <c r="B38" s="2563" t="s">
        <v>1069</v>
      </c>
      <c r="C38" s="2546"/>
      <c r="D38" s="2111"/>
      <c r="E38" s="2067">
        <v>10.1</v>
      </c>
      <c r="F38" s="2067"/>
      <c r="G38" s="2067">
        <v>9.2999999999999989</v>
      </c>
      <c r="H38" s="2067"/>
      <c r="I38" s="2067">
        <v>8.7000000000000011</v>
      </c>
      <c r="J38" s="2067"/>
      <c r="K38" s="2067">
        <f t="shared" si="3"/>
        <v>8.1999999999999975</v>
      </c>
      <c r="L38" s="2703"/>
      <c r="M38" s="2067"/>
      <c r="N38" s="2703"/>
      <c r="O38" s="2067"/>
      <c r="P38" s="2703"/>
      <c r="Q38" s="1851"/>
      <c r="R38" s="2703"/>
      <c r="S38" s="1851"/>
      <c r="T38" s="2703"/>
      <c r="U38" s="1851"/>
      <c r="V38" s="2703"/>
      <c r="W38" s="1851"/>
      <c r="X38" s="2703"/>
      <c r="Y38" s="1851"/>
      <c r="Z38" s="2703"/>
      <c r="AA38" s="1851"/>
      <c r="AB38" s="2062"/>
      <c r="AC38" s="2106"/>
      <c r="AD38" s="2067">
        <v>36.299999999999997</v>
      </c>
      <c r="AE38" s="3346"/>
      <c r="AF38" s="2043"/>
      <c r="AG38" s="2067">
        <v>42.5</v>
      </c>
      <c r="AH38" s="2061"/>
      <c r="AI38" s="2711"/>
      <c r="AJ38" s="2062">
        <f t="shared" si="4"/>
        <v>-6.2</v>
      </c>
      <c r="AK38" s="2704"/>
      <c r="AL38" s="1711">
        <f>ROUND(IF(AG38=0,0,AJ38/ABS(AG38)),3)</f>
        <v>-0.14599999999999999</v>
      </c>
      <c r="AM38" s="2661"/>
      <c r="AN38" s="2661"/>
    </row>
    <row r="39" spans="1:40" s="2661" customFormat="1" ht="15.75">
      <c r="A39" s="2542"/>
      <c r="B39" s="2563" t="s">
        <v>1161</v>
      </c>
      <c r="C39" s="2583"/>
      <c r="D39" s="2542"/>
      <c r="E39" s="2067" t="s">
        <v>15</v>
      </c>
      <c r="F39" s="2067"/>
      <c r="G39" s="2067"/>
      <c r="H39" s="2067"/>
      <c r="I39" s="2067"/>
      <c r="J39" s="2067"/>
      <c r="K39" s="2067"/>
      <c r="L39" s="2703"/>
      <c r="M39" s="2067"/>
      <c r="N39" s="2703"/>
      <c r="O39" s="2067"/>
      <c r="P39" s="2703"/>
      <c r="Q39" s="1851"/>
      <c r="R39" s="2703"/>
      <c r="S39" s="1851"/>
      <c r="T39" s="2703"/>
      <c r="U39" s="1851"/>
      <c r="V39" s="2703"/>
      <c r="W39" s="1851"/>
      <c r="X39" s="2703"/>
      <c r="Y39" s="1851"/>
      <c r="Z39" s="2703"/>
      <c r="AA39" s="1851"/>
      <c r="AB39" s="2062"/>
      <c r="AC39" s="2106"/>
      <c r="AD39" s="2718"/>
      <c r="AE39" s="3346"/>
      <c r="AF39" s="2043"/>
      <c r="AG39" s="2718"/>
      <c r="AH39" s="2061"/>
      <c r="AI39" s="2711"/>
      <c r="AJ39" s="2062"/>
      <c r="AK39" s="2704"/>
      <c r="AL39" s="1860"/>
    </row>
    <row r="40" spans="1:40" ht="15.75">
      <c r="A40" s="2111"/>
      <c r="B40" s="2563" t="s">
        <v>1073</v>
      </c>
      <c r="C40" s="2546"/>
      <c r="D40" s="2111"/>
      <c r="E40" s="2067">
        <v>0.8</v>
      </c>
      <c r="F40" s="2067"/>
      <c r="G40" s="2067">
        <v>5.6000000000000005</v>
      </c>
      <c r="H40" s="2067"/>
      <c r="I40" s="2067">
        <v>3.6999999999999984</v>
      </c>
      <c r="J40" s="2067"/>
      <c r="K40" s="2067">
        <f t="shared" si="3"/>
        <v>2.5</v>
      </c>
      <c r="L40" s="2703"/>
      <c r="M40" s="2067"/>
      <c r="N40" s="2703"/>
      <c r="O40" s="2067"/>
      <c r="P40" s="2703"/>
      <c r="Q40" s="1851"/>
      <c r="R40" s="2703"/>
      <c r="S40" s="1851"/>
      <c r="T40" s="2703"/>
      <c r="U40" s="1851"/>
      <c r="V40" s="2703"/>
      <c r="W40" s="1851"/>
      <c r="X40" s="2703"/>
      <c r="Y40" s="1851"/>
      <c r="Z40" s="2703"/>
      <c r="AA40" s="1851"/>
      <c r="AB40" s="2062"/>
      <c r="AC40" s="2106"/>
      <c r="AD40" s="2067">
        <v>12.6</v>
      </c>
      <c r="AE40" s="3346"/>
      <c r="AF40" s="2043"/>
      <c r="AG40" s="2067">
        <v>18.899999999999999</v>
      </c>
      <c r="AH40" s="2061"/>
      <c r="AI40" s="2711"/>
      <c r="AJ40" s="2062">
        <f t="shared" si="4"/>
        <v>-6.3</v>
      </c>
      <c r="AK40" s="2704"/>
      <c r="AL40" s="1711">
        <f>ROUND(IF(AG40=0,0,AJ40/ABS(AG40)),3)</f>
        <v>-0.33300000000000002</v>
      </c>
      <c r="AM40" s="2661"/>
      <c r="AN40" s="2661"/>
    </row>
    <row r="41" spans="1:40" ht="15.75">
      <c r="A41" s="2111"/>
      <c r="B41" s="2563" t="s">
        <v>1223</v>
      </c>
      <c r="C41" s="2546"/>
      <c r="D41" s="2111"/>
      <c r="E41" s="2067">
        <v>0</v>
      </c>
      <c r="F41" s="2067"/>
      <c r="G41" s="2067">
        <v>0</v>
      </c>
      <c r="H41" s="2067"/>
      <c r="I41" s="2067">
        <v>0</v>
      </c>
      <c r="J41" s="2067"/>
      <c r="K41" s="2067">
        <f t="shared" si="3"/>
        <v>0</v>
      </c>
      <c r="L41" s="2703"/>
      <c r="M41" s="2067"/>
      <c r="N41" s="2703"/>
      <c r="O41" s="2067"/>
      <c r="P41" s="2703"/>
      <c r="Q41" s="1851"/>
      <c r="R41" s="2703"/>
      <c r="S41" s="1851"/>
      <c r="T41" s="2703"/>
      <c r="U41" s="1851"/>
      <c r="V41" s="2703"/>
      <c r="W41" s="1851"/>
      <c r="X41" s="2703"/>
      <c r="Y41" s="1851"/>
      <c r="Z41" s="2703"/>
      <c r="AA41" s="1851"/>
      <c r="AB41" s="2062"/>
      <c r="AC41" s="2106"/>
      <c r="AD41" s="2067">
        <v>0</v>
      </c>
      <c r="AE41" s="3352"/>
      <c r="AF41" s="2043"/>
      <c r="AG41" s="2067">
        <v>0</v>
      </c>
      <c r="AH41" s="2061"/>
      <c r="AI41" s="2711"/>
      <c r="AJ41" s="2062">
        <f>ROUND(AD41-AG41,1)</f>
        <v>0</v>
      </c>
      <c r="AK41" s="2704"/>
      <c r="AL41" s="1786">
        <f>ROUND(IF(AG41=0,0,AJ41/ABS(AG41)),3)</f>
        <v>0</v>
      </c>
      <c r="AM41" s="2661"/>
      <c r="AN41" s="2661"/>
    </row>
    <row r="42" spans="1:40" ht="15.75">
      <c r="A42" s="2111"/>
      <c r="B42" s="2563" t="s">
        <v>1076</v>
      </c>
      <c r="C42" s="2546"/>
      <c r="D42" s="2111"/>
      <c r="E42" s="2067">
        <v>67</v>
      </c>
      <c r="F42" s="2067"/>
      <c r="G42" s="2067">
        <v>69.300000000000011</v>
      </c>
      <c r="H42" s="2067"/>
      <c r="I42" s="2067">
        <v>65.399999999999977</v>
      </c>
      <c r="J42" s="2067"/>
      <c r="K42" s="2067">
        <f t="shared" si="3"/>
        <v>60.800000000000011</v>
      </c>
      <c r="L42" s="2703"/>
      <c r="M42" s="2067"/>
      <c r="N42" s="2703"/>
      <c r="O42" s="2067"/>
      <c r="P42" s="2703"/>
      <c r="Q42" s="1851"/>
      <c r="R42" s="2703"/>
      <c r="S42" s="1851"/>
      <c r="T42" s="2703"/>
      <c r="U42" s="1851"/>
      <c r="V42" s="2703"/>
      <c r="W42" s="1851"/>
      <c r="X42" s="2703"/>
      <c r="Y42" s="1851"/>
      <c r="Z42" s="2703"/>
      <c r="AA42" s="1851"/>
      <c r="AB42" s="2062"/>
      <c r="AC42" s="2106"/>
      <c r="AD42" s="2067">
        <v>262.5</v>
      </c>
      <c r="AE42" s="3346"/>
      <c r="AF42" s="2043"/>
      <c r="AG42" s="2067">
        <v>288.7</v>
      </c>
      <c r="AH42" s="2061"/>
      <c r="AI42" s="2711"/>
      <c r="AJ42" s="2062">
        <f t="shared" si="4"/>
        <v>-26.2</v>
      </c>
      <c r="AK42" s="2704"/>
      <c r="AL42" s="1711">
        <f>ROUND(IF(AG42=0,0,AJ42/ABS(AG42)),3)</f>
        <v>-9.0999999999999998E-2</v>
      </c>
      <c r="AM42" s="2661"/>
      <c r="AN42" s="2661"/>
    </row>
    <row r="43" spans="1:40" ht="15.75">
      <c r="A43" s="2111"/>
      <c r="B43" s="2563" t="s">
        <v>1077</v>
      </c>
      <c r="C43" s="2546"/>
      <c r="D43" s="2111"/>
      <c r="E43" s="2067">
        <v>0.2</v>
      </c>
      <c r="F43" s="2067"/>
      <c r="G43" s="2067">
        <v>9.9999999999999978E-2</v>
      </c>
      <c r="H43" s="2067"/>
      <c r="I43" s="2067">
        <v>0</v>
      </c>
      <c r="J43" s="2067"/>
      <c r="K43" s="2067">
        <f t="shared" si="3"/>
        <v>0</v>
      </c>
      <c r="L43" s="2703"/>
      <c r="M43" s="2067"/>
      <c r="N43" s="2703"/>
      <c r="O43" s="2067"/>
      <c r="P43" s="2703"/>
      <c r="Q43" s="1851"/>
      <c r="R43" s="2703"/>
      <c r="S43" s="1851"/>
      <c r="T43" s="2703"/>
      <c r="U43" s="1851"/>
      <c r="V43" s="2703"/>
      <c r="W43" s="1851"/>
      <c r="X43" s="2703"/>
      <c r="Y43" s="1851"/>
      <c r="Z43" s="2703"/>
      <c r="AA43" s="1851"/>
      <c r="AB43" s="2062"/>
      <c r="AC43" s="2106"/>
      <c r="AD43" s="2067">
        <v>0.3</v>
      </c>
      <c r="AE43" s="3346"/>
      <c r="AF43" s="2043"/>
      <c r="AG43" s="2067">
        <v>0.5</v>
      </c>
      <c r="AH43" s="2061"/>
      <c r="AI43" s="2711"/>
      <c r="AJ43" s="2062">
        <f t="shared" si="4"/>
        <v>-0.2</v>
      </c>
      <c r="AK43" s="2704"/>
      <c r="AL43" s="1786">
        <f>ROUND(IF(AG43=0,1,AJ43/ABS(AG43)),3)</f>
        <v>-0.4</v>
      </c>
      <c r="AM43" s="2661"/>
      <c r="AN43" s="2661"/>
    </row>
    <row r="44" spans="1:40" ht="15.75">
      <c r="A44" s="2111"/>
      <c r="B44" s="2563" t="s">
        <v>1035</v>
      </c>
      <c r="C44" s="2546"/>
      <c r="D44" s="2111"/>
      <c r="E44" s="2067">
        <v>2.2999999999999998</v>
      </c>
      <c r="F44" s="2067"/>
      <c r="G44" s="2067">
        <v>2</v>
      </c>
      <c r="H44" s="2067"/>
      <c r="I44" s="2067">
        <v>2.3000000000000007</v>
      </c>
      <c r="J44" s="2067"/>
      <c r="K44" s="2067">
        <f t="shared" si="3"/>
        <v>1.7000000000000002</v>
      </c>
      <c r="L44" s="2703"/>
      <c r="M44" s="2067"/>
      <c r="N44" s="2703"/>
      <c r="O44" s="2067"/>
      <c r="P44" s="2703"/>
      <c r="Q44" s="1851"/>
      <c r="R44" s="2703"/>
      <c r="S44" s="1851"/>
      <c r="T44" s="2703"/>
      <c r="U44" s="1851"/>
      <c r="V44" s="2703"/>
      <c r="W44" s="1851"/>
      <c r="X44" s="2703"/>
      <c r="Y44" s="1851"/>
      <c r="Z44" s="2703"/>
      <c r="AA44" s="1851"/>
      <c r="AB44" s="2062"/>
      <c r="AC44" s="2106"/>
      <c r="AD44" s="2067">
        <v>8.3000000000000007</v>
      </c>
      <c r="AE44" s="3346"/>
      <c r="AF44" s="2043"/>
      <c r="AG44" s="2067">
        <v>9.9</v>
      </c>
      <c r="AH44" s="2061"/>
      <c r="AI44" s="2711"/>
      <c r="AJ44" s="2062">
        <f t="shared" si="4"/>
        <v>-1.6</v>
      </c>
      <c r="AK44" s="2704"/>
      <c r="AL44" s="1791">
        <f>ROUND(IF(AG44=0,1,AJ44/ABS(AG44)),3)</f>
        <v>-0.16200000000000001</v>
      </c>
      <c r="AM44" s="2661"/>
      <c r="AN44" s="2661"/>
    </row>
    <row r="45" spans="1:40" ht="15.75">
      <c r="A45" s="2111"/>
      <c r="B45" s="2563" t="s">
        <v>1036</v>
      </c>
      <c r="C45" s="2546"/>
      <c r="D45" s="2111"/>
      <c r="E45" s="2067">
        <v>1.1000000000000001</v>
      </c>
      <c r="F45" s="2067"/>
      <c r="G45" s="2067">
        <v>1</v>
      </c>
      <c r="H45" s="2067"/>
      <c r="I45" s="2067">
        <v>1</v>
      </c>
      <c r="J45" s="2067"/>
      <c r="K45" s="2067">
        <f t="shared" si="3"/>
        <v>1.0999999999999992</v>
      </c>
      <c r="L45" s="2703"/>
      <c r="M45" s="2067"/>
      <c r="N45" s="2703"/>
      <c r="O45" s="2067"/>
      <c r="P45" s="2703"/>
      <c r="Q45" s="1851"/>
      <c r="R45" s="2703"/>
      <c r="S45" s="1851"/>
      <c r="T45" s="2703"/>
      <c r="U45" s="1851"/>
      <c r="V45" s="2703"/>
      <c r="W45" s="1851"/>
      <c r="X45" s="2703"/>
      <c r="Y45" s="1851"/>
      <c r="Z45" s="2703"/>
      <c r="AA45" s="1851"/>
      <c r="AB45" s="2062"/>
      <c r="AC45" s="2106"/>
      <c r="AD45" s="2067">
        <v>4.1999999999999993</v>
      </c>
      <c r="AE45" s="3346"/>
      <c r="AF45" s="2043"/>
      <c r="AG45" s="2067">
        <v>3.3</v>
      </c>
      <c r="AH45" s="2061"/>
      <c r="AI45" s="2711"/>
      <c r="AJ45" s="2062">
        <f t="shared" si="4"/>
        <v>0.9</v>
      </c>
      <c r="AK45" s="2704"/>
      <c r="AL45" s="1786">
        <f>ROUND(IF(AG45=0,1,AJ45/ABS(AG45)),3)</f>
        <v>0.27300000000000002</v>
      </c>
      <c r="AM45" s="2661"/>
      <c r="AN45" s="2661"/>
    </row>
    <row r="46" spans="1:40" ht="15.75">
      <c r="A46" s="2111"/>
      <c r="B46" s="2563" t="s">
        <v>1159</v>
      </c>
      <c r="C46" s="2546"/>
      <c r="D46" s="2111"/>
      <c r="E46" s="2067" t="s">
        <v>15</v>
      </c>
      <c r="F46" s="2067"/>
      <c r="G46" s="2067"/>
      <c r="H46" s="2067"/>
      <c r="I46" s="2067"/>
      <c r="J46" s="2067"/>
      <c r="K46" s="2067"/>
      <c r="L46" s="2703"/>
      <c r="M46" s="2067"/>
      <c r="N46" s="2703"/>
      <c r="O46" s="2067"/>
      <c r="P46" s="2703"/>
      <c r="Q46" s="1851"/>
      <c r="R46" s="2703"/>
      <c r="S46" s="1851"/>
      <c r="T46" s="2703"/>
      <c r="U46" s="1851"/>
      <c r="V46" s="2703"/>
      <c r="W46" s="1851"/>
      <c r="X46" s="2703"/>
      <c r="Y46" s="1851"/>
      <c r="Z46" s="2703"/>
      <c r="AA46" s="1851"/>
      <c r="AB46" s="2062"/>
      <c r="AC46" s="2106"/>
      <c r="AD46" s="2718"/>
      <c r="AE46" s="3346"/>
      <c r="AF46" s="2043"/>
      <c r="AG46" s="2718"/>
      <c r="AH46" s="2061"/>
      <c r="AI46" s="2711"/>
      <c r="AJ46" s="2062"/>
      <c r="AK46" s="2704"/>
      <c r="AL46" s="1860"/>
      <c r="AM46" s="2661"/>
      <c r="AN46" s="2661"/>
    </row>
    <row r="47" spans="1:40" ht="15.75">
      <c r="A47" s="2111"/>
      <c r="B47" s="2563" t="s">
        <v>1081</v>
      </c>
      <c r="C47" s="2546"/>
      <c r="D47" s="2111"/>
      <c r="E47" s="2067">
        <v>200.8</v>
      </c>
      <c r="F47" s="2067"/>
      <c r="G47" s="2067">
        <v>2.8</v>
      </c>
      <c r="H47" s="2067"/>
      <c r="I47" s="2067">
        <v>146.39999999999998</v>
      </c>
      <c r="J47" s="2067"/>
      <c r="K47" s="2067">
        <f t="shared" si="3"/>
        <v>155.30000000000001</v>
      </c>
      <c r="L47" s="2703"/>
      <c r="M47" s="2067"/>
      <c r="N47" s="2703"/>
      <c r="O47" s="2067"/>
      <c r="P47" s="2703"/>
      <c r="Q47" s="1851"/>
      <c r="R47" s="2703"/>
      <c r="S47" s="1851"/>
      <c r="T47" s="2703"/>
      <c r="U47" s="1851"/>
      <c r="V47" s="2703"/>
      <c r="W47" s="1851"/>
      <c r="X47" s="2703"/>
      <c r="Y47" s="1851"/>
      <c r="Z47" s="2703"/>
      <c r="AA47" s="1851"/>
      <c r="AB47" s="2062"/>
      <c r="AC47" s="2106"/>
      <c r="AD47" s="2067">
        <v>505.3</v>
      </c>
      <c r="AE47" s="3346"/>
      <c r="AF47" s="2043"/>
      <c r="AG47" s="2067">
        <v>554.1</v>
      </c>
      <c r="AH47" s="2061"/>
      <c r="AI47" s="2711"/>
      <c r="AJ47" s="2062">
        <f t="shared" si="4"/>
        <v>-48.8</v>
      </c>
      <c r="AK47" s="2704"/>
      <c r="AL47" s="1941">
        <f>ROUND(IF(AG47=0,1,AJ47/ABS(AG47)),3)</f>
        <v>-8.7999999999999995E-2</v>
      </c>
      <c r="AM47" s="2661"/>
      <c r="AN47" s="2661"/>
    </row>
    <row r="48" spans="1:40" s="2723" customFormat="1" ht="15.75">
      <c r="A48" s="2720"/>
      <c r="B48" s="2563" t="s">
        <v>1083</v>
      </c>
      <c r="C48" s="2546"/>
      <c r="D48" s="2546"/>
      <c r="E48" s="2067">
        <v>0</v>
      </c>
      <c r="F48" s="2066"/>
      <c r="G48" s="2067">
        <v>0</v>
      </c>
      <c r="H48" s="2066"/>
      <c r="I48" s="2067">
        <v>0</v>
      </c>
      <c r="J48" s="2066"/>
      <c r="K48" s="2067">
        <f t="shared" si="3"/>
        <v>0</v>
      </c>
      <c r="L48" s="2703"/>
      <c r="M48" s="2067"/>
      <c r="N48" s="2703"/>
      <c r="O48" s="2067"/>
      <c r="P48" s="2703"/>
      <c r="Q48" s="1851"/>
      <c r="R48" s="2703"/>
      <c r="S48" s="1851"/>
      <c r="T48" s="2703"/>
      <c r="U48" s="1851"/>
      <c r="V48" s="2703"/>
      <c r="W48" s="1851"/>
      <c r="X48" s="2703"/>
      <c r="Y48" s="1851"/>
      <c r="Z48" s="2703"/>
      <c r="AA48" s="1851"/>
      <c r="AB48" s="2067"/>
      <c r="AC48" s="2068"/>
      <c r="AD48" s="2067">
        <v>0</v>
      </c>
      <c r="AE48" s="3353"/>
      <c r="AF48" s="2108"/>
      <c r="AG48" s="2067">
        <v>0</v>
      </c>
      <c r="AH48" s="2099"/>
      <c r="AI48" s="2711"/>
      <c r="AJ48" s="2067">
        <f t="shared" si="4"/>
        <v>0</v>
      </c>
      <c r="AK48" s="2721"/>
      <c r="AL48" s="1786">
        <f>ROUND(IF(AG48=0,0,AJ48/ABS(AG48)),3)</f>
        <v>0</v>
      </c>
      <c r="AM48" s="2722"/>
      <c r="AN48" s="2722"/>
    </row>
    <row r="49" spans="1:41" ht="15.75">
      <c r="A49" s="2111"/>
      <c r="B49" s="2563" t="s">
        <v>1084</v>
      </c>
      <c r="C49" s="2546"/>
      <c r="D49" s="2111"/>
      <c r="E49" s="2067">
        <v>3.5</v>
      </c>
      <c r="F49" s="2067"/>
      <c r="G49" s="2067">
        <v>0.10000000000000009</v>
      </c>
      <c r="H49" s="2067"/>
      <c r="I49" s="2067">
        <v>0.39999999999999991</v>
      </c>
      <c r="J49" s="2067"/>
      <c r="K49" s="2067">
        <f t="shared" si="3"/>
        <v>-0.10000000000000009</v>
      </c>
      <c r="L49" s="2703"/>
      <c r="M49" s="2067"/>
      <c r="N49" s="2703"/>
      <c r="O49" s="2067"/>
      <c r="P49" s="2703"/>
      <c r="Q49" s="1851"/>
      <c r="R49" s="2703"/>
      <c r="S49" s="1851"/>
      <c r="T49" s="2703"/>
      <c r="U49" s="1851"/>
      <c r="V49" s="2703"/>
      <c r="W49" s="1851"/>
      <c r="X49" s="2703"/>
      <c r="Y49" s="1851"/>
      <c r="Z49" s="2703"/>
      <c r="AA49" s="1851"/>
      <c r="AB49" s="2062"/>
      <c r="AC49" s="2106"/>
      <c r="AD49" s="2067">
        <v>3.9</v>
      </c>
      <c r="AE49" s="3346"/>
      <c r="AF49" s="2043"/>
      <c r="AG49" s="2067">
        <v>2</v>
      </c>
      <c r="AH49" s="2061"/>
      <c r="AI49" s="2711"/>
      <c r="AJ49" s="2062">
        <f t="shared" si="4"/>
        <v>1.9</v>
      </c>
      <c r="AK49" s="2704"/>
      <c r="AL49" s="2724">
        <f>ROUND(IF(AG49=0,1,AJ49/ABS(AG49)),3)</f>
        <v>0.95</v>
      </c>
      <c r="AM49" s="2661"/>
      <c r="AN49" s="2661"/>
    </row>
    <row r="50" spans="1:41" ht="15.75">
      <c r="A50" s="2111"/>
      <c r="B50" s="2563" t="s">
        <v>1054</v>
      </c>
      <c r="C50" s="2546"/>
      <c r="D50" s="2111"/>
      <c r="E50" s="2067">
        <v>0.3</v>
      </c>
      <c r="F50" s="2067"/>
      <c r="G50" s="2067">
        <v>0</v>
      </c>
      <c r="H50" s="2067"/>
      <c r="I50" s="2067">
        <v>0.3</v>
      </c>
      <c r="J50" s="2067"/>
      <c r="K50" s="2067">
        <f t="shared" si="3"/>
        <v>0</v>
      </c>
      <c r="L50" s="2703"/>
      <c r="M50" s="2067"/>
      <c r="N50" s="2703"/>
      <c r="O50" s="2067"/>
      <c r="P50" s="2703"/>
      <c r="Q50" s="1851"/>
      <c r="R50" s="2703"/>
      <c r="S50" s="1851"/>
      <c r="T50" s="2703"/>
      <c r="U50" s="1851"/>
      <c r="V50" s="2703"/>
      <c r="W50" s="1851"/>
      <c r="X50" s="2703"/>
      <c r="Y50" s="1851"/>
      <c r="Z50" s="2703"/>
      <c r="AA50" s="1851"/>
      <c r="AB50" s="2062"/>
      <c r="AC50" s="2106"/>
      <c r="AD50" s="2067">
        <v>0.6</v>
      </c>
      <c r="AE50" s="3346"/>
      <c r="AF50" s="2043"/>
      <c r="AG50" s="2067">
        <v>0.3</v>
      </c>
      <c r="AH50" s="2061"/>
      <c r="AI50" s="2711"/>
      <c r="AJ50" s="2062">
        <f t="shared" si="4"/>
        <v>0.3</v>
      </c>
      <c r="AK50" s="2704"/>
      <c r="AL50" s="1711">
        <f>ROUND(IF(AG50=0,1,AJ50/ABS(AG50)),3)</f>
        <v>1</v>
      </c>
      <c r="AM50" s="2661"/>
      <c r="AN50" s="2661"/>
    </row>
    <row r="51" spans="1:41" ht="15.75">
      <c r="A51" s="2111"/>
      <c r="B51" s="2563" t="s">
        <v>1055</v>
      </c>
      <c r="C51" s="2546"/>
      <c r="D51" s="2111"/>
      <c r="E51" s="2067">
        <v>0.8</v>
      </c>
      <c r="F51" s="2067"/>
      <c r="G51" s="2067">
        <v>0.8</v>
      </c>
      <c r="H51" s="2067"/>
      <c r="I51" s="2067">
        <v>0.39999999999999991</v>
      </c>
      <c r="J51" s="2067"/>
      <c r="K51" s="2067">
        <f t="shared" si="3"/>
        <v>0.5</v>
      </c>
      <c r="L51" s="2703"/>
      <c r="M51" s="2067"/>
      <c r="N51" s="2703"/>
      <c r="O51" s="2067"/>
      <c r="P51" s="2703"/>
      <c r="Q51" s="1851"/>
      <c r="R51" s="2703"/>
      <c r="S51" s="1851"/>
      <c r="T51" s="2703"/>
      <c r="U51" s="1851"/>
      <c r="V51" s="2703"/>
      <c r="W51" s="1851"/>
      <c r="X51" s="2703"/>
      <c r="Y51" s="1851"/>
      <c r="Z51" s="2703"/>
      <c r="AA51" s="1851"/>
      <c r="AB51" s="2062"/>
      <c r="AC51" s="2106"/>
      <c r="AD51" s="2067">
        <v>2.5</v>
      </c>
      <c r="AE51" s="3346"/>
      <c r="AF51" s="2043"/>
      <c r="AG51" s="2067">
        <v>2.7</v>
      </c>
      <c r="AH51" s="2061"/>
      <c r="AI51" s="2711"/>
      <c r="AJ51" s="2062">
        <f t="shared" si="4"/>
        <v>-0.2</v>
      </c>
      <c r="AK51" s="2704"/>
      <c r="AL51" s="1711">
        <f>ROUND(IF(AG51=0,0,AJ51/ABS(AG51)),3)</f>
        <v>-7.3999999999999996E-2</v>
      </c>
      <c r="AM51" s="2661"/>
      <c r="AN51" s="2661"/>
    </row>
    <row r="52" spans="1:41" ht="15.75">
      <c r="A52" s="2111"/>
      <c r="B52" s="2563" t="s">
        <v>1160</v>
      </c>
      <c r="C52" s="2546"/>
      <c r="D52" s="2111"/>
      <c r="E52" s="2067" t="s">
        <v>15</v>
      </c>
      <c r="F52" s="2067"/>
      <c r="G52" s="2067"/>
      <c r="H52" s="2067"/>
      <c r="I52" s="2067"/>
      <c r="J52" s="2067"/>
      <c r="K52" s="2067"/>
      <c r="L52" s="2703"/>
      <c r="M52" s="2067"/>
      <c r="N52" s="2703"/>
      <c r="O52" s="2067"/>
      <c r="P52" s="2703"/>
      <c r="Q52" s="1851"/>
      <c r="R52" s="2703"/>
      <c r="S52" s="1851"/>
      <c r="T52" s="2703"/>
      <c r="U52" s="1851"/>
      <c r="V52" s="2703"/>
      <c r="W52" s="1851"/>
      <c r="X52" s="2703"/>
      <c r="Y52" s="1851"/>
      <c r="Z52" s="2703"/>
      <c r="AA52" s="1851"/>
      <c r="AB52" s="2062"/>
      <c r="AC52" s="2106"/>
      <c r="AD52" s="2718"/>
      <c r="AE52" s="3346"/>
      <c r="AF52" s="2043"/>
      <c r="AG52" s="2718"/>
      <c r="AH52" s="2061"/>
      <c r="AI52" s="2711"/>
      <c r="AJ52" s="2062"/>
      <c r="AK52" s="2704"/>
      <c r="AL52" s="1860"/>
      <c r="AM52" s="2661"/>
      <c r="AN52" s="2661"/>
    </row>
    <row r="53" spans="1:41" ht="15.75">
      <c r="A53" s="2111"/>
      <c r="B53" s="2563" t="s">
        <v>1085</v>
      </c>
      <c r="C53" s="2546"/>
      <c r="D53" s="2111"/>
      <c r="E53" s="2067">
        <v>0</v>
      </c>
      <c r="F53" s="2066"/>
      <c r="G53" s="2067">
        <v>0</v>
      </c>
      <c r="H53" s="2067"/>
      <c r="I53" s="2067">
        <v>0</v>
      </c>
      <c r="J53" s="2067"/>
      <c r="K53" s="2067">
        <f t="shared" si="3"/>
        <v>0</v>
      </c>
      <c r="L53" s="2703"/>
      <c r="M53" s="2067"/>
      <c r="N53" s="2703"/>
      <c r="O53" s="2067"/>
      <c r="P53" s="2703"/>
      <c r="Q53" s="1851"/>
      <c r="R53" s="2703"/>
      <c r="S53" s="1851"/>
      <c r="T53" s="2703"/>
      <c r="U53" s="1851"/>
      <c r="V53" s="2703"/>
      <c r="W53" s="1851"/>
      <c r="X53" s="2703"/>
      <c r="Y53" s="1851"/>
      <c r="Z53" s="2703"/>
      <c r="AA53" s="1851"/>
      <c r="AB53" s="2062"/>
      <c r="AC53" s="2106"/>
      <c r="AD53" s="2067">
        <v>0</v>
      </c>
      <c r="AE53" s="3346"/>
      <c r="AF53" s="2043"/>
      <c r="AG53" s="2067">
        <v>0</v>
      </c>
      <c r="AH53" s="2061"/>
      <c r="AI53" s="2711"/>
      <c r="AJ53" s="2062">
        <f t="shared" si="4"/>
        <v>0</v>
      </c>
      <c r="AK53" s="2704"/>
      <c r="AL53" s="1711">
        <f>ROUND(IF(AG53=0,0,AJ53/ABS(AG53)),3)</f>
        <v>0</v>
      </c>
      <c r="AM53" s="2661"/>
      <c r="AN53" s="2661"/>
    </row>
    <row r="54" spans="1:41" ht="15.75">
      <c r="A54" s="2111"/>
      <c r="B54" s="2563" t="s">
        <v>1087</v>
      </c>
      <c r="C54" s="2546"/>
      <c r="D54" s="2111"/>
      <c r="E54" s="2067">
        <v>10.1</v>
      </c>
      <c r="F54" s="2066"/>
      <c r="G54" s="2067">
        <v>0.5</v>
      </c>
      <c r="H54" s="2067"/>
      <c r="I54" s="2067">
        <v>0.30000000000000071</v>
      </c>
      <c r="J54" s="2067"/>
      <c r="K54" s="2067">
        <f t="shared" si="3"/>
        <v>0.59999999999999964</v>
      </c>
      <c r="L54" s="2703"/>
      <c r="M54" s="2067"/>
      <c r="N54" s="2703"/>
      <c r="O54" s="2067"/>
      <c r="P54" s="2703"/>
      <c r="Q54" s="1851"/>
      <c r="R54" s="2703"/>
      <c r="S54" s="1851"/>
      <c r="T54" s="2703"/>
      <c r="U54" s="1851"/>
      <c r="V54" s="2703"/>
      <c r="W54" s="1851"/>
      <c r="X54" s="2703"/>
      <c r="Y54" s="1851"/>
      <c r="Z54" s="2703"/>
      <c r="AA54" s="1851"/>
      <c r="AB54" s="2062"/>
      <c r="AC54" s="2106"/>
      <c r="AD54" s="2067">
        <v>11.5</v>
      </c>
      <c r="AE54" s="3346"/>
      <c r="AF54" s="2043"/>
      <c r="AG54" s="2067">
        <v>0.1</v>
      </c>
      <c r="AH54" s="2061"/>
      <c r="AI54" s="2711"/>
      <c r="AJ54" s="2062">
        <f t="shared" si="4"/>
        <v>11.4</v>
      </c>
      <c r="AK54" s="2704"/>
      <c r="AL54" s="2271">
        <f>ROUND(IF(AG54=0,1,AJ54/ABS(AG54)),3)</f>
        <v>114</v>
      </c>
      <c r="AM54" s="2661"/>
      <c r="AN54" s="2661"/>
    </row>
    <row r="55" spans="1:41" ht="15.75">
      <c r="A55" s="2111"/>
      <c r="B55" s="2563" t="s">
        <v>1088</v>
      </c>
      <c r="C55" s="2546"/>
      <c r="D55" s="2111"/>
      <c r="E55" s="2067">
        <v>-0.9</v>
      </c>
      <c r="F55" s="2066"/>
      <c r="G55" s="2067">
        <v>0</v>
      </c>
      <c r="H55" s="2067"/>
      <c r="I55" s="2067">
        <v>0</v>
      </c>
      <c r="J55" s="2067"/>
      <c r="K55" s="2067">
        <f t="shared" si="3"/>
        <v>0</v>
      </c>
      <c r="L55" s="2703"/>
      <c r="M55" s="2067"/>
      <c r="N55" s="2703"/>
      <c r="O55" s="2067"/>
      <c r="P55" s="2703"/>
      <c r="Q55" s="1851"/>
      <c r="R55" s="2703"/>
      <c r="S55" s="1851"/>
      <c r="T55" s="2703"/>
      <c r="U55" s="1851"/>
      <c r="V55" s="2703"/>
      <c r="W55" s="1851"/>
      <c r="X55" s="2703"/>
      <c r="Y55" s="1851"/>
      <c r="Z55" s="2703"/>
      <c r="AA55" s="1851"/>
      <c r="AB55" s="2062"/>
      <c r="AC55" s="2106"/>
      <c r="AD55" s="2067">
        <v>-0.9</v>
      </c>
      <c r="AE55" s="2257"/>
      <c r="AF55" s="2043"/>
      <c r="AG55" s="2067">
        <v>0</v>
      </c>
      <c r="AH55" s="2061"/>
      <c r="AI55" s="2711"/>
      <c r="AJ55" s="2062">
        <f t="shared" si="4"/>
        <v>-0.9</v>
      </c>
      <c r="AK55" s="2704"/>
      <c r="AL55" s="1711">
        <f>ROUND(IF(AG55=0,-1,AJ55/ABS(AG55)),3)</f>
        <v>-1</v>
      </c>
      <c r="AM55" s="2661"/>
      <c r="AN55" s="2661"/>
    </row>
    <row r="56" spans="1:41" ht="15.75">
      <c r="A56" s="2111"/>
      <c r="B56" s="2563" t="s">
        <v>1090</v>
      </c>
      <c r="C56" s="2546"/>
      <c r="D56" s="2111"/>
      <c r="E56" s="2067">
        <v>0</v>
      </c>
      <c r="F56" s="2066"/>
      <c r="G56" s="2067">
        <v>0.1</v>
      </c>
      <c r="H56" s="2067"/>
      <c r="I56" s="2067">
        <v>0.1</v>
      </c>
      <c r="J56" s="2067"/>
      <c r="K56" s="2067">
        <f t="shared" si="3"/>
        <v>0</v>
      </c>
      <c r="L56" s="2703"/>
      <c r="M56" s="2067"/>
      <c r="N56" s="2703"/>
      <c r="O56" s="2067"/>
      <c r="P56" s="2703"/>
      <c r="Q56" s="1851"/>
      <c r="R56" s="2703"/>
      <c r="S56" s="1851"/>
      <c r="T56" s="2703"/>
      <c r="U56" s="1851"/>
      <c r="V56" s="2703"/>
      <c r="W56" s="1851"/>
      <c r="X56" s="2703"/>
      <c r="Y56" s="1851"/>
      <c r="Z56" s="2703"/>
      <c r="AA56" s="1851"/>
      <c r="AB56" s="2062"/>
      <c r="AC56" s="2106"/>
      <c r="AD56" s="2067">
        <v>0.2</v>
      </c>
      <c r="AE56" s="3354"/>
      <c r="AF56" s="2043"/>
      <c r="AG56" s="2067">
        <v>0.1</v>
      </c>
      <c r="AH56" s="2061"/>
      <c r="AI56" s="2711"/>
      <c r="AJ56" s="2062">
        <f>ROUND(AD56-AG56,1)</f>
        <v>0.1</v>
      </c>
      <c r="AK56" s="2704"/>
      <c r="AL56" s="1711">
        <f>ROUND(IF(AG56=0,0,AJ56/ABS(AG56)),3)</f>
        <v>1</v>
      </c>
      <c r="AM56" s="2661"/>
      <c r="AN56" s="2661"/>
    </row>
    <row r="57" spans="1:41" ht="15.75">
      <c r="A57" s="2111"/>
      <c r="B57" s="2563" t="s">
        <v>1091</v>
      </c>
      <c r="C57" s="2546"/>
      <c r="D57" s="2111"/>
      <c r="E57" s="2067">
        <v>0.2</v>
      </c>
      <c r="F57" s="2066"/>
      <c r="G57" s="2067">
        <v>0.49999999999999994</v>
      </c>
      <c r="H57" s="2067"/>
      <c r="I57" s="2067">
        <v>0.40000000000000019</v>
      </c>
      <c r="J57" s="2067"/>
      <c r="K57" s="2067">
        <f t="shared" si="3"/>
        <v>9.9999999999999811E-2</v>
      </c>
      <c r="L57" s="2703"/>
      <c r="M57" s="2067"/>
      <c r="N57" s="2703"/>
      <c r="O57" s="2067"/>
      <c r="P57" s="2703"/>
      <c r="Q57" s="1851"/>
      <c r="R57" s="2703"/>
      <c r="S57" s="1851"/>
      <c r="T57" s="2703"/>
      <c r="U57" s="1851"/>
      <c r="V57" s="2703"/>
      <c r="W57" s="1851"/>
      <c r="X57" s="2703"/>
      <c r="Y57" s="1851"/>
      <c r="Z57" s="2703"/>
      <c r="AA57" s="1851"/>
      <c r="AB57" s="2062"/>
      <c r="AC57" s="2106"/>
      <c r="AD57" s="2067">
        <v>1.2</v>
      </c>
      <c r="AE57" s="3346"/>
      <c r="AF57" s="2043"/>
      <c r="AG57" s="2067">
        <v>5.4</v>
      </c>
      <c r="AH57" s="2061"/>
      <c r="AI57" s="2711"/>
      <c r="AJ57" s="2062">
        <f t="shared" si="4"/>
        <v>-4.2</v>
      </c>
      <c r="AK57" s="2704"/>
      <c r="AL57" s="1941">
        <f>ROUND(IF(AG57=0,1,AJ57/ABS(AG57)),3)</f>
        <v>-0.77800000000000002</v>
      </c>
      <c r="AM57" s="2661"/>
      <c r="AN57" s="2661"/>
    </row>
    <row r="58" spans="1:41" ht="15.75">
      <c r="A58" s="2111"/>
      <c r="B58" s="2563" t="s">
        <v>1093</v>
      </c>
      <c r="C58" s="2546"/>
      <c r="D58" s="2111"/>
      <c r="E58" s="2067">
        <v>3.6</v>
      </c>
      <c r="F58" s="2066"/>
      <c r="G58" s="2067">
        <v>0.80000000000000027</v>
      </c>
      <c r="H58" s="2067"/>
      <c r="I58" s="2067">
        <v>1.0999999999999996</v>
      </c>
      <c r="J58" s="2067"/>
      <c r="K58" s="2067">
        <f t="shared" si="3"/>
        <v>14.499999999999998</v>
      </c>
      <c r="L58" s="2703"/>
      <c r="M58" s="2067"/>
      <c r="N58" s="2703"/>
      <c r="O58" s="2067"/>
      <c r="P58" s="2703"/>
      <c r="Q58" s="1851"/>
      <c r="R58" s="2703"/>
      <c r="S58" s="1851"/>
      <c r="T58" s="2703"/>
      <c r="U58" s="1851"/>
      <c r="V58" s="2703"/>
      <c r="W58" s="1851"/>
      <c r="X58" s="2703"/>
      <c r="Y58" s="1851"/>
      <c r="Z58" s="2703"/>
      <c r="AA58" s="1851"/>
      <c r="AB58" s="2062"/>
      <c r="AC58" s="2106"/>
      <c r="AD58" s="1868">
        <v>20</v>
      </c>
      <c r="AE58" s="3346"/>
      <c r="AF58" s="2043"/>
      <c r="AG58" s="1868">
        <v>4.5999999999999996</v>
      </c>
      <c r="AH58" s="2061"/>
      <c r="AI58" s="2711"/>
      <c r="AJ58" s="2062">
        <f t="shared" si="4"/>
        <v>15.4</v>
      </c>
      <c r="AK58" s="2704"/>
      <c r="AL58" s="2271">
        <f>ROUND(IF(AG58=0,0,AJ58/ABS(AG58)),3)</f>
        <v>3.3479999999999999</v>
      </c>
      <c r="AM58" s="2661"/>
      <c r="AN58" s="2661"/>
    </row>
    <row r="59" spans="1:41" ht="15.75">
      <c r="A59" s="2111"/>
      <c r="B59" s="2563" t="s">
        <v>1065</v>
      </c>
      <c r="C59" s="2546"/>
      <c r="D59" s="2111"/>
      <c r="E59" s="2067">
        <v>4.1999999999999993</v>
      </c>
      <c r="F59" s="2066"/>
      <c r="G59" s="2067">
        <v>0</v>
      </c>
      <c r="H59" s="2067"/>
      <c r="I59" s="2067">
        <v>0</v>
      </c>
      <c r="J59" s="2067"/>
      <c r="K59" s="2067">
        <f t="shared" si="3"/>
        <v>0</v>
      </c>
      <c r="L59" s="2703"/>
      <c r="M59" s="2067"/>
      <c r="N59" s="2703"/>
      <c r="O59" s="2067"/>
      <c r="P59" s="2703"/>
      <c r="Q59" s="1851"/>
      <c r="R59" s="2703"/>
      <c r="S59" s="1851"/>
      <c r="T59" s="2703"/>
      <c r="U59" s="1851"/>
      <c r="V59" s="2703"/>
      <c r="W59" s="1851"/>
      <c r="X59" s="2703"/>
      <c r="Y59" s="1851"/>
      <c r="Z59" s="2703"/>
      <c r="AA59" s="1851"/>
      <c r="AB59" s="2062"/>
      <c r="AC59" s="2106"/>
      <c r="AD59" s="1868">
        <v>4.1999999999999993</v>
      </c>
      <c r="AE59" s="3346"/>
      <c r="AF59" s="2043"/>
      <c r="AG59" s="1868">
        <v>1.1000000000000001</v>
      </c>
      <c r="AH59" s="2061"/>
      <c r="AI59" s="2711"/>
      <c r="AJ59" s="2062">
        <f t="shared" si="4"/>
        <v>3.1</v>
      </c>
      <c r="AK59" s="2704"/>
      <c r="AL59" s="1856">
        <f>ROUND(IF(AG59=0,1,AJ59/ABS(AG59)),3)</f>
        <v>2.8180000000000001</v>
      </c>
      <c r="AM59" s="2661"/>
      <c r="AN59" s="2725"/>
    </row>
    <row r="60" spans="1:41" s="2717" customFormat="1" ht="15.75" collapsed="1">
      <c r="A60" s="2504"/>
      <c r="B60" s="2550" t="s">
        <v>1203</v>
      </c>
      <c r="C60" s="2504"/>
      <c r="D60" s="2504"/>
      <c r="E60" s="1500">
        <f>ROUND(SUM(E34:E59),1)</f>
        <v>304.10000000000002</v>
      </c>
      <c r="F60" s="2117"/>
      <c r="G60" s="1500">
        <f>ROUND(SUM(G34:G59),1)</f>
        <v>92.9</v>
      </c>
      <c r="H60" s="2726"/>
      <c r="I60" s="1500">
        <f>ROUND(SUM(I34:I59),1)</f>
        <v>253.5</v>
      </c>
      <c r="J60" s="2117"/>
      <c r="K60" s="1500">
        <f>ROUND(SUM(K34:K59),1)</f>
        <v>245.2</v>
      </c>
      <c r="L60" s="1483"/>
      <c r="M60" s="1500">
        <f>ROUND(SUM(M34:M59),1)</f>
        <v>0</v>
      </c>
      <c r="N60" s="1483"/>
      <c r="O60" s="1500">
        <f>ROUND(SUM(O34:O59),1)</f>
        <v>0</v>
      </c>
      <c r="P60" s="2073"/>
      <c r="Q60" s="1500">
        <f>ROUND(SUM(Q34:Q59),1)</f>
        <v>0</v>
      </c>
      <c r="R60" s="2073"/>
      <c r="S60" s="1500">
        <f>ROUND(SUM(S34:S59),1)</f>
        <v>0</v>
      </c>
      <c r="T60" s="2073"/>
      <c r="U60" s="1500">
        <f>ROUND(SUM(U34:U59),1)</f>
        <v>0</v>
      </c>
      <c r="V60" s="2062"/>
      <c r="W60" s="1500">
        <f>ROUND(SUM(W34:W59),1)</f>
        <v>0</v>
      </c>
      <c r="X60" s="2062"/>
      <c r="Y60" s="1500">
        <f>ROUND(SUM(Y34:Y59),1)</f>
        <v>0</v>
      </c>
      <c r="Z60" s="2062"/>
      <c r="AA60" s="1500">
        <f>ROUND(SUM(AA34:AA59),1)</f>
        <v>0</v>
      </c>
      <c r="AB60" s="2117"/>
      <c r="AC60" s="2634"/>
      <c r="AD60" s="1500">
        <f>ROUND(SUM(AD34:AD59),1)</f>
        <v>895.7</v>
      </c>
      <c r="AE60" s="3355"/>
      <c r="AF60" s="1502"/>
      <c r="AG60" s="1500">
        <f>ROUND(SUM(AG34:AG59),1)</f>
        <v>957.2</v>
      </c>
      <c r="AH60" s="2715"/>
      <c r="AI60" s="2711"/>
      <c r="AJ60" s="1500">
        <f>ROUND(SUM(AJ34:AJ59),1)</f>
        <v>-61.5</v>
      </c>
      <c r="AK60" s="2727"/>
      <c r="AL60" s="2272">
        <f>ROUND(IF(AG60=0,0,AJ60/ABS(AG60)),3)</f>
        <v>-6.4000000000000001E-2</v>
      </c>
      <c r="AM60" s="2728"/>
      <c r="AN60" s="2728"/>
    </row>
    <row r="61" spans="1:41" s="2717" customFormat="1" ht="15.75">
      <c r="A61" s="2504"/>
      <c r="B61" s="2550"/>
      <c r="C61" s="2504"/>
      <c r="D61" s="2504"/>
      <c r="E61" s="1502"/>
      <c r="F61" s="2117"/>
      <c r="G61" s="1502"/>
      <c r="H61" s="2726"/>
      <c r="I61" s="1502"/>
      <c r="J61" s="2117"/>
      <c r="K61" s="1502"/>
      <c r="L61" s="2703"/>
      <c r="M61" s="1851"/>
      <c r="N61" s="2703"/>
      <c r="O61" s="1851"/>
      <c r="P61" s="2703"/>
      <c r="Q61" s="1851"/>
      <c r="R61" s="2703"/>
      <c r="S61" s="1851"/>
      <c r="T61" s="2703"/>
      <c r="U61" s="1851"/>
      <c r="V61" s="2703"/>
      <c r="W61" s="1851"/>
      <c r="X61" s="2703"/>
      <c r="Y61" s="1851"/>
      <c r="Z61" s="2703"/>
      <c r="AA61" s="1851"/>
      <c r="AB61" s="2117"/>
      <c r="AC61" s="2634"/>
      <c r="AD61" s="1502"/>
      <c r="AE61" s="3356"/>
      <c r="AF61" s="1502"/>
      <c r="AG61" s="1502"/>
      <c r="AH61" s="2715"/>
      <c r="AI61" s="2711"/>
      <c r="AJ61" s="1502"/>
      <c r="AK61" s="2727"/>
      <c r="AL61" s="2729"/>
      <c r="AM61" s="2728"/>
      <c r="AN61" s="2728"/>
    </row>
    <row r="62" spans="1:41" ht="15.75">
      <c r="A62" s="2111"/>
      <c r="B62" s="2111" t="s">
        <v>150</v>
      </c>
      <c r="C62" s="2111"/>
      <c r="D62" s="2111"/>
      <c r="E62" s="2067">
        <v>0</v>
      </c>
      <c r="F62" s="2067"/>
      <c r="G62" s="2067">
        <v>0</v>
      </c>
      <c r="H62" s="2067"/>
      <c r="I62" s="2067">
        <v>0</v>
      </c>
      <c r="J62" s="2067"/>
      <c r="K62" s="2067">
        <f t="shared" ref="K62" si="5">$AD62-$E62-$G62-$I62</f>
        <v>0</v>
      </c>
      <c r="L62" s="2703"/>
      <c r="M62" s="2067"/>
      <c r="N62" s="2703"/>
      <c r="O62" s="2067"/>
      <c r="P62" s="2703"/>
      <c r="Q62" s="1851"/>
      <c r="R62" s="2703"/>
      <c r="S62" s="1851"/>
      <c r="T62" s="2703"/>
      <c r="U62" s="1851"/>
      <c r="V62" s="2703"/>
      <c r="W62" s="1851"/>
      <c r="X62" s="2703"/>
      <c r="Y62" s="1851"/>
      <c r="Z62" s="2703"/>
      <c r="AA62" s="1851"/>
      <c r="AB62" s="2062"/>
      <c r="AC62" s="2106"/>
      <c r="AD62" s="2067">
        <v>0</v>
      </c>
      <c r="AE62" s="3343"/>
      <c r="AF62" s="2043"/>
      <c r="AG62" s="2067">
        <v>0</v>
      </c>
      <c r="AH62" s="2061"/>
      <c r="AI62" s="2696"/>
      <c r="AJ62" s="2062">
        <f>ROUND(AD62-AG62,1)</f>
        <v>0</v>
      </c>
      <c r="AK62" s="2704"/>
      <c r="AL62" s="1711">
        <f>ROUND(IF(AG62=0,0,AJ62/ABS(AG62)),3)</f>
        <v>0</v>
      </c>
      <c r="AM62" s="2661"/>
      <c r="AN62" s="2661"/>
    </row>
    <row r="63" spans="1:41" ht="15.75">
      <c r="A63" s="2111"/>
      <c r="B63" s="2111"/>
      <c r="C63" s="2111"/>
      <c r="D63" s="2111"/>
      <c r="E63" s="2572"/>
      <c r="F63" s="2067"/>
      <c r="G63" s="2572"/>
      <c r="H63" s="2067"/>
      <c r="I63" s="2572"/>
      <c r="J63" s="2067"/>
      <c r="K63" s="2730"/>
      <c r="L63" s="2703"/>
      <c r="M63" s="2731"/>
      <c r="N63" s="2732"/>
      <c r="O63" s="2731"/>
      <c r="P63" s="2732"/>
      <c r="Q63" s="2731"/>
      <c r="R63" s="2732"/>
      <c r="S63" s="2731"/>
      <c r="T63" s="2732"/>
      <c r="U63" s="2731"/>
      <c r="V63" s="2732"/>
      <c r="W63" s="2731"/>
      <c r="X63" s="2732"/>
      <c r="Y63" s="2731"/>
      <c r="Z63" s="2732"/>
      <c r="AA63" s="2731"/>
      <c r="AB63" s="2062"/>
      <c r="AC63" s="2106"/>
      <c r="AD63" s="2118"/>
      <c r="AE63" s="3343"/>
      <c r="AF63" s="2043"/>
      <c r="AG63" s="2118"/>
      <c r="AH63" s="2043"/>
      <c r="AI63" s="2696"/>
      <c r="AJ63" s="2118"/>
      <c r="AK63" s="2694"/>
      <c r="AL63" s="2245"/>
      <c r="AM63" s="2661"/>
      <c r="AN63" s="2661"/>
    </row>
    <row r="64" spans="1:41" ht="15.75">
      <c r="A64" s="2111"/>
      <c r="B64" s="2504" t="s">
        <v>197</v>
      </c>
      <c r="C64" s="2111"/>
      <c r="D64" s="2111"/>
      <c r="E64" s="2121">
        <f>ROUND(SUM(E32+E60+E62),1)</f>
        <v>417.8</v>
      </c>
      <c r="F64" s="2117"/>
      <c r="G64" s="2733">
        <f>ROUND(SUM(G32+G60+G62),1)</f>
        <v>194.3</v>
      </c>
      <c r="H64" s="2117"/>
      <c r="I64" s="2733">
        <f>ROUND(SUM(I32+I60+I62),1)</f>
        <v>391.6</v>
      </c>
      <c r="J64" s="2117"/>
      <c r="K64" s="2733">
        <f>ROUND(SUM(K32+K60+K62),1)</f>
        <v>354.6</v>
      </c>
      <c r="L64" s="1501"/>
      <c r="M64" s="1613">
        <f>ROUND(SUM(M32+M60+M62),1)</f>
        <v>0</v>
      </c>
      <c r="N64" s="1502"/>
      <c r="O64" s="1613">
        <f>ROUND(SUM(O32+O60+O62),1)</f>
        <v>0</v>
      </c>
      <c r="P64" s="1502"/>
      <c r="Q64" s="1613">
        <f>ROUND(SUM(Q32+Q60+Q62),1)</f>
        <v>0</v>
      </c>
      <c r="R64" s="1502"/>
      <c r="S64" s="1613">
        <f>ROUND(SUM(S32+S60+S62),1)</f>
        <v>0</v>
      </c>
      <c r="T64" s="1502"/>
      <c r="U64" s="1613">
        <f>ROUND(SUM(U32+U60+U62),1)</f>
        <v>0</v>
      </c>
      <c r="V64" s="1502"/>
      <c r="W64" s="1613">
        <f>ROUND(SUM(W32+W60+W62),1)</f>
        <v>0</v>
      </c>
      <c r="X64" s="1502"/>
      <c r="Y64" s="1613">
        <f>ROUND(SUM(Y32+Y60+Y62),1)</f>
        <v>0</v>
      </c>
      <c r="Z64" s="1502"/>
      <c r="AA64" s="1613">
        <f>ROUND(SUM(AA32+AA60+AA62),1)</f>
        <v>0</v>
      </c>
      <c r="AB64" s="2117"/>
      <c r="AC64" s="2634"/>
      <c r="AD64" s="1613">
        <f>ROUND(SUM(AD32+AD60+AD62),1)</f>
        <v>1358.3</v>
      </c>
      <c r="AE64" s="3355"/>
      <c r="AF64" s="1502"/>
      <c r="AG64" s="1613">
        <f>ROUND(SUM(AG32+AG60+AG62),1)</f>
        <v>1415</v>
      </c>
      <c r="AH64" s="2715"/>
      <c r="AI64" s="2696"/>
      <c r="AJ64" s="1613">
        <f>ROUND(SUM(AJ32+AJ60+AJ62),1)</f>
        <v>-56.7</v>
      </c>
      <c r="AK64" s="2734"/>
      <c r="AL64" s="2735">
        <f>ROUND(IF(AG64=0,0,AJ64/ABS(AG64)),3)</f>
        <v>-0.04</v>
      </c>
      <c r="AM64" s="2728"/>
      <c r="AN64" s="2661"/>
      <c r="AO64" s="2736"/>
    </row>
    <row r="65" spans="1:41" ht="15.75">
      <c r="A65" s="2111"/>
      <c r="B65" s="2111"/>
      <c r="C65" s="2111"/>
      <c r="D65" s="2111"/>
      <c r="E65" s="2108"/>
      <c r="F65" s="2067"/>
      <c r="G65" s="2572"/>
      <c r="H65" s="2067"/>
      <c r="I65" s="2572"/>
      <c r="J65" s="2067"/>
      <c r="K65" s="2572"/>
      <c r="L65" s="2703"/>
      <c r="M65" s="1851"/>
      <c r="N65" s="2703"/>
      <c r="O65" s="1851"/>
      <c r="P65" s="2703"/>
      <c r="Q65" s="1851"/>
      <c r="R65" s="2703"/>
      <c r="S65" s="1851"/>
      <c r="T65" s="2703"/>
      <c r="U65" s="1851"/>
      <c r="V65" s="2703"/>
      <c r="W65" s="1851"/>
      <c r="X65" s="2703"/>
      <c r="Y65" s="1851"/>
      <c r="Z65" s="2703"/>
      <c r="AA65" s="1851"/>
      <c r="AB65" s="2257"/>
      <c r="AC65" s="2043"/>
      <c r="AD65" s="2118"/>
      <c r="AE65" s="2257"/>
      <c r="AF65" s="2043"/>
      <c r="AG65" s="2118"/>
      <c r="AH65" s="2043"/>
      <c r="AI65" s="2696"/>
      <c r="AJ65" s="2697"/>
      <c r="AK65" s="2694"/>
      <c r="AL65" s="1860"/>
      <c r="AM65" s="2661"/>
      <c r="AN65" s="2661"/>
    </row>
    <row r="66" spans="1:41" ht="15.75">
      <c r="A66" s="2111"/>
      <c r="B66" s="2504" t="s">
        <v>23</v>
      </c>
      <c r="C66" s="2111"/>
      <c r="D66" s="2111"/>
      <c r="E66" s="2067"/>
      <c r="F66" s="2067"/>
      <c r="G66" s="2067"/>
      <c r="H66" s="2067"/>
      <c r="I66" s="2067"/>
      <c r="J66" s="2067"/>
      <c r="K66" s="2067"/>
      <c r="L66" s="2703"/>
      <c r="M66" s="1851"/>
      <c r="N66" s="2703"/>
      <c r="O66" s="1851"/>
      <c r="P66" s="2703"/>
      <c r="Q66" s="1851"/>
      <c r="R66" s="2703"/>
      <c r="S66" s="1851"/>
      <c r="T66" s="2703"/>
      <c r="U66" s="1851"/>
      <c r="V66" s="2703"/>
      <c r="W66" s="1851"/>
      <c r="X66" s="2703"/>
      <c r="Y66" s="1851"/>
      <c r="Z66" s="2703"/>
      <c r="AA66" s="1851"/>
      <c r="AB66" s="2257"/>
      <c r="AC66" s="2043"/>
      <c r="AD66" s="2062"/>
      <c r="AE66" s="2257"/>
      <c r="AF66" s="2043"/>
      <c r="AG66" s="2062"/>
      <c r="AH66" s="2062"/>
      <c r="AI66" s="2696"/>
      <c r="AJ66" s="2697"/>
      <c r="AK66" s="2694"/>
      <c r="AL66" s="1860"/>
      <c r="AM66" s="2661"/>
      <c r="AN66" s="2661"/>
    </row>
    <row r="67" spans="1:41" ht="15.75">
      <c r="A67" s="2111"/>
      <c r="B67" s="2111" t="s">
        <v>152</v>
      </c>
      <c r="C67" s="2111"/>
      <c r="D67" s="2111"/>
      <c r="E67" s="2067"/>
      <c r="F67" s="2067"/>
      <c r="G67" s="2067"/>
      <c r="H67" s="2067"/>
      <c r="I67" s="2067"/>
      <c r="J67" s="2067"/>
      <c r="K67" s="2067"/>
      <c r="L67" s="2703"/>
      <c r="M67" s="1851"/>
      <c r="N67" s="2703"/>
      <c r="O67" s="1851"/>
      <c r="P67" s="2703"/>
      <c r="Q67" s="1851"/>
      <c r="R67" s="2703"/>
      <c r="S67" s="1851"/>
      <c r="T67" s="2703"/>
      <c r="U67" s="1851"/>
      <c r="V67" s="2703"/>
      <c r="W67" s="1851"/>
      <c r="X67" s="2703"/>
      <c r="Y67" s="1851"/>
      <c r="Z67" s="2703"/>
      <c r="AA67" s="1851"/>
      <c r="AB67" s="2062"/>
      <c r="AC67" s="2106"/>
      <c r="AD67" s="2062"/>
      <c r="AE67" s="3343"/>
      <c r="AF67" s="2043"/>
      <c r="AG67" s="2062"/>
      <c r="AH67" s="2062"/>
      <c r="AI67" s="2696"/>
      <c r="AJ67" s="2697"/>
      <c r="AK67" s="2694"/>
      <c r="AL67" s="1860"/>
      <c r="AM67" s="2661"/>
      <c r="AN67" s="2661"/>
    </row>
    <row r="68" spans="1:41" ht="15.75">
      <c r="A68" s="2111"/>
      <c r="B68" s="2111" t="s">
        <v>25</v>
      </c>
      <c r="C68" s="2111"/>
      <c r="D68" s="2111"/>
      <c r="E68" s="2067">
        <v>9.1999999999999993</v>
      </c>
      <c r="F68" s="2067"/>
      <c r="G68" s="2067">
        <v>3.2000000000000011</v>
      </c>
      <c r="H68" s="2067"/>
      <c r="I68" s="2067">
        <v>10.299999999999999</v>
      </c>
      <c r="J68" s="2067"/>
      <c r="K68" s="2067">
        <f t="shared" ref="K68:K77" si="6">$AD68-$E68-$G68-$I68</f>
        <v>10.700000000000001</v>
      </c>
      <c r="L68" s="2703"/>
      <c r="M68" s="2067"/>
      <c r="N68" s="2703"/>
      <c r="O68" s="2067"/>
      <c r="P68" s="2703"/>
      <c r="Q68" s="1851"/>
      <c r="R68" s="2703"/>
      <c r="S68" s="1851"/>
      <c r="T68" s="2703"/>
      <c r="U68" s="1851"/>
      <c r="V68" s="2703"/>
      <c r="W68" s="1851"/>
      <c r="X68" s="2703"/>
      <c r="Y68" s="1851"/>
      <c r="Z68" s="2703"/>
      <c r="AA68" s="1851"/>
      <c r="AB68" s="2062"/>
      <c r="AC68" s="2106"/>
      <c r="AD68" s="2067">
        <v>33.4</v>
      </c>
      <c r="AE68" s="3343"/>
      <c r="AF68" s="2043"/>
      <c r="AG68" s="2067">
        <v>58.9</v>
      </c>
      <c r="AH68" s="2061"/>
      <c r="AI68" s="2711"/>
      <c r="AJ68" s="2062">
        <f t="shared" ref="AJ68:AJ77" si="7">ROUND(AD68-AG68,1)</f>
        <v>-25.5</v>
      </c>
      <c r="AK68" s="2704"/>
      <c r="AL68" s="1941">
        <f>ROUND(IF(AG68=0,1,AJ68/ABS(AG68)),3)</f>
        <v>-0.433</v>
      </c>
      <c r="AM68" s="2661"/>
      <c r="AN68" s="2661"/>
    </row>
    <row r="69" spans="1:41" ht="15.75">
      <c r="A69" s="2111"/>
      <c r="B69" s="2111" t="s">
        <v>26</v>
      </c>
      <c r="C69" s="2111"/>
      <c r="D69" s="2111"/>
      <c r="E69" s="2067">
        <v>25.1</v>
      </c>
      <c r="F69" s="2067"/>
      <c r="G69" s="2067">
        <v>33.5</v>
      </c>
      <c r="H69" s="2067"/>
      <c r="I69" s="2067">
        <v>2.1000000000000014</v>
      </c>
      <c r="J69" s="2067"/>
      <c r="K69" s="2067">
        <f t="shared" si="6"/>
        <v>15</v>
      </c>
      <c r="L69" s="2703"/>
      <c r="M69" s="2067"/>
      <c r="N69" s="2703"/>
      <c r="O69" s="2067"/>
      <c r="P69" s="2703"/>
      <c r="Q69" s="1851"/>
      <c r="R69" s="2703"/>
      <c r="S69" s="1851"/>
      <c r="T69" s="2703"/>
      <c r="U69" s="1851"/>
      <c r="V69" s="2703"/>
      <c r="W69" s="1851"/>
      <c r="X69" s="2703"/>
      <c r="Y69" s="1851"/>
      <c r="Z69" s="2703"/>
      <c r="AA69" s="1851"/>
      <c r="AB69" s="2062"/>
      <c r="AC69" s="2106"/>
      <c r="AD69" s="2067">
        <v>75.7</v>
      </c>
      <c r="AE69" s="3343"/>
      <c r="AF69" s="2043"/>
      <c r="AG69" s="2067">
        <v>52.5</v>
      </c>
      <c r="AH69" s="2061"/>
      <c r="AI69" s="2711"/>
      <c r="AJ69" s="2062">
        <f t="shared" si="7"/>
        <v>23.2</v>
      </c>
      <c r="AK69" s="2704"/>
      <c r="AL69" s="1711">
        <f>ROUND(IF(AG69=0,0,AJ69/ABS(AG69)),3)</f>
        <v>0.442</v>
      </c>
      <c r="AM69" s="2661"/>
      <c r="AN69" s="2661"/>
    </row>
    <row r="70" spans="1:41" ht="15.75">
      <c r="A70" s="2111"/>
      <c r="B70" s="2111" t="s">
        <v>27</v>
      </c>
      <c r="C70" s="2111"/>
      <c r="D70" s="2111"/>
      <c r="E70" s="2067">
        <v>31.2</v>
      </c>
      <c r="F70" s="2067"/>
      <c r="G70" s="2067">
        <v>121.8</v>
      </c>
      <c r="H70" s="2067"/>
      <c r="I70" s="2067">
        <v>149</v>
      </c>
      <c r="J70" s="2067"/>
      <c r="K70" s="2067">
        <f t="shared" si="6"/>
        <v>39.399999999999977</v>
      </c>
      <c r="L70" s="2703"/>
      <c r="M70" s="2067"/>
      <c r="N70" s="2703"/>
      <c r="O70" s="2067"/>
      <c r="P70" s="2703"/>
      <c r="Q70" s="1851"/>
      <c r="R70" s="2703"/>
      <c r="S70" s="1851"/>
      <c r="T70" s="2703"/>
      <c r="U70" s="1851"/>
      <c r="V70" s="2703"/>
      <c r="W70" s="1851"/>
      <c r="X70" s="2703"/>
      <c r="Y70" s="1851"/>
      <c r="Z70" s="2703"/>
      <c r="AA70" s="1851"/>
      <c r="AB70" s="2062"/>
      <c r="AC70" s="2106"/>
      <c r="AD70" s="2067">
        <v>341.4</v>
      </c>
      <c r="AE70" s="3343"/>
      <c r="AF70" s="2043"/>
      <c r="AG70" s="2067">
        <v>287.89999999999998</v>
      </c>
      <c r="AH70" s="2061"/>
      <c r="AI70" s="2711"/>
      <c r="AJ70" s="2062">
        <f t="shared" si="7"/>
        <v>53.5</v>
      </c>
      <c r="AK70" s="2704"/>
      <c r="AL70" s="1711">
        <f>ROUND(IF(AG70=0,0,AJ70/ABS(AG70)),3)</f>
        <v>0.186</v>
      </c>
      <c r="AM70" s="2694"/>
      <c r="AN70" s="2661"/>
    </row>
    <row r="71" spans="1:41" ht="15.75">
      <c r="A71" s="2111"/>
      <c r="B71" s="2111" t="s">
        <v>28</v>
      </c>
      <c r="C71" s="2111"/>
      <c r="D71" s="2111"/>
      <c r="E71" s="2067" t="s">
        <v>15</v>
      </c>
      <c r="F71" s="2067"/>
      <c r="G71" s="2067"/>
      <c r="H71" s="2067"/>
      <c r="I71" s="2067"/>
      <c r="J71" s="2067"/>
      <c r="K71" s="2067"/>
      <c r="L71" s="2703"/>
      <c r="M71" s="2067"/>
      <c r="N71" s="2703"/>
      <c r="O71" s="2067"/>
      <c r="P71" s="2703"/>
      <c r="Q71" s="1851"/>
      <c r="R71" s="2703"/>
      <c r="S71" s="1851"/>
      <c r="T71" s="2703"/>
      <c r="U71" s="1851"/>
      <c r="V71" s="2703"/>
      <c r="W71" s="1851"/>
      <c r="X71" s="2703"/>
      <c r="Y71" s="1851"/>
      <c r="Z71" s="2703"/>
      <c r="AA71" s="1851"/>
      <c r="AB71" s="2062"/>
      <c r="AC71" s="2106"/>
      <c r="AD71" s="2067"/>
      <c r="AE71" s="3343"/>
      <c r="AF71" s="2043"/>
      <c r="AG71" s="2067"/>
      <c r="AH71" s="2062"/>
      <c r="AI71" s="2696"/>
      <c r="AJ71" s="2067"/>
      <c r="AK71" s="2704"/>
      <c r="AL71" s="1860"/>
      <c r="AM71" s="2694"/>
      <c r="AN71" s="2661"/>
    </row>
    <row r="72" spans="1:41" ht="15.75">
      <c r="A72" s="2111"/>
      <c r="B72" s="2111" t="s">
        <v>29</v>
      </c>
      <c r="C72" s="2504"/>
      <c r="D72" s="2111"/>
      <c r="E72" s="2067">
        <v>0</v>
      </c>
      <c r="F72" s="2067"/>
      <c r="G72" s="2067">
        <v>0</v>
      </c>
      <c r="H72" s="2067"/>
      <c r="I72" s="2067">
        <v>0</v>
      </c>
      <c r="J72" s="2067"/>
      <c r="K72" s="2067">
        <f t="shared" si="6"/>
        <v>0</v>
      </c>
      <c r="L72" s="2703"/>
      <c r="M72" s="2067"/>
      <c r="N72" s="2703"/>
      <c r="O72" s="2067"/>
      <c r="P72" s="2703"/>
      <c r="Q72" s="1851"/>
      <c r="R72" s="2703"/>
      <c r="S72" s="1851"/>
      <c r="T72" s="2703"/>
      <c r="U72" s="1851"/>
      <c r="V72" s="2703"/>
      <c r="W72" s="1851"/>
      <c r="X72" s="2703"/>
      <c r="Y72" s="1851"/>
      <c r="Z72" s="2703"/>
      <c r="AA72" s="1851"/>
      <c r="AB72" s="2062"/>
      <c r="AC72" s="2106"/>
      <c r="AD72" s="2067">
        <v>0</v>
      </c>
      <c r="AE72" s="3343"/>
      <c r="AF72" s="2043"/>
      <c r="AG72" s="2067">
        <v>0</v>
      </c>
      <c r="AH72" s="2062"/>
      <c r="AI72" s="2696"/>
      <c r="AJ72" s="2062">
        <f t="shared" si="7"/>
        <v>0</v>
      </c>
      <c r="AK72" s="2694"/>
      <c r="AL72" s="2271">
        <f>ROUND(IF(AG72=0,0,AJ72/ABS(AG72)),3)</f>
        <v>0</v>
      </c>
      <c r="AM72" s="2694"/>
      <c r="AN72" s="2661"/>
    </row>
    <row r="73" spans="1:41" ht="15.75">
      <c r="A73" s="2111"/>
      <c r="B73" s="2111" t="s">
        <v>30</v>
      </c>
      <c r="C73" s="2111"/>
      <c r="D73" s="2111"/>
      <c r="E73" s="2067">
        <v>30.8</v>
      </c>
      <c r="F73" s="2067"/>
      <c r="G73" s="2067">
        <v>41.600000000000009</v>
      </c>
      <c r="H73" s="2067"/>
      <c r="I73" s="2067">
        <v>20.599999999999994</v>
      </c>
      <c r="J73" s="2067"/>
      <c r="K73" s="2067">
        <f t="shared" si="6"/>
        <v>75.59999999999998</v>
      </c>
      <c r="L73" s="2703"/>
      <c r="M73" s="2067"/>
      <c r="N73" s="2703"/>
      <c r="O73" s="2067"/>
      <c r="P73" s="2703"/>
      <c r="Q73" s="1851"/>
      <c r="R73" s="2703"/>
      <c r="S73" s="1851"/>
      <c r="T73" s="2703"/>
      <c r="U73" s="1851"/>
      <c r="V73" s="2703"/>
      <c r="W73" s="1851"/>
      <c r="X73" s="2703"/>
      <c r="Y73" s="1851"/>
      <c r="Z73" s="2703"/>
      <c r="AA73" s="1851"/>
      <c r="AB73" s="2062"/>
      <c r="AC73" s="2106"/>
      <c r="AD73" s="2067">
        <v>168.6</v>
      </c>
      <c r="AE73" s="3343"/>
      <c r="AF73" s="2043"/>
      <c r="AG73" s="2067">
        <v>117.9</v>
      </c>
      <c r="AH73" s="2061"/>
      <c r="AI73" s="2711"/>
      <c r="AJ73" s="2062">
        <f t="shared" si="7"/>
        <v>50.7</v>
      </c>
      <c r="AK73" s="2704"/>
      <c r="AL73" s="1711">
        <f>ROUND(IF(AG73=0,0,AJ73/ABS(AG73)),3)</f>
        <v>0.43</v>
      </c>
      <c r="AM73" s="2661"/>
      <c r="AN73" s="2661"/>
    </row>
    <row r="74" spans="1:41" ht="15.75">
      <c r="A74" s="2111"/>
      <c r="B74" s="2111" t="s">
        <v>31</v>
      </c>
      <c r="C74" s="2111"/>
      <c r="D74" s="2111"/>
      <c r="E74" s="2067">
        <v>10</v>
      </c>
      <c r="F74" s="2067"/>
      <c r="G74" s="2067">
        <v>-0.1</v>
      </c>
      <c r="H74" s="2067"/>
      <c r="I74" s="2067">
        <v>-10.8</v>
      </c>
      <c r="J74" s="2067"/>
      <c r="K74" s="2067">
        <f t="shared" si="6"/>
        <v>0</v>
      </c>
      <c r="L74" s="2703"/>
      <c r="M74" s="2067"/>
      <c r="N74" s="2703"/>
      <c r="O74" s="2067"/>
      <c r="P74" s="2703"/>
      <c r="Q74" s="1851"/>
      <c r="R74" s="2703"/>
      <c r="S74" s="1851"/>
      <c r="T74" s="2703"/>
      <c r="U74" s="1851"/>
      <c r="V74" s="2703"/>
      <c r="W74" s="1851"/>
      <c r="X74" s="2703"/>
      <c r="Y74" s="1851"/>
      <c r="Z74" s="2703"/>
      <c r="AA74" s="1851"/>
      <c r="AB74" s="2062"/>
      <c r="AC74" s="2106"/>
      <c r="AD74" s="2067">
        <v>-0.9</v>
      </c>
      <c r="AE74" s="3343"/>
      <c r="AF74" s="2043"/>
      <c r="AG74" s="2067">
        <v>14.7</v>
      </c>
      <c r="AH74" s="2061"/>
      <c r="AI74" s="2711"/>
      <c r="AJ74" s="2062">
        <f t="shared" si="7"/>
        <v>-15.6</v>
      </c>
      <c r="AK74" s="2704"/>
      <c r="AL74" s="1791">
        <f>ROUND(IF(AG74=0,1,AJ74/ABS(AG74)),3)</f>
        <v>-1.0609999999999999</v>
      </c>
      <c r="AM74" s="2694"/>
      <c r="AN74" s="2661"/>
    </row>
    <row r="75" spans="1:41" ht="15.75">
      <c r="A75" s="2111"/>
      <c r="B75" s="2111" t="s">
        <v>32</v>
      </c>
      <c r="C75" s="2111"/>
      <c r="D75" s="2111"/>
      <c r="E75" s="2067">
        <v>0</v>
      </c>
      <c r="F75" s="2067"/>
      <c r="G75" s="2067">
        <v>10.9</v>
      </c>
      <c r="H75" s="2067"/>
      <c r="I75" s="2067">
        <v>86.1</v>
      </c>
      <c r="J75" s="2067"/>
      <c r="K75" s="2067">
        <f t="shared" si="6"/>
        <v>6</v>
      </c>
      <c r="L75" s="2703"/>
      <c r="M75" s="2067"/>
      <c r="N75" s="2703"/>
      <c r="O75" s="2067"/>
      <c r="P75" s="2703"/>
      <c r="Q75" s="1851"/>
      <c r="R75" s="2703"/>
      <c r="S75" s="1851"/>
      <c r="T75" s="2703"/>
      <c r="U75" s="1851"/>
      <c r="V75" s="2703"/>
      <c r="W75" s="1851"/>
      <c r="X75" s="2703"/>
      <c r="Y75" s="1851"/>
      <c r="Z75" s="2703"/>
      <c r="AA75" s="1851"/>
      <c r="AB75" s="2062"/>
      <c r="AC75" s="2106"/>
      <c r="AD75" s="2067">
        <v>103</v>
      </c>
      <c r="AE75" s="3343"/>
      <c r="AF75" s="2043"/>
      <c r="AG75" s="2067">
        <v>176.5</v>
      </c>
      <c r="AH75" s="2062"/>
      <c r="AI75" s="2696"/>
      <c r="AJ75" s="2062">
        <f t="shared" si="7"/>
        <v>-73.5</v>
      </c>
      <c r="AK75" s="2704"/>
      <c r="AL75" s="1786">
        <f>ROUND(IF(AG75=0,1,AJ75/ABS(AG75)),3)</f>
        <v>-0.41599999999999998</v>
      </c>
      <c r="AM75" s="2694"/>
      <c r="AN75" s="2661"/>
    </row>
    <row r="76" spans="1:41" ht="15.75">
      <c r="A76" s="2111"/>
      <c r="B76" s="2111" t="s">
        <v>33</v>
      </c>
      <c r="C76" s="2504"/>
      <c r="D76" s="2111"/>
      <c r="E76" s="2067">
        <v>26.7</v>
      </c>
      <c r="F76" s="2067"/>
      <c r="G76" s="2067">
        <v>149.20000000000002</v>
      </c>
      <c r="H76" s="2067"/>
      <c r="I76" s="2067">
        <v>197.4</v>
      </c>
      <c r="J76" s="2067"/>
      <c r="K76" s="2067">
        <f t="shared" si="6"/>
        <v>39.199999999999989</v>
      </c>
      <c r="L76" s="2703"/>
      <c r="M76" s="2067"/>
      <c r="N76" s="2703"/>
      <c r="O76" s="2067"/>
      <c r="P76" s="2703"/>
      <c r="Q76" s="1851"/>
      <c r="R76" s="2703"/>
      <c r="S76" s="1851"/>
      <c r="T76" s="2703"/>
      <c r="U76" s="1851"/>
      <c r="V76" s="2703"/>
      <c r="W76" s="1851"/>
      <c r="X76" s="2703"/>
      <c r="Y76" s="1851"/>
      <c r="Z76" s="2703"/>
      <c r="AA76" s="1851"/>
      <c r="AB76" s="2062"/>
      <c r="AC76" s="2106"/>
      <c r="AD76" s="2067">
        <v>412.5</v>
      </c>
      <c r="AE76" s="3343"/>
      <c r="AF76" s="2043"/>
      <c r="AG76" s="2067">
        <v>326.2</v>
      </c>
      <c r="AH76" s="2062"/>
      <c r="AI76" s="2696"/>
      <c r="AJ76" s="2062">
        <f t="shared" si="7"/>
        <v>86.3</v>
      </c>
      <c r="AK76" s="2694"/>
      <c r="AL76" s="1856">
        <f>ROUND(IF(AG76=0,0,AJ76/ABS(AG76)),3)</f>
        <v>0.26500000000000001</v>
      </c>
      <c r="AM76" s="2694"/>
      <c r="AN76" s="2661"/>
    </row>
    <row r="77" spans="1:41" ht="15.75">
      <c r="A77" s="2111"/>
      <c r="B77" s="2111" t="s">
        <v>34</v>
      </c>
      <c r="C77" s="2111"/>
      <c r="D77" s="2111"/>
      <c r="E77" s="2067">
        <v>192.7</v>
      </c>
      <c r="F77" s="2067"/>
      <c r="G77" s="2067">
        <v>7.1</v>
      </c>
      <c r="H77" s="2067"/>
      <c r="I77" s="2067">
        <v>23.20000000000001</v>
      </c>
      <c r="J77" s="2067"/>
      <c r="K77" s="2067">
        <f t="shared" si="6"/>
        <v>19.300000000000011</v>
      </c>
      <c r="L77" s="2703"/>
      <c r="M77" s="2067"/>
      <c r="N77" s="2703"/>
      <c r="O77" s="2067"/>
      <c r="P77" s="2703"/>
      <c r="Q77" s="1851"/>
      <c r="R77" s="2703"/>
      <c r="S77" s="1851"/>
      <c r="T77" s="2703"/>
      <c r="U77" s="1851"/>
      <c r="V77" s="2703"/>
      <c r="W77" s="1851"/>
      <c r="X77" s="2703"/>
      <c r="Y77" s="1851"/>
      <c r="Z77" s="2703"/>
      <c r="AA77" s="1851"/>
      <c r="AB77" s="2062"/>
      <c r="AC77" s="2106"/>
      <c r="AD77" s="2067">
        <v>242.3</v>
      </c>
      <c r="AE77" s="3343"/>
      <c r="AF77" s="2043"/>
      <c r="AG77" s="2067">
        <v>354.5</v>
      </c>
      <c r="AH77" s="2043"/>
      <c r="AI77" s="2696"/>
      <c r="AJ77" s="2062">
        <f t="shared" si="7"/>
        <v>-112.2</v>
      </c>
      <c r="AK77" s="2704"/>
      <c r="AL77" s="2271">
        <f>ROUND(IF(AG77=0,0,AJ77/ABS(AG77)),3)</f>
        <v>-0.317</v>
      </c>
      <c r="AM77" s="2694"/>
      <c r="AN77" s="2661"/>
    </row>
    <row r="78" spans="1:41" ht="15.75">
      <c r="A78" s="2111"/>
      <c r="B78" s="2504" t="s">
        <v>198</v>
      </c>
      <c r="C78" s="2111"/>
      <c r="D78" s="2111"/>
      <c r="E78" s="2246">
        <f>ROUND(SUM(E68:E77),1)</f>
        <v>325.7</v>
      </c>
      <c r="F78" s="2117"/>
      <c r="G78" s="2246">
        <f>ROUND(SUM(G68:G77),1)</f>
        <v>367.2</v>
      </c>
      <c r="H78" s="2117"/>
      <c r="I78" s="2246">
        <f>ROUND(SUM(I68:I77),1)</f>
        <v>477.9</v>
      </c>
      <c r="J78" s="1502"/>
      <c r="K78" s="2246">
        <f>ROUND(SUM(K68:K77),1)</f>
        <v>205.2</v>
      </c>
      <c r="L78" s="1501"/>
      <c r="M78" s="2083">
        <f>ROUND(SUM(M68:M77),1)</f>
        <v>0</v>
      </c>
      <c r="N78" s="1484"/>
      <c r="O78" s="2083">
        <f>ROUND(SUM(O68:O77),1)</f>
        <v>0</v>
      </c>
      <c r="P78" s="1501"/>
      <c r="Q78" s="2083">
        <f>ROUND(SUM(Q68:Q77),1)</f>
        <v>0</v>
      </c>
      <c r="R78" s="1501"/>
      <c r="S78" s="2083">
        <f>ROUND(SUM(S68:S77),1)</f>
        <v>0</v>
      </c>
      <c r="T78" s="1501"/>
      <c r="U78" s="2246">
        <f>ROUND(SUM(U68:U77),1)</f>
        <v>0</v>
      </c>
      <c r="V78" s="2117"/>
      <c r="W78" s="2246">
        <f>ROUND(SUM(W68:W77),1)</f>
        <v>0</v>
      </c>
      <c r="X78" s="2117"/>
      <c r="Y78" s="2246">
        <f>ROUND(SUM(Y68:Y77),1)</f>
        <v>0</v>
      </c>
      <c r="Z78" s="2117"/>
      <c r="AA78" s="2246">
        <f>ROUND(SUM(AA68:AA77),1)</f>
        <v>0</v>
      </c>
      <c r="AB78" s="2117"/>
      <c r="AC78" s="2634"/>
      <c r="AD78" s="2246">
        <f>ROUND(SUM(AD68:AD77),1)</f>
        <v>1376</v>
      </c>
      <c r="AE78" s="3355"/>
      <c r="AF78" s="1502"/>
      <c r="AG78" s="2246">
        <f>ROUND(SUM(AG68:AG77),1)</f>
        <v>1389.1</v>
      </c>
      <c r="AH78" s="1502"/>
      <c r="AI78" s="2696"/>
      <c r="AJ78" s="2246">
        <f>ROUND(SUM(AJ68:AJ77),1)</f>
        <v>-13.1</v>
      </c>
      <c r="AK78" s="2737"/>
      <c r="AL78" s="2272">
        <f>ROUND(IF(AG78=0,0,AJ78/ABS(AG78)),3)</f>
        <v>-8.9999999999999993E-3</v>
      </c>
      <c r="AM78" s="2661"/>
      <c r="AN78" s="2661"/>
      <c r="AO78" s="2736"/>
    </row>
    <row r="79" spans="1:41" ht="15.75">
      <c r="A79" s="2111"/>
      <c r="B79" s="2111" t="s">
        <v>199</v>
      </c>
      <c r="C79" s="2111"/>
      <c r="D79" s="2111"/>
      <c r="E79" s="2067"/>
      <c r="F79" s="2067"/>
      <c r="G79" s="2067"/>
      <c r="H79" s="2067"/>
      <c r="I79" s="2067"/>
      <c r="J79" s="2067"/>
      <c r="K79" s="2067"/>
      <c r="L79" s="2073"/>
      <c r="M79" s="2073"/>
      <c r="N79" s="2073"/>
      <c r="O79" s="2073"/>
      <c r="P79" s="2073"/>
      <c r="Q79" s="2073"/>
      <c r="R79" s="2073"/>
      <c r="S79" s="2073"/>
      <c r="T79" s="2073"/>
      <c r="U79" s="2062"/>
      <c r="V79" s="2062"/>
      <c r="W79" s="2062"/>
      <c r="X79" s="2062"/>
      <c r="Y79" s="2062"/>
      <c r="Z79" s="2062"/>
      <c r="AA79" s="2062"/>
      <c r="AB79" s="2062"/>
      <c r="AC79" s="2106"/>
      <c r="AD79" s="2062"/>
      <c r="AE79" s="3343"/>
      <c r="AF79" s="2043"/>
      <c r="AG79" s="2062"/>
      <c r="AH79" s="2062"/>
      <c r="AI79" s="2696"/>
      <c r="AJ79" s="2697"/>
      <c r="AK79" s="2694"/>
      <c r="AL79" s="1860"/>
      <c r="AM79" s="2661"/>
      <c r="AN79" s="2661"/>
    </row>
    <row r="80" spans="1:41" ht="15.75">
      <c r="A80" s="2111"/>
      <c r="B80" s="2111" t="s">
        <v>200</v>
      </c>
      <c r="C80" s="2111"/>
      <c r="D80" s="2111"/>
      <c r="E80" s="2067">
        <v>0</v>
      </c>
      <c r="F80" s="2067"/>
      <c r="G80" s="2067">
        <v>0</v>
      </c>
      <c r="H80" s="2067"/>
      <c r="I80" s="2067">
        <v>0</v>
      </c>
      <c r="J80" s="2067"/>
      <c r="K80" s="2067">
        <f t="shared" ref="K80:K83" si="8">$AD80-$E80-$G80-$I80</f>
        <v>0</v>
      </c>
      <c r="L80" s="2703"/>
      <c r="M80" s="2067"/>
      <c r="N80" s="2703"/>
      <c r="O80" s="2067"/>
      <c r="P80" s="2703"/>
      <c r="Q80" s="1851"/>
      <c r="R80" s="2703"/>
      <c r="S80" s="1851"/>
      <c r="T80" s="2703"/>
      <c r="U80" s="1851"/>
      <c r="V80" s="2703"/>
      <c r="W80" s="1851"/>
      <c r="X80" s="2703"/>
      <c r="Y80" s="1851"/>
      <c r="Z80" s="2703"/>
      <c r="AA80" s="1851"/>
      <c r="AB80" s="2062"/>
      <c r="AC80" s="2106"/>
      <c r="AD80" s="2067">
        <v>0</v>
      </c>
      <c r="AE80" s="3343"/>
      <c r="AF80" s="2043"/>
      <c r="AG80" s="2067">
        <v>0</v>
      </c>
      <c r="AH80" s="2738"/>
      <c r="AI80" s="2739"/>
      <c r="AJ80" s="2062">
        <f>ROUND(AD80-AG80,1)</f>
        <v>0</v>
      </c>
      <c r="AK80" s="2694"/>
      <c r="AL80" s="1711">
        <f>ROUND(IF(AG80=0,0,AJ80/ABS(AG80)),3)</f>
        <v>0</v>
      </c>
      <c r="AM80" s="2661"/>
      <c r="AN80" s="2661"/>
    </row>
    <row r="81" spans="1:41" ht="15.75">
      <c r="A81" s="2111"/>
      <c r="B81" s="2111" t="s">
        <v>201</v>
      </c>
      <c r="C81" s="2111"/>
      <c r="D81" s="2111"/>
      <c r="E81" s="2067">
        <v>0</v>
      </c>
      <c r="F81" s="2067"/>
      <c r="G81" s="2067">
        <v>0</v>
      </c>
      <c r="H81" s="2067"/>
      <c r="I81" s="2067">
        <v>0</v>
      </c>
      <c r="J81" s="2067"/>
      <c r="K81" s="2067">
        <f t="shared" si="8"/>
        <v>0</v>
      </c>
      <c r="L81" s="2703"/>
      <c r="M81" s="2067"/>
      <c r="N81" s="2703"/>
      <c r="O81" s="2067"/>
      <c r="P81" s="2703"/>
      <c r="Q81" s="1851"/>
      <c r="R81" s="2703"/>
      <c r="S81" s="1851"/>
      <c r="T81" s="2703"/>
      <c r="U81" s="1851"/>
      <c r="V81" s="2703"/>
      <c r="W81" s="1851"/>
      <c r="X81" s="2703"/>
      <c r="Y81" s="1851"/>
      <c r="Z81" s="2703"/>
      <c r="AA81" s="1851"/>
      <c r="AB81" s="2062"/>
      <c r="AC81" s="2106"/>
      <c r="AD81" s="2067">
        <v>0</v>
      </c>
      <c r="AE81" s="3343"/>
      <c r="AF81" s="2043"/>
      <c r="AG81" s="2067">
        <v>0</v>
      </c>
      <c r="AH81" s="2738"/>
      <c r="AI81" s="2739"/>
      <c r="AJ81" s="2062">
        <f>ROUND(AD81-AG81,1)</f>
        <v>0</v>
      </c>
      <c r="AK81" s="2694"/>
      <c r="AL81" s="1711">
        <f>ROUND(IF(AG81=0,0,AJ81/ABS(AG81)),3)</f>
        <v>0</v>
      </c>
      <c r="AM81" s="2661"/>
      <c r="AN81" s="2661"/>
    </row>
    <row r="82" spans="1:41" ht="15.75">
      <c r="A82" s="2111"/>
      <c r="B82" s="2111" t="s">
        <v>202</v>
      </c>
      <c r="C82" s="2111"/>
      <c r="D82" s="2111"/>
      <c r="E82" s="2067">
        <v>0</v>
      </c>
      <c r="F82" s="2067"/>
      <c r="G82" s="2067">
        <v>0</v>
      </c>
      <c r="H82" s="2067"/>
      <c r="I82" s="2067">
        <v>0</v>
      </c>
      <c r="J82" s="2067"/>
      <c r="K82" s="2067">
        <f t="shared" si="8"/>
        <v>0</v>
      </c>
      <c r="L82" s="2703"/>
      <c r="M82" s="2067"/>
      <c r="N82" s="2703"/>
      <c r="O82" s="2067"/>
      <c r="P82" s="2703"/>
      <c r="Q82" s="1851"/>
      <c r="R82" s="2703"/>
      <c r="S82" s="1851"/>
      <c r="T82" s="2703"/>
      <c r="U82" s="1851"/>
      <c r="V82" s="2703"/>
      <c r="W82" s="1851"/>
      <c r="X82" s="2703"/>
      <c r="Y82" s="1851"/>
      <c r="Z82" s="2703"/>
      <c r="AA82" s="1851"/>
      <c r="AB82" s="2740"/>
      <c r="AC82" s="2741"/>
      <c r="AD82" s="2067">
        <v>0</v>
      </c>
      <c r="AE82" s="3343"/>
      <c r="AF82" s="2043"/>
      <c r="AG82" s="2067">
        <v>0</v>
      </c>
      <c r="AH82" s="2738"/>
      <c r="AI82" s="2739"/>
      <c r="AJ82" s="2062">
        <f>ROUND(AD82-AG82,1)</f>
        <v>0</v>
      </c>
      <c r="AK82" s="1504"/>
      <c r="AL82" s="1465">
        <f>ROUND(IF(AG82=0,0,AJ82/ABS(AG82)),3)</f>
        <v>0</v>
      </c>
    </row>
    <row r="83" spans="1:41" ht="15.75">
      <c r="A83" s="2111"/>
      <c r="B83" s="2578" t="s">
        <v>173</v>
      </c>
      <c r="C83" s="2111"/>
      <c r="D83" s="2111"/>
      <c r="E83" s="2067">
        <v>368.7</v>
      </c>
      <c r="F83" s="2067"/>
      <c r="G83" s="2067">
        <v>444.7</v>
      </c>
      <c r="H83" s="2067"/>
      <c r="I83" s="2067">
        <v>435.8</v>
      </c>
      <c r="J83" s="2067"/>
      <c r="K83" s="2067">
        <f t="shared" si="8"/>
        <v>496.2999999999999</v>
      </c>
      <c r="L83" s="2703"/>
      <c r="M83" s="2067"/>
      <c r="N83" s="2703"/>
      <c r="O83" s="2067"/>
      <c r="P83" s="2703"/>
      <c r="Q83" s="1851"/>
      <c r="R83" s="2703"/>
      <c r="S83" s="1851"/>
      <c r="T83" s="2703"/>
      <c r="U83" s="1851"/>
      <c r="V83" s="2703"/>
      <c r="W83" s="1851"/>
      <c r="X83" s="2703"/>
      <c r="Y83" s="1851"/>
      <c r="Z83" s="2703"/>
      <c r="AA83" s="1851"/>
      <c r="AB83" s="2062"/>
      <c r="AC83" s="2106"/>
      <c r="AD83" s="3357">
        <v>1745.5</v>
      </c>
      <c r="AE83" s="3343"/>
      <c r="AF83" s="2043"/>
      <c r="AG83" s="3357">
        <v>1788.8</v>
      </c>
      <c r="AH83" s="2742"/>
      <c r="AI83" s="2711"/>
      <c r="AJ83" s="2743">
        <f>ROUND(AD83-AG83,1)</f>
        <v>-43.3</v>
      </c>
      <c r="AK83" s="1504"/>
      <c r="AL83" s="1466">
        <f>ROUND(IF(AG83=0,0,AJ83/ABS(AG83)),3)</f>
        <v>-2.4E-2</v>
      </c>
    </row>
    <row r="84" spans="1:41" ht="15.75">
      <c r="A84" s="2111"/>
      <c r="B84" s="2111"/>
      <c r="C84" s="2111"/>
      <c r="D84" s="2111"/>
      <c r="E84" s="2572"/>
      <c r="F84" s="2067"/>
      <c r="G84" s="2572"/>
      <c r="H84" s="2067"/>
      <c r="I84" s="2572"/>
      <c r="J84" s="2067"/>
      <c r="K84" s="2572"/>
      <c r="L84" s="2073"/>
      <c r="M84" s="2072"/>
      <c r="N84" s="2073"/>
      <c r="O84" s="2072"/>
      <c r="P84" s="2073"/>
      <c r="Q84" s="2072"/>
      <c r="R84" s="2073"/>
      <c r="S84" s="2072"/>
      <c r="T84" s="2073"/>
      <c r="U84" s="2072"/>
      <c r="V84" s="2073"/>
      <c r="W84" s="2072"/>
      <c r="X84" s="2073"/>
      <c r="Y84" s="2072"/>
      <c r="Z84" s="2073"/>
      <c r="AA84" s="2072"/>
      <c r="AB84" s="2062"/>
      <c r="AC84" s="2106"/>
      <c r="AD84" s="2697"/>
      <c r="AE84" s="3343"/>
      <c r="AF84" s="2043"/>
      <c r="AG84" s="2697"/>
      <c r="AH84" s="2697"/>
      <c r="AI84" s="2744"/>
      <c r="AJ84" s="2697"/>
      <c r="AK84" s="1504"/>
      <c r="AL84" s="2708"/>
    </row>
    <row r="85" spans="1:41" ht="15.75">
      <c r="A85" s="2111"/>
      <c r="B85" s="2504" t="s">
        <v>203</v>
      </c>
      <c r="C85" s="2111"/>
      <c r="D85" s="2111"/>
      <c r="E85" s="2117">
        <f>ROUND(SUM(E78:E83),1)</f>
        <v>694.4</v>
      </c>
      <c r="F85" s="2117"/>
      <c r="G85" s="2117">
        <f>ROUND(SUM(G78:G83),1)</f>
        <v>811.9</v>
      </c>
      <c r="H85" s="2117"/>
      <c r="I85" s="2117">
        <f>ROUND(SUM(I78:I83),1)</f>
        <v>913.7</v>
      </c>
      <c r="J85" s="2117"/>
      <c r="K85" s="2117">
        <f>ROUND(SUM(K78:K83),1)</f>
        <v>701.5</v>
      </c>
      <c r="L85" s="1501"/>
      <c r="M85" s="1501">
        <f>ROUND(SUM(M78:M83),1)</f>
        <v>0</v>
      </c>
      <c r="N85" s="1501"/>
      <c r="O85" s="1501">
        <f>ROUND(SUM(O78:O83),1)</f>
        <v>0</v>
      </c>
      <c r="P85" s="1501"/>
      <c r="Q85" s="1501">
        <f>ROUND(SUM(Q78:Q83),1)</f>
        <v>0</v>
      </c>
      <c r="R85" s="1501"/>
      <c r="S85" s="1501">
        <f>ROUND(SUM(S78:S83),1)</f>
        <v>0</v>
      </c>
      <c r="T85" s="1501"/>
      <c r="U85" s="1501">
        <f>ROUND(SUM(U78:U83),1)</f>
        <v>0</v>
      </c>
      <c r="V85" s="1501"/>
      <c r="W85" s="1501">
        <f>ROUND(SUM(W78:W83),1)</f>
        <v>0</v>
      </c>
      <c r="X85" s="1501"/>
      <c r="Y85" s="1501">
        <f>ROUND(SUM(Y78:Y83),1)</f>
        <v>0</v>
      </c>
      <c r="Z85" s="1501"/>
      <c r="AA85" s="1501">
        <f>ROUND(SUM(AA78:AA83),1)</f>
        <v>0</v>
      </c>
      <c r="AB85" s="2117"/>
      <c r="AC85" s="2634"/>
      <c r="AD85" s="2117">
        <f>ROUND(SUM(AD78:AD83),1)</f>
        <v>3121.5</v>
      </c>
      <c r="AE85" s="3355"/>
      <c r="AF85" s="1502"/>
      <c r="AG85" s="2117">
        <f>ROUND(SUM(AG78:AG83),1)</f>
        <v>3177.9</v>
      </c>
      <c r="AH85" s="1502"/>
      <c r="AI85" s="2696"/>
      <c r="AJ85" s="2121">
        <f>ROUND(AD85-AG85,1)</f>
        <v>-56.4</v>
      </c>
      <c r="AK85" s="2716"/>
      <c r="AL85" s="1497">
        <f>ROUND(IF(AG85=0,0,AJ85/ABS(AG85)),3)</f>
        <v>-1.7999999999999999E-2</v>
      </c>
      <c r="AM85" s="2717"/>
      <c r="AN85" s="2717"/>
      <c r="AO85" s="2717"/>
    </row>
    <row r="86" spans="1:41" ht="15.75">
      <c r="A86" s="2111"/>
      <c r="B86" s="2111"/>
      <c r="C86" s="2111"/>
      <c r="D86" s="2111"/>
      <c r="E86" s="2572"/>
      <c r="F86" s="2067"/>
      <c r="G86" s="2572"/>
      <c r="H86" s="2067"/>
      <c r="I86" s="2572"/>
      <c r="J86" s="2067"/>
      <c r="K86" s="2572"/>
      <c r="L86" s="2073"/>
      <c r="M86" s="2072"/>
      <c r="N86" s="2073"/>
      <c r="O86" s="2072"/>
      <c r="P86" s="2073"/>
      <c r="Q86" s="2072"/>
      <c r="R86" s="2073"/>
      <c r="S86" s="2072"/>
      <c r="T86" s="2073"/>
      <c r="U86" s="2072"/>
      <c r="V86" s="2073"/>
      <c r="W86" s="2072"/>
      <c r="X86" s="2073"/>
      <c r="Y86" s="2072"/>
      <c r="Z86" s="2073"/>
      <c r="AA86" s="2072"/>
      <c r="AB86" s="2062"/>
      <c r="AC86" s="2106"/>
      <c r="AD86" s="2118"/>
      <c r="AE86" s="3343"/>
      <c r="AF86" s="2043"/>
      <c r="AG86" s="2118"/>
      <c r="AH86" s="2043"/>
      <c r="AI86" s="2696"/>
      <c r="AJ86" s="2697"/>
      <c r="AK86" s="1504"/>
      <c r="AL86" s="2708"/>
    </row>
    <row r="87" spans="1:41" ht="15.75">
      <c r="A87" s="2111"/>
      <c r="B87" s="2504" t="s">
        <v>204</v>
      </c>
      <c r="C87" s="2111"/>
      <c r="D87" s="2111"/>
      <c r="E87" s="2067"/>
      <c r="F87" s="2067"/>
      <c r="G87" s="2067"/>
      <c r="H87" s="2067"/>
      <c r="I87" s="2067"/>
      <c r="J87" s="2067"/>
      <c r="K87" s="2067"/>
      <c r="L87" s="2073"/>
      <c r="M87" s="2073"/>
      <c r="N87" s="2073"/>
      <c r="O87" s="2073"/>
      <c r="P87" s="2073"/>
      <c r="Q87" s="2073"/>
      <c r="R87" s="2073"/>
      <c r="S87" s="2073"/>
      <c r="T87" s="2073"/>
      <c r="U87" s="2073"/>
      <c r="V87" s="2073"/>
      <c r="W87" s="2073"/>
      <c r="X87" s="2073"/>
      <c r="Y87" s="2073"/>
      <c r="Z87" s="2073"/>
      <c r="AA87" s="2073"/>
      <c r="AB87" s="2062"/>
      <c r="AC87" s="2106"/>
      <c r="AD87" s="2697"/>
      <c r="AE87" s="3343"/>
      <c r="AF87" s="2043"/>
      <c r="AG87" s="2697"/>
      <c r="AH87" s="2697"/>
      <c r="AI87" s="2744"/>
      <c r="AJ87" s="2697"/>
      <c r="AK87" s="1504"/>
      <c r="AL87" s="2708"/>
    </row>
    <row r="88" spans="1:41" ht="15.75">
      <c r="A88" s="2111"/>
      <c r="B88" s="2504" t="s">
        <v>205</v>
      </c>
      <c r="C88" s="2111"/>
      <c r="D88" s="2111"/>
      <c r="E88" s="2117">
        <f>ROUND(SUM(E64-E85),1)</f>
        <v>-276.60000000000002</v>
      </c>
      <c r="F88" s="2117"/>
      <c r="G88" s="2117">
        <f>ROUND(SUM(G64-G85),1)</f>
        <v>-617.6</v>
      </c>
      <c r="H88" s="2117"/>
      <c r="I88" s="2117">
        <f>ROUND(SUM(I64-I85),1)</f>
        <v>-522.1</v>
      </c>
      <c r="J88" s="2117"/>
      <c r="K88" s="2117">
        <f>ROUND(SUM(K64-K85),1)</f>
        <v>-346.9</v>
      </c>
      <c r="L88" s="1501"/>
      <c r="M88" s="1501">
        <f>ROUND(SUM(M64-M85),1)</f>
        <v>0</v>
      </c>
      <c r="N88" s="1501"/>
      <c r="O88" s="1501">
        <f>ROUND(SUM(O64-O85),1)</f>
        <v>0</v>
      </c>
      <c r="P88" s="1501"/>
      <c r="Q88" s="1501">
        <f>ROUND(SUM(Q64-Q85),1)</f>
        <v>0</v>
      </c>
      <c r="R88" s="1501"/>
      <c r="S88" s="1501">
        <f>ROUND(SUM(S64-S85),1)</f>
        <v>0</v>
      </c>
      <c r="T88" s="1501"/>
      <c r="U88" s="1501">
        <f>ROUND(SUM(U64-U85),1)</f>
        <v>0</v>
      </c>
      <c r="V88" s="1501"/>
      <c r="W88" s="1501">
        <f>ROUND(SUM(W64-W85),1)</f>
        <v>0</v>
      </c>
      <c r="X88" s="1501"/>
      <c r="Y88" s="1501">
        <f>ROUND(SUM(Y64-Y85),1)</f>
        <v>0</v>
      </c>
      <c r="Z88" s="1501"/>
      <c r="AA88" s="1501">
        <f>ROUND(SUM(AA64-AA85),1)</f>
        <v>0</v>
      </c>
      <c r="AB88" s="2117"/>
      <c r="AC88" s="2634"/>
      <c r="AD88" s="2117">
        <f>ROUND(SUM(AD64-AD85),1)</f>
        <v>-1763.2</v>
      </c>
      <c r="AE88" s="3355"/>
      <c r="AF88" s="1502"/>
      <c r="AG88" s="2117">
        <f>ROUND(SUM(AG64-AG85),1)</f>
        <v>-1762.9</v>
      </c>
      <c r="AH88" s="1502"/>
      <c r="AI88" s="2696"/>
      <c r="AJ88" s="2121">
        <f>ROUND(AD88-AG88,1)</f>
        <v>-0.3</v>
      </c>
      <c r="AK88" s="2716"/>
      <c r="AL88" s="1506">
        <f>ROUND(IF(AG88=0,0,AJ88/ABS(AG88)),3)</f>
        <v>0</v>
      </c>
      <c r="AM88" s="2717"/>
      <c r="AN88" s="2745"/>
    </row>
    <row r="89" spans="1:41" ht="15.75">
      <c r="A89" s="2111"/>
      <c r="B89" s="2111"/>
      <c r="C89" s="2111"/>
      <c r="D89" s="2111"/>
      <c r="E89" s="2572"/>
      <c r="F89" s="2067"/>
      <c r="G89" s="2572"/>
      <c r="H89" s="2067"/>
      <c r="I89" s="2572"/>
      <c r="J89" s="2067"/>
      <c r="K89" s="2572"/>
      <c r="L89" s="2073"/>
      <c r="M89" s="2072"/>
      <c r="N89" s="2073"/>
      <c r="O89" s="2072"/>
      <c r="P89" s="2073"/>
      <c r="Q89" s="2072"/>
      <c r="R89" s="2073"/>
      <c r="S89" s="2072"/>
      <c r="T89" s="2073"/>
      <c r="U89" s="2072"/>
      <c r="V89" s="2073"/>
      <c r="W89" s="2072"/>
      <c r="X89" s="2073"/>
      <c r="Y89" s="2072"/>
      <c r="Z89" s="2073"/>
      <c r="AA89" s="2072"/>
      <c r="AB89" s="2062"/>
      <c r="AC89" s="2106"/>
      <c r="AD89" s="2118"/>
      <c r="AE89" s="3343"/>
      <c r="AF89" s="2043"/>
      <c r="AG89" s="2118"/>
      <c r="AH89" s="2043"/>
      <c r="AI89" s="2696"/>
      <c r="AJ89" s="2697"/>
      <c r="AK89" s="1504"/>
      <c r="AL89" s="2708"/>
    </row>
    <row r="90" spans="1:41" ht="15.75">
      <c r="A90" s="2111"/>
      <c r="B90" s="2504" t="s">
        <v>206</v>
      </c>
      <c r="C90" s="2111"/>
      <c r="D90" s="2111"/>
      <c r="E90" s="2067"/>
      <c r="F90" s="2067"/>
      <c r="G90" s="2067"/>
      <c r="H90" s="2067"/>
      <c r="I90" s="2067"/>
      <c r="J90" s="2067"/>
      <c r="K90" s="2067"/>
      <c r="L90" s="2073"/>
      <c r="M90" s="2073"/>
      <c r="N90" s="2073"/>
      <c r="O90" s="2073"/>
      <c r="P90" s="2073"/>
      <c r="Q90" s="2073"/>
      <c r="R90" s="2073"/>
      <c r="S90" s="2073"/>
      <c r="T90" s="2073"/>
      <c r="U90" s="2073"/>
      <c r="V90" s="2073"/>
      <c r="W90" s="2073"/>
      <c r="X90" s="2073"/>
      <c r="Y90" s="2073"/>
      <c r="Z90" s="2073"/>
      <c r="AA90" s="2073"/>
      <c r="AB90" s="2062"/>
      <c r="AC90" s="2106"/>
      <c r="AD90" s="2738"/>
      <c r="AE90" s="3343"/>
      <c r="AF90" s="2043"/>
      <c r="AG90" s="2738"/>
      <c r="AH90" s="2738"/>
      <c r="AI90" s="2739"/>
      <c r="AJ90" s="2697"/>
      <c r="AK90" s="1504"/>
      <c r="AL90" s="2708"/>
    </row>
    <row r="91" spans="1:41" ht="15.75">
      <c r="A91" s="2111"/>
      <c r="B91" s="2111" t="s">
        <v>207</v>
      </c>
      <c r="C91" s="2111"/>
      <c r="D91" s="2111"/>
      <c r="E91" s="2067">
        <v>0</v>
      </c>
      <c r="F91" s="2067"/>
      <c r="G91" s="2067">
        <v>0</v>
      </c>
      <c r="H91" s="2067"/>
      <c r="I91" s="2067">
        <v>0</v>
      </c>
      <c r="J91" s="2067"/>
      <c r="K91" s="2067">
        <f t="shared" ref="K91:K93" si="9">$AD91-$E91-$G91-$I91</f>
        <v>0</v>
      </c>
      <c r="L91" s="2703"/>
      <c r="M91" s="2067"/>
      <c r="N91" s="2703"/>
      <c r="O91" s="2067"/>
      <c r="P91" s="2703"/>
      <c r="Q91" s="1851"/>
      <c r="R91" s="2703"/>
      <c r="S91" s="1851"/>
      <c r="T91" s="2703"/>
      <c r="U91" s="1851"/>
      <c r="V91" s="2703"/>
      <c r="W91" s="1851"/>
      <c r="X91" s="2703"/>
      <c r="Y91" s="1851"/>
      <c r="Z91" s="2703"/>
      <c r="AA91" s="1851"/>
      <c r="AB91" s="2062"/>
      <c r="AC91" s="2106"/>
      <c r="AD91" s="2067">
        <v>0</v>
      </c>
      <c r="AE91" s="3343"/>
      <c r="AF91" s="2043"/>
      <c r="AG91" s="2067">
        <v>0</v>
      </c>
      <c r="AH91" s="2738"/>
      <c r="AI91" s="2739"/>
      <c r="AJ91" s="2062">
        <f>ROUND(AD91-AG91,1)</f>
        <v>0</v>
      </c>
      <c r="AK91" s="2705"/>
      <c r="AL91" s="1478">
        <f>ROUND(IF(AG91=0,0,AJ91/ABS(AG91)),3)</f>
        <v>0</v>
      </c>
    </row>
    <row r="92" spans="1:41" ht="15.75">
      <c r="A92" s="2111"/>
      <c r="B92" s="2578" t="s">
        <v>174</v>
      </c>
      <c r="C92" s="2111"/>
      <c r="D92" s="2111"/>
      <c r="E92" s="2067">
        <v>509.2</v>
      </c>
      <c r="F92" s="2067"/>
      <c r="G92" s="2067">
        <v>412.40000000000003</v>
      </c>
      <c r="H92" s="2067"/>
      <c r="I92" s="2067">
        <v>633.49999999999977</v>
      </c>
      <c r="J92" s="2067"/>
      <c r="K92" s="2067">
        <f t="shared" si="9"/>
        <v>260.60000000000014</v>
      </c>
      <c r="L92" s="2703"/>
      <c r="M92" s="2067"/>
      <c r="N92" s="2703"/>
      <c r="O92" s="2067"/>
      <c r="P92" s="2703"/>
      <c r="Q92" s="1851"/>
      <c r="R92" s="2703"/>
      <c r="S92" s="1851"/>
      <c r="T92" s="2703"/>
      <c r="U92" s="1851"/>
      <c r="V92" s="2703"/>
      <c r="W92" s="1851"/>
      <c r="X92" s="2703"/>
      <c r="Y92" s="1851"/>
      <c r="Z92" s="2703"/>
      <c r="AA92" s="1851"/>
      <c r="AB92" s="2062"/>
      <c r="AC92" s="2106"/>
      <c r="AD92" s="2067">
        <v>1815.7</v>
      </c>
      <c r="AE92" s="3343"/>
      <c r="AF92" s="2043"/>
      <c r="AG92" s="2067">
        <v>1691.2</v>
      </c>
      <c r="AH92" s="2061"/>
      <c r="AI92" s="2711"/>
      <c r="AJ92" s="2062">
        <f>ROUND(AD92-AG92,1)</f>
        <v>124.5</v>
      </c>
      <c r="AK92" s="1504"/>
      <c r="AL92" s="1465">
        <f>ROUND(IF(AG92=0,0,AJ92/ABS(AG92)),3)</f>
        <v>7.3999999999999996E-2</v>
      </c>
      <c r="AM92" s="1504"/>
    </row>
    <row r="93" spans="1:41" ht="15.75">
      <c r="A93" s="2111"/>
      <c r="B93" s="2578" t="s">
        <v>208</v>
      </c>
      <c r="C93" s="2111"/>
      <c r="D93" s="2111"/>
      <c r="E93" s="2067">
        <v>-45.9</v>
      </c>
      <c r="F93" s="2067"/>
      <c r="G93" s="2067">
        <v>-47.70000000000001</v>
      </c>
      <c r="H93" s="2067"/>
      <c r="I93" s="2067">
        <v>-48.699999999999996</v>
      </c>
      <c r="J93" s="2067"/>
      <c r="K93" s="2067">
        <f t="shared" si="9"/>
        <v>-48.799999999999976</v>
      </c>
      <c r="L93" s="2703"/>
      <c r="M93" s="2067"/>
      <c r="N93" s="2703"/>
      <c r="O93" s="2067"/>
      <c r="P93" s="2703"/>
      <c r="Q93" s="1851"/>
      <c r="R93" s="2703"/>
      <c r="S93" s="1851"/>
      <c r="T93" s="2703"/>
      <c r="U93" s="1851"/>
      <c r="V93" s="2703"/>
      <c r="W93" s="1851"/>
      <c r="X93" s="2703"/>
      <c r="Y93" s="1851"/>
      <c r="Z93" s="2703"/>
      <c r="AA93" s="1851"/>
      <c r="AB93" s="2062"/>
      <c r="AC93" s="2106"/>
      <c r="AD93" s="3357">
        <v>-191.1</v>
      </c>
      <c r="AE93" s="3343"/>
      <c r="AF93" s="2043"/>
      <c r="AG93" s="3357">
        <v>-108</v>
      </c>
      <c r="AH93" s="2043"/>
      <c r="AI93" s="2696"/>
      <c r="AJ93" s="2743">
        <f>ROUND(-AD93+AG93,1)</f>
        <v>83.1</v>
      </c>
      <c r="AK93" s="1504"/>
      <c r="AL93" s="1466">
        <f>ROUND(IF(AG93=0,0,AJ93/ABS(AG93)),3)</f>
        <v>0.76900000000000002</v>
      </c>
      <c r="AM93" s="1504"/>
    </row>
    <row r="94" spans="1:41" ht="15.75">
      <c r="A94" s="2111"/>
      <c r="B94" s="2111"/>
      <c r="C94" s="2111"/>
      <c r="D94" s="2111"/>
      <c r="E94" s="2118"/>
      <c r="F94" s="2062"/>
      <c r="G94" s="2118"/>
      <c r="H94" s="2062"/>
      <c r="I94" s="2118"/>
      <c r="J94" s="2062"/>
      <c r="K94" s="2118"/>
      <c r="L94" s="2073"/>
      <c r="M94" s="2072"/>
      <c r="N94" s="2073"/>
      <c r="O94" s="2072"/>
      <c r="P94" s="2073"/>
      <c r="Q94" s="2072"/>
      <c r="R94" s="2073"/>
      <c r="S94" s="2072"/>
      <c r="T94" s="2073"/>
      <c r="U94" s="2118"/>
      <c r="V94" s="2073"/>
      <c r="W94" s="2072"/>
      <c r="X94" s="2073"/>
      <c r="Y94" s="2072"/>
      <c r="Z94" s="2073"/>
      <c r="AA94" s="2072"/>
      <c r="AB94" s="2062"/>
      <c r="AC94" s="2106"/>
      <c r="AD94" s="2697"/>
      <c r="AE94" s="3343"/>
      <c r="AF94" s="2043"/>
      <c r="AG94" s="2697"/>
      <c r="AH94" s="2697"/>
      <c r="AI94" s="2744"/>
      <c r="AJ94" s="2697"/>
      <c r="AK94" s="1504"/>
      <c r="AL94" s="2708"/>
    </row>
    <row r="95" spans="1:41" ht="15.75">
      <c r="A95" s="2111"/>
      <c r="B95" s="2504" t="s">
        <v>1212</v>
      </c>
      <c r="C95" s="2111"/>
      <c r="D95" s="2111"/>
      <c r="E95" s="2117">
        <f>ROUND(SUM(E91:E93),1)</f>
        <v>463.3</v>
      </c>
      <c r="F95" s="2117"/>
      <c r="G95" s="2117">
        <f>ROUND(SUM(G91:G93),1)</f>
        <v>364.7</v>
      </c>
      <c r="H95" s="2117"/>
      <c r="I95" s="2117">
        <f>ROUND(SUM(I91:I93),1)</f>
        <v>584.79999999999995</v>
      </c>
      <c r="J95" s="2117"/>
      <c r="K95" s="2117">
        <f>ROUND(SUM(K91:K93),1)</f>
        <v>211.8</v>
      </c>
      <c r="L95" s="1501"/>
      <c r="M95" s="1501">
        <f>ROUND(SUM(M91:M93),1)</f>
        <v>0</v>
      </c>
      <c r="N95" s="1501"/>
      <c r="O95" s="1501">
        <f>ROUND(SUM(O91:O93),1)</f>
        <v>0</v>
      </c>
      <c r="P95" s="1501"/>
      <c r="Q95" s="1501">
        <f>ROUND(SUM(Q91:Q93),1)</f>
        <v>0</v>
      </c>
      <c r="R95" s="1501"/>
      <c r="S95" s="1501">
        <f>ROUND(SUM(S91:S93),1)</f>
        <v>0</v>
      </c>
      <c r="T95" s="1501"/>
      <c r="U95" s="1501">
        <f>ROUND(SUM(U91:U93),1)</f>
        <v>0</v>
      </c>
      <c r="V95" s="1501"/>
      <c r="W95" s="1501">
        <f>ROUND(SUM(W91:W93),1)</f>
        <v>0</v>
      </c>
      <c r="X95" s="1501"/>
      <c r="Y95" s="1501">
        <f>ROUND(SUM(Y91:Y93),1)</f>
        <v>0</v>
      </c>
      <c r="Z95" s="1501"/>
      <c r="AA95" s="1501">
        <f>ROUND(SUM(AA91:AA93),1)</f>
        <v>0</v>
      </c>
      <c r="AB95" s="2117"/>
      <c r="AC95" s="2634"/>
      <c r="AD95" s="1502">
        <f>ROUND(SUM(AD91:AD93),1)</f>
        <v>1624.6</v>
      </c>
      <c r="AE95" s="3355"/>
      <c r="AF95" s="1502"/>
      <c r="AG95" s="1502">
        <f>ROUND(SUM(AG91:AG93),1)</f>
        <v>1583.2</v>
      </c>
      <c r="AH95" s="1502"/>
      <c r="AI95" s="2696"/>
      <c r="AJ95" s="2121">
        <f>ROUND(AD95-AG95,1)</f>
        <v>41.4</v>
      </c>
      <c r="AK95" s="2716"/>
      <c r="AL95" s="1506">
        <f>ROUND(IF(AG95=0,0,AJ95/ABS(AG95)),3)</f>
        <v>2.5999999999999999E-2</v>
      </c>
      <c r="AM95" s="2717"/>
      <c r="AN95" s="2717"/>
      <c r="AO95" s="2745"/>
    </row>
    <row r="96" spans="1:41" ht="15.75">
      <c r="A96" s="2111"/>
      <c r="B96" s="2111"/>
      <c r="C96" s="2111"/>
      <c r="D96" s="2111"/>
      <c r="E96" s="2118"/>
      <c r="F96" s="2062"/>
      <c r="G96" s="2118"/>
      <c r="H96" s="2062"/>
      <c r="I96" s="2118"/>
      <c r="J96" s="2062"/>
      <c r="K96" s="2118"/>
      <c r="L96" s="2073"/>
      <c r="M96" s="2072"/>
      <c r="N96" s="2073"/>
      <c r="O96" s="2072"/>
      <c r="P96" s="2073"/>
      <c r="Q96" s="2072"/>
      <c r="R96" s="2073"/>
      <c r="S96" s="2072"/>
      <c r="T96" s="2073"/>
      <c r="U96" s="2072"/>
      <c r="V96" s="2073"/>
      <c r="W96" s="2072"/>
      <c r="X96" s="2073"/>
      <c r="Y96" s="2072"/>
      <c r="Z96" s="2073"/>
      <c r="AA96" s="2072"/>
      <c r="AB96" s="2062"/>
      <c r="AC96" s="2106"/>
      <c r="AD96" s="2118"/>
      <c r="AE96" s="3343"/>
      <c r="AF96" s="2043"/>
      <c r="AG96" s="2118"/>
      <c r="AH96" s="2043"/>
      <c r="AI96" s="2696"/>
      <c r="AJ96" s="2697"/>
      <c r="AK96" s="1504"/>
      <c r="AL96" s="2708"/>
      <c r="AO96" s="2736"/>
    </row>
    <row r="97" spans="1:41" ht="15.75">
      <c r="A97" s="2111"/>
      <c r="B97" s="2111"/>
      <c r="C97" s="2111"/>
      <c r="D97" s="2111"/>
      <c r="E97" s="2062" t="s">
        <v>15</v>
      </c>
      <c r="F97" s="2062" t="s">
        <v>15</v>
      </c>
      <c r="G97" s="2062" t="s">
        <v>15</v>
      </c>
      <c r="H97" s="2062"/>
      <c r="I97" s="2062" t="s">
        <v>15</v>
      </c>
      <c r="J97" s="2062"/>
      <c r="K97" s="2062" t="s">
        <v>15</v>
      </c>
      <c r="L97" s="2073"/>
      <c r="M97" s="2073" t="s">
        <v>15</v>
      </c>
      <c r="N97" s="2073"/>
      <c r="O97" s="2073" t="s">
        <v>15</v>
      </c>
      <c r="P97" s="2073"/>
      <c r="Q97" s="2073" t="s">
        <v>15</v>
      </c>
      <c r="R97" s="2073"/>
      <c r="S97" s="2073" t="s">
        <v>15</v>
      </c>
      <c r="T97" s="2073"/>
      <c r="U97" s="2073" t="s">
        <v>15</v>
      </c>
      <c r="V97" s="2073"/>
      <c r="W97" s="2073" t="s">
        <v>15</v>
      </c>
      <c r="X97" s="2073"/>
      <c r="Y97" s="2073" t="s">
        <v>15</v>
      </c>
      <c r="Z97" s="2073"/>
      <c r="AA97" s="2073" t="s">
        <v>15</v>
      </c>
      <c r="AB97" s="2062"/>
      <c r="AC97" s="2106"/>
      <c r="AD97" s="2062"/>
      <c r="AE97" s="3343"/>
      <c r="AF97" s="2043"/>
      <c r="AG97" s="2062"/>
      <c r="AH97" s="2062"/>
      <c r="AI97" s="2696"/>
      <c r="AJ97" s="2697" t="s">
        <v>15</v>
      </c>
      <c r="AK97" s="1504"/>
      <c r="AL97" s="2708"/>
    </row>
    <row r="98" spans="1:41" ht="15.75">
      <c r="A98" s="2111"/>
      <c r="B98" s="2504" t="s">
        <v>210</v>
      </c>
      <c r="C98" s="2111"/>
      <c r="D98" s="2111"/>
      <c r="E98" s="2062"/>
      <c r="F98" s="2062"/>
      <c r="G98" s="2062" t="s">
        <v>15</v>
      </c>
      <c r="H98" s="2062"/>
      <c r="I98" s="2062" t="s">
        <v>15</v>
      </c>
      <c r="J98" s="2062"/>
      <c r="K98" s="2062" t="s">
        <v>15</v>
      </c>
      <c r="L98" s="2073"/>
      <c r="M98" s="2073" t="s">
        <v>15</v>
      </c>
      <c r="N98" s="2073"/>
      <c r="O98" s="2073" t="s">
        <v>15</v>
      </c>
      <c r="P98" s="2073"/>
      <c r="Q98" s="2073" t="s">
        <v>15</v>
      </c>
      <c r="R98" s="2073"/>
      <c r="S98" s="2073" t="s">
        <v>15</v>
      </c>
      <c r="T98" s="2073"/>
      <c r="U98" s="2073" t="s">
        <v>15</v>
      </c>
      <c r="V98" s="2073"/>
      <c r="W98" s="2073" t="s">
        <v>15</v>
      </c>
      <c r="X98" s="2073"/>
      <c r="Y98" s="2073" t="s">
        <v>15</v>
      </c>
      <c r="Z98" s="2073"/>
      <c r="AA98" s="2073" t="s">
        <v>15</v>
      </c>
      <c r="AB98" s="2062"/>
      <c r="AC98" s="2106"/>
      <c r="AD98" s="2062"/>
      <c r="AE98" s="3343"/>
      <c r="AF98" s="2043"/>
      <c r="AG98" s="2062"/>
      <c r="AH98" s="2062"/>
      <c r="AI98" s="2696"/>
      <c r="AJ98" s="2697"/>
      <c r="AK98" s="1504"/>
      <c r="AL98" s="2708"/>
    </row>
    <row r="99" spans="1:41" ht="15.75">
      <c r="A99" s="2111"/>
      <c r="B99" s="2504" t="s">
        <v>211</v>
      </c>
      <c r="C99" s="2111"/>
      <c r="D99" s="2111"/>
      <c r="E99" s="2062" t="s">
        <v>15</v>
      </c>
      <c r="F99" s="2062"/>
      <c r="G99" s="2062"/>
      <c r="H99" s="2062"/>
      <c r="I99" s="2062"/>
      <c r="J99" s="2062"/>
      <c r="K99" s="2062"/>
      <c r="L99" s="2073"/>
      <c r="M99" s="2073"/>
      <c r="N99" s="2073"/>
      <c r="O99" s="2073"/>
      <c r="P99" s="2073"/>
      <c r="Q99" s="2073"/>
      <c r="R99" s="2073"/>
      <c r="S99" s="2073"/>
      <c r="T99" s="2073"/>
      <c r="U99" s="2073"/>
      <c r="V99" s="2073"/>
      <c r="W99" s="2073"/>
      <c r="X99" s="2073"/>
      <c r="Y99" s="2073"/>
      <c r="Z99" s="2073"/>
      <c r="AA99" s="2073"/>
      <c r="AB99" s="2062"/>
      <c r="AC99" s="2106"/>
      <c r="AD99" s="2697"/>
      <c r="AE99" s="3343"/>
      <c r="AF99" s="2043"/>
      <c r="AG99" s="2697"/>
      <c r="AH99" s="2697"/>
      <c r="AI99" s="2744"/>
      <c r="AJ99" s="2697"/>
      <c r="AK99" s="1504"/>
      <c r="AL99" s="2708"/>
      <c r="AO99" s="2746"/>
    </row>
    <row r="100" spans="1:41" s="2755" customFormat="1" ht="15.75">
      <c r="A100" s="2073"/>
      <c r="B100" s="1501" t="s">
        <v>1213</v>
      </c>
      <c r="C100" s="2073"/>
      <c r="D100" s="2073"/>
      <c r="E100" s="2747">
        <f>ROUND(SUM(E88+E95),1)</f>
        <v>186.7</v>
      </c>
      <c r="F100" s="2748"/>
      <c r="G100" s="2747">
        <f>ROUND(SUM(G88+G95),1)</f>
        <v>-252.9</v>
      </c>
      <c r="H100" s="2748"/>
      <c r="I100" s="2747">
        <f>ROUND(SUM(I88+I95),1)</f>
        <v>62.7</v>
      </c>
      <c r="J100" s="2748"/>
      <c r="K100" s="2747">
        <f>ROUND(SUM(K88+K95),1)</f>
        <v>-135.1</v>
      </c>
      <c r="L100" s="2749"/>
      <c r="M100" s="2747">
        <f>ROUND(SUM(M88+M95),1)</f>
        <v>0</v>
      </c>
      <c r="N100" s="2749"/>
      <c r="O100" s="2747">
        <f>ROUND(SUM(O88+O95),1)</f>
        <v>0</v>
      </c>
      <c r="P100" s="2749"/>
      <c r="Q100" s="2747">
        <f>ROUND(SUM(Q88+Q95),1)</f>
        <v>0</v>
      </c>
      <c r="R100" s="2749"/>
      <c r="S100" s="2747">
        <f>ROUND(SUM(S88+S95),1)</f>
        <v>0</v>
      </c>
      <c r="T100" s="2749"/>
      <c r="U100" s="2747">
        <f>ROUND(SUM(U88+U95),1)</f>
        <v>0</v>
      </c>
      <c r="V100" s="2749"/>
      <c r="W100" s="2747">
        <f>ROUND(SUM(W88+W95),1)</f>
        <v>0</v>
      </c>
      <c r="X100" s="2750"/>
      <c r="Y100" s="2747">
        <f>ROUND(SUM(Y88+Y95),1)</f>
        <v>0</v>
      </c>
      <c r="Z100" s="2749"/>
      <c r="AA100" s="2747">
        <f>ROUND(SUM(AA88+AA95),1)</f>
        <v>0</v>
      </c>
      <c r="AB100" s="2748"/>
      <c r="AC100" s="2751"/>
      <c r="AD100" s="2747">
        <f>ROUND(SUM(AD88+AD95),1)</f>
        <v>-138.6</v>
      </c>
      <c r="AE100" s="3358"/>
      <c r="AF100" s="1502"/>
      <c r="AG100" s="2747">
        <f>ROUND(SUM(AG88+AG95),1)</f>
        <v>-179.7</v>
      </c>
      <c r="AH100" s="2752"/>
      <c r="AI100" s="2744"/>
      <c r="AJ100" s="2747">
        <f>ROUND(SUM(AJ88+AJ95),1)</f>
        <v>41.1</v>
      </c>
      <c r="AK100" s="2753"/>
      <c r="AL100" s="1506">
        <f>ROUND(IF(AG100=0,0,AJ100/ABS(AG100)),3)</f>
        <v>0.22900000000000001</v>
      </c>
      <c r="AM100" s="2754"/>
    </row>
    <row r="101" spans="1:41">
      <c r="B101" s="2756"/>
      <c r="X101" s="2757"/>
      <c r="AC101" s="2758"/>
      <c r="AF101" s="2758"/>
      <c r="AI101" s="2759"/>
    </row>
    <row r="102" spans="1:41" ht="16.5" thickBot="1">
      <c r="B102" s="2504" t="s">
        <v>1211</v>
      </c>
      <c r="C102" s="2760"/>
      <c r="D102" s="2760"/>
      <c r="E102" s="2761">
        <f>ROUND(SUM(E14+E100),1)</f>
        <v>-446.5</v>
      </c>
      <c r="F102" s="2762"/>
      <c r="G102" s="2761">
        <f>ROUND(SUM(G14+G100),1)</f>
        <v>-699.4</v>
      </c>
      <c r="I102" s="2761">
        <f>ROUND(SUM(I14+I100),1)</f>
        <v>-636.70000000000005</v>
      </c>
      <c r="K102" s="2761">
        <f>ROUND(SUM(K14+K100),1)</f>
        <v>-771.8</v>
      </c>
      <c r="M102" s="2763">
        <f>ROUND(SUM(M14+M100),1)</f>
        <v>0</v>
      </c>
      <c r="O102" s="2763">
        <f>ROUND(SUM(O14+O100),1)</f>
        <v>0</v>
      </c>
      <c r="Q102" s="2763">
        <f>ROUND(SUM(Q14+Q100),1)</f>
        <v>0</v>
      </c>
      <c r="S102" s="2763">
        <f>ROUND(SUM(S14+S100),1)</f>
        <v>0</v>
      </c>
      <c r="U102" s="2763">
        <f>ROUND(SUM(U14+U100),1)</f>
        <v>0</v>
      </c>
      <c r="W102" s="2763">
        <f>ROUND(SUM(W14+W100),1)</f>
        <v>0</v>
      </c>
      <c r="Y102" s="2763">
        <f>ROUND(SUM(Y14+Y100),1)</f>
        <v>0</v>
      </c>
      <c r="AA102" s="2763">
        <f>ROUND(SUM(AA14+AA100),1)</f>
        <v>0</v>
      </c>
      <c r="AC102" s="2758"/>
      <c r="AD102" s="2761">
        <f>ROUND(SUM(AD14+AD100),1)</f>
        <v>-771.8</v>
      </c>
      <c r="AF102" s="2758"/>
      <c r="AG102" s="2761">
        <f>ROUND(SUM(AG14+AG100),1)</f>
        <v>-748.1</v>
      </c>
      <c r="AI102" s="2759"/>
      <c r="AJ102" s="2761">
        <f>ROUND(SUM(AJ14+AJ100),1)</f>
        <v>-23.7</v>
      </c>
      <c r="AL102" s="2044">
        <f>ROUND(IF(AG102=0,0,AJ102/ABS(AG102)),3)</f>
        <v>-3.2000000000000001E-2</v>
      </c>
    </row>
    <row r="103" spans="1:41" ht="15.75" thickTop="1">
      <c r="B103" s="2764"/>
      <c r="C103" s="2760"/>
      <c r="D103" s="2760"/>
      <c r="E103" s="2762"/>
      <c r="F103" s="2762"/>
      <c r="G103" s="2762"/>
      <c r="AG103" s="3657"/>
      <c r="AJ103" s="2765"/>
    </row>
    <row r="104" spans="1:41">
      <c r="B104" s="2766"/>
    </row>
    <row r="105" spans="1:41">
      <c r="B105" s="2766"/>
      <c r="AD105" s="3342"/>
    </row>
    <row r="106" spans="1:41">
      <c r="B106" s="2767"/>
    </row>
    <row r="107" spans="1:41">
      <c r="B107" s="2766"/>
    </row>
    <row r="108" spans="1:41">
      <c r="B108" s="2766"/>
    </row>
    <row r="109" spans="1:41">
      <c r="B109" s="2767"/>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80" workbookViewId="0"/>
  </sheetViews>
  <sheetFormatPr defaultColWidth="8.77734375" defaultRowHeight="15"/>
  <cols>
    <col min="1" max="1" width="2.5546875" style="101" customWidth="1"/>
    <col min="2" max="2" width="14.21875" style="101" customWidth="1"/>
    <col min="3" max="3" width="26.5546875" style="101" customWidth="1"/>
    <col min="4" max="4" width="2.109375" style="1112" customWidth="1"/>
    <col min="5" max="5" width="11.109375" style="1112" customWidth="1"/>
    <col min="6" max="6" width="1.77734375" style="1112" customWidth="1"/>
    <col min="7" max="7" width="11" style="1112" bestFit="1" customWidth="1"/>
    <col min="8" max="8" width="1.77734375" style="1112" customWidth="1"/>
    <col min="9" max="9" width="11" style="1112" bestFit="1" customWidth="1"/>
    <col min="10" max="10" width="1.77734375" style="1112" customWidth="1"/>
    <col min="11" max="11" width="12.21875" style="111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12" customWidth="1"/>
    <col min="28" max="29" width="1.77734375" style="1112" customWidth="1"/>
    <col min="30" max="30" width="10.5546875" style="1112" customWidth="1"/>
    <col min="31" max="32" width="1" style="1112" customWidth="1"/>
    <col min="33" max="33" width="12.77734375" style="1112" customWidth="1"/>
    <col min="34" max="35" width="1" style="1112" customWidth="1"/>
    <col min="36" max="36" width="13.109375" style="1112" bestFit="1" customWidth="1"/>
    <col min="37" max="37" width="1.21875" style="101" customWidth="1"/>
    <col min="38" max="38" width="11.5546875" style="101" customWidth="1"/>
    <col min="39" max="16384" width="8.77734375" style="101"/>
  </cols>
  <sheetData>
    <row r="1" spans="1:39">
      <c r="B1" s="657" t="s">
        <v>980</v>
      </c>
    </row>
    <row r="2" spans="1:39">
      <c r="B2" s="844"/>
    </row>
    <row r="3" spans="1:39" ht="19.5" customHeight="1">
      <c r="A3" s="316"/>
      <c r="B3" s="322" t="s">
        <v>0</v>
      </c>
      <c r="C3" s="317"/>
      <c r="D3" s="1113"/>
      <c r="E3" s="1113"/>
      <c r="F3" s="1114"/>
      <c r="G3" s="1114"/>
      <c r="H3" s="1114"/>
      <c r="I3" s="1114"/>
      <c r="J3" s="1114"/>
      <c r="K3" s="1114"/>
      <c r="L3" s="318"/>
      <c r="M3" s="318"/>
      <c r="N3" s="318"/>
      <c r="O3" s="318"/>
      <c r="P3" s="318"/>
      <c r="Q3" s="318"/>
      <c r="R3" s="318"/>
      <c r="S3" s="361"/>
      <c r="T3" s="318"/>
      <c r="U3" s="318"/>
      <c r="V3" s="318"/>
      <c r="W3" s="318"/>
      <c r="X3" s="318"/>
      <c r="Y3" s="318"/>
      <c r="Z3" s="318"/>
      <c r="AA3" s="1114"/>
      <c r="AB3" s="1114"/>
      <c r="AC3" s="1114"/>
      <c r="AD3" s="1114"/>
      <c r="AE3" s="1114"/>
      <c r="AF3" s="1114"/>
      <c r="AG3" s="1114"/>
      <c r="AH3" s="1114"/>
      <c r="AI3" s="1114"/>
      <c r="AL3" s="270" t="s">
        <v>195</v>
      </c>
    </row>
    <row r="4" spans="1:39" ht="19.5" customHeight="1">
      <c r="A4" s="316"/>
      <c r="B4" s="322" t="s">
        <v>213</v>
      </c>
      <c r="C4" s="317"/>
      <c r="D4" s="1113"/>
      <c r="E4" s="1113"/>
      <c r="F4" s="1114"/>
      <c r="G4" s="1114"/>
      <c r="H4" s="1114"/>
      <c r="I4" s="1114"/>
      <c r="J4" s="1114"/>
      <c r="K4" s="1114"/>
      <c r="L4" s="318"/>
      <c r="M4" s="318"/>
      <c r="N4" s="318"/>
      <c r="O4" s="318"/>
      <c r="P4" s="318"/>
      <c r="Q4" s="318"/>
      <c r="R4" s="318"/>
      <c r="S4" s="318"/>
      <c r="T4" s="318"/>
      <c r="U4" s="318"/>
      <c r="V4" s="318"/>
      <c r="W4" s="318"/>
      <c r="X4" s="318"/>
      <c r="Y4" s="318"/>
      <c r="Z4" s="318"/>
      <c r="AA4" s="1114"/>
      <c r="AB4" s="1114"/>
      <c r="AC4" s="1114"/>
      <c r="AE4" s="3359"/>
      <c r="AF4" s="3359"/>
    </row>
    <row r="5" spans="1:39" ht="19.5" customHeight="1">
      <c r="A5" s="316"/>
      <c r="B5" s="1581" t="s">
        <v>149</v>
      </c>
      <c r="C5" s="317"/>
      <c r="D5" s="1113"/>
      <c r="E5" s="1113"/>
      <c r="F5" s="1114"/>
      <c r="G5" s="1114"/>
      <c r="H5" s="1114"/>
      <c r="I5" s="1114"/>
      <c r="J5" s="1114"/>
      <c r="K5" s="1114"/>
      <c r="L5" s="318"/>
      <c r="M5" s="318"/>
      <c r="N5" s="318"/>
      <c r="O5" s="318"/>
      <c r="P5" s="318"/>
      <c r="Q5" s="318"/>
      <c r="R5" s="318"/>
      <c r="S5" s="318"/>
      <c r="T5" s="318"/>
      <c r="U5" s="318"/>
      <c r="V5" s="318"/>
      <c r="W5" s="318"/>
      <c r="X5" s="318"/>
      <c r="Y5" s="318"/>
      <c r="Z5" s="318"/>
      <c r="AA5" s="1114"/>
      <c r="AB5" s="1114"/>
      <c r="AC5" s="1114"/>
      <c r="AD5" s="1114"/>
      <c r="AE5" s="1114"/>
      <c r="AF5" s="1114"/>
      <c r="AG5" s="1114"/>
      <c r="AH5" s="1114"/>
      <c r="AI5" s="1114"/>
      <c r="AL5" s="270"/>
    </row>
    <row r="6" spans="1:39" ht="19.5" customHeight="1">
      <c r="A6" s="316"/>
      <c r="B6" s="1581" t="str">
        <f>'Cashflow Governmental'!A6</f>
        <v>FISCAL YEAR 2019-2020</v>
      </c>
      <c r="C6" s="902"/>
      <c r="D6" s="1113"/>
      <c r="E6" s="1113"/>
      <c r="F6" s="1114"/>
      <c r="G6" s="1114"/>
      <c r="H6" s="1115"/>
      <c r="I6" s="1114"/>
      <c r="J6" s="1114"/>
      <c r="K6" s="1114"/>
      <c r="L6" s="318"/>
      <c r="M6" s="318"/>
      <c r="N6" s="318"/>
      <c r="O6" s="318"/>
      <c r="P6" s="318"/>
      <c r="Q6" s="318"/>
      <c r="R6" s="318"/>
      <c r="S6" s="318"/>
      <c r="T6" s="318"/>
      <c r="U6" s="318"/>
      <c r="V6" s="318"/>
      <c r="W6" s="318"/>
      <c r="X6" s="318"/>
      <c r="Y6" s="318"/>
      <c r="Z6" s="318"/>
      <c r="AA6" s="1114"/>
      <c r="AB6" s="1114"/>
      <c r="AC6" s="1114"/>
      <c r="AD6" s="1114"/>
      <c r="AE6" s="1119"/>
      <c r="AF6" s="1119"/>
      <c r="AG6" s="1119"/>
      <c r="AH6" s="1119"/>
      <c r="AI6" s="1119"/>
    </row>
    <row r="7" spans="1:39" ht="19.5" customHeight="1">
      <c r="A7" s="316"/>
      <c r="B7" s="322" t="s">
        <v>1434</v>
      </c>
      <c r="C7" s="317"/>
      <c r="D7" s="1113"/>
      <c r="E7" s="1113"/>
      <c r="F7" s="1114"/>
      <c r="G7" s="1114"/>
      <c r="H7" s="1115"/>
      <c r="I7" s="1114"/>
      <c r="J7" s="1114"/>
      <c r="K7" s="1114"/>
      <c r="L7" s="318"/>
      <c r="M7" s="318"/>
      <c r="N7" s="318"/>
      <c r="O7" s="318"/>
      <c r="P7" s="318"/>
      <c r="Q7" s="318"/>
      <c r="R7" s="318"/>
      <c r="S7" s="318"/>
      <c r="T7" s="318"/>
      <c r="U7" s="318"/>
      <c r="V7" s="318"/>
      <c r="W7" s="318"/>
      <c r="X7" s="318"/>
      <c r="Y7" s="318"/>
      <c r="Z7" s="318"/>
      <c r="AA7" s="1114"/>
      <c r="AB7" s="1114"/>
      <c r="AC7" s="1114"/>
      <c r="AD7" s="1114"/>
      <c r="AE7" s="1119"/>
      <c r="AF7" s="1119"/>
      <c r="AG7" s="1119"/>
      <c r="AH7" s="1119"/>
      <c r="AI7" s="1119"/>
    </row>
    <row r="8" spans="1:39" ht="19.5" customHeight="1">
      <c r="A8" s="316"/>
      <c r="B8" s="268"/>
      <c r="C8" s="317"/>
      <c r="D8" s="1113"/>
      <c r="E8" s="1113"/>
      <c r="F8" s="1114"/>
      <c r="G8" s="1114"/>
      <c r="H8" s="1115"/>
      <c r="I8" s="1114"/>
      <c r="J8" s="1114"/>
      <c r="K8" s="1114"/>
      <c r="L8" s="318"/>
      <c r="M8" s="318"/>
      <c r="N8" s="318"/>
      <c r="O8" s="318"/>
      <c r="P8" s="318"/>
      <c r="Q8" s="318"/>
      <c r="R8" s="318"/>
      <c r="S8" s="318"/>
      <c r="T8" s="318"/>
      <c r="U8" s="318"/>
      <c r="V8" s="318"/>
      <c r="W8" s="318"/>
      <c r="X8" s="318"/>
      <c r="Y8" s="318"/>
      <c r="Z8" s="318"/>
      <c r="AA8" s="1114"/>
      <c r="AB8" s="1114"/>
      <c r="AC8" s="1114"/>
      <c r="AD8" s="1114"/>
      <c r="AE8" s="1119"/>
      <c r="AF8" s="1119"/>
      <c r="AG8" s="1119"/>
      <c r="AH8" s="1119"/>
      <c r="AI8" s="1119"/>
    </row>
    <row r="9" spans="1:39" ht="15.75" customHeight="1">
      <c r="A9" s="316"/>
      <c r="B9" s="322"/>
      <c r="C9" s="317"/>
      <c r="D9" s="1113"/>
      <c r="E9" s="1113"/>
      <c r="F9" s="1114"/>
      <c r="G9" s="1114"/>
      <c r="H9" s="1114"/>
      <c r="I9" s="1114"/>
      <c r="J9" s="1114"/>
      <c r="K9" s="1114"/>
      <c r="L9" s="318"/>
      <c r="M9" s="318"/>
      <c r="N9" s="318"/>
      <c r="O9" s="318"/>
      <c r="P9" s="318"/>
      <c r="Q9" s="318"/>
      <c r="R9" s="318"/>
      <c r="S9" s="318"/>
      <c r="T9" s="318"/>
      <c r="U9" s="318"/>
      <c r="V9" s="318"/>
      <c r="W9" s="318"/>
      <c r="X9" s="318"/>
      <c r="Y9" s="318"/>
      <c r="Z9" s="318"/>
      <c r="AA9" s="1114"/>
      <c r="AB9" s="1114"/>
      <c r="AC9" s="1120"/>
    </row>
    <row r="10" spans="1:39" ht="23.25">
      <c r="A10" s="316"/>
      <c r="B10" s="322"/>
      <c r="C10" s="317"/>
      <c r="D10" s="1113"/>
      <c r="E10" s="1113"/>
      <c r="F10" s="1114"/>
      <c r="G10" s="1114"/>
      <c r="H10" s="1114"/>
      <c r="I10" s="1114"/>
      <c r="J10" s="1114"/>
      <c r="K10" s="1114"/>
      <c r="L10" s="318"/>
      <c r="M10" s="318"/>
      <c r="N10" s="318"/>
      <c r="O10" s="318"/>
      <c r="P10" s="318"/>
      <c r="Q10" s="318"/>
      <c r="R10" s="318"/>
      <c r="S10" s="318"/>
      <c r="T10" s="318"/>
      <c r="U10" s="318"/>
      <c r="V10" s="318"/>
      <c r="W10" s="318"/>
      <c r="X10" s="318"/>
      <c r="Y10" s="318"/>
      <c r="Z10" s="318"/>
      <c r="AA10" s="1114"/>
      <c r="AB10" s="1114"/>
      <c r="AC10" s="1120"/>
      <c r="AD10" s="3813" t="s">
        <v>1473</v>
      </c>
      <c r="AE10" s="3814"/>
      <c r="AF10" s="3814"/>
      <c r="AG10" s="3814"/>
      <c r="AH10" s="3814"/>
      <c r="AI10" s="3814"/>
      <c r="AJ10" s="3814"/>
      <c r="AK10" s="3814"/>
      <c r="AL10" s="3814"/>
    </row>
    <row r="11" spans="1:39" ht="15.75">
      <c r="A11" s="325"/>
      <c r="B11" s="325"/>
      <c r="C11" s="325"/>
      <c r="D11" s="1132"/>
      <c r="E11" s="758" t="str">
        <f>'Cashflow Governmental'!C13</f>
        <v>2019</v>
      </c>
      <c r="F11" s="1116"/>
      <c r="G11" s="1116"/>
      <c r="H11" s="1116"/>
      <c r="I11" s="1116"/>
      <c r="J11" s="1116"/>
      <c r="K11" s="1116"/>
      <c r="L11" s="776"/>
      <c r="M11" s="776"/>
      <c r="N11" s="776"/>
      <c r="O11" s="776"/>
      <c r="P11" s="776"/>
      <c r="Q11" s="776"/>
      <c r="R11" s="776"/>
      <c r="S11" s="776"/>
      <c r="T11" s="776"/>
      <c r="U11" s="776"/>
      <c r="V11" s="776"/>
      <c r="W11" s="763" t="str">
        <f>'Cashflow Governmental'!U13</f>
        <v>2020</v>
      </c>
      <c r="X11" s="776"/>
      <c r="Y11" s="776"/>
      <c r="Z11" s="776"/>
      <c r="AA11" s="1116"/>
      <c r="AB11" s="1116"/>
      <c r="AC11" s="1116"/>
      <c r="AD11" s="1121"/>
      <c r="AE11" s="1121"/>
      <c r="AF11" s="1121"/>
      <c r="AG11" s="1121"/>
      <c r="AH11" s="1121"/>
      <c r="AI11" s="1121"/>
      <c r="AJ11" s="1122"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3"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1"/>
      <c r="AD13" s="140"/>
      <c r="AE13" s="140"/>
      <c r="AF13" s="3336"/>
      <c r="AG13" s="140"/>
      <c r="AH13" s="140"/>
      <c r="AI13" s="1009"/>
      <c r="AJ13" s="1124"/>
      <c r="AK13" s="327"/>
      <c r="AL13" s="327"/>
    </row>
    <row r="14" spans="1:39" ht="15.75">
      <c r="A14" s="31"/>
      <c r="B14" s="1900" t="s">
        <v>1249</v>
      </c>
      <c r="C14" s="29"/>
      <c r="D14" s="1911"/>
      <c r="E14" s="308">
        <v>-504.7</v>
      </c>
      <c r="F14" s="140"/>
      <c r="G14" s="308">
        <f>E82</f>
        <v>-571.70000000000005</v>
      </c>
      <c r="H14" s="140"/>
      <c r="I14" s="135">
        <f>G82</f>
        <v>-549.79999999999995</v>
      </c>
      <c r="J14" s="140"/>
      <c r="K14" s="135">
        <f>I82</f>
        <v>-575.79999999999995</v>
      </c>
      <c r="L14" s="165"/>
      <c r="M14" s="94"/>
      <c r="N14" s="165"/>
      <c r="O14" s="94"/>
      <c r="P14" s="165"/>
      <c r="Q14" s="94"/>
      <c r="R14" s="671"/>
      <c r="S14" s="94"/>
      <c r="T14" s="50"/>
      <c r="U14" s="94"/>
      <c r="V14" s="671"/>
      <c r="W14" s="94"/>
      <c r="X14" s="671"/>
      <c r="Y14" s="94"/>
      <c r="Z14" s="50"/>
      <c r="AA14" s="135"/>
      <c r="AB14" s="140"/>
      <c r="AC14" s="1091"/>
      <c r="AD14" s="1916">
        <f>E14</f>
        <v>-504.7</v>
      </c>
      <c r="AE14" s="140"/>
      <c r="AF14" s="3336"/>
      <c r="AG14" s="1916">
        <v>-582.79999999999995</v>
      </c>
      <c r="AH14" s="140"/>
      <c r="AI14" s="1009"/>
      <c r="AJ14" s="1917">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1"/>
      <c r="AD15" s="140"/>
      <c r="AE15" s="140"/>
      <c r="AF15" s="3336"/>
      <c r="AG15" s="140"/>
      <c r="AH15" s="140"/>
      <c r="AI15" s="1009"/>
      <c r="AJ15" s="1124"/>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1"/>
      <c r="AD16" s="140"/>
      <c r="AE16" s="117"/>
      <c r="AF16" s="3336"/>
      <c r="AG16" s="140"/>
      <c r="AH16" s="140"/>
      <c r="AI16" s="1009"/>
      <c r="AJ16" s="1124"/>
      <c r="AK16" s="327"/>
      <c r="AL16" s="327"/>
    </row>
    <row r="17" spans="1:38" ht="15.75">
      <c r="A17" s="31"/>
      <c r="B17" s="911" t="s">
        <v>1034</v>
      </c>
      <c r="C17" s="31"/>
      <c r="D17" s="107"/>
      <c r="E17" s="1102"/>
      <c r="F17" s="118"/>
      <c r="G17" s="1102"/>
      <c r="H17" s="118"/>
      <c r="I17" s="1102"/>
      <c r="J17" s="118"/>
      <c r="K17" s="1102"/>
      <c r="L17" s="118"/>
      <c r="M17" s="118"/>
      <c r="N17" s="118"/>
      <c r="O17" s="1102"/>
      <c r="P17" s="118"/>
      <c r="Q17" s="1102"/>
      <c r="R17" s="118"/>
      <c r="S17" s="1102"/>
      <c r="T17" s="118"/>
      <c r="U17" s="1102"/>
      <c r="V17" s="118"/>
      <c r="W17" s="1102"/>
      <c r="X17" s="118"/>
      <c r="Y17" s="1102"/>
      <c r="Z17" s="118"/>
      <c r="AA17" s="1102"/>
      <c r="AB17" s="118"/>
      <c r="AC17" s="692"/>
      <c r="AD17" s="3360"/>
      <c r="AE17" s="1103"/>
      <c r="AF17" s="67"/>
      <c r="AG17" s="118"/>
      <c r="AH17" s="119"/>
      <c r="AI17" s="1104"/>
      <c r="AJ17" s="119"/>
      <c r="AK17" s="1105"/>
      <c r="AL17" s="1106"/>
    </row>
    <row r="18" spans="1:38" ht="15.75">
      <c r="A18" s="31"/>
      <c r="B18" s="911" t="s">
        <v>1155</v>
      </c>
      <c r="C18" s="31"/>
      <c r="D18" s="107"/>
      <c r="E18" s="1102"/>
      <c r="F18" s="118"/>
      <c r="G18" s="1102"/>
      <c r="H18" s="118"/>
      <c r="I18" s="1102"/>
      <c r="J18" s="118"/>
      <c r="K18" s="1102"/>
      <c r="L18" s="66"/>
      <c r="M18" s="66"/>
      <c r="N18" s="66"/>
      <c r="O18" s="278"/>
      <c r="P18" s="66"/>
      <c r="Q18" s="278"/>
      <c r="R18" s="66"/>
      <c r="S18" s="278"/>
      <c r="T18" s="66"/>
      <c r="U18" s="278"/>
      <c r="V18" s="66"/>
      <c r="W18" s="278"/>
      <c r="X18" s="66"/>
      <c r="Y18" s="278"/>
      <c r="Z18" s="66"/>
      <c r="AA18" s="1102"/>
      <c r="AB18" s="118"/>
      <c r="AC18" s="692"/>
      <c r="AD18" s="3360"/>
      <c r="AE18" s="1107"/>
      <c r="AF18" s="67"/>
      <c r="AG18" s="118"/>
      <c r="AH18" s="119"/>
      <c r="AI18" s="1104"/>
      <c r="AJ18" s="119"/>
      <c r="AK18" s="336"/>
      <c r="AL18" s="8"/>
    </row>
    <row r="19" spans="1:38" s="1012" customFormat="1">
      <c r="A19" s="1013"/>
      <c r="B19" s="911" t="s">
        <v>1068</v>
      </c>
      <c r="C19" s="1013"/>
      <c r="D19" s="1013"/>
      <c r="E19" s="1587">
        <v>0</v>
      </c>
      <c r="F19" s="914"/>
      <c r="G19" s="1587">
        <v>0</v>
      </c>
      <c r="H19" s="914"/>
      <c r="I19" s="1587">
        <v>0</v>
      </c>
      <c r="J19" s="914"/>
      <c r="K19" s="1587">
        <f>$AD19-$E19-$G19-$I19</f>
        <v>0</v>
      </c>
      <c r="L19" s="914"/>
      <c r="M19" s="1587"/>
      <c r="N19" s="914"/>
      <c r="O19" s="1587"/>
      <c r="P19" s="914"/>
      <c r="Q19" s="1587"/>
      <c r="R19" s="914"/>
      <c r="S19" s="1587"/>
      <c r="T19" s="1453"/>
      <c r="U19" s="1587"/>
      <c r="V19" s="914"/>
      <c r="W19" s="1587"/>
      <c r="X19" s="914"/>
      <c r="Y19" s="1587"/>
      <c r="Z19" s="914"/>
      <c r="AA19" s="1587"/>
      <c r="AB19" s="914"/>
      <c r="AC19" s="1454"/>
      <c r="AD19" s="1587">
        <v>0</v>
      </c>
      <c r="AE19" s="3361"/>
      <c r="AF19" s="1043"/>
      <c r="AG19" s="1587">
        <v>0</v>
      </c>
      <c r="AH19" s="700"/>
      <c r="AI19" s="1997"/>
      <c r="AJ19" s="700">
        <f>ROUND(AD19-AG19,1)</f>
        <v>0</v>
      </c>
      <c r="AK19" s="1785"/>
      <c r="AL19" s="1786">
        <f>ROUND(IF(AG19=0,0,AJ19/ABS(AG19)),3)</f>
        <v>0</v>
      </c>
    </row>
    <row r="20" spans="1:38" s="1012" customFormat="1" ht="15.75">
      <c r="A20" s="1013"/>
      <c r="B20" s="911" t="s">
        <v>1156</v>
      </c>
      <c r="C20" s="1013"/>
      <c r="D20" s="1013"/>
      <c r="E20" s="1587" t="s">
        <v>15</v>
      </c>
      <c r="F20" s="914"/>
      <c r="G20" s="1587"/>
      <c r="H20" s="914"/>
      <c r="I20" s="1587"/>
      <c r="J20" s="914"/>
      <c r="K20" s="1587"/>
      <c r="L20" s="914"/>
      <c r="M20" s="1587"/>
      <c r="N20" s="914"/>
      <c r="O20" s="1587"/>
      <c r="P20" s="914"/>
      <c r="Q20" s="1587"/>
      <c r="R20" s="914"/>
      <c r="S20" s="1587"/>
      <c r="T20" s="914"/>
      <c r="U20" s="1587"/>
      <c r="V20" s="914"/>
      <c r="W20" s="1587"/>
      <c r="X20" s="914"/>
      <c r="Y20" s="1587"/>
      <c r="Z20" s="914"/>
      <c r="AA20" s="1587"/>
      <c r="AB20" s="914"/>
      <c r="AC20" s="1454"/>
      <c r="AD20" s="914"/>
      <c r="AE20" s="3361"/>
      <c r="AF20" s="1043"/>
      <c r="AG20" s="914"/>
      <c r="AH20" s="700"/>
      <c r="AI20" s="1104"/>
      <c r="AJ20" s="700" t="s">
        <v>15</v>
      </c>
      <c r="AK20" s="1785"/>
      <c r="AL20" s="1787" t="s">
        <v>15</v>
      </c>
    </row>
    <row r="21" spans="1:38" s="1012" customFormat="1" ht="15.75">
      <c r="A21" s="1013"/>
      <c r="B21" s="911" t="s">
        <v>1069</v>
      </c>
      <c r="C21" s="1013"/>
      <c r="D21" s="1013"/>
      <c r="E21" s="1587">
        <v>0</v>
      </c>
      <c r="F21" s="914"/>
      <c r="G21" s="1587">
        <v>0</v>
      </c>
      <c r="H21" s="914"/>
      <c r="I21" s="1587">
        <v>0</v>
      </c>
      <c r="J21" s="914"/>
      <c r="K21" s="1587">
        <f t="shared" ref="K21:K41" si="0">$AD21-$E21-$G21-$I21</f>
        <v>0</v>
      </c>
      <c r="L21" s="914"/>
      <c r="M21" s="1587"/>
      <c r="N21" s="914"/>
      <c r="O21" s="1587"/>
      <c r="P21" s="914"/>
      <c r="Q21" s="1587"/>
      <c r="R21" s="914"/>
      <c r="S21" s="1587"/>
      <c r="T21" s="1587"/>
      <c r="U21" s="1587"/>
      <c r="V21" s="914"/>
      <c r="W21" s="1587"/>
      <c r="X21" s="914"/>
      <c r="Y21" s="1587"/>
      <c r="Z21" s="914"/>
      <c r="AA21" s="1587"/>
      <c r="AB21" s="914"/>
      <c r="AC21" s="1454"/>
      <c r="AD21" s="1587">
        <v>0</v>
      </c>
      <c r="AE21" s="3361"/>
      <c r="AF21" s="1043"/>
      <c r="AG21" s="1587">
        <v>0</v>
      </c>
      <c r="AH21" s="700"/>
      <c r="AI21" s="1104"/>
      <c r="AJ21" s="700">
        <f t="shared" ref="AJ21:AJ41" si="1">ROUND(AD21-AG21,1)</f>
        <v>0</v>
      </c>
      <c r="AK21" s="1785"/>
      <c r="AL21" s="1787">
        <f>ROUND(IF(AG21=0,0,AJ21/ABS(AG21)),3)</f>
        <v>0</v>
      </c>
    </row>
    <row r="22" spans="1:38" s="1012" customFormat="1" ht="15.75">
      <c r="A22" s="1013"/>
      <c r="B22" s="911" t="s">
        <v>1161</v>
      </c>
      <c r="C22" s="1013"/>
      <c r="D22" s="1013"/>
      <c r="E22" s="1587" t="s">
        <v>15</v>
      </c>
      <c r="F22" s="914"/>
      <c r="G22" s="1587"/>
      <c r="H22" s="914"/>
      <c r="I22" s="1587"/>
      <c r="J22" s="914"/>
      <c r="K22" s="1587"/>
      <c r="L22" s="914"/>
      <c r="M22" s="1587"/>
      <c r="N22" s="914"/>
      <c r="O22" s="1587"/>
      <c r="P22" s="914"/>
      <c r="Q22" s="1587"/>
      <c r="R22" s="914"/>
      <c r="S22" s="1587"/>
      <c r="T22" s="914"/>
      <c r="U22" s="1587"/>
      <c r="V22" s="914"/>
      <c r="W22" s="1587"/>
      <c r="X22" s="914"/>
      <c r="Y22" s="1587"/>
      <c r="Z22" s="914"/>
      <c r="AA22" s="1587"/>
      <c r="AB22" s="914"/>
      <c r="AC22" s="1454"/>
      <c r="AD22" s="914"/>
      <c r="AE22" s="3361"/>
      <c r="AF22" s="1043"/>
      <c r="AG22" s="914"/>
      <c r="AH22" s="700"/>
      <c r="AI22" s="1104"/>
      <c r="AJ22" s="700" t="s">
        <v>15</v>
      </c>
      <c r="AK22" s="1785"/>
      <c r="AL22" s="1787" t="s">
        <v>15</v>
      </c>
    </row>
    <row r="23" spans="1:38" s="1012" customFormat="1" ht="15.75">
      <c r="A23" s="1013"/>
      <c r="B23" s="911" t="s">
        <v>1073</v>
      </c>
      <c r="C23" s="1013"/>
      <c r="D23" s="1013"/>
      <c r="E23" s="1587">
        <v>0</v>
      </c>
      <c r="F23" s="914"/>
      <c r="G23" s="1587">
        <v>0</v>
      </c>
      <c r="H23" s="914"/>
      <c r="I23" s="1587">
        <v>0</v>
      </c>
      <c r="J23" s="914"/>
      <c r="K23" s="1587">
        <f t="shared" si="0"/>
        <v>0</v>
      </c>
      <c r="L23" s="914"/>
      <c r="M23" s="1587"/>
      <c r="N23" s="914"/>
      <c r="O23" s="1587"/>
      <c r="P23" s="914"/>
      <c r="Q23" s="1587"/>
      <c r="R23" s="914"/>
      <c r="S23" s="1587"/>
      <c r="T23" s="1587"/>
      <c r="U23" s="1587"/>
      <c r="V23" s="914"/>
      <c r="W23" s="1587"/>
      <c r="X23" s="914"/>
      <c r="Y23" s="1587"/>
      <c r="Z23" s="914"/>
      <c r="AA23" s="1587"/>
      <c r="AB23" s="914"/>
      <c r="AC23" s="1454"/>
      <c r="AD23" s="1587">
        <v>0</v>
      </c>
      <c r="AE23" s="3361"/>
      <c r="AF23" s="1043"/>
      <c r="AG23" s="1587">
        <v>0</v>
      </c>
      <c r="AH23" s="700"/>
      <c r="AI23" s="1104"/>
      <c r="AJ23" s="700">
        <f t="shared" si="1"/>
        <v>0</v>
      </c>
      <c r="AK23" s="1785"/>
      <c r="AL23" s="1787">
        <f t="shared" ref="AL23:AL28" si="2">ROUND(IF(AG23=0,0,AJ23/ABS(AG23)),3)</f>
        <v>0</v>
      </c>
    </row>
    <row r="24" spans="1:38" s="1012" customFormat="1" ht="15.75">
      <c r="A24" s="1013"/>
      <c r="B24" s="911" t="s">
        <v>1223</v>
      </c>
      <c r="C24" s="1013"/>
      <c r="D24" s="1013"/>
      <c r="E24" s="1587">
        <v>0</v>
      </c>
      <c r="F24" s="914"/>
      <c r="G24" s="1587">
        <v>0</v>
      </c>
      <c r="H24" s="914"/>
      <c r="I24" s="1587">
        <v>0</v>
      </c>
      <c r="J24" s="914"/>
      <c r="K24" s="1587">
        <f t="shared" si="0"/>
        <v>0</v>
      </c>
      <c r="L24" s="914"/>
      <c r="M24" s="1587"/>
      <c r="N24" s="914"/>
      <c r="O24" s="1587"/>
      <c r="P24" s="914"/>
      <c r="Q24" s="1587"/>
      <c r="R24" s="914"/>
      <c r="S24" s="1587"/>
      <c r="T24" s="1587"/>
      <c r="U24" s="1587"/>
      <c r="V24" s="914"/>
      <c r="W24" s="1587"/>
      <c r="X24" s="914"/>
      <c r="Y24" s="1587"/>
      <c r="Z24" s="914"/>
      <c r="AA24" s="1587"/>
      <c r="AB24" s="914"/>
      <c r="AC24" s="1454"/>
      <c r="AD24" s="1587">
        <v>0</v>
      </c>
      <c r="AE24" s="3361"/>
      <c r="AF24" s="1043"/>
      <c r="AG24" s="1587">
        <v>0</v>
      </c>
      <c r="AH24" s="700"/>
      <c r="AI24" s="1104"/>
      <c r="AJ24" s="700">
        <f>ROUND(AD24-AG24,1)</f>
        <v>0</v>
      </c>
      <c r="AK24" s="1785"/>
      <c r="AL24" s="1787">
        <f t="shared" si="2"/>
        <v>0</v>
      </c>
    </row>
    <row r="25" spans="1:38" s="1012" customFormat="1" ht="15.75">
      <c r="A25" s="1013"/>
      <c r="B25" s="911" t="s">
        <v>1076</v>
      </c>
      <c r="C25" s="1013"/>
      <c r="D25" s="1013"/>
      <c r="E25" s="1587">
        <v>0</v>
      </c>
      <c r="F25" s="914"/>
      <c r="G25" s="1587">
        <v>0</v>
      </c>
      <c r="H25" s="914"/>
      <c r="I25" s="1587">
        <v>0</v>
      </c>
      <c r="J25" s="914"/>
      <c r="K25" s="1587">
        <f t="shared" si="0"/>
        <v>0</v>
      </c>
      <c r="L25" s="914"/>
      <c r="M25" s="1587"/>
      <c r="N25" s="914"/>
      <c r="O25" s="1587"/>
      <c r="P25" s="914"/>
      <c r="Q25" s="1587"/>
      <c r="R25" s="914"/>
      <c r="S25" s="1587"/>
      <c r="T25" s="1587"/>
      <c r="U25" s="1587"/>
      <c r="V25" s="914"/>
      <c r="W25" s="1587"/>
      <c r="X25" s="914"/>
      <c r="Y25" s="1587"/>
      <c r="Z25" s="914"/>
      <c r="AA25" s="1587"/>
      <c r="AB25" s="914"/>
      <c r="AC25" s="1454"/>
      <c r="AD25" s="1587">
        <v>0</v>
      </c>
      <c r="AE25" s="3361"/>
      <c r="AF25" s="1043"/>
      <c r="AG25" s="1587">
        <v>0</v>
      </c>
      <c r="AH25" s="700"/>
      <c r="AI25" s="1104"/>
      <c r="AJ25" s="700">
        <f t="shared" si="1"/>
        <v>0</v>
      </c>
      <c r="AK25" s="1785"/>
      <c r="AL25" s="1787">
        <f t="shared" si="2"/>
        <v>0</v>
      </c>
    </row>
    <row r="26" spans="1:38" s="1012" customFormat="1" ht="15.75">
      <c r="A26" s="1013"/>
      <c r="B26" s="911" t="s">
        <v>1077</v>
      </c>
      <c r="C26" s="1013"/>
      <c r="D26" s="1013"/>
      <c r="E26" s="1587">
        <v>0</v>
      </c>
      <c r="F26" s="914"/>
      <c r="G26" s="1587">
        <v>0</v>
      </c>
      <c r="H26" s="914"/>
      <c r="I26" s="1587">
        <v>0</v>
      </c>
      <c r="J26" s="914"/>
      <c r="K26" s="1587">
        <f t="shared" si="0"/>
        <v>0</v>
      </c>
      <c r="L26" s="914"/>
      <c r="M26" s="1587"/>
      <c r="N26" s="914"/>
      <c r="O26" s="1587"/>
      <c r="P26" s="914"/>
      <c r="Q26" s="1587"/>
      <c r="R26" s="914"/>
      <c r="S26" s="1587"/>
      <c r="T26" s="1587"/>
      <c r="U26" s="1587"/>
      <c r="V26" s="914"/>
      <c r="W26" s="1587"/>
      <c r="X26" s="914"/>
      <c r="Y26" s="1587"/>
      <c r="Z26" s="914"/>
      <c r="AA26" s="1587"/>
      <c r="AB26" s="914"/>
      <c r="AC26" s="1454"/>
      <c r="AD26" s="1587">
        <v>0</v>
      </c>
      <c r="AE26" s="3361"/>
      <c r="AF26" s="1043"/>
      <c r="AG26" s="1587">
        <v>0</v>
      </c>
      <c r="AH26" s="700"/>
      <c r="AI26" s="1104"/>
      <c r="AJ26" s="700">
        <f t="shared" si="1"/>
        <v>0</v>
      </c>
      <c r="AK26" s="1785"/>
      <c r="AL26" s="1787">
        <f t="shared" si="2"/>
        <v>0</v>
      </c>
    </row>
    <row r="27" spans="1:38" s="1012" customFormat="1" ht="15.75">
      <c r="A27" s="1013"/>
      <c r="B27" s="911" t="s">
        <v>1035</v>
      </c>
      <c r="C27" s="1013"/>
      <c r="D27" s="1013"/>
      <c r="E27" s="1587">
        <v>0</v>
      </c>
      <c r="F27" s="914"/>
      <c r="G27" s="1587">
        <v>0</v>
      </c>
      <c r="H27" s="914"/>
      <c r="I27" s="1587">
        <v>0</v>
      </c>
      <c r="J27" s="914"/>
      <c r="K27" s="1587">
        <f t="shared" si="0"/>
        <v>0</v>
      </c>
      <c r="L27" s="914"/>
      <c r="M27" s="1587"/>
      <c r="N27" s="914"/>
      <c r="O27" s="1587"/>
      <c r="P27" s="914"/>
      <c r="Q27" s="1587"/>
      <c r="R27" s="914"/>
      <c r="S27" s="1587"/>
      <c r="T27" s="1587"/>
      <c r="U27" s="1587"/>
      <c r="V27" s="914"/>
      <c r="W27" s="1587"/>
      <c r="X27" s="914"/>
      <c r="Y27" s="1587"/>
      <c r="Z27" s="914"/>
      <c r="AA27" s="1587"/>
      <c r="AB27" s="914"/>
      <c r="AC27" s="1454"/>
      <c r="AD27" s="1587">
        <v>0</v>
      </c>
      <c r="AE27" s="3361"/>
      <c r="AF27" s="1043"/>
      <c r="AG27" s="1587">
        <v>0</v>
      </c>
      <c r="AH27" s="700"/>
      <c r="AI27" s="1104"/>
      <c r="AJ27" s="700">
        <f t="shared" si="1"/>
        <v>0</v>
      </c>
      <c r="AK27" s="1785"/>
      <c r="AL27" s="1787">
        <f t="shared" si="2"/>
        <v>0</v>
      </c>
    </row>
    <row r="28" spans="1:38" s="1012" customFormat="1" ht="15.75">
      <c r="A28" s="1013"/>
      <c r="B28" s="911" t="s">
        <v>1036</v>
      </c>
      <c r="C28" s="1013"/>
      <c r="D28" s="1013"/>
      <c r="E28" s="1587">
        <v>0</v>
      </c>
      <c r="F28" s="914"/>
      <c r="G28" s="1587">
        <v>0</v>
      </c>
      <c r="H28" s="914"/>
      <c r="I28" s="1587">
        <v>0</v>
      </c>
      <c r="J28" s="914"/>
      <c r="K28" s="1587">
        <f t="shared" si="0"/>
        <v>0</v>
      </c>
      <c r="L28" s="914"/>
      <c r="M28" s="1587"/>
      <c r="N28" s="914"/>
      <c r="O28" s="1587"/>
      <c r="P28" s="914"/>
      <c r="Q28" s="1587"/>
      <c r="R28" s="914"/>
      <c r="S28" s="1587"/>
      <c r="T28" s="1587"/>
      <c r="U28" s="1587"/>
      <c r="V28" s="914"/>
      <c r="W28" s="1587"/>
      <c r="X28" s="914"/>
      <c r="Y28" s="1587"/>
      <c r="Z28" s="914"/>
      <c r="AA28" s="1587"/>
      <c r="AB28" s="914"/>
      <c r="AC28" s="1454"/>
      <c r="AD28" s="1587">
        <v>0</v>
      </c>
      <c r="AE28" s="3361"/>
      <c r="AF28" s="1043"/>
      <c r="AG28" s="1587">
        <v>0</v>
      </c>
      <c r="AH28" s="700"/>
      <c r="AI28" s="1104"/>
      <c r="AJ28" s="700">
        <f t="shared" si="1"/>
        <v>0</v>
      </c>
      <c r="AK28" s="1785"/>
      <c r="AL28" s="1787">
        <f t="shared" si="2"/>
        <v>0</v>
      </c>
    </row>
    <row r="29" spans="1:38" s="1012" customFormat="1" ht="15.75">
      <c r="A29" s="1013"/>
      <c r="B29" s="911" t="s">
        <v>1159</v>
      </c>
      <c r="C29" s="1013"/>
      <c r="D29" s="1013"/>
      <c r="E29" s="1587" t="s">
        <v>15</v>
      </c>
      <c r="F29" s="914"/>
      <c r="G29" s="1587"/>
      <c r="H29" s="914"/>
      <c r="I29" s="1587"/>
      <c r="J29" s="914"/>
      <c r="K29" s="1587"/>
      <c r="L29" s="914"/>
      <c r="M29" s="1587"/>
      <c r="N29" s="914"/>
      <c r="O29" s="1587"/>
      <c r="P29" s="914"/>
      <c r="Q29" s="1587"/>
      <c r="R29" s="914"/>
      <c r="S29" s="1587"/>
      <c r="T29" s="914"/>
      <c r="U29" s="1587"/>
      <c r="V29" s="914"/>
      <c r="W29" s="1587"/>
      <c r="X29" s="914"/>
      <c r="Y29" s="1587"/>
      <c r="Z29" s="914"/>
      <c r="AA29" s="1587"/>
      <c r="AB29" s="914"/>
      <c r="AC29" s="1454"/>
      <c r="AD29" s="914"/>
      <c r="AE29" s="3361"/>
      <c r="AF29" s="1043"/>
      <c r="AG29" s="914"/>
      <c r="AH29" s="700"/>
      <c r="AI29" s="1104"/>
      <c r="AJ29" s="700" t="s">
        <v>15</v>
      </c>
      <c r="AK29" s="1785"/>
      <c r="AL29" s="1787" t="s">
        <v>15</v>
      </c>
    </row>
    <row r="30" spans="1:38" s="1012" customFormat="1" ht="15.75">
      <c r="A30" s="1013"/>
      <c r="B30" s="911" t="s">
        <v>1081</v>
      </c>
      <c r="C30" s="1013"/>
      <c r="D30" s="1013"/>
      <c r="E30" s="1587">
        <v>0</v>
      </c>
      <c r="F30" s="914"/>
      <c r="G30" s="1587">
        <v>0</v>
      </c>
      <c r="H30" s="914"/>
      <c r="I30" s="1587">
        <v>0</v>
      </c>
      <c r="J30" s="914"/>
      <c r="K30" s="1587">
        <f t="shared" si="0"/>
        <v>0</v>
      </c>
      <c r="L30" s="914"/>
      <c r="M30" s="1587"/>
      <c r="N30" s="914"/>
      <c r="O30" s="1587"/>
      <c r="P30" s="914"/>
      <c r="Q30" s="1587"/>
      <c r="R30" s="914"/>
      <c r="S30" s="1587"/>
      <c r="T30" s="1587"/>
      <c r="U30" s="1587"/>
      <c r="V30" s="914"/>
      <c r="W30" s="1587"/>
      <c r="X30" s="914"/>
      <c r="Y30" s="1587"/>
      <c r="Z30" s="914"/>
      <c r="AA30" s="1587"/>
      <c r="AB30" s="914"/>
      <c r="AC30" s="1454"/>
      <c r="AD30" s="1587">
        <v>0</v>
      </c>
      <c r="AE30" s="3361"/>
      <c r="AF30" s="1043"/>
      <c r="AG30" s="1587">
        <v>0</v>
      </c>
      <c r="AH30" s="700"/>
      <c r="AI30" s="1104"/>
      <c r="AJ30" s="700">
        <f t="shared" si="1"/>
        <v>0</v>
      </c>
      <c r="AK30" s="1785"/>
      <c r="AL30" s="1787">
        <f>ROUND(IF(AG30=0,0,AJ30/ABS(AG30)),3)</f>
        <v>0</v>
      </c>
    </row>
    <row r="31" spans="1:38" s="1012" customFormat="1" ht="15.75">
      <c r="A31" s="1013"/>
      <c r="B31" s="911" t="s">
        <v>1083</v>
      </c>
      <c r="C31" s="1013"/>
      <c r="D31" s="1013"/>
      <c r="E31" s="1587">
        <v>0</v>
      </c>
      <c r="F31" s="1587"/>
      <c r="G31" s="1587">
        <v>0</v>
      </c>
      <c r="H31" s="1587"/>
      <c r="I31" s="1587">
        <v>0</v>
      </c>
      <c r="J31" s="1587"/>
      <c r="K31" s="1587">
        <f t="shared" si="0"/>
        <v>0</v>
      </c>
      <c r="L31" s="914"/>
      <c r="M31" s="1587"/>
      <c r="N31" s="914"/>
      <c r="O31" s="1587"/>
      <c r="P31" s="914"/>
      <c r="Q31" s="1587"/>
      <c r="R31" s="914"/>
      <c r="S31" s="1587"/>
      <c r="T31" s="1587"/>
      <c r="U31" s="1587"/>
      <c r="V31" s="914"/>
      <c r="W31" s="1587"/>
      <c r="X31" s="914"/>
      <c r="Y31" s="1587"/>
      <c r="Z31" s="914"/>
      <c r="AA31" s="1587"/>
      <c r="AB31" s="914"/>
      <c r="AC31" s="1454"/>
      <c r="AD31" s="1587">
        <v>0</v>
      </c>
      <c r="AE31" s="3361"/>
      <c r="AF31" s="1043"/>
      <c r="AG31" s="1587">
        <v>0</v>
      </c>
      <c r="AH31" s="700"/>
      <c r="AI31" s="1104"/>
      <c r="AJ31" s="700">
        <f t="shared" si="1"/>
        <v>0</v>
      </c>
      <c r="AK31" s="1785"/>
      <c r="AL31" s="1787">
        <f>ROUND(IF(AG31=0,0,AJ31/ABS(AG31)),3)</f>
        <v>0</v>
      </c>
    </row>
    <row r="32" spans="1:38" s="1012" customFormat="1" ht="15.75">
      <c r="A32" s="1013"/>
      <c r="B32" s="911" t="s">
        <v>1084</v>
      </c>
      <c r="C32" s="1013"/>
      <c r="D32" s="1013"/>
      <c r="E32" s="1587">
        <v>0</v>
      </c>
      <c r="F32" s="914"/>
      <c r="G32" s="1587">
        <v>0</v>
      </c>
      <c r="H32" s="914"/>
      <c r="I32" s="1587">
        <v>0</v>
      </c>
      <c r="J32" s="914"/>
      <c r="K32" s="1587">
        <f t="shared" si="0"/>
        <v>0</v>
      </c>
      <c r="L32" s="914"/>
      <c r="M32" s="1587"/>
      <c r="N32" s="914"/>
      <c r="O32" s="1587"/>
      <c r="P32" s="914"/>
      <c r="Q32" s="1587"/>
      <c r="R32" s="914"/>
      <c r="S32" s="1587"/>
      <c r="T32" s="1587"/>
      <c r="U32" s="1587"/>
      <c r="V32" s="914"/>
      <c r="W32" s="1587"/>
      <c r="X32" s="914"/>
      <c r="Y32" s="1587"/>
      <c r="Z32" s="914"/>
      <c r="AA32" s="1587"/>
      <c r="AB32" s="914"/>
      <c r="AC32" s="1454"/>
      <c r="AD32" s="1587">
        <v>0</v>
      </c>
      <c r="AE32" s="3361"/>
      <c r="AF32" s="1043"/>
      <c r="AG32" s="1587">
        <v>0</v>
      </c>
      <c r="AH32" s="700"/>
      <c r="AI32" s="1104"/>
      <c r="AJ32" s="700">
        <f>ROUND(AD32-AG32,1)</f>
        <v>0</v>
      </c>
      <c r="AK32" s="1785"/>
      <c r="AL32" s="1787">
        <f>ROUND(IF(AG32=0,0,AJ32/ABS(AG32)),3)</f>
        <v>0</v>
      </c>
    </row>
    <row r="33" spans="1:39" s="1112" customFormat="1" ht="15.75">
      <c r="A33" s="107"/>
      <c r="B33" s="911" t="s">
        <v>1054</v>
      </c>
      <c r="C33" s="107"/>
      <c r="D33" s="107"/>
      <c r="E33" s="1587">
        <v>0</v>
      </c>
      <c r="F33" s="914"/>
      <c r="G33" s="1587">
        <v>0</v>
      </c>
      <c r="H33" s="914"/>
      <c r="I33" s="1587">
        <v>0</v>
      </c>
      <c r="J33" s="914"/>
      <c r="K33" s="1587">
        <f t="shared" si="0"/>
        <v>0</v>
      </c>
      <c r="L33" s="914"/>
      <c r="M33" s="1587"/>
      <c r="N33" s="914"/>
      <c r="O33" s="1587"/>
      <c r="P33" s="914"/>
      <c r="Q33" s="1587"/>
      <c r="R33" s="914"/>
      <c r="S33" s="1587"/>
      <c r="T33" s="1587"/>
      <c r="U33" s="1587"/>
      <c r="V33" s="914"/>
      <c r="W33" s="1587"/>
      <c r="X33" s="914"/>
      <c r="Y33" s="1587"/>
      <c r="Z33" s="914"/>
      <c r="AA33" s="1587"/>
      <c r="AB33" s="914"/>
      <c r="AC33" s="1454"/>
      <c r="AD33" s="1587">
        <v>0</v>
      </c>
      <c r="AE33" s="3361"/>
      <c r="AF33" s="1043"/>
      <c r="AG33" s="1587">
        <v>0</v>
      </c>
      <c r="AH33" s="119"/>
      <c r="AI33" s="1104"/>
      <c r="AJ33" s="119">
        <f t="shared" si="1"/>
        <v>0</v>
      </c>
      <c r="AK33" s="1105"/>
      <c r="AL33" s="1789">
        <f>ROUND(IF(AG33=0,0,AJ33/ABS(AG33)),3)</f>
        <v>0</v>
      </c>
    </row>
    <row r="34" spans="1:39" s="1112" customFormat="1" ht="15.75">
      <c r="A34" s="107"/>
      <c r="B34" s="911" t="s">
        <v>1055</v>
      </c>
      <c r="C34" s="107"/>
      <c r="D34" s="107"/>
      <c r="E34" s="1587">
        <v>0.1</v>
      </c>
      <c r="F34" s="914"/>
      <c r="G34" s="1587">
        <v>0</v>
      </c>
      <c r="H34" s="914"/>
      <c r="I34" s="1587">
        <v>0.1</v>
      </c>
      <c r="J34" s="914"/>
      <c r="K34" s="1587">
        <f t="shared" si="0"/>
        <v>9.9999999999999978E-2</v>
      </c>
      <c r="L34" s="914"/>
      <c r="M34" s="1587"/>
      <c r="N34" s="914"/>
      <c r="O34" s="1587"/>
      <c r="P34" s="914"/>
      <c r="Q34" s="1587"/>
      <c r="R34" s="914"/>
      <c r="S34" s="1587"/>
      <c r="T34" s="1587"/>
      <c r="U34" s="1587"/>
      <c r="V34" s="914"/>
      <c r="W34" s="1587"/>
      <c r="X34" s="914"/>
      <c r="Y34" s="1587"/>
      <c r="Z34" s="914"/>
      <c r="AA34" s="1587"/>
      <c r="AB34" s="914"/>
      <c r="AC34" s="1454"/>
      <c r="AD34" s="1587">
        <v>0.3</v>
      </c>
      <c r="AE34" s="3361"/>
      <c r="AF34" s="1043"/>
      <c r="AG34" s="1587">
        <v>0.2</v>
      </c>
      <c r="AH34" s="119"/>
      <c r="AI34" s="1104"/>
      <c r="AJ34" s="119">
        <f t="shared" si="1"/>
        <v>0.1</v>
      </c>
      <c r="AK34" s="1105"/>
      <c r="AL34" s="1711">
        <f>ROUND(IF(AG34=0,1,AJ34/ABS(AG34)),3)</f>
        <v>0.5</v>
      </c>
    </row>
    <row r="35" spans="1:39" s="1112" customFormat="1" ht="15.75">
      <c r="A35" s="107"/>
      <c r="B35" s="911" t="s">
        <v>1160</v>
      </c>
      <c r="C35" s="107"/>
      <c r="D35" s="107"/>
      <c r="E35" s="1587" t="s">
        <v>15</v>
      </c>
      <c r="F35" s="914"/>
      <c r="G35" s="1587"/>
      <c r="H35" s="914"/>
      <c r="I35" s="1587"/>
      <c r="J35" s="914"/>
      <c r="K35" s="1587"/>
      <c r="L35" s="118"/>
      <c r="M35" s="1587"/>
      <c r="N35" s="118"/>
      <c r="O35" s="1587"/>
      <c r="P35" s="118"/>
      <c r="Q35" s="1587"/>
      <c r="R35" s="118"/>
      <c r="S35" s="1587"/>
      <c r="T35" s="118"/>
      <c r="U35" s="1587"/>
      <c r="V35" s="118"/>
      <c r="W35" s="1587"/>
      <c r="X35" s="118"/>
      <c r="Y35" s="1587"/>
      <c r="Z35" s="118"/>
      <c r="AA35" s="1587"/>
      <c r="AB35" s="118"/>
      <c r="AC35" s="692"/>
      <c r="AD35" s="118"/>
      <c r="AE35" s="1107"/>
      <c r="AF35" s="67"/>
      <c r="AG35" s="118"/>
      <c r="AH35" s="119"/>
      <c r="AI35" s="1104"/>
      <c r="AJ35" s="700" t="s">
        <v>15</v>
      </c>
      <c r="AK35" s="1105"/>
      <c r="AL35" s="1787" t="s">
        <v>15</v>
      </c>
    </row>
    <row r="36" spans="1:39" s="1112" customFormat="1" ht="15.75">
      <c r="A36" s="107"/>
      <c r="B36" s="911" t="s">
        <v>1085</v>
      </c>
      <c r="C36" s="107"/>
      <c r="D36" s="107"/>
      <c r="E36" s="1587">
        <v>0</v>
      </c>
      <c r="F36" s="914"/>
      <c r="G36" s="1587">
        <v>0</v>
      </c>
      <c r="H36" s="914"/>
      <c r="I36" s="1587">
        <v>0</v>
      </c>
      <c r="J36" s="914"/>
      <c r="K36" s="1587">
        <f t="shared" si="0"/>
        <v>0</v>
      </c>
      <c r="L36" s="914"/>
      <c r="M36" s="1587"/>
      <c r="N36" s="914"/>
      <c r="O36" s="1587"/>
      <c r="P36" s="914"/>
      <c r="Q36" s="1587"/>
      <c r="R36" s="914"/>
      <c r="S36" s="1587"/>
      <c r="T36" s="1587"/>
      <c r="U36" s="1587"/>
      <c r="V36" s="914"/>
      <c r="W36" s="1587"/>
      <c r="X36" s="914"/>
      <c r="Y36" s="1587"/>
      <c r="Z36" s="914"/>
      <c r="AA36" s="1587"/>
      <c r="AB36" s="914"/>
      <c r="AC36" s="1454"/>
      <c r="AD36" s="1587">
        <v>0</v>
      </c>
      <c r="AE36" s="3361"/>
      <c r="AF36" s="1043"/>
      <c r="AG36" s="1587">
        <v>0</v>
      </c>
      <c r="AH36" s="119"/>
      <c r="AI36" s="1104"/>
      <c r="AJ36" s="119">
        <f t="shared" si="1"/>
        <v>0</v>
      </c>
      <c r="AK36" s="1105"/>
      <c r="AL36" s="1789">
        <f t="shared" ref="AL36:AL42" si="3">ROUND(IF(AG36=0,0,AJ36/ABS(AG36)),3)</f>
        <v>0</v>
      </c>
    </row>
    <row r="37" spans="1:39" s="1112" customFormat="1" ht="15.75">
      <c r="A37" s="107"/>
      <c r="B37" s="911" t="s">
        <v>1087</v>
      </c>
      <c r="C37" s="107"/>
      <c r="D37" s="107"/>
      <c r="E37" s="1587">
        <v>0</v>
      </c>
      <c r="F37" s="914"/>
      <c r="G37" s="1587">
        <v>0</v>
      </c>
      <c r="H37" s="914"/>
      <c r="I37" s="1587">
        <v>0</v>
      </c>
      <c r="J37" s="914"/>
      <c r="K37" s="1587">
        <f t="shared" si="0"/>
        <v>0</v>
      </c>
      <c r="L37" s="914"/>
      <c r="M37" s="1587"/>
      <c r="N37" s="914"/>
      <c r="O37" s="1587"/>
      <c r="P37" s="914"/>
      <c r="Q37" s="1587"/>
      <c r="R37" s="914"/>
      <c r="S37" s="1587"/>
      <c r="T37" s="1587"/>
      <c r="U37" s="1587"/>
      <c r="V37" s="914"/>
      <c r="W37" s="1587"/>
      <c r="X37" s="914"/>
      <c r="Y37" s="1587"/>
      <c r="Z37" s="914"/>
      <c r="AA37" s="1587"/>
      <c r="AB37" s="914"/>
      <c r="AC37" s="1454"/>
      <c r="AD37" s="1587">
        <v>0</v>
      </c>
      <c r="AE37" s="3361"/>
      <c r="AF37" s="1043"/>
      <c r="AG37" s="1587">
        <v>0</v>
      </c>
      <c r="AH37" s="119"/>
      <c r="AI37" s="1104"/>
      <c r="AJ37" s="119">
        <f t="shared" si="1"/>
        <v>0</v>
      </c>
      <c r="AK37" s="1105"/>
      <c r="AL37" s="1789">
        <f t="shared" si="3"/>
        <v>0</v>
      </c>
    </row>
    <row r="38" spans="1:39" s="1112" customFormat="1" ht="15.75">
      <c r="A38" s="107"/>
      <c r="B38" s="911" t="s">
        <v>1088</v>
      </c>
      <c r="C38" s="107"/>
      <c r="D38" s="107"/>
      <c r="E38" s="1587">
        <v>0</v>
      </c>
      <c r="F38" s="914"/>
      <c r="G38" s="1587">
        <v>0</v>
      </c>
      <c r="H38" s="914"/>
      <c r="I38" s="1587">
        <v>0</v>
      </c>
      <c r="J38" s="914"/>
      <c r="K38" s="1587">
        <f t="shared" si="0"/>
        <v>0</v>
      </c>
      <c r="L38" s="914"/>
      <c r="M38" s="1587"/>
      <c r="N38" s="914"/>
      <c r="O38" s="1587"/>
      <c r="P38" s="914"/>
      <c r="Q38" s="1587"/>
      <c r="R38" s="914"/>
      <c r="S38" s="1587"/>
      <c r="T38" s="1587"/>
      <c r="U38" s="1587"/>
      <c r="V38" s="914"/>
      <c r="W38" s="1587"/>
      <c r="X38" s="914"/>
      <c r="Y38" s="1587"/>
      <c r="Z38" s="914"/>
      <c r="AA38" s="1587"/>
      <c r="AB38" s="914"/>
      <c r="AC38" s="1454"/>
      <c r="AD38" s="1587">
        <v>0</v>
      </c>
      <c r="AE38" s="3361"/>
      <c r="AF38" s="1043"/>
      <c r="AG38" s="1587">
        <v>0</v>
      </c>
      <c r="AH38" s="119"/>
      <c r="AI38" s="1104"/>
      <c r="AJ38" s="119">
        <f t="shared" si="1"/>
        <v>0</v>
      </c>
      <c r="AK38" s="1105"/>
      <c r="AL38" s="1789">
        <f t="shared" si="3"/>
        <v>0</v>
      </c>
    </row>
    <row r="39" spans="1:39" s="1112" customFormat="1" ht="15.75">
      <c r="A39" s="107"/>
      <c r="B39" s="911" t="s">
        <v>1091</v>
      </c>
      <c r="C39" s="107"/>
      <c r="D39" s="107"/>
      <c r="E39" s="1587">
        <v>0</v>
      </c>
      <c r="F39" s="914"/>
      <c r="G39" s="1587">
        <v>0</v>
      </c>
      <c r="H39" s="914"/>
      <c r="I39" s="1587">
        <v>0</v>
      </c>
      <c r="J39" s="914"/>
      <c r="K39" s="1587">
        <f t="shared" si="0"/>
        <v>0</v>
      </c>
      <c r="L39" s="914"/>
      <c r="M39" s="1587"/>
      <c r="N39" s="914"/>
      <c r="O39" s="1587"/>
      <c r="P39" s="914"/>
      <c r="Q39" s="1587"/>
      <c r="R39" s="914"/>
      <c r="S39" s="1587"/>
      <c r="T39" s="1587"/>
      <c r="U39" s="1587"/>
      <c r="V39" s="914"/>
      <c r="W39" s="1587"/>
      <c r="X39" s="914"/>
      <c r="Y39" s="1587"/>
      <c r="Z39" s="914"/>
      <c r="AA39" s="1587"/>
      <c r="AB39" s="914"/>
      <c r="AC39" s="1454"/>
      <c r="AD39" s="1587">
        <v>0</v>
      </c>
      <c r="AE39" s="3361"/>
      <c r="AF39" s="1043"/>
      <c r="AG39" s="1587">
        <v>0</v>
      </c>
      <c r="AH39" s="119"/>
      <c r="AI39" s="1104"/>
      <c r="AJ39" s="119">
        <f t="shared" si="1"/>
        <v>0</v>
      </c>
      <c r="AK39" s="1105"/>
      <c r="AL39" s="1789">
        <f t="shared" si="3"/>
        <v>0</v>
      </c>
    </row>
    <row r="40" spans="1:39" s="1112" customFormat="1" ht="15.75">
      <c r="A40" s="107"/>
      <c r="B40" s="911" t="s">
        <v>1093</v>
      </c>
      <c r="C40" s="107"/>
      <c r="D40" s="107"/>
      <c r="E40" s="1587">
        <v>0</v>
      </c>
      <c r="F40" s="914"/>
      <c r="G40" s="1587">
        <v>0</v>
      </c>
      <c r="H40" s="914"/>
      <c r="I40" s="1587">
        <v>0</v>
      </c>
      <c r="J40" s="914"/>
      <c r="K40" s="1587">
        <f t="shared" si="0"/>
        <v>0</v>
      </c>
      <c r="L40" s="914"/>
      <c r="M40" s="1587"/>
      <c r="N40" s="914"/>
      <c r="O40" s="1587"/>
      <c r="P40" s="914"/>
      <c r="Q40" s="1587"/>
      <c r="R40" s="914"/>
      <c r="S40" s="1587"/>
      <c r="T40" s="1587"/>
      <c r="U40" s="1587"/>
      <c r="V40" s="914"/>
      <c r="W40" s="1587"/>
      <c r="X40" s="914"/>
      <c r="Y40" s="1587"/>
      <c r="Z40" s="914"/>
      <c r="AA40" s="1587"/>
      <c r="AB40" s="914"/>
      <c r="AC40" s="1454"/>
      <c r="AD40" s="1587">
        <v>0</v>
      </c>
      <c r="AE40" s="3361"/>
      <c r="AF40" s="1043"/>
      <c r="AG40" s="1587">
        <v>0</v>
      </c>
      <c r="AH40" s="119"/>
      <c r="AI40" s="1104"/>
      <c r="AJ40" s="119">
        <f t="shared" si="1"/>
        <v>0</v>
      </c>
      <c r="AK40" s="1105"/>
      <c r="AL40" s="1789">
        <f t="shared" si="3"/>
        <v>0</v>
      </c>
    </row>
    <row r="41" spans="1:39" s="1112" customFormat="1" ht="15.75">
      <c r="A41" s="107"/>
      <c r="B41" s="911" t="s">
        <v>1065</v>
      </c>
      <c r="C41" s="107"/>
      <c r="D41" s="107"/>
      <c r="E41" s="1587">
        <v>0</v>
      </c>
      <c r="F41" s="914"/>
      <c r="G41" s="1587">
        <v>0</v>
      </c>
      <c r="H41" s="914"/>
      <c r="I41" s="1587">
        <v>0</v>
      </c>
      <c r="J41" s="914"/>
      <c r="K41" s="1587">
        <f t="shared" si="0"/>
        <v>0</v>
      </c>
      <c r="L41" s="1583"/>
      <c r="M41" s="1587"/>
      <c r="N41" s="1583"/>
      <c r="O41" s="1587"/>
      <c r="P41" s="1583"/>
      <c r="Q41" s="1587"/>
      <c r="R41" s="1583"/>
      <c r="S41" s="1587"/>
      <c r="T41" s="1583"/>
      <c r="U41" s="1587"/>
      <c r="V41" s="1583"/>
      <c r="W41" s="1587"/>
      <c r="X41" s="1583"/>
      <c r="Y41" s="1587"/>
      <c r="Z41" s="1583"/>
      <c r="AA41" s="1587"/>
      <c r="AB41" s="118"/>
      <c r="AC41" s="692"/>
      <c r="AD41" s="1851">
        <v>0</v>
      </c>
      <c r="AE41" s="3346"/>
      <c r="AF41" s="2043"/>
      <c r="AG41" s="1868">
        <v>0</v>
      </c>
      <c r="AH41" s="119"/>
      <c r="AI41" s="1104"/>
      <c r="AJ41" s="119">
        <f t="shared" si="1"/>
        <v>0</v>
      </c>
      <c r="AK41" s="1105"/>
      <c r="AL41" s="1786">
        <f t="shared" si="3"/>
        <v>0</v>
      </c>
    </row>
    <row r="42" spans="1:39" s="332" customFormat="1" ht="15.75" collapsed="1">
      <c r="A42" s="29"/>
      <c r="B42" s="312" t="s">
        <v>1100</v>
      </c>
      <c r="C42" s="29"/>
      <c r="D42" s="105"/>
      <c r="E42" s="1586">
        <f>ROUND(SUM(E19:E41),1)</f>
        <v>0.1</v>
      </c>
      <c r="F42" s="112"/>
      <c r="G42" s="1586">
        <f>ROUND(SUM(G19:G41),1)</f>
        <v>0</v>
      </c>
      <c r="H42" s="1117"/>
      <c r="I42" s="1586">
        <f>ROUND(SUM(I19:I41),1)</f>
        <v>0.1</v>
      </c>
      <c r="J42" s="112"/>
      <c r="K42" s="1586">
        <f>ROUND(SUM(K19:K41),1)</f>
        <v>0.1</v>
      </c>
      <c r="L42" s="941"/>
      <c r="M42" s="691">
        <f>ROUND(SUM(M19:M41),1)</f>
        <v>0</v>
      </c>
      <c r="N42" s="941"/>
      <c r="O42" s="691">
        <f>ROUND(SUM(O19:O41),1)</f>
        <v>0</v>
      </c>
      <c r="P42" s="941"/>
      <c r="Q42" s="691">
        <f>ROUND(SUM(Q19:Q41),1)</f>
        <v>0</v>
      </c>
      <c r="R42" s="941"/>
      <c r="S42" s="691">
        <f>ROUND(SUM(S19:S41),1)</f>
        <v>0</v>
      </c>
      <c r="T42" s="941"/>
      <c r="U42" s="1586">
        <f>ROUND(SUM(U19:U41),1)</f>
        <v>0</v>
      </c>
      <c r="V42" s="941"/>
      <c r="W42" s="691">
        <f>ROUND(SUM(W19:W41),1)</f>
        <v>0</v>
      </c>
      <c r="X42" s="941"/>
      <c r="Y42" s="691">
        <f>ROUND(SUM(Y19:Y41),1)</f>
        <v>0</v>
      </c>
      <c r="Z42" s="941"/>
      <c r="AA42" s="1586">
        <f>ROUND(SUM(AA19:AA41),1)</f>
        <v>0</v>
      </c>
      <c r="AB42" s="112"/>
      <c r="AC42" s="693"/>
      <c r="AD42" s="1586">
        <f>ROUND(SUM(AD19:AD41),1)</f>
        <v>0.3</v>
      </c>
      <c r="AE42" s="1108"/>
      <c r="AF42" s="115"/>
      <c r="AG42" s="1586">
        <f>ROUND(SUM(AG19:AG41),1)</f>
        <v>0.2</v>
      </c>
      <c r="AH42" s="1127"/>
      <c r="AI42" s="1104"/>
      <c r="AJ42" s="691">
        <f>ROUND(SUM(AJ19:AJ41),1)</f>
        <v>0.1</v>
      </c>
      <c r="AK42" s="1086"/>
      <c r="AL42" s="13">
        <f t="shared" si="3"/>
        <v>0.5</v>
      </c>
    </row>
    <row r="43" spans="1:39" s="359" customFormat="1" ht="15.75">
      <c r="A43" s="66"/>
      <c r="B43" s="1071"/>
      <c r="C43" s="66"/>
      <c r="D43" s="118"/>
      <c r="E43" s="1587"/>
      <c r="F43" s="914"/>
      <c r="G43" s="1144"/>
      <c r="H43" s="914"/>
      <c r="I43" s="1587"/>
      <c r="J43" s="914"/>
      <c r="K43" s="1144"/>
      <c r="L43" s="66"/>
      <c r="M43" s="278"/>
      <c r="N43" s="66"/>
      <c r="O43" s="277"/>
      <c r="P43" s="66"/>
      <c r="Q43" s="278"/>
      <c r="R43" s="66"/>
      <c r="S43" s="277"/>
      <c r="T43" s="66"/>
      <c r="U43" s="277"/>
      <c r="V43" s="66"/>
      <c r="W43" s="278"/>
      <c r="X43" s="66"/>
      <c r="Y43" s="278"/>
      <c r="Z43" s="66"/>
      <c r="AA43" s="1102"/>
      <c r="AB43" s="118"/>
      <c r="AC43" s="692"/>
      <c r="AD43" s="1102"/>
      <c r="AE43" s="1103"/>
      <c r="AF43" s="692"/>
      <c r="AG43" s="1102"/>
      <c r="AH43" s="119"/>
      <c r="AI43" s="1104"/>
      <c r="AJ43" s="363"/>
      <c r="AK43" s="58"/>
      <c r="AL43" s="334"/>
      <c r="AM43" s="58"/>
    </row>
    <row r="44" spans="1:39" ht="15.75">
      <c r="A44" s="31"/>
      <c r="B44" s="31" t="s">
        <v>150</v>
      </c>
      <c r="C44" s="31"/>
      <c r="D44" s="107"/>
      <c r="E44" s="1587">
        <v>38.299999999999997</v>
      </c>
      <c r="F44" s="914"/>
      <c r="G44" s="1587">
        <v>142.89999999999998</v>
      </c>
      <c r="H44" s="914"/>
      <c r="I44" s="1587">
        <v>132.20000000000005</v>
      </c>
      <c r="J44" s="914"/>
      <c r="K44" s="1587">
        <f t="shared" ref="K44" si="4">$AD44-$E44-$G44-$I44</f>
        <v>155.69999999999999</v>
      </c>
      <c r="L44" s="914"/>
      <c r="M44" s="1587"/>
      <c r="N44" s="914"/>
      <c r="O44" s="1587"/>
      <c r="P44" s="914"/>
      <c r="Q44" s="1587"/>
      <c r="R44" s="914"/>
      <c r="S44" s="1587"/>
      <c r="T44" s="1587"/>
      <c r="U44" s="1587"/>
      <c r="V44" s="914"/>
      <c r="W44" s="1587"/>
      <c r="X44" s="914"/>
      <c r="Y44" s="1587"/>
      <c r="Z44" s="914"/>
      <c r="AA44" s="1587"/>
      <c r="AB44" s="914"/>
      <c r="AC44" s="1454"/>
      <c r="AD44" s="1587">
        <v>469.1</v>
      </c>
      <c r="AE44" s="3361"/>
      <c r="AF44" s="1043"/>
      <c r="AG44" s="1587">
        <v>568.4</v>
      </c>
      <c r="AH44" s="119"/>
      <c r="AI44" s="1126"/>
      <c r="AJ44" s="1134">
        <f>ROUND(AD44-AG44,1)</f>
        <v>-99.3</v>
      </c>
      <c r="AK44" s="336"/>
      <c r="AL44" s="922">
        <f>ROUND(IF(AG44=0,0,AJ44/ABS(AG44)),3)</f>
        <v>-0.17499999999999999</v>
      </c>
    </row>
    <row r="45" spans="1:39" ht="15.75">
      <c r="A45" s="31"/>
      <c r="B45" s="31"/>
      <c r="C45" s="31"/>
      <c r="D45" s="107"/>
      <c r="E45" s="1061"/>
      <c r="F45" s="914"/>
      <c r="G45" s="1061"/>
      <c r="H45" s="914"/>
      <c r="I45" s="1061"/>
      <c r="J45" s="914"/>
      <c r="K45" s="1061"/>
      <c r="L45" s="66"/>
      <c r="M45" s="88"/>
      <c r="N45" s="66"/>
      <c r="O45" s="88"/>
      <c r="P45" s="66"/>
      <c r="Q45" s="88"/>
      <c r="R45" s="66"/>
      <c r="S45" s="88"/>
      <c r="T45" s="66"/>
      <c r="U45" s="88"/>
      <c r="V45" s="66"/>
      <c r="W45" s="88"/>
      <c r="X45" s="66"/>
      <c r="Y45" s="88"/>
      <c r="Z45" s="66"/>
      <c r="AA45" s="126"/>
      <c r="AB45" s="118"/>
      <c r="AC45" s="692"/>
      <c r="AD45" s="126"/>
      <c r="AE45" s="1103"/>
      <c r="AF45" s="692"/>
      <c r="AG45" s="126"/>
      <c r="AH45" s="67"/>
      <c r="AI45" s="1126"/>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41">
        <f>ROUND(SUM(M42+M44),1)</f>
        <v>0</v>
      </c>
      <c r="N46" s="62"/>
      <c r="O46" s="941">
        <f>ROUND(SUM(O42+O44),1)</f>
        <v>0</v>
      </c>
      <c r="P46" s="62"/>
      <c r="Q46" s="941">
        <f>ROUND(SUM(Q42+Q44),1)</f>
        <v>0</v>
      </c>
      <c r="R46" s="62"/>
      <c r="S46" s="941">
        <f>ROUND(SUM(S42+S44),1)</f>
        <v>0</v>
      </c>
      <c r="T46" s="62"/>
      <c r="U46" s="941">
        <f>ROUND(SUM(U42+U44),1)</f>
        <v>0</v>
      </c>
      <c r="V46" s="62"/>
      <c r="W46" s="941">
        <f>ROUND(SUM(W42+W44),1)</f>
        <v>0</v>
      </c>
      <c r="X46" s="62"/>
      <c r="Y46" s="941">
        <f>ROUND(SUM(Y42+Y44),1)</f>
        <v>0</v>
      </c>
      <c r="Z46" s="62"/>
      <c r="AA46" s="112">
        <f>ROUND(SUM(AA42+AA44),1)</f>
        <v>0</v>
      </c>
      <c r="AB46" s="112"/>
      <c r="AC46" s="693"/>
      <c r="AD46" s="112">
        <f>ROUND(SUM(AD42+AD44),1)</f>
        <v>469.4</v>
      </c>
      <c r="AE46" s="1108"/>
      <c r="AF46" s="693"/>
      <c r="AG46" s="112">
        <f>ROUND(SUM(AG42+AG44),1)</f>
        <v>568.6</v>
      </c>
      <c r="AH46" s="1127"/>
      <c r="AI46" s="1126"/>
      <c r="AJ46" s="1129">
        <f>ROUND(SUM(AJ42+AJ44),1)</f>
        <v>-99.2</v>
      </c>
      <c r="AK46" s="166"/>
      <c r="AL46" s="301">
        <f>ROUND(SUM(AD46-AG46)/ABS(AG46),3)</f>
        <v>-0.17399999999999999</v>
      </c>
      <c r="AM46" s="332"/>
    </row>
    <row r="47" spans="1:39" ht="15.75">
      <c r="A47" s="31"/>
      <c r="B47" s="31"/>
      <c r="C47" s="31"/>
      <c r="D47" s="107"/>
      <c r="E47" s="1061"/>
      <c r="F47" s="914"/>
      <c r="G47" s="1061"/>
      <c r="H47" s="914"/>
      <c r="I47" s="1061"/>
      <c r="J47" s="914"/>
      <c r="K47" s="1061"/>
      <c r="L47" s="66"/>
      <c r="M47" s="88"/>
      <c r="N47" s="66"/>
      <c r="O47" s="88"/>
      <c r="P47" s="66"/>
      <c r="Q47" s="88"/>
      <c r="R47" s="66"/>
      <c r="S47" s="88"/>
      <c r="T47" s="66"/>
      <c r="U47" s="88"/>
      <c r="V47" s="66"/>
      <c r="W47" s="88"/>
      <c r="X47" s="66"/>
      <c r="Y47" s="88"/>
      <c r="Z47" s="66"/>
      <c r="AA47" s="126"/>
      <c r="AB47" s="118"/>
      <c r="AC47" s="692"/>
      <c r="AD47" s="126"/>
      <c r="AE47" s="1103"/>
      <c r="AF47" s="692"/>
      <c r="AG47" s="126"/>
      <c r="AH47" s="67"/>
      <c r="AI47" s="1126"/>
      <c r="AJ47" s="363"/>
      <c r="AK47" s="327"/>
      <c r="AL47" s="334"/>
    </row>
    <row r="48" spans="1:39" ht="15.75">
      <c r="A48" s="31"/>
      <c r="B48" s="29" t="s">
        <v>23</v>
      </c>
      <c r="C48" s="31"/>
      <c r="D48" s="107"/>
      <c r="E48" s="914"/>
      <c r="F48" s="914"/>
      <c r="G48" s="914"/>
      <c r="H48" s="914"/>
      <c r="I48" s="914"/>
      <c r="J48" s="914"/>
      <c r="K48" s="914"/>
      <c r="L48" s="66"/>
      <c r="M48" s="66"/>
      <c r="N48" s="66"/>
      <c r="O48" s="66"/>
      <c r="P48" s="66"/>
      <c r="Q48" s="66"/>
      <c r="R48" s="66"/>
      <c r="S48" s="66"/>
      <c r="T48" s="66"/>
      <c r="U48" s="66"/>
      <c r="V48" s="66"/>
      <c r="W48" s="66"/>
      <c r="X48" s="66"/>
      <c r="Y48" s="66"/>
      <c r="Z48" s="66"/>
      <c r="AA48" s="118"/>
      <c r="AB48" s="118"/>
      <c r="AC48" s="692"/>
      <c r="AD48" s="118"/>
      <c r="AE48" s="1103"/>
      <c r="AF48" s="692"/>
      <c r="AG48" s="118"/>
      <c r="AH48" s="118"/>
      <c r="AI48" s="1126"/>
      <c r="AJ48" s="363"/>
      <c r="AK48" s="327"/>
      <c r="AL48" s="334"/>
    </row>
    <row r="49" spans="1:41" ht="15.75">
      <c r="A49" s="31"/>
      <c r="B49" s="31" t="s">
        <v>152</v>
      </c>
      <c r="C49" s="31"/>
      <c r="D49" s="107"/>
      <c r="E49" s="1587"/>
      <c r="F49" s="914"/>
      <c r="G49" s="914"/>
      <c r="H49" s="914"/>
      <c r="I49" s="914"/>
      <c r="J49" s="914"/>
      <c r="K49" s="914"/>
      <c r="L49" s="66"/>
      <c r="M49" s="66"/>
      <c r="N49" s="66"/>
      <c r="O49" s="66"/>
      <c r="P49" s="66"/>
      <c r="Q49" s="278"/>
      <c r="R49" s="66"/>
      <c r="S49" s="66"/>
      <c r="T49" s="66"/>
      <c r="U49" s="66"/>
      <c r="V49" s="66"/>
      <c r="W49" s="66"/>
      <c r="X49" s="66"/>
      <c r="Y49" s="66"/>
      <c r="Z49" s="66"/>
      <c r="AA49" s="118"/>
      <c r="AB49" s="118"/>
      <c r="AC49" s="692"/>
      <c r="AD49" s="118"/>
      <c r="AE49" s="1103"/>
      <c r="AF49" s="692"/>
      <c r="AG49" s="118"/>
      <c r="AH49" s="118"/>
      <c r="AI49" s="1126"/>
      <c r="AJ49" s="363"/>
      <c r="AK49" s="336"/>
      <c r="AL49" s="334"/>
    </row>
    <row r="50" spans="1:41" s="1112" customFormat="1" ht="15.75">
      <c r="A50" s="107"/>
      <c r="B50" s="107" t="s">
        <v>25</v>
      </c>
      <c r="C50" s="107"/>
      <c r="D50" s="107"/>
      <c r="E50" s="1587">
        <v>0</v>
      </c>
      <c r="F50" s="914"/>
      <c r="G50" s="1587">
        <v>0</v>
      </c>
      <c r="H50" s="914"/>
      <c r="I50" s="1587">
        <v>0</v>
      </c>
      <c r="J50" s="914"/>
      <c r="K50" s="1587">
        <f t="shared" ref="K50:K59" si="5">$AD50-$E50-$G50-$I50</f>
        <v>0</v>
      </c>
      <c r="L50" s="914"/>
      <c r="M50" s="1587"/>
      <c r="N50" s="914"/>
      <c r="O50" s="1587"/>
      <c r="P50" s="914"/>
      <c r="Q50" s="1587"/>
      <c r="R50" s="914"/>
      <c r="S50" s="1587"/>
      <c r="T50" s="1587"/>
      <c r="U50" s="1587"/>
      <c r="V50" s="914"/>
      <c r="W50" s="1587"/>
      <c r="X50" s="1587"/>
      <c r="Y50" s="1587"/>
      <c r="Z50" s="914"/>
      <c r="AA50" s="1587"/>
      <c r="AB50" s="914"/>
      <c r="AC50" s="1454"/>
      <c r="AD50" s="1587">
        <v>0</v>
      </c>
      <c r="AE50" s="3361"/>
      <c r="AF50" s="1043"/>
      <c r="AG50" s="1587">
        <v>0</v>
      </c>
      <c r="AH50" s="119"/>
      <c r="AI50" s="1104"/>
      <c r="AJ50" s="1135">
        <f>ROUND(AD50-AG50,1)</f>
        <v>0</v>
      </c>
      <c r="AK50" s="1105"/>
      <c r="AL50" s="1789">
        <f>ROUND(IF(AG50=0,0,AJ50/ABS(AG50)),3)</f>
        <v>0</v>
      </c>
    </row>
    <row r="51" spans="1:41" s="1112" customFormat="1" ht="15.75">
      <c r="A51" s="107"/>
      <c r="B51" s="107" t="s">
        <v>26</v>
      </c>
      <c r="C51" s="107"/>
      <c r="D51" s="107"/>
      <c r="E51" s="1587">
        <v>0</v>
      </c>
      <c r="F51" s="914"/>
      <c r="G51" s="1587">
        <v>0</v>
      </c>
      <c r="H51" s="914"/>
      <c r="I51" s="1587">
        <v>0</v>
      </c>
      <c r="J51" s="914"/>
      <c r="K51" s="1587">
        <f t="shared" si="5"/>
        <v>0</v>
      </c>
      <c r="L51" s="914"/>
      <c r="M51" s="1587"/>
      <c r="N51" s="914"/>
      <c r="O51" s="1587"/>
      <c r="P51" s="914"/>
      <c r="Q51" s="1587"/>
      <c r="R51" s="914"/>
      <c r="S51" s="1587"/>
      <c r="T51" s="1587"/>
      <c r="U51" s="1587"/>
      <c r="V51" s="914"/>
      <c r="W51" s="1587"/>
      <c r="X51" s="1587"/>
      <c r="Y51" s="1587"/>
      <c r="Z51" s="914"/>
      <c r="AA51" s="1587"/>
      <c r="AB51" s="914"/>
      <c r="AC51" s="1454"/>
      <c r="AD51" s="1587">
        <v>0</v>
      </c>
      <c r="AE51" s="3361"/>
      <c r="AF51" s="1043"/>
      <c r="AG51" s="1587">
        <v>0</v>
      </c>
      <c r="AH51" s="119"/>
      <c r="AI51" s="1104"/>
      <c r="AJ51" s="1135">
        <f>ROUND(AD51-AG51,1)</f>
        <v>0</v>
      </c>
      <c r="AK51" s="1105"/>
      <c r="AL51" s="1791">
        <f>ROUND(IF(AG51=0,0,AJ51/ABS(AG51)),3)</f>
        <v>0</v>
      </c>
    </row>
    <row r="52" spans="1:41" s="1112" customFormat="1" ht="15.75">
      <c r="A52" s="107"/>
      <c r="B52" s="107" t="s">
        <v>27</v>
      </c>
      <c r="C52" s="107"/>
      <c r="D52" s="107"/>
      <c r="E52" s="1587">
        <v>0</v>
      </c>
      <c r="F52" s="914"/>
      <c r="G52" s="1587">
        <v>0</v>
      </c>
      <c r="H52" s="914"/>
      <c r="I52" s="1587">
        <v>0</v>
      </c>
      <c r="J52" s="914"/>
      <c r="K52" s="1587">
        <f t="shared" si="5"/>
        <v>0</v>
      </c>
      <c r="L52" s="914"/>
      <c r="M52" s="1587"/>
      <c r="N52" s="914"/>
      <c r="O52" s="1587"/>
      <c r="P52" s="914"/>
      <c r="Q52" s="1587"/>
      <c r="R52" s="914"/>
      <c r="S52" s="1587"/>
      <c r="T52" s="1587"/>
      <c r="U52" s="1587"/>
      <c r="V52" s="914"/>
      <c r="W52" s="1587"/>
      <c r="X52" s="1587"/>
      <c r="Y52" s="1587"/>
      <c r="Z52" s="914"/>
      <c r="AA52" s="1587"/>
      <c r="AB52" s="914"/>
      <c r="AC52" s="1454"/>
      <c r="AD52" s="1587">
        <v>0</v>
      </c>
      <c r="AE52" s="3361"/>
      <c r="AF52" s="1043"/>
      <c r="AG52" s="1587">
        <v>0</v>
      </c>
      <c r="AH52" s="119"/>
      <c r="AI52" s="1104"/>
      <c r="AJ52" s="1135">
        <f>ROUND(AD52-AG52,1)</f>
        <v>0</v>
      </c>
      <c r="AK52" s="1124"/>
      <c r="AL52" s="1789">
        <f>ROUND(IF(AG52=0,0,AJ52/ABS(AG52)),3)</f>
        <v>0</v>
      </c>
    </row>
    <row r="53" spans="1:41" s="1112" customFormat="1" ht="15.75">
      <c r="A53" s="107"/>
      <c r="B53" s="107" t="s">
        <v>28</v>
      </c>
      <c r="C53" s="107"/>
      <c r="D53" s="107"/>
      <c r="E53" s="1587" t="s">
        <v>15</v>
      </c>
      <c r="F53" s="914"/>
      <c r="G53" s="1587"/>
      <c r="H53" s="914"/>
      <c r="I53" s="1587"/>
      <c r="J53" s="914"/>
      <c r="K53" s="1587"/>
      <c r="L53" s="914"/>
      <c r="M53" s="1587"/>
      <c r="N53" s="914"/>
      <c r="O53" s="1587"/>
      <c r="P53" s="914"/>
      <c r="Q53" s="1587"/>
      <c r="R53" s="914"/>
      <c r="S53" s="1587"/>
      <c r="T53" s="1587"/>
      <c r="U53" s="1587"/>
      <c r="V53" s="914"/>
      <c r="W53" s="1587"/>
      <c r="X53" s="1587"/>
      <c r="Y53" s="1587"/>
      <c r="Z53" s="914"/>
      <c r="AA53" s="1587"/>
      <c r="AB53" s="914"/>
      <c r="AC53" s="1454"/>
      <c r="AD53" s="1587"/>
      <c r="AE53" s="3361"/>
      <c r="AF53" s="1043"/>
      <c r="AG53" s="1587"/>
      <c r="AH53" s="118"/>
      <c r="AI53" s="1126"/>
      <c r="AJ53" s="1136"/>
      <c r="AK53" s="1105"/>
      <c r="AL53" s="1792" t="s">
        <v>15</v>
      </c>
    </row>
    <row r="54" spans="1:41" s="1112" customFormat="1" ht="15.75">
      <c r="A54" s="107"/>
      <c r="B54" s="107" t="s">
        <v>29</v>
      </c>
      <c r="C54" s="105"/>
      <c r="D54" s="107"/>
      <c r="E54" s="1587">
        <v>0</v>
      </c>
      <c r="F54" s="914"/>
      <c r="G54" s="1587">
        <v>0</v>
      </c>
      <c r="H54" s="914"/>
      <c r="I54" s="1587">
        <v>0</v>
      </c>
      <c r="J54" s="914"/>
      <c r="K54" s="1587">
        <f t="shared" si="5"/>
        <v>0</v>
      </c>
      <c r="L54" s="914"/>
      <c r="M54" s="1587"/>
      <c r="N54" s="914"/>
      <c r="O54" s="1587"/>
      <c r="P54" s="914"/>
      <c r="Q54" s="1587"/>
      <c r="R54" s="914"/>
      <c r="S54" s="1587"/>
      <c r="T54" s="1587"/>
      <c r="U54" s="1587"/>
      <c r="V54" s="914"/>
      <c r="W54" s="1587"/>
      <c r="X54" s="1587"/>
      <c r="Y54" s="1587"/>
      <c r="Z54" s="914"/>
      <c r="AA54" s="1587"/>
      <c r="AB54" s="914"/>
      <c r="AC54" s="1454"/>
      <c r="AD54" s="1587">
        <v>0</v>
      </c>
      <c r="AE54" s="3361"/>
      <c r="AF54" s="1043"/>
      <c r="AG54" s="1587">
        <v>0</v>
      </c>
      <c r="AH54" s="118"/>
      <c r="AI54" s="1126"/>
      <c r="AJ54" s="1135">
        <f t="shared" ref="AJ54:AJ59" si="6">ROUND(AD54-AG54,1)</f>
        <v>0</v>
      </c>
      <c r="AK54" s="1124"/>
      <c r="AL54" s="1789">
        <f>ROUND(IF(AG54=0,0,AJ54/ABS(AG54)),3)</f>
        <v>0</v>
      </c>
      <c r="AM54" s="1124"/>
    </row>
    <row r="55" spans="1:41" s="1112" customFormat="1" ht="15.75">
      <c r="A55" s="107"/>
      <c r="B55" s="107" t="s">
        <v>30</v>
      </c>
      <c r="C55" s="107"/>
      <c r="D55" s="107"/>
      <c r="E55" s="1587">
        <v>0</v>
      </c>
      <c r="F55" s="914"/>
      <c r="G55" s="1587">
        <v>0</v>
      </c>
      <c r="H55" s="914"/>
      <c r="I55" s="1587">
        <v>0</v>
      </c>
      <c r="J55" s="914"/>
      <c r="K55" s="1587">
        <f t="shared" si="5"/>
        <v>0.4</v>
      </c>
      <c r="L55" s="914"/>
      <c r="M55" s="1587"/>
      <c r="N55" s="914"/>
      <c r="O55" s="1587"/>
      <c r="P55" s="914"/>
      <c r="Q55" s="1587"/>
      <c r="R55" s="914"/>
      <c r="S55" s="1587"/>
      <c r="T55" s="1587"/>
      <c r="U55" s="1587"/>
      <c r="V55" s="914"/>
      <c r="W55" s="1587"/>
      <c r="X55" s="1587"/>
      <c r="Y55" s="1587"/>
      <c r="Z55" s="914"/>
      <c r="AA55" s="1587"/>
      <c r="AB55" s="914"/>
      <c r="AC55" s="1454"/>
      <c r="AD55" s="1587">
        <v>0.4</v>
      </c>
      <c r="AE55" s="3361"/>
      <c r="AF55" s="1043"/>
      <c r="AG55" s="1587">
        <v>2.8</v>
      </c>
      <c r="AH55" s="119"/>
      <c r="AI55" s="1104"/>
      <c r="AJ55" s="1135">
        <f t="shared" si="6"/>
        <v>-2.4</v>
      </c>
      <c r="AK55" s="1105"/>
      <c r="AL55" s="1711">
        <f>ROUND(IF(AG55=0,0,AJ55/ABS(AG55)),3)</f>
        <v>-0.85699999999999998</v>
      </c>
    </row>
    <row r="56" spans="1:41" s="1112" customFormat="1" ht="15.75">
      <c r="A56" s="107"/>
      <c r="B56" s="107" t="s">
        <v>31</v>
      </c>
      <c r="C56" s="107"/>
      <c r="D56" s="107"/>
      <c r="E56" s="1587">
        <v>0</v>
      </c>
      <c r="F56" s="914"/>
      <c r="G56" s="1587">
        <v>0</v>
      </c>
      <c r="H56" s="914"/>
      <c r="I56" s="1587">
        <v>10.1</v>
      </c>
      <c r="J56" s="914"/>
      <c r="K56" s="1587">
        <f t="shared" si="5"/>
        <v>9.9999999999999645E-2</v>
      </c>
      <c r="L56" s="914"/>
      <c r="M56" s="1587"/>
      <c r="N56" s="914"/>
      <c r="O56" s="1587"/>
      <c r="P56" s="914"/>
      <c r="Q56" s="1587"/>
      <c r="R56" s="914"/>
      <c r="S56" s="1587"/>
      <c r="T56" s="1587"/>
      <c r="U56" s="1587"/>
      <c r="V56" s="914"/>
      <c r="W56" s="1587"/>
      <c r="X56" s="1587"/>
      <c r="Y56" s="1587"/>
      <c r="Z56" s="914"/>
      <c r="AA56" s="1587"/>
      <c r="AB56" s="914"/>
      <c r="AC56" s="1454"/>
      <c r="AD56" s="1587">
        <v>10.199999999999999</v>
      </c>
      <c r="AE56" s="3361"/>
      <c r="AF56" s="1043"/>
      <c r="AG56" s="1587">
        <v>17.5</v>
      </c>
      <c r="AH56" s="119"/>
      <c r="AI56" s="1104"/>
      <c r="AJ56" s="1135">
        <f t="shared" si="6"/>
        <v>-7.3</v>
      </c>
      <c r="AK56" s="1124"/>
      <c r="AL56" s="1711">
        <f>ROUND(IF(AG56=0,1,AJ56/ABS(AG56)),3)</f>
        <v>-0.41699999999999998</v>
      </c>
    </row>
    <row r="57" spans="1:41" s="1112" customFormat="1" ht="15.75">
      <c r="A57" s="107"/>
      <c r="B57" s="107" t="s">
        <v>32</v>
      </c>
      <c r="C57" s="107"/>
      <c r="D57" s="107"/>
      <c r="E57" s="1587">
        <v>0</v>
      </c>
      <c r="F57" s="914"/>
      <c r="G57" s="1587">
        <v>0</v>
      </c>
      <c r="H57" s="914"/>
      <c r="I57" s="1587">
        <v>0</v>
      </c>
      <c r="J57" s="914"/>
      <c r="K57" s="1587">
        <f t="shared" si="5"/>
        <v>0</v>
      </c>
      <c r="L57" s="914"/>
      <c r="M57" s="1587"/>
      <c r="N57" s="914"/>
      <c r="O57" s="1587"/>
      <c r="P57" s="914"/>
      <c r="Q57" s="1587"/>
      <c r="R57" s="914"/>
      <c r="S57" s="1587"/>
      <c r="T57" s="1587"/>
      <c r="U57" s="1587"/>
      <c r="V57" s="914"/>
      <c r="W57" s="1587"/>
      <c r="X57" s="1587"/>
      <c r="Y57" s="1587"/>
      <c r="Z57" s="914"/>
      <c r="AA57" s="1587"/>
      <c r="AB57" s="914"/>
      <c r="AC57" s="1454"/>
      <c r="AD57" s="1587">
        <v>0</v>
      </c>
      <c r="AE57" s="3361"/>
      <c r="AF57" s="1043"/>
      <c r="AG57" s="1587">
        <v>0</v>
      </c>
      <c r="AH57" s="118"/>
      <c r="AI57" s="1126"/>
      <c r="AJ57" s="1135">
        <f t="shared" si="6"/>
        <v>0</v>
      </c>
      <c r="AK57" s="1105"/>
      <c r="AL57" s="1789">
        <f>ROUND(IF(AG57=0,0,AJ57/ABS(AG57)),3)</f>
        <v>0</v>
      </c>
    </row>
    <row r="58" spans="1:41" s="1112" customFormat="1" ht="15.75">
      <c r="A58" s="107"/>
      <c r="B58" s="107" t="s">
        <v>33</v>
      </c>
      <c r="C58" s="105"/>
      <c r="D58" s="107"/>
      <c r="E58" s="1587">
        <v>0</v>
      </c>
      <c r="F58" s="914"/>
      <c r="G58" s="1587">
        <v>0</v>
      </c>
      <c r="H58" s="914"/>
      <c r="I58" s="1587">
        <v>0</v>
      </c>
      <c r="J58" s="914"/>
      <c r="K58" s="1587">
        <f t="shared" si="5"/>
        <v>0</v>
      </c>
      <c r="L58" s="914"/>
      <c r="M58" s="1587"/>
      <c r="N58" s="914"/>
      <c r="O58" s="1587"/>
      <c r="P58" s="914"/>
      <c r="Q58" s="1587"/>
      <c r="R58" s="914"/>
      <c r="S58" s="1587"/>
      <c r="T58" s="1587"/>
      <c r="U58" s="1587"/>
      <c r="V58" s="914"/>
      <c r="W58" s="1587"/>
      <c r="X58" s="1587"/>
      <c r="Y58" s="1587"/>
      <c r="Z58" s="914"/>
      <c r="AA58" s="1587"/>
      <c r="AB58" s="914"/>
      <c r="AC58" s="1454"/>
      <c r="AD58" s="1587">
        <v>0</v>
      </c>
      <c r="AE58" s="3361"/>
      <c r="AF58" s="1043"/>
      <c r="AG58" s="1587">
        <v>0</v>
      </c>
      <c r="AH58" s="118"/>
      <c r="AI58" s="1126"/>
      <c r="AJ58" s="1135">
        <f t="shared" si="6"/>
        <v>0</v>
      </c>
      <c r="AK58" s="1124"/>
      <c r="AL58" s="1789">
        <f>ROUND(IF(AG58=0,0,AJ58/ABS(AG58)),3)</f>
        <v>0</v>
      </c>
      <c r="AM58" s="1124"/>
    </row>
    <row r="59" spans="1:41" s="1112" customFormat="1" ht="15.75">
      <c r="A59" s="107"/>
      <c r="B59" s="107" t="s">
        <v>34</v>
      </c>
      <c r="C59" s="107"/>
      <c r="D59" s="107"/>
      <c r="E59" s="1587">
        <v>40</v>
      </c>
      <c r="F59" s="914"/>
      <c r="G59" s="1587">
        <v>37.600000000000009</v>
      </c>
      <c r="H59" s="914"/>
      <c r="I59" s="1587">
        <v>47.599999999999994</v>
      </c>
      <c r="J59" s="914"/>
      <c r="K59" s="1587">
        <f t="shared" si="5"/>
        <v>37.799999999999997</v>
      </c>
      <c r="L59" s="914"/>
      <c r="M59" s="1587"/>
      <c r="N59" s="914"/>
      <c r="O59" s="1587"/>
      <c r="P59" s="914"/>
      <c r="Q59" s="1587"/>
      <c r="R59" s="914"/>
      <c r="S59" s="1587"/>
      <c r="T59" s="1587"/>
      <c r="U59" s="1587"/>
      <c r="V59" s="914"/>
      <c r="W59" s="1587"/>
      <c r="X59" s="1587"/>
      <c r="Y59" s="1587"/>
      <c r="Z59" s="914"/>
      <c r="AA59" s="1587"/>
      <c r="AB59" s="914"/>
      <c r="AC59" s="1454"/>
      <c r="AD59" s="1587">
        <v>163</v>
      </c>
      <c r="AE59" s="3361"/>
      <c r="AF59" s="1043"/>
      <c r="AG59" s="1587">
        <v>132.4</v>
      </c>
      <c r="AH59" s="67"/>
      <c r="AI59" s="1126"/>
      <c r="AJ59" s="1135">
        <f t="shared" si="6"/>
        <v>30.6</v>
      </c>
      <c r="AK59" s="1124"/>
      <c r="AL59" s="1793">
        <f>ROUND((AD59-AG59)/ABS(AG59),3)</f>
        <v>0.23100000000000001</v>
      </c>
    </row>
    <row r="60" spans="1:41" ht="15.75">
      <c r="A60" s="31"/>
      <c r="B60" s="29" t="s">
        <v>198</v>
      </c>
      <c r="C60" s="31"/>
      <c r="D60" s="107"/>
      <c r="E60" s="1118">
        <f>ROUND(SUM(E50:E59),1)</f>
        <v>40</v>
      </c>
      <c r="F60" s="112"/>
      <c r="G60" s="1118">
        <f>ROUND(SUM(G50:G59),1)</f>
        <v>37.6</v>
      </c>
      <c r="H60" s="112"/>
      <c r="I60" s="1118">
        <f>ROUND(SUM(I50:I59),1)</f>
        <v>57.7</v>
      </c>
      <c r="J60" s="112"/>
      <c r="K60" s="1118">
        <f>ROUND(SUM(K50:K59),1)</f>
        <v>38.299999999999997</v>
      </c>
      <c r="L60" s="62"/>
      <c r="M60" s="296">
        <f>ROUND(SUM(M50:M59),1)</f>
        <v>0</v>
      </c>
      <c r="N60" s="62"/>
      <c r="O60" s="296">
        <f>ROUND(SUM(O50:O59),1)</f>
        <v>0</v>
      </c>
      <c r="P60" s="62"/>
      <c r="Q60" s="296">
        <f>ROUND(SUM(Q50:Q59),1)</f>
        <v>0</v>
      </c>
      <c r="R60" s="62"/>
      <c r="S60" s="296">
        <f>ROUND(SUM(S50:S59),1)</f>
        <v>0</v>
      </c>
      <c r="T60" s="62"/>
      <c r="U60" s="296">
        <f>ROUND(SUM(U50:U59),1)</f>
        <v>0</v>
      </c>
      <c r="V60" s="62"/>
      <c r="W60" s="296">
        <f>ROUND(SUM(W50:W59),1)</f>
        <v>0</v>
      </c>
      <c r="X60" s="62"/>
      <c r="Y60" s="296">
        <f>ROUND(SUM(Y50:Y59),1)</f>
        <v>0</v>
      </c>
      <c r="Z60" s="62"/>
      <c r="AA60" s="1118">
        <f>ROUND(SUM(AA50:AA59),1)</f>
        <v>0</v>
      </c>
      <c r="AB60" s="112"/>
      <c r="AC60" s="693"/>
      <c r="AD60" s="1118">
        <f>ROUND(SUM(AD50:AD59),1)</f>
        <v>173.6</v>
      </c>
      <c r="AE60" s="1108"/>
      <c r="AF60" s="693"/>
      <c r="AG60" s="1118">
        <f>ROUND(SUM(AG50:AG59),1)</f>
        <v>152.69999999999999</v>
      </c>
      <c r="AH60" s="115"/>
      <c r="AI60" s="1126"/>
      <c r="AJ60" s="1118">
        <f>ROUND(SUM(AJ50:AJ59),1)</f>
        <v>20.9</v>
      </c>
      <c r="AK60" s="343"/>
      <c r="AL60" s="344">
        <f>ROUND(SUM(AD60-AG60)/ABS(AG60),3)</f>
        <v>0.13700000000000001</v>
      </c>
      <c r="AM60" s="343"/>
      <c r="AN60" s="332"/>
      <c r="AO60" s="332"/>
    </row>
    <row r="61" spans="1:41" ht="15.75">
      <c r="A61" s="31"/>
      <c r="B61" s="31" t="s">
        <v>199</v>
      </c>
      <c r="C61" s="31"/>
      <c r="D61" s="107"/>
      <c r="E61" s="914"/>
      <c r="F61" s="914"/>
      <c r="G61" s="914"/>
      <c r="H61" s="914"/>
      <c r="I61" s="914"/>
      <c r="J61" s="914"/>
      <c r="K61" s="914"/>
      <c r="L61" s="66"/>
      <c r="M61" s="66"/>
      <c r="N61" s="66"/>
      <c r="O61" s="66"/>
      <c r="P61" s="66"/>
      <c r="Q61" s="66"/>
      <c r="R61" s="66"/>
      <c r="S61" s="66"/>
      <c r="T61" s="66"/>
      <c r="U61" s="66"/>
      <c r="V61" s="66"/>
      <c r="W61" s="66"/>
      <c r="X61" s="66"/>
      <c r="Y61" s="66"/>
      <c r="Z61" s="66"/>
      <c r="AA61" s="118"/>
      <c r="AB61" s="118"/>
      <c r="AC61" s="692"/>
      <c r="AD61" s="118"/>
      <c r="AE61" s="1103"/>
      <c r="AF61" s="692"/>
      <c r="AG61" s="118"/>
      <c r="AH61" s="118"/>
      <c r="AI61" s="1126"/>
      <c r="AJ61" s="363"/>
      <c r="AK61" s="327"/>
      <c r="AL61" s="334"/>
    </row>
    <row r="62" spans="1:41" s="1112" customFormat="1" ht="15.75">
      <c r="A62" s="107"/>
      <c r="B62" s="107" t="s">
        <v>200</v>
      </c>
      <c r="C62" s="107"/>
      <c r="D62" s="107"/>
      <c r="E62" s="1587">
        <v>0</v>
      </c>
      <c r="F62" s="914"/>
      <c r="G62" s="1587">
        <v>0</v>
      </c>
      <c r="H62" s="914"/>
      <c r="I62" s="1587">
        <v>0</v>
      </c>
      <c r="J62" s="914"/>
      <c r="K62" s="1587">
        <f t="shared" ref="K62:K65" si="7">$AD62-$E62-$G62-$I62</f>
        <v>0</v>
      </c>
      <c r="L62" s="914"/>
      <c r="M62" s="1587"/>
      <c r="N62" s="914"/>
      <c r="O62" s="1587"/>
      <c r="P62" s="914"/>
      <c r="Q62" s="1587"/>
      <c r="R62" s="914"/>
      <c r="S62" s="1587"/>
      <c r="T62" s="1587"/>
      <c r="U62" s="1587"/>
      <c r="V62" s="914"/>
      <c r="W62" s="1587"/>
      <c r="X62" s="914"/>
      <c r="Y62" s="1587"/>
      <c r="Z62" s="914"/>
      <c r="AA62" s="1587"/>
      <c r="AB62" s="914"/>
      <c r="AC62" s="1454"/>
      <c r="AD62" s="1587">
        <v>0</v>
      </c>
      <c r="AE62" s="3361"/>
      <c r="AF62" s="1043"/>
      <c r="AG62" s="1587">
        <v>0</v>
      </c>
      <c r="AH62" s="127"/>
      <c r="AI62" s="1130"/>
      <c r="AJ62" s="1135">
        <f>ROUND(AD62-AG62,1)</f>
        <v>0</v>
      </c>
      <c r="AK62" s="1124"/>
      <c r="AL62" s="1789">
        <f>ROUND(IF(AG62=0,0,AJ62/ABS(AG62)),3)</f>
        <v>0</v>
      </c>
      <c r="AM62" s="1125"/>
    </row>
    <row r="63" spans="1:41" s="1112" customFormat="1" ht="15.75">
      <c r="A63" s="107"/>
      <c r="B63" s="107" t="s">
        <v>201</v>
      </c>
      <c r="C63" s="107"/>
      <c r="D63" s="107"/>
      <c r="E63" s="1587">
        <v>0</v>
      </c>
      <c r="F63" s="914"/>
      <c r="G63" s="1587">
        <v>0</v>
      </c>
      <c r="H63" s="914"/>
      <c r="I63" s="1587">
        <v>0</v>
      </c>
      <c r="J63" s="914"/>
      <c r="K63" s="1587">
        <f t="shared" si="7"/>
        <v>0</v>
      </c>
      <c r="L63" s="914"/>
      <c r="M63" s="1587"/>
      <c r="N63" s="914"/>
      <c r="O63" s="1587"/>
      <c r="P63" s="914"/>
      <c r="Q63" s="1587"/>
      <c r="R63" s="914"/>
      <c r="S63" s="1587"/>
      <c r="T63" s="1587"/>
      <c r="U63" s="1587"/>
      <c r="V63" s="914"/>
      <c r="W63" s="1587"/>
      <c r="X63" s="914"/>
      <c r="Y63" s="1587"/>
      <c r="Z63" s="914"/>
      <c r="AA63" s="1587"/>
      <c r="AB63" s="914"/>
      <c r="AC63" s="1454"/>
      <c r="AD63" s="1587">
        <v>0</v>
      </c>
      <c r="AE63" s="3361"/>
      <c r="AF63" s="1043"/>
      <c r="AG63" s="1587">
        <v>0</v>
      </c>
      <c r="AH63" s="127"/>
      <c r="AI63" s="1130"/>
      <c r="AJ63" s="1135">
        <f>ROUND(AD63-AG63,1)</f>
        <v>0</v>
      </c>
      <c r="AK63" s="1124"/>
      <c r="AL63" s="1789">
        <f>ROUND(IF(AG63=0,0,AJ63/ABS(AG63)),3)</f>
        <v>0</v>
      </c>
    </row>
    <row r="64" spans="1:41" s="1112" customFormat="1" ht="15.75">
      <c r="A64" s="107"/>
      <c r="B64" s="107" t="s">
        <v>202</v>
      </c>
      <c r="C64" s="107"/>
      <c r="D64" s="107"/>
      <c r="E64" s="1587">
        <v>0</v>
      </c>
      <c r="F64" s="914"/>
      <c r="G64" s="1587">
        <v>0</v>
      </c>
      <c r="H64" s="914"/>
      <c r="I64" s="1587">
        <v>0</v>
      </c>
      <c r="J64" s="914"/>
      <c r="K64" s="1587">
        <f t="shared" si="7"/>
        <v>0</v>
      </c>
      <c r="L64" s="914"/>
      <c r="M64" s="1587"/>
      <c r="N64" s="914"/>
      <c r="O64" s="1587"/>
      <c r="P64" s="914"/>
      <c r="Q64" s="1587"/>
      <c r="R64" s="914"/>
      <c r="S64" s="1587"/>
      <c r="T64" s="1587"/>
      <c r="U64" s="1587"/>
      <c r="V64" s="914"/>
      <c r="W64" s="1587"/>
      <c r="X64" s="914"/>
      <c r="Y64" s="1587"/>
      <c r="Z64" s="914"/>
      <c r="AA64" s="1587"/>
      <c r="AB64" s="914"/>
      <c r="AC64" s="1454"/>
      <c r="AD64" s="1587">
        <v>0</v>
      </c>
      <c r="AE64" s="3361"/>
      <c r="AF64" s="1043"/>
      <c r="AG64" s="1587">
        <v>0</v>
      </c>
      <c r="AH64" s="127"/>
      <c r="AI64" s="1130"/>
      <c r="AJ64" s="1135">
        <f>ROUND(AD64-AG64,1)</f>
        <v>0</v>
      </c>
      <c r="AK64" s="1124"/>
      <c r="AL64" s="1789">
        <f>ROUND(IF(AG64=0,0,AJ64/ABS(AG64)),3)</f>
        <v>0</v>
      </c>
    </row>
    <row r="65" spans="1:39" s="1112" customFormat="1" ht="15.75">
      <c r="A65" s="107"/>
      <c r="B65" s="1788" t="s">
        <v>214</v>
      </c>
      <c r="C65" s="107"/>
      <c r="D65" s="107"/>
      <c r="E65" s="1587">
        <v>65.400000000000006</v>
      </c>
      <c r="F65" s="914"/>
      <c r="G65" s="1587">
        <v>83.4</v>
      </c>
      <c r="H65" s="914"/>
      <c r="I65" s="1587">
        <v>100.6</v>
      </c>
      <c r="J65" s="914"/>
      <c r="K65" s="1587">
        <f t="shared" si="7"/>
        <v>104.39999999999998</v>
      </c>
      <c r="L65" s="914"/>
      <c r="M65" s="1587"/>
      <c r="N65" s="914"/>
      <c r="O65" s="1587"/>
      <c r="P65" s="914"/>
      <c r="Q65" s="1587"/>
      <c r="R65" s="914"/>
      <c r="S65" s="1587"/>
      <c r="T65" s="1587"/>
      <c r="U65" s="1587"/>
      <c r="V65" s="914"/>
      <c r="W65" s="1587"/>
      <c r="X65" s="914"/>
      <c r="Y65" s="1587"/>
      <c r="Z65" s="914"/>
      <c r="AA65" s="1587"/>
      <c r="AB65" s="914"/>
      <c r="AC65" s="1454"/>
      <c r="AD65" s="3362">
        <v>353.8</v>
      </c>
      <c r="AE65" s="3361"/>
      <c r="AF65" s="1043"/>
      <c r="AG65" s="3362">
        <v>358.7</v>
      </c>
      <c r="AH65" s="70"/>
      <c r="AI65" s="1104"/>
      <c r="AJ65" s="1137">
        <f>ROUND(AD65-AG65,1)</f>
        <v>-4.9000000000000004</v>
      </c>
      <c r="AK65" s="1124"/>
      <c r="AL65" s="1790">
        <f>ROUND(IF(AG65=0,0,AJ65/ABS(AG65)),3)</f>
        <v>-1.4E-2</v>
      </c>
    </row>
    <row r="66" spans="1:39" ht="15.75">
      <c r="A66" s="31"/>
      <c r="B66" s="31"/>
      <c r="C66" s="31"/>
      <c r="D66" s="107"/>
      <c r="E66" s="1061"/>
      <c r="F66" s="914"/>
      <c r="G66" s="1061"/>
      <c r="H66" s="914"/>
      <c r="I66" s="1061"/>
      <c r="J66" s="914"/>
      <c r="K66" s="1061"/>
      <c r="L66" s="66"/>
      <c r="M66" s="88"/>
      <c r="N66" s="66"/>
      <c r="O66" s="88"/>
      <c r="P66" s="66"/>
      <c r="Q66" s="88"/>
      <c r="R66" s="66"/>
      <c r="S66" s="88"/>
      <c r="T66" s="66"/>
      <c r="U66" s="88"/>
      <c r="V66" s="66"/>
      <c r="W66" s="88"/>
      <c r="X66" s="66"/>
      <c r="Y66" s="88"/>
      <c r="Z66" s="66"/>
      <c r="AA66" s="126"/>
      <c r="AB66" s="118"/>
      <c r="AC66" s="692"/>
      <c r="AD66" s="363"/>
      <c r="AE66" s="1103"/>
      <c r="AF66" s="692"/>
      <c r="AG66" s="363"/>
      <c r="AH66" s="363"/>
      <c r="AI66" s="1131"/>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0</v>
      </c>
      <c r="N67" s="62"/>
      <c r="O67" s="62">
        <f>ROUND(SUM(O60:O65),1)</f>
        <v>0</v>
      </c>
      <c r="P67" s="62"/>
      <c r="Q67" s="62">
        <f>ROUND(SUM(Q60:Q65),1)</f>
        <v>0</v>
      </c>
      <c r="R67" s="62"/>
      <c r="S67" s="62">
        <f>ROUND(SUM(S60:S65),1)</f>
        <v>0</v>
      </c>
      <c r="T67" s="62"/>
      <c r="U67" s="941">
        <f>ROUND(SUM(U60:U65),1)</f>
        <v>0</v>
      </c>
      <c r="V67" s="62"/>
      <c r="W67" s="62">
        <f>ROUND(SUM(W60:W65),1)</f>
        <v>0</v>
      </c>
      <c r="X67" s="62"/>
      <c r="Y67" s="62">
        <f>ROUND(SUM(Y60:Y65),1)</f>
        <v>0</v>
      </c>
      <c r="Z67" s="62"/>
      <c r="AA67" s="112">
        <f>ROUND(SUM(AA60:AA65),1)</f>
        <v>0</v>
      </c>
      <c r="AB67" s="112"/>
      <c r="AC67" s="693"/>
      <c r="AD67" s="112">
        <f>SUM(AD60:AD65)</f>
        <v>527.4</v>
      </c>
      <c r="AE67" s="1108"/>
      <c r="AF67" s="693"/>
      <c r="AG67" s="112">
        <f>SUM(AG60:AG65)</f>
        <v>511.4</v>
      </c>
      <c r="AH67" s="115"/>
      <c r="AI67" s="1126"/>
      <c r="AJ67" s="113">
        <f>ROUND(AD67-AG67,1)</f>
        <v>16</v>
      </c>
      <c r="AK67" s="343"/>
      <c r="AL67" s="301">
        <f>ROUND(SUM(AD67-AG67)/ABS(AG67),3)</f>
        <v>3.1E-2</v>
      </c>
    </row>
    <row r="68" spans="1:39" ht="15.75">
      <c r="A68" s="31"/>
      <c r="B68" s="31"/>
      <c r="C68" s="31"/>
      <c r="D68" s="107"/>
      <c r="E68" s="1061"/>
      <c r="F68" s="914"/>
      <c r="G68" s="1061"/>
      <c r="H68" s="914"/>
      <c r="I68" s="1061"/>
      <c r="J68" s="914"/>
      <c r="K68" s="1061"/>
      <c r="L68" s="66"/>
      <c r="M68" s="88"/>
      <c r="N68" s="66"/>
      <c r="O68" s="88"/>
      <c r="P68" s="66"/>
      <c r="Q68" s="88"/>
      <c r="R68" s="66"/>
      <c r="S68" s="88"/>
      <c r="T68" s="66"/>
      <c r="U68" s="88"/>
      <c r="V68" s="66"/>
      <c r="W68" s="88"/>
      <c r="X68" s="66"/>
      <c r="Y68" s="88"/>
      <c r="Z68" s="66"/>
      <c r="AA68" s="126"/>
      <c r="AB68" s="118"/>
      <c r="AC68" s="692"/>
      <c r="AD68" s="1061" t="s">
        <v>15</v>
      </c>
      <c r="AE68" s="1103"/>
      <c r="AF68" s="692"/>
      <c r="AG68" s="126"/>
      <c r="AH68" s="67"/>
      <c r="AI68" s="1126"/>
      <c r="AJ68" s="363"/>
      <c r="AK68" s="327"/>
      <c r="AL68" s="334"/>
    </row>
    <row r="69" spans="1:39" ht="15.75">
      <c r="A69" s="31"/>
      <c r="B69" s="29" t="s">
        <v>204</v>
      </c>
      <c r="C69" s="31"/>
      <c r="D69" s="107"/>
      <c r="E69" s="914"/>
      <c r="F69" s="914"/>
      <c r="G69" s="914"/>
      <c r="H69" s="914"/>
      <c r="I69" s="914"/>
      <c r="J69" s="914"/>
      <c r="K69" s="914"/>
      <c r="L69" s="66"/>
      <c r="M69" s="66"/>
      <c r="N69" s="66"/>
      <c r="O69" s="66"/>
      <c r="P69" s="66"/>
      <c r="Q69" s="66"/>
      <c r="R69" s="66"/>
      <c r="S69" s="66"/>
      <c r="T69" s="66"/>
      <c r="U69" s="66"/>
      <c r="V69" s="66"/>
      <c r="W69" s="66"/>
      <c r="X69" s="66"/>
      <c r="Y69" s="66"/>
      <c r="Z69" s="66"/>
      <c r="AA69" s="118"/>
      <c r="AB69" s="118"/>
      <c r="AC69" s="692"/>
      <c r="AD69" s="363" t="s">
        <v>15</v>
      </c>
      <c r="AE69" s="1103"/>
      <c r="AF69" s="67"/>
      <c r="AG69" s="363"/>
      <c r="AH69" s="363"/>
      <c r="AI69" s="1131"/>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0</v>
      </c>
      <c r="N70" s="62"/>
      <c r="O70" s="62">
        <f>ROUND(O46-O67,1)</f>
        <v>0</v>
      </c>
      <c r="P70" s="62"/>
      <c r="Q70" s="62">
        <f>ROUND(Q46-Q67,1)</f>
        <v>0</v>
      </c>
      <c r="R70" s="62"/>
      <c r="S70" s="62">
        <f>ROUND(S46-S67,1)</f>
        <v>0</v>
      </c>
      <c r="T70" s="62"/>
      <c r="U70" s="941">
        <f>ROUND(U46-U67,1)</f>
        <v>0</v>
      </c>
      <c r="V70" s="62"/>
      <c r="W70" s="62">
        <f>ROUND(W46-W67,1)</f>
        <v>0</v>
      </c>
      <c r="X70" s="62"/>
      <c r="Y70" s="62">
        <f>ROUND(Y46-Y67,1)</f>
        <v>0</v>
      </c>
      <c r="Z70" s="62"/>
      <c r="AA70" s="112">
        <f>ROUND(AA46-AA67,1)</f>
        <v>0</v>
      </c>
      <c r="AB70" s="112"/>
      <c r="AC70" s="693"/>
      <c r="AD70" s="112">
        <f>ROUND(SUM(AD46-AD67),1)</f>
        <v>-58</v>
      </c>
      <c r="AE70" s="1108"/>
      <c r="AF70" s="693"/>
      <c r="AG70" s="112">
        <f>ROUND(SUM(AG46-AG67),1)</f>
        <v>57.2</v>
      </c>
      <c r="AH70" s="115"/>
      <c r="AI70" s="1126"/>
      <c r="AJ70" s="113">
        <f>ROUND(AD70-AG70,1)</f>
        <v>-115.2</v>
      </c>
      <c r="AK70" s="343"/>
      <c r="AL70" s="1506">
        <f>ROUND(SUM(AD70-AG70)/ABS(AG70),3)</f>
        <v>-2.0139999999999998</v>
      </c>
    </row>
    <row r="71" spans="1:39" ht="15.75">
      <c r="A71" s="31"/>
      <c r="B71" s="31"/>
      <c r="C71" s="31"/>
      <c r="D71" s="107"/>
      <c r="E71" s="1061"/>
      <c r="F71" s="914"/>
      <c r="G71" s="1061"/>
      <c r="H71" s="914"/>
      <c r="I71" s="1061"/>
      <c r="J71" s="914"/>
      <c r="K71" s="1061"/>
      <c r="L71" s="66"/>
      <c r="M71" s="88"/>
      <c r="N71" s="66"/>
      <c r="O71" s="88"/>
      <c r="P71" s="66"/>
      <c r="Q71" s="88"/>
      <c r="R71" s="66"/>
      <c r="S71" s="88"/>
      <c r="T71" s="66"/>
      <c r="U71" s="88"/>
      <c r="V71" s="66"/>
      <c r="W71" s="88"/>
      <c r="X71" s="66"/>
      <c r="Y71" s="88"/>
      <c r="Z71" s="66"/>
      <c r="AA71" s="126"/>
      <c r="AB71" s="118"/>
      <c r="AC71" s="692"/>
      <c r="AD71" s="126"/>
      <c r="AE71" s="1103"/>
      <c r="AF71" s="692"/>
      <c r="AG71" s="126"/>
      <c r="AH71" s="67"/>
      <c r="AI71" s="1126"/>
      <c r="AJ71" s="363"/>
      <c r="AK71" s="327"/>
      <c r="AL71" s="334"/>
    </row>
    <row r="72" spans="1:39" ht="15.75">
      <c r="A72" s="31"/>
      <c r="B72" s="29" t="s">
        <v>206</v>
      </c>
      <c r="C72" s="31"/>
      <c r="D72" s="107"/>
      <c r="E72" s="914"/>
      <c r="F72" s="914"/>
      <c r="G72" s="914"/>
      <c r="H72" s="914"/>
      <c r="I72" s="914"/>
      <c r="J72" s="914"/>
      <c r="K72" s="914"/>
      <c r="L72" s="66"/>
      <c r="M72" s="66"/>
      <c r="N72" s="66"/>
      <c r="O72" s="66"/>
      <c r="P72" s="66"/>
      <c r="Q72" s="66"/>
      <c r="R72" s="66"/>
      <c r="S72" s="66"/>
      <c r="T72" s="66"/>
      <c r="U72" s="66"/>
      <c r="V72" s="66"/>
      <c r="W72" s="66" t="s">
        <v>15</v>
      </c>
      <c r="X72" s="66"/>
      <c r="Y72" s="66"/>
      <c r="Z72" s="66"/>
      <c r="AA72" s="118"/>
      <c r="AB72" s="118"/>
      <c r="AC72" s="692"/>
      <c r="AD72" s="127"/>
      <c r="AE72" s="1103"/>
      <c r="AF72" s="692"/>
      <c r="AG72" s="127"/>
      <c r="AH72" s="127"/>
      <c r="AI72" s="1130"/>
      <c r="AJ72" s="363"/>
      <c r="AK72" s="327"/>
      <c r="AL72" s="334"/>
    </row>
    <row r="73" spans="1:39" s="1112" customFormat="1" ht="15.75">
      <c r="A73" s="107"/>
      <c r="B73" s="1788" t="s">
        <v>215</v>
      </c>
      <c r="C73" s="107"/>
      <c r="D73" s="107"/>
      <c r="E73" s="1587">
        <v>0</v>
      </c>
      <c r="F73" s="914"/>
      <c r="G73" s="1587">
        <v>0</v>
      </c>
      <c r="H73" s="914"/>
      <c r="I73" s="1587">
        <v>0</v>
      </c>
      <c r="J73" s="914"/>
      <c r="K73" s="1587">
        <f t="shared" ref="K73:K74" si="8">$AD73-$E73-$G73-$I73</f>
        <v>0</v>
      </c>
      <c r="L73" s="914"/>
      <c r="M73" s="1587"/>
      <c r="N73" s="914"/>
      <c r="O73" s="1587"/>
      <c r="P73" s="914"/>
      <c r="Q73" s="1587"/>
      <c r="R73" s="914"/>
      <c r="S73" s="1587"/>
      <c r="T73" s="1587"/>
      <c r="U73" s="1587"/>
      <c r="V73" s="914"/>
      <c r="W73" s="1587"/>
      <c r="X73" s="914"/>
      <c r="Y73" s="1587"/>
      <c r="Z73" s="914"/>
      <c r="AA73" s="1587"/>
      <c r="AB73" s="914"/>
      <c r="AC73" s="1454"/>
      <c r="AD73" s="1587">
        <v>0</v>
      </c>
      <c r="AE73" s="3361"/>
      <c r="AF73" s="1043"/>
      <c r="AG73" s="1587">
        <v>0</v>
      </c>
      <c r="AH73" s="119"/>
      <c r="AI73" s="1104"/>
      <c r="AJ73" s="1998">
        <f>-ROUND(AD73-AG73,1)</f>
        <v>0</v>
      </c>
      <c r="AK73" s="1124"/>
      <c r="AL73" s="1789">
        <f>ROUND(IF(AG73=0,0,AJ73/ABS(AG73)),3)</f>
        <v>0</v>
      </c>
      <c r="AM73" s="1124"/>
    </row>
    <row r="74" spans="1:39" s="1112" customFormat="1" ht="15.75">
      <c r="A74" s="107"/>
      <c r="B74" s="1788" t="s">
        <v>216</v>
      </c>
      <c r="C74" s="107"/>
      <c r="D74" s="107"/>
      <c r="E74" s="1587">
        <v>0</v>
      </c>
      <c r="F74" s="914"/>
      <c r="G74" s="1587">
        <v>0</v>
      </c>
      <c r="H74" s="914"/>
      <c r="I74" s="1587">
        <v>0</v>
      </c>
      <c r="J74" s="914"/>
      <c r="K74" s="1587">
        <f t="shared" si="8"/>
        <v>0</v>
      </c>
      <c r="L74" s="914"/>
      <c r="M74" s="1587"/>
      <c r="N74" s="914"/>
      <c r="O74" s="1587"/>
      <c r="P74" s="914"/>
      <c r="Q74" s="1587"/>
      <c r="R74" s="914"/>
      <c r="S74" s="1587"/>
      <c r="T74" s="1587"/>
      <c r="U74" s="1587"/>
      <c r="V74" s="914"/>
      <c r="W74" s="1587"/>
      <c r="X74" s="914"/>
      <c r="Y74" s="1587"/>
      <c r="Z74" s="914"/>
      <c r="AA74" s="1587"/>
      <c r="AB74" s="914"/>
      <c r="AC74" s="1454"/>
      <c r="AD74" s="3362">
        <v>0</v>
      </c>
      <c r="AE74" s="3361"/>
      <c r="AF74" s="1043"/>
      <c r="AG74" s="3362">
        <v>0</v>
      </c>
      <c r="AH74" s="67"/>
      <c r="AI74" s="1126"/>
      <c r="AJ74" s="1137">
        <f>-ROUND(AD74-AG74,1)</f>
        <v>0</v>
      </c>
      <c r="AK74" s="1124"/>
      <c r="AL74" s="1791">
        <f>ROUND(IF(AG74=0,0,AJ74/ABS(AG74)),3)</f>
        <v>0</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3"/>
      <c r="AF75" s="692"/>
      <c r="AG75" s="363"/>
      <c r="AH75" s="363"/>
      <c r="AI75" s="1131"/>
      <c r="AJ75" s="1138"/>
      <c r="AK75" s="364"/>
      <c r="AL75" s="1507"/>
      <c r="AM75" s="327"/>
    </row>
    <row r="76" spans="1:39" ht="15.75">
      <c r="A76" s="31"/>
      <c r="B76" s="29" t="s">
        <v>209</v>
      </c>
      <c r="C76" s="31"/>
      <c r="D76" s="107"/>
      <c r="E76" s="1133">
        <f>ROUND(SUM(E73:E75),1)</f>
        <v>0</v>
      </c>
      <c r="F76" s="118"/>
      <c r="G76" s="1133">
        <f>ROUND(SUM(G73:G75),1)</f>
        <v>0</v>
      </c>
      <c r="H76" s="118"/>
      <c r="I76" s="1133">
        <f>ROUND(SUM(I73:I75),1)</f>
        <v>0</v>
      </c>
      <c r="J76" s="118"/>
      <c r="K76" s="1133">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33">
        <f>ROUND(SUM(AA73:AA75),1)</f>
        <v>0</v>
      </c>
      <c r="AB76" s="118"/>
      <c r="AC76" s="692"/>
      <c r="AD76" s="1133">
        <f>ROUND(SUM(AD73:AD75),1)</f>
        <v>0</v>
      </c>
      <c r="AE76" s="1103"/>
      <c r="AF76" s="692"/>
      <c r="AG76" s="1133">
        <f>ROUND(SUM(AG73:AG75),1)</f>
        <v>0</v>
      </c>
      <c r="AH76" s="67"/>
      <c r="AI76" s="1126"/>
      <c r="AJ76" s="1133">
        <f>ROUND(SUM(AJ73:AJ75),1)</f>
        <v>0</v>
      </c>
      <c r="AK76" s="364"/>
      <c r="AL76" s="1470">
        <f>ROUND(IF(AG76=0,0,AJ76/ABS(AG76)),3)</f>
        <v>0</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3"/>
      <c r="AF77" s="692"/>
      <c r="AG77" s="126"/>
      <c r="AH77" s="67"/>
      <c r="AI77" s="1126"/>
      <c r="AJ77" s="126"/>
      <c r="AK77" s="327"/>
      <c r="AL77" s="1508"/>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3"/>
      <c r="AF78" s="692"/>
      <c r="AG78" s="118"/>
      <c r="AH78" s="118"/>
      <c r="AI78" s="1126"/>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3"/>
      <c r="AF79" s="692"/>
      <c r="AG79" s="118"/>
      <c r="AH79" s="118"/>
      <c r="AI79" s="1126"/>
      <c r="AJ79" s="363"/>
      <c r="AK79" s="327"/>
      <c r="AL79" s="334"/>
    </row>
    <row r="80" spans="1:39" ht="15.75">
      <c r="A80" s="31"/>
      <c r="B80" s="29" t="s">
        <v>168</v>
      </c>
      <c r="C80" s="31"/>
      <c r="D80" s="107"/>
      <c r="E80" s="1129">
        <f>ROUND(E70+E76,1)</f>
        <v>-67</v>
      </c>
      <c r="F80" s="67"/>
      <c r="G80" s="1129">
        <f>ROUND(G70+G76,1)</f>
        <v>21.9</v>
      </c>
      <c r="H80" s="67"/>
      <c r="I80" s="1129">
        <f>ROUND(I70+I76,1)</f>
        <v>-26</v>
      </c>
      <c r="J80" s="67"/>
      <c r="K80" s="1129">
        <f>ROUND(K70+K76,1)</f>
        <v>13.1</v>
      </c>
      <c r="L80" s="56"/>
      <c r="M80" s="1129">
        <f>ROUND(M70+M76,1)</f>
        <v>0</v>
      </c>
      <c r="N80" s="56"/>
      <c r="O80" s="1129">
        <f>ROUND(O70+O76,1)</f>
        <v>0</v>
      </c>
      <c r="P80" s="56"/>
      <c r="Q80" s="1129">
        <f>ROUND(Q70+Q76,1)</f>
        <v>0</v>
      </c>
      <c r="R80" s="56"/>
      <c r="S80" s="1129">
        <f>ROUND(S70+S76,1)</f>
        <v>0</v>
      </c>
      <c r="T80" s="56"/>
      <c r="U80" s="1129">
        <f>ROUND(U70+U76,1)</f>
        <v>0</v>
      </c>
      <c r="V80" s="56"/>
      <c r="W80" s="1129">
        <f>ROUND(W70+W76,1)</f>
        <v>0</v>
      </c>
      <c r="X80" s="56"/>
      <c r="Y80" s="1129">
        <f>ROUND(Y70+Y76,1)</f>
        <v>0</v>
      </c>
      <c r="Z80" s="56"/>
      <c r="AA80" s="1129">
        <f>ROUND(AA70+AA76,1)</f>
        <v>0</v>
      </c>
      <c r="AB80" s="67"/>
      <c r="AC80" s="1092"/>
      <c r="AD80" s="1129">
        <f>ROUND(AD70+AD76,1)</f>
        <v>-58</v>
      </c>
      <c r="AE80" s="3363"/>
      <c r="AF80" s="3366"/>
      <c r="AG80" s="1129">
        <f>ROUND(AG70+AG76,1)</f>
        <v>57.2</v>
      </c>
      <c r="AH80" s="1912"/>
      <c r="AI80" s="1913"/>
      <c r="AJ80" s="1129">
        <f>ROUND(AD80-AG80,1)</f>
        <v>-115.2</v>
      </c>
      <c r="AK80" s="349"/>
      <c r="AL80" s="1506">
        <f>ROUND(SUM(AD80-AG80)/ABS(AG80),3)</f>
        <v>-2.0139999999999998</v>
      </c>
      <c r="AM80" s="926"/>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2"/>
      <c r="AD81" s="139"/>
      <c r="AE81" s="3364"/>
      <c r="AF81" s="3367"/>
      <c r="AG81" s="139"/>
      <c r="AH81" s="1419"/>
      <c r="AI81" s="1420"/>
      <c r="AJ81" s="139"/>
      <c r="AK81" s="343"/>
      <c r="AL81" s="1533"/>
      <c r="AM81" s="926"/>
    </row>
    <row r="82" spans="1:39" ht="16.5" thickBot="1">
      <c r="A82" s="31"/>
      <c r="B82" s="29" t="s">
        <v>1211</v>
      </c>
      <c r="C82" s="31"/>
      <c r="D82" s="107"/>
      <c r="E82" s="1914">
        <f>ROUND(SUM(E14+E80),1)</f>
        <v>-571.70000000000005</v>
      </c>
      <c r="F82" s="118"/>
      <c r="G82" s="1914">
        <f>ROUND(SUM(G14+G80),1)</f>
        <v>-549.79999999999995</v>
      </c>
      <c r="H82" s="118"/>
      <c r="I82" s="1914">
        <f>ROUND(SUM(I14+I80),1)</f>
        <v>-575.79999999999995</v>
      </c>
      <c r="J82" s="118"/>
      <c r="K82" s="1914">
        <f>ROUND(SUM(K14+K80),1)</f>
        <v>-562.70000000000005</v>
      </c>
      <c r="L82" s="66"/>
      <c r="M82" s="1914">
        <f>ROUND(SUM(M14+M80),1)</f>
        <v>0</v>
      </c>
      <c r="N82" s="66"/>
      <c r="O82" s="1914">
        <f>ROUND(SUM(O14+O80),1)</f>
        <v>0</v>
      </c>
      <c r="P82" s="66"/>
      <c r="Q82" s="1914">
        <f>ROUND(SUM(Q14+Q80),1)</f>
        <v>0</v>
      </c>
      <c r="R82" s="66"/>
      <c r="S82" s="1914">
        <f>ROUND(SUM(S14+S80),1)</f>
        <v>0</v>
      </c>
      <c r="T82" s="66"/>
      <c r="U82" s="1914">
        <f>ROUND(SUM(U14+U80),1)</f>
        <v>0</v>
      </c>
      <c r="V82" s="66"/>
      <c r="W82" s="1914">
        <f>ROUND(SUM(W14+W80),1)</f>
        <v>0</v>
      </c>
      <c r="X82" s="66"/>
      <c r="Y82" s="1914">
        <f>ROUND(SUM(Y14+Y80),1)</f>
        <v>0</v>
      </c>
      <c r="Z82" s="66"/>
      <c r="AA82" s="1914">
        <f>ROUND(SUM(AA14+AA80),1)</f>
        <v>0</v>
      </c>
      <c r="AB82" s="118"/>
      <c r="AC82" s="1092"/>
      <c r="AD82" s="1914">
        <f>ROUND(SUM(AD14+AD80),1)</f>
        <v>-562.70000000000005</v>
      </c>
      <c r="AE82" s="3364"/>
      <c r="AF82" s="3367"/>
      <c r="AG82" s="1914">
        <f>ROUND(SUM(AG14+AG80),1)</f>
        <v>-525.6</v>
      </c>
      <c r="AH82" s="1419"/>
      <c r="AI82" s="1420"/>
      <c r="AJ82" s="1914">
        <f>ROUND(SUM(AJ14+AJ80),1)</f>
        <v>-37.1</v>
      </c>
      <c r="AK82" s="343"/>
      <c r="AL82" s="2181">
        <f>ROUND(SUM(AD82-AG82)/ABS(AG82),3)</f>
        <v>-7.0999999999999994E-2</v>
      </c>
      <c r="AM82" s="926"/>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9"/>
      <c r="AJ83" s="1124"/>
      <c r="AK83" s="327"/>
      <c r="AL83" s="1611"/>
    </row>
    <row r="84" spans="1:39">
      <c r="A84" s="31"/>
      <c r="B84" s="1522"/>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4"/>
      <c r="AK84" s="327"/>
      <c r="AL84" s="334"/>
    </row>
    <row r="85" spans="1:39">
      <c r="B85" s="31"/>
      <c r="Y85" s="357" t="s">
        <v>15</v>
      </c>
      <c r="AI85" s="1124"/>
      <c r="AJ85" s="1112" t="s">
        <v>15</v>
      </c>
      <c r="AK85" s="327"/>
      <c r="AL85" s="365"/>
    </row>
    <row r="90" spans="1:39">
      <c r="AD90" s="3365"/>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775" customWidth="1"/>
    <col min="29" max="30" width="1.77734375" style="1775" customWidth="1"/>
    <col min="31" max="31" width="12.44140625" style="1775" customWidth="1"/>
    <col min="32" max="32" width="1.77734375" style="2285" customWidth="1"/>
    <col min="33" max="33" width="2.44140625" style="3380" customWidth="1"/>
    <col min="34" max="34" width="10.21875" style="1723" bestFit="1" customWidth="1"/>
    <col min="35" max="35" width="1.77734375" style="1155" customWidth="1"/>
    <col min="36" max="36" width="14.21875" style="1154" bestFit="1" customWidth="1"/>
    <col min="37" max="16384" width="8.77734375" style="102"/>
  </cols>
  <sheetData>
    <row r="1" spans="1:254" ht="16.5" customHeight="1">
      <c r="A1" s="657" t="s">
        <v>980</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76"/>
      <c r="AC2" s="3276"/>
      <c r="AD2" s="3276"/>
      <c r="AE2" s="3276"/>
    </row>
    <row r="3" spans="1:254" ht="20.25" customHeight="1">
      <c r="A3" s="3753"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68"/>
      <c r="AC3" s="1768"/>
      <c r="AD3" s="1768"/>
      <c r="AE3" s="1768"/>
      <c r="AF3" s="107"/>
      <c r="AJ3" s="1194" t="s">
        <v>1097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53"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68"/>
      <c r="AC4" s="1768"/>
      <c r="AD4" s="1768"/>
      <c r="AE4" s="176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5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81"/>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54" t="str">
        <f>'Cashflow Governmental'!A6</f>
        <v>FISCAL YEAR 2019-2020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68"/>
      <c r="AC6" s="1768"/>
      <c r="AD6" s="1768"/>
      <c r="AE6" s="176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53" t="s">
        <v>1433</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68"/>
      <c r="AC7" s="1768"/>
      <c r="AD7" s="1768"/>
      <c r="AE7" s="176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76"/>
      <c r="AC8" s="3276"/>
      <c r="AD8" s="3276"/>
      <c r="AE8" s="3276"/>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76"/>
      <c r="AC9" s="3276"/>
      <c r="AD9" s="3276"/>
      <c r="AE9" s="3276"/>
      <c r="AF9" s="1110"/>
      <c r="AG9" s="3382"/>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76"/>
      <c r="AC10" s="3276"/>
      <c r="AD10" s="3276"/>
      <c r="AE10" s="3276"/>
      <c r="AF10" s="1775"/>
      <c r="AG10" s="3383"/>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76"/>
      <c r="AD11" s="3276"/>
      <c r="AE11" s="3276"/>
      <c r="AF11" s="3384"/>
      <c r="AG11" s="3385"/>
      <c r="AH11" s="3382"/>
      <c r="AI11" s="1156"/>
      <c r="AJ11" s="115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15" t="s">
        <v>1473</v>
      </c>
      <c r="AC12" s="3816"/>
      <c r="AD12" s="3816"/>
      <c r="AE12" s="3816"/>
      <c r="AF12" s="3816"/>
      <c r="AG12" s="3816"/>
      <c r="AH12" s="3816"/>
      <c r="AI12" s="3816"/>
      <c r="AJ12" s="3816"/>
    </row>
    <row r="13" spans="1:254" ht="16.5" customHeight="1">
      <c r="A13" s="221"/>
      <c r="B13" s="221"/>
      <c r="C13" s="927" t="str">
        <f>'Cashflow Governmental'!C13</f>
        <v>2019</v>
      </c>
      <c r="D13" s="230"/>
      <c r="E13" s="230"/>
      <c r="F13" s="230"/>
      <c r="G13" s="230"/>
      <c r="H13" s="230"/>
      <c r="I13" s="230"/>
      <c r="J13" s="230"/>
      <c r="K13" s="230"/>
      <c r="L13" s="230"/>
      <c r="M13" s="230"/>
      <c r="N13" s="230"/>
      <c r="O13" s="230"/>
      <c r="P13" s="230"/>
      <c r="Q13" s="230"/>
      <c r="R13" s="230"/>
      <c r="S13" s="230"/>
      <c r="T13" s="230"/>
      <c r="U13" s="927" t="str">
        <f>'Cashflow Governmental'!U13</f>
        <v>2020</v>
      </c>
      <c r="V13" s="230"/>
      <c r="W13" s="230"/>
      <c r="X13" s="230"/>
      <c r="Y13" s="230"/>
      <c r="Z13" s="230"/>
      <c r="AA13" s="230"/>
      <c r="AB13" s="3277"/>
      <c r="AC13" s="3368"/>
      <c r="AD13" s="3368"/>
      <c r="AE13" s="3368"/>
      <c r="AF13" s="3386"/>
      <c r="AG13" s="3387"/>
      <c r="AH13" s="3388" t="s">
        <v>8</v>
      </c>
      <c r="AI13" s="1158"/>
      <c r="AJ13" s="1159"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69" t="str">
        <f>'Cashflow Governmental'!AB14</f>
        <v>2019</v>
      </c>
      <c r="AC14" s="1767" t="s">
        <v>15</v>
      </c>
      <c r="AD14" s="1767"/>
      <c r="AE14" s="3369" t="str">
        <f>'Cashflow Governmental'!AE14</f>
        <v>2018</v>
      </c>
      <c r="AF14" s="3389"/>
      <c r="AG14" s="3390"/>
      <c r="AH14" s="3391" t="s">
        <v>12</v>
      </c>
      <c r="AI14" s="1161"/>
      <c r="AJ14" s="116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70"/>
      <c r="AC15" s="1768"/>
      <c r="AD15" s="1768"/>
      <c r="AE15" s="3370"/>
      <c r="AF15" s="3389"/>
      <c r="AG15" s="3390"/>
    </row>
    <row r="16" spans="1:254" ht="16.5" customHeight="1">
      <c r="A16" s="227" t="s">
        <v>137</v>
      </c>
      <c r="B16" s="221"/>
      <c r="C16" s="2211">
        <v>26.6</v>
      </c>
      <c r="D16" s="228"/>
      <c r="E16" s="228">
        <f>C55</f>
        <v>26.6</v>
      </c>
      <c r="F16" s="366"/>
      <c r="G16" s="228">
        <f>E55</f>
        <v>26.9</v>
      </c>
      <c r="H16" s="366"/>
      <c r="I16" s="228">
        <f>G55</f>
        <v>27.3</v>
      </c>
      <c r="J16" s="366"/>
      <c r="K16" s="228"/>
      <c r="L16" s="366"/>
      <c r="M16" s="228"/>
      <c r="N16" s="366"/>
      <c r="O16" s="228"/>
      <c r="P16" s="366"/>
      <c r="Q16" s="228"/>
      <c r="R16" s="366"/>
      <c r="S16" s="228"/>
      <c r="T16" s="366"/>
      <c r="U16" s="228"/>
      <c r="V16" s="366"/>
      <c r="W16" s="228"/>
      <c r="X16" s="366"/>
      <c r="Y16" s="228"/>
      <c r="Z16" s="228"/>
      <c r="AA16" s="229"/>
      <c r="AB16" s="3371">
        <f>C16</f>
        <v>26.6</v>
      </c>
      <c r="AC16" s="3371"/>
      <c r="AD16" s="3392"/>
      <c r="AE16" s="2211">
        <v>24.6</v>
      </c>
      <c r="AF16" s="1749"/>
      <c r="AG16" s="1733"/>
      <c r="AH16" s="1722">
        <f>ROUND(SUM(AB16-AE16),1)</f>
        <v>2</v>
      </c>
      <c r="AJ16" s="1163">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68" t="s">
        <v>15</v>
      </c>
      <c r="AC17" s="1768"/>
      <c r="AD17" s="3393"/>
      <c r="AE17" s="1768" t="s">
        <v>15</v>
      </c>
      <c r="AF17" s="1761"/>
      <c r="AG17" s="1733"/>
      <c r="AH17" s="3394"/>
      <c r="AJ17" s="115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68"/>
      <c r="AC18" s="1768"/>
      <c r="AD18" s="3393"/>
      <c r="AE18" s="1768"/>
      <c r="AF18" s="1734"/>
      <c r="AG18" s="1733"/>
      <c r="AH18" s="3394"/>
      <c r="AJ18" s="1155"/>
    </row>
    <row r="19" spans="1:38" ht="18.75" customHeight="1">
      <c r="A19" s="221" t="s">
        <v>179</v>
      </c>
      <c r="B19" s="221"/>
      <c r="C19" s="233">
        <v>4.8</v>
      </c>
      <c r="D19" s="233"/>
      <c r="E19" s="233">
        <v>6.1000000000000005</v>
      </c>
      <c r="F19" s="242"/>
      <c r="G19" s="233">
        <v>5.0999999999999988</v>
      </c>
      <c r="H19" s="242"/>
      <c r="I19" s="233">
        <f>$AB19-$C19-$E19-$G19</f>
        <v>5.4999999999999991</v>
      </c>
      <c r="J19" s="242"/>
      <c r="K19" s="233"/>
      <c r="L19" s="242"/>
      <c r="M19" s="233"/>
      <c r="N19" s="242"/>
      <c r="O19" s="1764"/>
      <c r="P19" s="242"/>
      <c r="Q19" s="1764"/>
      <c r="R19" s="242"/>
      <c r="S19" s="1764"/>
      <c r="T19" s="242"/>
      <c r="U19" s="1764"/>
      <c r="V19" s="242"/>
      <c r="W19" s="1764"/>
      <c r="X19" s="242"/>
      <c r="Y19" s="1764"/>
      <c r="Z19" s="233"/>
      <c r="AA19" s="234"/>
      <c r="AB19" s="2178">
        <v>21.5</v>
      </c>
      <c r="AC19" s="1614"/>
      <c r="AD19" s="1770"/>
      <c r="AE19" s="2178">
        <v>18.7</v>
      </c>
      <c r="AF19" s="1634"/>
      <c r="AG19" s="1733"/>
      <c r="AH19" s="3395">
        <f>ROUND(AB19-AE19,1)</f>
        <v>2.8</v>
      </c>
      <c r="AI19" s="1165"/>
      <c r="AJ19" s="1692">
        <f>ROUND(IF(AE19=0,0,AH19/ABS(AE19)),3)</f>
        <v>0.15</v>
      </c>
    </row>
    <row r="20" spans="1:38" ht="17.25" customHeight="1">
      <c r="A20" s="227" t="s">
        <v>218</v>
      </c>
      <c r="B20" s="221"/>
      <c r="C20" s="233">
        <v>1.1000000000000001</v>
      </c>
      <c r="D20" s="233"/>
      <c r="E20" s="233">
        <v>1</v>
      </c>
      <c r="F20" s="242"/>
      <c r="G20" s="233">
        <v>0.89999999999999991</v>
      </c>
      <c r="H20" s="242"/>
      <c r="I20" s="233">
        <f t="shared" ref="I20:I21" si="0">$AB20-$C20-$E20-$G20</f>
        <v>1</v>
      </c>
      <c r="J20" s="242"/>
      <c r="K20" s="233"/>
      <c r="L20" s="242"/>
      <c r="M20" s="233"/>
      <c r="N20" s="242"/>
      <c r="O20" s="1764"/>
      <c r="P20" s="242"/>
      <c r="Q20" s="1764"/>
      <c r="R20" s="242"/>
      <c r="S20" s="1764"/>
      <c r="T20" s="242"/>
      <c r="U20" s="1764"/>
      <c r="V20" s="242"/>
      <c r="W20" s="1764"/>
      <c r="X20" s="242"/>
      <c r="Y20" s="1764"/>
      <c r="Z20" s="233"/>
      <c r="AA20" s="234"/>
      <c r="AB20" s="2178">
        <v>4</v>
      </c>
      <c r="AC20" s="1614"/>
      <c r="AD20" s="1770"/>
      <c r="AE20" s="2178">
        <v>4.2</v>
      </c>
      <c r="AF20" s="1634"/>
      <c r="AG20" s="1733"/>
      <c r="AH20" s="3395">
        <f>ROUND(AB20-AE20,1)</f>
        <v>-0.2</v>
      </c>
      <c r="AI20" s="1165"/>
      <c r="AJ20" s="1598">
        <f>ROUND(IF(AE20=0,0,AH20/ABS(AE20)),3)</f>
        <v>-4.8000000000000001E-2</v>
      </c>
    </row>
    <row r="21" spans="1:38" ht="17.25" customHeight="1">
      <c r="A21" s="244" t="s">
        <v>219</v>
      </c>
      <c r="B21" s="221"/>
      <c r="C21" s="233">
        <v>187.5</v>
      </c>
      <c r="D21" s="233"/>
      <c r="E21" s="233">
        <v>139.19999999999999</v>
      </c>
      <c r="F21" s="242"/>
      <c r="G21" s="233">
        <v>134.89999999999998</v>
      </c>
      <c r="H21" s="242"/>
      <c r="I21" s="233">
        <f t="shared" si="0"/>
        <v>186.00000000000006</v>
      </c>
      <c r="J21" s="242"/>
      <c r="K21" s="233"/>
      <c r="L21" s="242"/>
      <c r="M21" s="233"/>
      <c r="N21" s="242"/>
      <c r="O21" s="1764"/>
      <c r="P21" s="242"/>
      <c r="Q21" s="1764"/>
      <c r="R21" s="242"/>
      <c r="S21" s="1764"/>
      <c r="T21" s="242"/>
      <c r="U21" s="1764"/>
      <c r="V21" s="242"/>
      <c r="W21" s="1764"/>
      <c r="X21" s="242"/>
      <c r="Y21" s="1764"/>
      <c r="Z21" s="233"/>
      <c r="AA21" s="234"/>
      <c r="AB21" s="2178">
        <v>647.6</v>
      </c>
      <c r="AC21" s="1614"/>
      <c r="AD21" s="1770"/>
      <c r="AE21" s="2178">
        <v>656.3</v>
      </c>
      <c r="AF21" s="1736"/>
      <c r="AG21" s="1739"/>
      <c r="AH21" s="3396">
        <f>ROUND(AB21-AE21,1)</f>
        <v>-8.6999999999999993</v>
      </c>
      <c r="AI21" s="1165"/>
      <c r="AJ21" s="1693">
        <f>ROUND(IF(AE21=0,0,AH21/ABS(AE21)),3)</f>
        <v>-1.2999999999999999E-2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66"/>
      <c r="X22" s="242"/>
      <c r="Y22" s="370"/>
      <c r="Z22" s="233"/>
      <c r="AA22" s="234"/>
      <c r="AB22" s="3372"/>
      <c r="AC22" s="1614"/>
      <c r="AD22" s="1770"/>
      <c r="AE22" s="3372"/>
      <c r="AF22" s="1631"/>
      <c r="AG22" s="1739"/>
      <c r="AH22" s="1750"/>
      <c r="AJ22" s="1155"/>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373">
        <f>ROUND(SUM(W19:W22),1)</f>
        <v>0</v>
      </c>
      <c r="X23" s="243"/>
      <c r="Y23" s="243">
        <f>ROUND(SUM(Y19:Y22),1)</f>
        <v>0</v>
      </c>
      <c r="Z23" s="235"/>
      <c r="AA23" s="236"/>
      <c r="AB23" s="3373">
        <f>ROUND(SUM(AB19:AB22),1)</f>
        <v>673.1</v>
      </c>
      <c r="AC23" s="3374"/>
      <c r="AD23" s="3397"/>
      <c r="AE23" s="3373">
        <f>ROUND(SUM(AE19:AE22),1)</f>
        <v>679.2</v>
      </c>
      <c r="AF23" s="1736"/>
      <c r="AG23" s="1739"/>
      <c r="AH23" s="3398">
        <f>ROUND(SUM(AH19:AH21),1)</f>
        <v>-6.1</v>
      </c>
      <c r="AI23" s="1167"/>
      <c r="AJ23" s="1168">
        <f>ROUND(IF(AH23=0,0,AH23/ABS(AE23)),3)</f>
        <v>-8.9999999999999993E-3</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72"/>
      <c r="AC24" s="1614"/>
      <c r="AD24" s="1770"/>
      <c r="AE24" s="3372"/>
      <c r="AF24" s="2273"/>
      <c r="AG24" s="1739"/>
      <c r="AH24" s="1750"/>
      <c r="AJ24" s="115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14"/>
      <c r="AC25" s="1614"/>
      <c r="AD25" s="1770"/>
      <c r="AE25" s="1614"/>
      <c r="AF25" s="2274"/>
      <c r="AG25" s="1739"/>
      <c r="AH25" s="1750"/>
      <c r="AJ25" s="115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14"/>
      <c r="AC26" s="1614"/>
      <c r="AD26" s="1770"/>
      <c r="AE26" s="1614"/>
      <c r="AF26" s="1734"/>
      <c r="AG26" s="1733"/>
      <c r="AH26" s="1750"/>
      <c r="AJ26" s="116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65"/>
      <c r="Y27" s="1765"/>
      <c r="Z27" s="1614"/>
      <c r="AA27" s="1770"/>
      <c r="AB27" s="1614"/>
      <c r="AC27" s="1614"/>
      <c r="AD27" s="1770"/>
      <c r="AE27" s="1614"/>
      <c r="AF27" s="1634"/>
      <c r="AG27" s="1733"/>
      <c r="AH27" s="1750"/>
      <c r="AI27" s="1170"/>
      <c r="AJ27" s="116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65"/>
      <c r="Y28" s="1765"/>
      <c r="Z28" s="1614"/>
      <c r="AA28" s="1770"/>
      <c r="AB28" s="1614"/>
      <c r="AC28" s="1614"/>
      <c r="AD28" s="1770"/>
      <c r="AE28" s="1614"/>
      <c r="AF28" s="2276"/>
      <c r="AG28" s="1739"/>
      <c r="AH28" s="1750"/>
      <c r="AJ28" s="1169"/>
    </row>
    <row r="29" spans="1:38" ht="16.5" customHeight="1">
      <c r="A29" s="221" t="s">
        <v>220</v>
      </c>
      <c r="B29" s="221"/>
      <c r="C29" s="233">
        <v>0.3</v>
      </c>
      <c r="D29" s="233"/>
      <c r="E29" s="233">
        <v>0.60000000000000009</v>
      </c>
      <c r="F29" s="242"/>
      <c r="G29" s="233">
        <v>0.29999999999999982</v>
      </c>
      <c r="H29" s="242"/>
      <c r="I29" s="233">
        <f t="shared" ref="I29:I32" si="1">$AB29-$C29-$E29-$G29</f>
        <v>0.30000000000000004</v>
      </c>
      <c r="J29" s="242"/>
      <c r="K29" s="233"/>
      <c r="L29" s="242"/>
      <c r="M29" s="233"/>
      <c r="N29" s="242"/>
      <c r="O29" s="1764"/>
      <c r="P29" s="242"/>
      <c r="Q29" s="1764"/>
      <c r="R29" s="242"/>
      <c r="S29" s="1764"/>
      <c r="T29" s="242"/>
      <c r="U29" s="1764"/>
      <c r="V29" s="242"/>
      <c r="W29" s="1764"/>
      <c r="X29" s="1765"/>
      <c r="Y29" s="1764"/>
      <c r="Z29" s="1614"/>
      <c r="AA29" s="1770"/>
      <c r="AB29" s="2178">
        <v>1.5</v>
      </c>
      <c r="AC29" s="1614"/>
      <c r="AD29" s="1770"/>
      <c r="AE29" s="2178">
        <v>1.8</v>
      </c>
      <c r="AF29" s="1734"/>
      <c r="AG29" s="1744"/>
      <c r="AH29" s="1750">
        <f>ROUND(SUM(AB29-AE29),1)</f>
        <v>-0.3</v>
      </c>
      <c r="AJ29" s="1171">
        <f>ROUND(IF(AH29=0,0,AH29/ABS(AE29)),3)</f>
        <v>-0.16700000000000001</v>
      </c>
    </row>
    <row r="30" spans="1:38" ht="16.5" customHeight="1">
      <c r="A30" s="221" t="s">
        <v>180</v>
      </c>
      <c r="B30" s="221"/>
      <c r="C30" s="233">
        <v>3.6</v>
      </c>
      <c r="D30" s="233"/>
      <c r="E30" s="233">
        <v>5.0999999999999996</v>
      </c>
      <c r="F30" s="242"/>
      <c r="G30" s="233">
        <v>4.5</v>
      </c>
      <c r="H30" s="242"/>
      <c r="I30" s="233">
        <f t="shared" si="1"/>
        <v>4.3999999999999986</v>
      </c>
      <c r="J30" s="242"/>
      <c r="K30" s="233"/>
      <c r="L30" s="242"/>
      <c r="M30" s="233"/>
      <c r="N30" s="242"/>
      <c r="O30" s="2178"/>
      <c r="P30" s="242"/>
      <c r="Q30" s="1764"/>
      <c r="R30" s="242"/>
      <c r="S30" s="1764"/>
      <c r="T30" s="242"/>
      <c r="U30" s="1764"/>
      <c r="V30" s="242"/>
      <c r="W30" s="1764"/>
      <c r="X30" s="1765"/>
      <c r="Y30" s="1764"/>
      <c r="Z30" s="1614"/>
      <c r="AA30" s="1770"/>
      <c r="AB30" s="2178">
        <v>17.599999999999998</v>
      </c>
      <c r="AC30" s="1614"/>
      <c r="AD30" s="1770"/>
      <c r="AE30" s="2178">
        <v>14.1</v>
      </c>
      <c r="AF30" s="1634"/>
      <c r="AG30" s="1744"/>
      <c r="AH30" s="1750">
        <f>ROUND(SUM(AB30-AE30),1)</f>
        <v>3.5</v>
      </c>
      <c r="AJ30" s="1171">
        <f>ROUND(IF(AH30=0,0,AH30/ABS(AE30)),3)</f>
        <v>0.248</v>
      </c>
    </row>
    <row r="31" spans="1:38" ht="16.5" customHeight="1">
      <c r="A31" s="221" t="s">
        <v>156</v>
      </c>
      <c r="B31" s="221"/>
      <c r="C31" s="233">
        <v>0.1</v>
      </c>
      <c r="D31" s="233"/>
      <c r="E31" s="233">
        <v>0</v>
      </c>
      <c r="F31" s="242"/>
      <c r="G31" s="233">
        <v>0.1</v>
      </c>
      <c r="H31" s="242"/>
      <c r="I31" s="233">
        <f t="shared" si="1"/>
        <v>9.9999999999999978E-2</v>
      </c>
      <c r="J31" s="242"/>
      <c r="K31" s="233"/>
      <c r="L31" s="242"/>
      <c r="M31" s="233"/>
      <c r="N31" s="242"/>
      <c r="O31" s="1764"/>
      <c r="P31" s="242"/>
      <c r="Q31" s="1764"/>
      <c r="R31" s="242"/>
      <c r="S31" s="1764"/>
      <c r="T31" s="242"/>
      <c r="U31" s="1764"/>
      <c r="V31" s="242"/>
      <c r="W31" s="1764"/>
      <c r="X31" s="1765"/>
      <c r="Y31" s="1764"/>
      <c r="Z31" s="1614"/>
      <c r="AA31" s="1770"/>
      <c r="AB31" s="2178">
        <v>0.3</v>
      </c>
      <c r="AC31" s="1614"/>
      <c r="AD31" s="1770"/>
      <c r="AE31" s="2178">
        <v>0.3</v>
      </c>
      <c r="AF31" s="1736"/>
      <c r="AG31" s="1743"/>
      <c r="AH31" s="1750">
        <f>ROUND(SUM(AB31-AE31),1)</f>
        <v>0</v>
      </c>
      <c r="AJ31" s="1615">
        <f>ROUND(IF(AE31=0,1,AH31/ABS(AE31)),3)</f>
        <v>0</v>
      </c>
    </row>
    <row r="32" spans="1:38" ht="16.5" customHeight="1">
      <c r="A32" s="244" t="s">
        <v>221</v>
      </c>
      <c r="B32" s="221"/>
      <c r="C32" s="233">
        <v>189.4</v>
      </c>
      <c r="D32" s="233"/>
      <c r="E32" s="233">
        <v>140.29999999999998</v>
      </c>
      <c r="F32" s="242"/>
      <c r="G32" s="233">
        <v>135.6</v>
      </c>
      <c r="H32" s="242"/>
      <c r="I32" s="233">
        <f t="shared" si="1"/>
        <v>187.20000000000007</v>
      </c>
      <c r="J32" s="242"/>
      <c r="K32" s="233"/>
      <c r="L32" s="242"/>
      <c r="M32" s="233"/>
      <c r="N32" s="242"/>
      <c r="O32" s="1764"/>
      <c r="P32" s="242"/>
      <c r="Q32" s="1764"/>
      <c r="R32" s="242"/>
      <c r="S32" s="1764"/>
      <c r="T32" s="242"/>
      <c r="U32" s="1764"/>
      <c r="V32" s="242"/>
      <c r="W32" s="1764"/>
      <c r="X32" s="242"/>
      <c r="Y32" s="1764"/>
      <c r="Z32" s="233"/>
      <c r="AA32" s="234"/>
      <c r="AB32" s="2178">
        <v>652.5</v>
      </c>
      <c r="AC32" s="1614"/>
      <c r="AD32" s="1770"/>
      <c r="AE32" s="2178">
        <v>660.7</v>
      </c>
      <c r="AF32" s="1736"/>
      <c r="AG32" s="1744"/>
      <c r="AH32" s="1762">
        <f>ROUND(SUM(AB32-AE32),1)</f>
        <v>-8.1999999999999993</v>
      </c>
      <c r="AJ32" s="1172">
        <f>ROUND(IF(AH32=0,0,AH32/ABS(AE32)),3)</f>
        <v>-1.2E-2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66"/>
      <c r="X33" s="242"/>
      <c r="Y33" s="370"/>
      <c r="Z33" s="233"/>
      <c r="AA33" s="234"/>
      <c r="AB33" s="3372"/>
      <c r="AC33" s="1614"/>
      <c r="AD33" s="1770"/>
      <c r="AE33" s="3372"/>
      <c r="AF33" s="2279"/>
      <c r="AG33" s="1743"/>
      <c r="AH33" s="1750"/>
      <c r="AI33" s="1173"/>
      <c r="AJ33" s="1169"/>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18">
        <f>ROUND(SUM(K29:K33),1)</f>
        <v>0</v>
      </c>
      <c r="L34" s="371"/>
      <c r="M34" s="918">
        <f>ROUND(SUM(M29:M33),1)</f>
        <v>0</v>
      </c>
      <c r="N34" s="243"/>
      <c r="O34" s="243">
        <f>ROUND(SUM(O29:O33),1)</f>
        <v>0</v>
      </c>
      <c r="P34" s="243"/>
      <c r="Q34" s="243">
        <f>ROUND(SUM(Q29:Q33),1)</f>
        <v>0</v>
      </c>
      <c r="R34" s="243"/>
      <c r="S34" s="243">
        <f>ROUND(SUM(S29:S33),1)</f>
        <v>0</v>
      </c>
      <c r="T34" s="243"/>
      <c r="U34" s="243">
        <f>ROUND(SUM(U29:U33),1)</f>
        <v>0</v>
      </c>
      <c r="V34" s="243"/>
      <c r="W34" s="3373">
        <f>ROUND(SUM(W29:W33),1)</f>
        <v>0</v>
      </c>
      <c r="X34" s="243"/>
      <c r="Y34" s="243">
        <f>ROUND(SUM(Y29:Y33),1)</f>
        <v>0</v>
      </c>
      <c r="Z34" s="235"/>
      <c r="AA34" s="236"/>
      <c r="AB34" s="3373">
        <f>ROUND(SUM(AB29:AB33),1)</f>
        <v>671.9</v>
      </c>
      <c r="AC34" s="3374"/>
      <c r="AD34" s="3397"/>
      <c r="AE34" s="3373">
        <f>ROUND(SUM(AE29:AE33),1)</f>
        <v>676.9</v>
      </c>
      <c r="AF34" s="1734"/>
      <c r="AG34" s="1733"/>
      <c r="AH34" s="3398">
        <f>ROUND(SUM(AH29:AH32),1)</f>
        <v>-5</v>
      </c>
      <c r="AI34" s="1167"/>
      <c r="AJ34" s="1168">
        <f>ROUND(IF(AH34=0,0,AH34/ABS(AE34)),3)</f>
        <v>-7.0000000000000001E-3</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72"/>
      <c r="AC35" s="3375"/>
      <c r="AD35" s="1770"/>
      <c r="AE35" s="3372"/>
      <c r="AF35" s="1634"/>
      <c r="AG35" s="1733"/>
      <c r="AH35" s="1750"/>
      <c r="AJ35" s="115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14"/>
      <c r="AC36" s="3375"/>
      <c r="AD36" s="1770"/>
      <c r="AE36" s="1614"/>
      <c r="AF36" s="2280"/>
      <c r="AG36" s="1771"/>
      <c r="AH36" s="1750"/>
      <c r="AI36" s="1170"/>
      <c r="AJ36" s="116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14"/>
      <c r="AC37" s="3375"/>
      <c r="AD37" s="1770"/>
      <c r="AE37" s="1614"/>
      <c r="AF37" s="2276"/>
      <c r="AG37" s="2281"/>
      <c r="AH37" s="1750"/>
      <c r="AI37" s="1170"/>
      <c r="AJ37" s="116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14"/>
      <c r="AC38" s="3375"/>
      <c r="AD38" s="1770"/>
      <c r="AE38" s="1614"/>
      <c r="AF38" s="2282"/>
      <c r="AG38" s="2283"/>
      <c r="AH38" s="1750"/>
      <c r="AI38" s="1170"/>
      <c r="AJ38" s="1169"/>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v>
      </c>
      <c r="L39" s="243"/>
      <c r="M39" s="243">
        <f>ROUND(M23-M34,1)</f>
        <v>0</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373">
        <f>ROUND(AB23-AB34,1)</f>
        <v>1.2</v>
      </c>
      <c r="AC39" s="3374"/>
      <c r="AD39" s="3397"/>
      <c r="AE39" s="3373">
        <f>ROUND(AE23-AE34,1)</f>
        <v>2.2999999999999998</v>
      </c>
      <c r="AF39" s="2284"/>
      <c r="AG39" s="1771"/>
      <c r="AH39" s="3398">
        <f>ROUND(SUM(AH23-AH34),1)</f>
        <v>-1.1000000000000001</v>
      </c>
      <c r="AI39" s="1167"/>
      <c r="AJ39" s="2189">
        <f>ROUND(IF(AH39=0,0,AH39/ABS(AE39)),3)</f>
        <v>-0.47799999999999998</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72"/>
      <c r="AC40" s="3375"/>
      <c r="AD40" s="1770"/>
      <c r="AE40" s="3372"/>
      <c r="AF40" s="117"/>
      <c r="AG40" s="1771"/>
      <c r="AH40" s="1750"/>
      <c r="AJ40" s="115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14"/>
      <c r="AC41" s="1614"/>
      <c r="AD41" s="1770"/>
      <c r="AE41" s="1614"/>
      <c r="AF41" s="140"/>
      <c r="AG41" s="1771"/>
      <c r="AH41" s="1750"/>
      <c r="AJ41" s="115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14"/>
      <c r="AC42" s="1614"/>
      <c r="AD42" s="1770"/>
      <c r="AE42" s="1614"/>
      <c r="AG42" s="1739"/>
      <c r="AH42" s="1750"/>
      <c r="AJ42" s="1169"/>
    </row>
    <row r="43" spans="1:37" s="1775" customFormat="1" ht="16.5" customHeight="1">
      <c r="A43" s="1767" t="s">
        <v>46</v>
      </c>
      <c r="B43" s="1768"/>
      <c r="C43" s="233"/>
      <c r="D43" s="233"/>
      <c r="E43" s="242"/>
      <c r="F43" s="242"/>
      <c r="G43" s="242"/>
      <c r="H43" s="242"/>
      <c r="I43" s="242"/>
      <c r="J43" s="1765"/>
      <c r="K43" s="1769"/>
      <c r="L43" s="1765"/>
      <c r="M43" s="1769"/>
      <c r="N43" s="1765"/>
      <c r="O43" s="1765"/>
      <c r="P43" s="1765"/>
      <c r="Q43" s="1765"/>
      <c r="R43" s="1765"/>
      <c r="S43" s="1765"/>
      <c r="T43" s="1765"/>
      <c r="U43" s="1765"/>
      <c r="V43" s="1765"/>
      <c r="W43" s="1765"/>
      <c r="X43" s="1765"/>
      <c r="Y43" s="1765"/>
      <c r="Z43" s="1614"/>
      <c r="AA43" s="1770"/>
      <c r="AB43" s="1614"/>
      <c r="AC43" s="1614"/>
      <c r="AD43" s="1770"/>
      <c r="AE43" s="1614"/>
      <c r="AF43" s="140"/>
      <c r="AG43" s="1771"/>
      <c r="AH43" s="1772"/>
      <c r="AI43" s="1773"/>
      <c r="AJ43" s="1774"/>
    </row>
    <row r="44" spans="1:37" ht="16.5" customHeight="1">
      <c r="A44" s="221" t="s">
        <v>182</v>
      </c>
      <c r="B44" s="221"/>
      <c r="C44" s="233">
        <v>0</v>
      </c>
      <c r="D44" s="233"/>
      <c r="E44" s="233">
        <v>0</v>
      </c>
      <c r="F44" s="242"/>
      <c r="G44" s="233">
        <v>0</v>
      </c>
      <c r="H44" s="1909"/>
      <c r="I44" s="233">
        <f t="shared" ref="I44:I45" si="2">$AB44-$C44-$E44-$G44</f>
        <v>0</v>
      </c>
      <c r="J44" s="242"/>
      <c r="K44" s="233"/>
      <c r="L44" s="242"/>
      <c r="M44" s="233"/>
      <c r="N44" s="242"/>
      <c r="O44" s="1764"/>
      <c r="P44" s="242"/>
      <c r="Q44" s="1764"/>
      <c r="R44" s="242"/>
      <c r="S44" s="1764"/>
      <c r="T44" s="242"/>
      <c r="U44" s="1764"/>
      <c r="V44" s="242"/>
      <c r="W44" s="1764"/>
      <c r="X44" s="242"/>
      <c r="Y44" s="1764"/>
      <c r="Z44" s="233"/>
      <c r="AA44" s="234"/>
      <c r="AB44" s="2178">
        <v>0</v>
      </c>
      <c r="AC44" s="1614"/>
      <c r="AD44" s="1770"/>
      <c r="AE44" s="2178">
        <v>0</v>
      </c>
      <c r="AF44" s="140"/>
      <c r="AG44" s="1771"/>
      <c r="AH44" s="1750">
        <f>ROUND(SUM(AB44-AE44),1)</f>
        <v>0</v>
      </c>
      <c r="AJ44" s="1450">
        <f>ROUND(IF(AH44=0,0,AH44/ABS(AE44)),3)</f>
        <v>0</v>
      </c>
    </row>
    <row r="45" spans="1:37" ht="16.5" customHeight="1">
      <c r="A45" s="221" t="s">
        <v>183</v>
      </c>
      <c r="B45" s="221"/>
      <c r="C45" s="233">
        <v>0</v>
      </c>
      <c r="D45" s="233"/>
      <c r="E45" s="233">
        <v>0</v>
      </c>
      <c r="F45" s="242"/>
      <c r="G45" s="233">
        <v>0</v>
      </c>
      <c r="H45" s="1909"/>
      <c r="I45" s="233">
        <f t="shared" si="2"/>
        <v>0</v>
      </c>
      <c r="J45" s="242"/>
      <c r="K45" s="233"/>
      <c r="L45" s="242"/>
      <c r="M45" s="233"/>
      <c r="N45" s="242"/>
      <c r="O45" s="1764"/>
      <c r="P45" s="242"/>
      <c r="Q45" s="1764"/>
      <c r="R45" s="242"/>
      <c r="S45" s="1764"/>
      <c r="T45" s="242"/>
      <c r="U45" s="1764"/>
      <c r="V45" s="242"/>
      <c r="W45" s="1764"/>
      <c r="X45" s="242"/>
      <c r="Y45" s="1764"/>
      <c r="Z45" s="233"/>
      <c r="AA45" s="234"/>
      <c r="AB45" s="2178">
        <v>0</v>
      </c>
      <c r="AC45" s="1614"/>
      <c r="AD45" s="1770"/>
      <c r="AE45" s="2178">
        <v>0</v>
      </c>
      <c r="AF45" s="140"/>
      <c r="AG45" s="1771"/>
      <c r="AH45" s="3399">
        <f>-ROUND(SUM(AB45-AE45),1)</f>
        <v>0</v>
      </c>
      <c r="AJ45" s="1565">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72"/>
      <c r="AC46" s="1614"/>
      <c r="AD46" s="1770"/>
      <c r="AE46" s="3372"/>
      <c r="AF46" s="140"/>
      <c r="AG46" s="1771"/>
      <c r="AH46" s="3394"/>
      <c r="AJ46" s="1509"/>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76">
        <f>ROUND(SUM(AB44+AB45),1)</f>
        <v>0</v>
      </c>
      <c r="AC47" s="3374"/>
      <c r="AD47" s="3397"/>
      <c r="AE47" s="3376">
        <f>ROUND(SUM(AE44+AE45),1)</f>
        <v>0</v>
      </c>
      <c r="AF47" s="107"/>
      <c r="AG47" s="1739"/>
      <c r="AH47" s="3398">
        <f>ROUND(SUM(AH44:AH45),1)</f>
        <v>0</v>
      </c>
      <c r="AI47" s="1175"/>
      <c r="AJ47" s="116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72"/>
      <c r="AC48" s="1614"/>
      <c r="AD48" s="1770"/>
      <c r="AE48" s="3372"/>
      <c r="AG48" s="1739"/>
      <c r="AH48" s="3394"/>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14"/>
      <c r="AC49" s="1614"/>
      <c r="AD49" s="1770"/>
      <c r="AE49" s="1614"/>
      <c r="AG49" s="1739"/>
      <c r="AH49" s="3394"/>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14"/>
      <c r="AC50" s="1614"/>
      <c r="AD50" s="1770"/>
      <c r="AE50" s="1614"/>
      <c r="AG50" s="1739"/>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14"/>
      <c r="AC51" s="1614"/>
      <c r="AD51" s="1770"/>
      <c r="AE51" s="1614"/>
      <c r="AG51" s="1739"/>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14"/>
      <c r="AC52" s="1614"/>
      <c r="AD52" s="1770"/>
      <c r="AE52" s="1614"/>
      <c r="AG52" s="1739"/>
    </row>
    <row r="53" spans="1:39" ht="16.5" customHeight="1">
      <c r="A53" s="230" t="s">
        <v>168</v>
      </c>
      <c r="B53" s="221"/>
      <c r="C53" s="243">
        <f>ROUND(C39+C47,1)</f>
        <v>0</v>
      </c>
      <c r="D53" s="235"/>
      <c r="E53" s="243">
        <f>ROUND(E39+E47,1)</f>
        <v>0.3</v>
      </c>
      <c r="F53" s="243"/>
      <c r="G53" s="243">
        <f>ROUND(G39+G47,1)</f>
        <v>0.4</v>
      </c>
      <c r="H53" s="243"/>
      <c r="I53" s="243">
        <f>ROUND(I39+I47,1)</f>
        <v>0.5</v>
      </c>
      <c r="J53" s="243"/>
      <c r="K53" s="918">
        <f>ROUND(K39+K47,1)</f>
        <v>0</v>
      </c>
      <c r="L53" s="243"/>
      <c r="M53" s="243">
        <f>ROUND(M39+M47,1)</f>
        <v>0</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373">
        <f>ROUND(AB39+AB47,1)</f>
        <v>1.2</v>
      </c>
      <c r="AC53" s="3374"/>
      <c r="AD53" s="3397"/>
      <c r="AE53" s="3373">
        <f>ROUND(AE39+AE47,1)</f>
        <v>2.2999999999999998</v>
      </c>
      <c r="AG53" s="1739"/>
      <c r="AH53" s="3398">
        <f>ROUND(SUM(AH39+AH47),1)</f>
        <v>-1.1000000000000001</v>
      </c>
      <c r="AI53" s="1146"/>
      <c r="AJ53" s="2189">
        <f>ROUND(IF(AH53=0,0,AH53/ABS(AE53)),3)</f>
        <v>-0.47799999999999998</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77"/>
      <c r="AC54" s="1767"/>
      <c r="AD54" s="3400"/>
      <c r="AE54" s="3377"/>
      <c r="AG54" s="1739"/>
      <c r="AJ54" s="1155"/>
      <c r="AK54" s="367"/>
      <c r="AL54" s="367"/>
      <c r="AM54" s="367"/>
    </row>
    <row r="55" spans="1:39" ht="16.5" customHeight="1" thickBot="1">
      <c r="A55" s="230" t="s">
        <v>142</v>
      </c>
      <c r="B55" s="221"/>
      <c r="C55" s="228">
        <f>ROUND(C16+C53,1)</f>
        <v>26.6</v>
      </c>
      <c r="D55" s="228"/>
      <c r="E55" s="228">
        <f>ROUND(E16+E53,1)</f>
        <v>26.9</v>
      </c>
      <c r="F55" s="366"/>
      <c r="G55" s="228">
        <f>ROUND(G16+G53,1)</f>
        <v>27.3</v>
      </c>
      <c r="H55" s="366"/>
      <c r="I55" s="920">
        <f>ROUND(I16+I53,1)</f>
        <v>27.8</v>
      </c>
      <c r="J55" s="379"/>
      <c r="K55" s="228">
        <f>ROUND(K16+K53,1)</f>
        <v>0</v>
      </c>
      <c r="L55" s="379"/>
      <c r="M55" s="228">
        <f>ROUND(M16+M53,1)</f>
        <v>0</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371">
        <f>ROUND(AB16+AB53,1)</f>
        <v>27.8</v>
      </c>
      <c r="AC55" s="3371"/>
      <c r="AD55" s="3392"/>
      <c r="AE55" s="3371">
        <f>ROUND(AE16+AE53,1)</f>
        <v>26.9</v>
      </c>
      <c r="AG55" s="1739"/>
      <c r="AH55" s="3401">
        <f>ROUND(SUM(AB55-AE55),1)</f>
        <v>0.9</v>
      </c>
      <c r="AI55" s="1174"/>
      <c r="AJ55" s="1176">
        <f>ROUND(IF(AH55=0,0,AH55/ABS(AE55)),3)</f>
        <v>3.3000000000000002E-2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78"/>
      <c r="AC56" s="3379"/>
      <c r="AD56" s="3379"/>
      <c r="AE56" s="3378"/>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4" firstPageNumber="34"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10" customWidth="1"/>
    <col min="25" max="26" width="1.77734375" style="1110" customWidth="1"/>
    <col min="27" max="27" width="11.5546875" style="1110" customWidth="1"/>
    <col min="28" max="29" width="1.77734375" style="1110" customWidth="1"/>
    <col min="30" max="30" width="11.5546875" style="1110" customWidth="1"/>
    <col min="31" max="31" width="1.77734375" style="2285" customWidth="1"/>
    <col min="32" max="32" width="2.44140625" style="3380" customWidth="1"/>
    <col min="33" max="33" width="10.21875" style="1723" bestFit="1" customWidth="1"/>
    <col min="34" max="34" width="1.77734375" style="1155" customWidth="1"/>
    <col min="35" max="35" width="11.109375" style="1154" customWidth="1"/>
    <col min="36" max="16384" width="8.77734375" style="208"/>
  </cols>
  <sheetData>
    <row r="1" spans="1:251" ht="16.5" customHeight="1">
      <c r="A1" s="657" t="s">
        <v>980</v>
      </c>
    </row>
    <row r="2" spans="1:251" ht="16.5" customHeight="1">
      <c r="A2" s="842"/>
    </row>
    <row r="3" spans="1:251" ht="20.25" customHeight="1">
      <c r="A3" s="3755" t="s">
        <v>0</v>
      </c>
      <c r="B3" s="321"/>
      <c r="C3" s="381"/>
      <c r="D3" s="381"/>
      <c r="E3" s="381"/>
      <c r="F3" s="381"/>
      <c r="G3" s="381"/>
      <c r="H3" s="381"/>
      <c r="I3" s="381"/>
      <c r="J3" s="381"/>
      <c r="K3" s="381"/>
      <c r="L3" s="381"/>
      <c r="M3" s="381"/>
      <c r="N3" s="381"/>
      <c r="O3" s="381"/>
      <c r="P3" s="381"/>
      <c r="Q3" s="381"/>
      <c r="R3" s="381"/>
      <c r="S3" s="381"/>
      <c r="T3" s="381"/>
      <c r="U3" s="381"/>
      <c r="V3" s="381"/>
      <c r="W3" s="381"/>
      <c r="X3" s="3402"/>
      <c r="Y3" s="3402"/>
      <c r="Z3" s="3402"/>
      <c r="AA3" s="3402"/>
      <c r="AB3" s="3402"/>
      <c r="AC3" s="3402"/>
      <c r="AD3" s="3402"/>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55" t="s">
        <v>222</v>
      </c>
      <c r="B4" s="321"/>
      <c r="C4" s="381"/>
      <c r="D4" s="381"/>
      <c r="E4" s="381"/>
      <c r="F4" s="381"/>
      <c r="G4" s="381"/>
      <c r="H4" s="321" t="s">
        <v>15</v>
      </c>
      <c r="I4" s="381"/>
      <c r="J4" s="381"/>
      <c r="K4" s="381"/>
      <c r="L4" s="381"/>
      <c r="M4" s="381"/>
      <c r="N4" s="381"/>
      <c r="O4" s="381"/>
      <c r="P4" s="381"/>
      <c r="Q4" s="381"/>
      <c r="R4" s="381"/>
      <c r="S4" s="381"/>
      <c r="T4" s="381"/>
      <c r="U4" s="381"/>
      <c r="V4" s="381"/>
      <c r="W4" s="381"/>
      <c r="X4" s="3402" t="s">
        <v>15</v>
      </c>
      <c r="Y4" s="3402"/>
      <c r="Z4" s="3402"/>
      <c r="AA4" s="3402"/>
      <c r="AB4" s="3402"/>
      <c r="AC4" s="3402"/>
      <c r="AD4" s="3402"/>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55" t="s">
        <v>223</v>
      </c>
      <c r="B5" s="321"/>
      <c r="C5" s="381"/>
      <c r="D5" s="381"/>
      <c r="E5" s="381"/>
      <c r="F5" s="381"/>
      <c r="G5" s="381"/>
      <c r="H5" s="381"/>
      <c r="I5" s="381"/>
      <c r="J5" s="381"/>
      <c r="K5" s="381"/>
      <c r="L5" s="381"/>
      <c r="M5" s="381"/>
      <c r="N5" s="381"/>
      <c r="O5" s="381"/>
      <c r="P5" s="381"/>
      <c r="Q5" s="381"/>
      <c r="R5" s="381"/>
      <c r="S5" s="381"/>
      <c r="T5" s="381"/>
      <c r="U5" s="381"/>
      <c r="V5" s="381"/>
      <c r="W5" s="381"/>
      <c r="X5" s="3402"/>
      <c r="Y5" s="3402"/>
      <c r="Z5" s="3402"/>
      <c r="AB5" s="3403"/>
      <c r="AC5" s="3403"/>
      <c r="AD5" s="3403"/>
      <c r="AE5" s="3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56" t="str">
        <f>'Cashflow Governmental'!A6</f>
        <v>FISCAL YEAR 2019-2020</v>
      </c>
      <c r="B6" s="321"/>
      <c r="C6" s="381"/>
      <c r="D6" s="381"/>
      <c r="E6" s="381"/>
      <c r="F6" s="381"/>
      <c r="G6" s="381"/>
      <c r="H6" s="381"/>
      <c r="I6" s="381"/>
      <c r="J6" s="381"/>
      <c r="K6" s="381"/>
      <c r="L6" s="381"/>
      <c r="M6" s="381"/>
      <c r="N6" s="381"/>
      <c r="O6" s="381"/>
      <c r="P6" s="381"/>
      <c r="Q6" s="381"/>
      <c r="R6" s="381"/>
      <c r="S6" s="381"/>
      <c r="T6" s="381"/>
      <c r="U6" s="381"/>
      <c r="V6" s="381"/>
      <c r="W6" s="381"/>
      <c r="X6" s="3402"/>
      <c r="Y6" s="3402"/>
      <c r="Z6" s="3402"/>
      <c r="AA6" s="3402"/>
      <c r="AB6" s="3402"/>
      <c r="AC6" s="3402"/>
      <c r="AD6" s="3402"/>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55" t="s">
        <v>1433</v>
      </c>
      <c r="B7" s="321"/>
      <c r="C7" s="381"/>
      <c r="D7" s="381"/>
      <c r="E7" s="381"/>
      <c r="F7" s="381"/>
      <c r="G7" s="381"/>
      <c r="H7" s="381"/>
      <c r="I7" s="381"/>
      <c r="J7" s="381"/>
      <c r="K7" s="381"/>
      <c r="L7" s="381"/>
      <c r="M7" s="381"/>
      <c r="N7" s="381"/>
      <c r="O7" s="381"/>
      <c r="P7" s="381"/>
      <c r="Q7" s="381"/>
      <c r="R7" s="381"/>
      <c r="S7" s="381"/>
      <c r="T7" s="381"/>
      <c r="U7" s="381"/>
      <c r="V7" s="381"/>
      <c r="W7" s="381"/>
      <c r="X7" s="3402"/>
      <c r="Y7" s="3402"/>
      <c r="Z7" s="3402"/>
      <c r="AA7" s="3402"/>
      <c r="AB7" s="3402"/>
      <c r="AC7" s="3402"/>
      <c r="AD7" s="3402"/>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86"/>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04"/>
      <c r="Y9" s="3404"/>
      <c r="Z9" s="3404"/>
      <c r="AA9" s="3404"/>
      <c r="AB9" s="3404"/>
      <c r="AC9" s="3404"/>
      <c r="AD9" s="3404"/>
      <c r="AE9" s="1110"/>
      <c r="AF9" s="3382"/>
      <c r="AG9" s="3382"/>
      <c r="AH9" s="1156"/>
      <c r="AI9" s="1156"/>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05"/>
      <c r="Y10" s="3405"/>
      <c r="Z10" s="3406"/>
      <c r="AA10" s="3817" t="s">
        <v>1473</v>
      </c>
      <c r="AB10" s="3818"/>
      <c r="AC10" s="3818"/>
      <c r="AD10" s="3818"/>
      <c r="AE10" s="3818"/>
      <c r="AF10" s="3818"/>
      <c r="AG10" s="3818"/>
      <c r="AH10" s="3818"/>
      <c r="AI10" s="3818"/>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14"/>
      <c r="Y11" s="1714"/>
      <c r="Z11" s="3406"/>
      <c r="AA11" s="3406"/>
      <c r="AB11" s="3406"/>
      <c r="AC11" s="3406"/>
      <c r="AD11" s="3406"/>
      <c r="AE11" s="3384"/>
      <c r="AF11" s="3385"/>
      <c r="AG11" s="3388" t="s">
        <v>8</v>
      </c>
      <c r="AH11" s="1158"/>
      <c r="AI11" s="1159"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407" t="s">
        <v>186</v>
      </c>
      <c r="Y12" s="1714"/>
      <c r="Z12" s="1714"/>
      <c r="AA12" s="3408" t="str">
        <f>'Cashflow Governmental'!AB14</f>
        <v>2019</v>
      </c>
      <c r="AB12" s="1714" t="s">
        <v>15</v>
      </c>
      <c r="AC12" s="1714"/>
      <c r="AD12" s="3408" t="str">
        <f>'Cashflow Governmental'!AE14</f>
        <v>2018</v>
      </c>
      <c r="AE12" s="3423"/>
      <c r="AF12" s="3424"/>
      <c r="AG12" s="3391" t="s">
        <v>12</v>
      </c>
      <c r="AH12" s="1161"/>
      <c r="AI12" s="1160"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409"/>
      <c r="Y13" s="3410"/>
      <c r="Z13" s="3410"/>
      <c r="AA13" s="3409"/>
      <c r="AB13" s="3410"/>
      <c r="AC13" s="3410"/>
      <c r="AD13" s="3409"/>
      <c r="AE13" s="3386"/>
      <c r="AF13" s="1721"/>
    </row>
    <row r="14" spans="1:251" ht="16.5" customHeight="1">
      <c r="A14" s="322" t="s">
        <v>137</v>
      </c>
      <c r="B14" s="2211">
        <v>-302.7</v>
      </c>
      <c r="C14" s="384"/>
      <c r="D14" s="384">
        <f>B50</f>
        <v>-293.39999999999998</v>
      </c>
      <c r="E14" s="384"/>
      <c r="F14" s="384">
        <f>D50</f>
        <v>-318.60000000000002</v>
      </c>
      <c r="G14" s="384"/>
      <c r="H14" s="384">
        <f>F50</f>
        <v>-293.7</v>
      </c>
      <c r="I14" s="384" t="s">
        <v>15</v>
      </c>
      <c r="J14" s="384" t="s">
        <v>15</v>
      </c>
      <c r="K14" s="384"/>
      <c r="L14" s="384" t="s">
        <v>15</v>
      </c>
      <c r="M14" s="384"/>
      <c r="N14" s="384" t="s">
        <v>15</v>
      </c>
      <c r="O14" s="384"/>
      <c r="P14" s="384" t="s">
        <v>15</v>
      </c>
      <c r="Q14" s="384"/>
      <c r="R14" s="384" t="s">
        <v>15</v>
      </c>
      <c r="S14" s="384"/>
      <c r="T14" s="384" t="s">
        <v>15</v>
      </c>
      <c r="U14" s="384"/>
      <c r="V14" s="384" t="s">
        <v>15</v>
      </c>
      <c r="W14" s="384"/>
      <c r="X14" s="1716" t="s">
        <v>15</v>
      </c>
      <c r="Y14" s="1716"/>
      <c r="Z14" s="3411"/>
      <c r="AA14" s="1716">
        <f>B14</f>
        <v>-302.7</v>
      </c>
      <c r="AB14" s="3412"/>
      <c r="AC14" s="2282"/>
      <c r="AD14" s="2211">
        <v>-269.2</v>
      </c>
      <c r="AE14" s="3389"/>
      <c r="AF14" s="3425"/>
      <c r="AG14" s="1722">
        <f>ROUND(SUM(AA14-AD14),1)</f>
        <v>-33.5</v>
      </c>
      <c r="AI14" s="1407">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89"/>
      <c r="Y15" s="3389"/>
      <c r="Z15" s="3413"/>
      <c r="AA15" s="3389"/>
      <c r="AB15" s="3414"/>
      <c r="AC15" s="3415"/>
      <c r="AD15" s="3389"/>
      <c r="AE15" s="3389"/>
      <c r="AF15" s="3425"/>
      <c r="AG15" s="3394"/>
      <c r="AI15" s="1155"/>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89"/>
      <c r="Y16" s="3389"/>
      <c r="Z16" s="3413"/>
      <c r="AA16" s="3389"/>
      <c r="AB16" s="3414"/>
      <c r="AC16" s="3415"/>
      <c r="AD16" s="3389"/>
      <c r="AE16" s="1749"/>
      <c r="AF16" s="1733"/>
      <c r="AG16" s="1750"/>
      <c r="AI16" s="1169"/>
    </row>
    <row r="17" spans="1:36" s="1110" customFormat="1" ht="16.5" customHeight="1">
      <c r="A17" s="193" t="s">
        <v>179</v>
      </c>
      <c r="B17" s="237">
        <v>33.200000000000003</v>
      </c>
      <c r="C17" s="237"/>
      <c r="D17" s="237">
        <v>32.5</v>
      </c>
      <c r="E17" s="237"/>
      <c r="F17" s="237">
        <v>42.3</v>
      </c>
      <c r="G17" s="237"/>
      <c r="H17" s="237">
        <f>$AA17-$B17-$D17-$F17</f>
        <v>56.59999999999998</v>
      </c>
      <c r="I17" s="1634"/>
      <c r="J17" s="237"/>
      <c r="K17" s="1634"/>
      <c r="L17" s="237"/>
      <c r="M17" s="1634"/>
      <c r="N17" s="1631"/>
      <c r="O17" s="1634"/>
      <c r="P17" s="1631"/>
      <c r="Q17" s="1634"/>
      <c r="R17" s="1631"/>
      <c r="S17" s="1634"/>
      <c r="T17" s="1631"/>
      <c r="U17" s="1634"/>
      <c r="V17" s="1631"/>
      <c r="W17" s="1634"/>
      <c r="X17" s="1631"/>
      <c r="Y17" s="1634"/>
      <c r="Z17" s="1760"/>
      <c r="AA17" s="3416">
        <v>164.6</v>
      </c>
      <c r="AB17" s="3417"/>
      <c r="AC17" s="1734"/>
      <c r="AD17" s="3416">
        <v>173</v>
      </c>
      <c r="AE17" s="1761"/>
      <c r="AF17" s="1733"/>
      <c r="AG17" s="1762">
        <f>ROUND(SUM(AA17-AD17),1)</f>
        <v>-8.4</v>
      </c>
      <c r="AH17" s="1723"/>
      <c r="AI17" s="1763">
        <f>ROUND(IF(AG17=0,0,AG17/ABS(AD17)),3)</f>
        <v>-4.9000000000000002E-2</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75"/>
      <c r="Y18" s="1634"/>
      <c r="Z18" s="1760"/>
      <c r="AA18" s="1043"/>
      <c r="AB18" s="3417"/>
      <c r="AC18" s="1734"/>
      <c r="AD18" s="1043"/>
      <c r="AE18" s="1734"/>
      <c r="AF18" s="1733"/>
      <c r="AG18" s="1750"/>
      <c r="AI18" s="1155"/>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0</v>
      </c>
      <c r="K19" s="389"/>
      <c r="L19" s="389">
        <f>ROUND(SUM(L17),1)</f>
        <v>0</v>
      </c>
      <c r="M19" s="389"/>
      <c r="N19" s="389">
        <f>ROUND(SUM(N17),1)</f>
        <v>0</v>
      </c>
      <c r="O19" s="389"/>
      <c r="P19" s="389">
        <f>ROUND(SUM(P17),1)</f>
        <v>0</v>
      </c>
      <c r="Q19" s="389"/>
      <c r="R19" s="389">
        <f>ROUND(SUM(R17),1)</f>
        <v>0</v>
      </c>
      <c r="S19" s="389"/>
      <c r="T19" s="389">
        <f>ROUND(SUM(T17),1)</f>
        <v>0</v>
      </c>
      <c r="U19" s="389"/>
      <c r="V19" s="389">
        <f>ROUND(SUM(V17),1)</f>
        <v>0</v>
      </c>
      <c r="W19" s="389"/>
      <c r="X19" s="2277">
        <f>ROUND(SUM(X17),1)</f>
        <v>0</v>
      </c>
      <c r="Y19" s="2277"/>
      <c r="Z19" s="2278"/>
      <c r="AA19" s="2277">
        <f>ROUND(SUM(AA17),1)</f>
        <v>164.6</v>
      </c>
      <c r="AB19" s="3418"/>
      <c r="AC19" s="3419"/>
      <c r="AD19" s="2277">
        <f>ROUND(SUM(AD17),1)</f>
        <v>173</v>
      </c>
      <c r="AE19" s="1634"/>
      <c r="AF19" s="1733"/>
      <c r="AG19" s="3398">
        <f>ROUND(SUM(AG17),1)</f>
        <v>-8.4</v>
      </c>
      <c r="AH19" s="1167"/>
      <c r="AI19" s="1168">
        <f>ROUND(IF(AG19=0,0,AG19/ABS(AD19)),3)</f>
        <v>-4.9000000000000002E-2</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75"/>
      <c r="Y20" s="1634"/>
      <c r="Z20" s="1760"/>
      <c r="AA20" s="2275"/>
      <c r="AB20" s="3417"/>
      <c r="AC20" s="1734"/>
      <c r="AD20" s="2275"/>
      <c r="AE20" s="1634"/>
      <c r="AF20" s="1733"/>
      <c r="AG20" s="1750"/>
      <c r="AI20" s="1155"/>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34"/>
      <c r="Y21" s="1634"/>
      <c r="Z21" s="1760"/>
      <c r="AA21" s="1634"/>
      <c r="AB21" s="3417"/>
      <c r="AC21" s="1734"/>
      <c r="AD21" s="1634"/>
      <c r="AE21" s="1736"/>
      <c r="AF21" s="1739"/>
      <c r="AG21" s="1750"/>
      <c r="AI21" s="1155"/>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34"/>
      <c r="Y22" s="1634"/>
      <c r="Z22" s="1760"/>
      <c r="AA22" s="1634"/>
      <c r="AB22" s="3417"/>
      <c r="AC22" s="1734"/>
      <c r="AD22" s="1634"/>
      <c r="AE22" s="1631"/>
      <c r="AF22" s="1739"/>
      <c r="AG22" s="1750"/>
      <c r="AI22" s="1169"/>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34"/>
      <c r="Y23" s="1634"/>
      <c r="Z23" s="1760"/>
      <c r="AA23" s="1634"/>
      <c r="AB23" s="3417"/>
      <c r="AC23" s="1734"/>
      <c r="AD23" s="1634"/>
      <c r="AE23" s="1736"/>
      <c r="AF23" s="1739"/>
      <c r="AG23" s="1750"/>
      <c r="AH23" s="1170"/>
      <c r="AI23" s="1169"/>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34"/>
      <c r="Y24" s="1634"/>
      <c r="Z24" s="1760"/>
      <c r="AA24" s="1736"/>
      <c r="AB24" s="3417"/>
      <c r="AC24" s="1734"/>
      <c r="AD24" s="1736"/>
      <c r="AE24" s="2273"/>
      <c r="AF24" s="1739"/>
      <c r="AG24" s="1750"/>
      <c r="AI24" s="1169"/>
    </row>
    <row r="25" spans="1:36" ht="16.5" customHeight="1">
      <c r="A25" s="149" t="s">
        <v>220</v>
      </c>
      <c r="B25" s="237">
        <v>9.6999999999999993</v>
      </c>
      <c r="C25" s="237"/>
      <c r="D25" s="237">
        <v>14</v>
      </c>
      <c r="E25" s="237"/>
      <c r="F25" s="237">
        <v>9.5999999999999979</v>
      </c>
      <c r="G25" s="237"/>
      <c r="H25" s="237">
        <f>$AA25-$B25-$D25-$F25</f>
        <v>9.6999999999999993</v>
      </c>
      <c r="I25" s="1634"/>
      <c r="J25" s="237"/>
      <c r="K25" s="1634"/>
      <c r="L25" s="237"/>
      <c r="M25" s="1634"/>
      <c r="N25" s="1631"/>
      <c r="O25" s="1634"/>
      <c r="P25" s="1631"/>
      <c r="Q25" s="1634"/>
      <c r="R25" s="1631"/>
      <c r="S25" s="1634"/>
      <c r="T25" s="1631"/>
      <c r="U25" s="1634"/>
      <c r="V25" s="1631"/>
      <c r="W25" s="1634"/>
      <c r="X25" s="1631"/>
      <c r="Y25" s="1634"/>
      <c r="Z25" s="1760"/>
      <c r="AA25" s="1631">
        <v>43</v>
      </c>
      <c r="AB25" s="3417"/>
      <c r="AC25" s="1734"/>
      <c r="AD25" s="1631">
        <v>36</v>
      </c>
      <c r="AE25" s="2274"/>
      <c r="AF25" s="1739"/>
      <c r="AG25" s="1750">
        <f>ROUND(SUM(AA25-AD25),1)</f>
        <v>7</v>
      </c>
      <c r="AI25" s="1171">
        <f>ROUND(IF(AG25=0,0,AG25/ABS(AD25)),3)</f>
        <v>0.19400000000000001</v>
      </c>
    </row>
    <row r="26" spans="1:36" ht="16.5" customHeight="1">
      <c r="A26" s="149" t="s">
        <v>180</v>
      </c>
      <c r="B26" s="237">
        <v>24.4</v>
      </c>
      <c r="C26" s="237"/>
      <c r="D26" s="237">
        <v>56.300000000000004</v>
      </c>
      <c r="E26" s="237"/>
      <c r="F26" s="237">
        <v>5.8999999999999915</v>
      </c>
      <c r="G26" s="237"/>
      <c r="H26" s="237">
        <f t="shared" ref="H26:H27" si="0">$AA26-$B26-$D26-$F26</f>
        <v>34.70000000000001</v>
      </c>
      <c r="I26" s="1634"/>
      <c r="J26" s="237"/>
      <c r="K26" s="1634"/>
      <c r="L26" s="237"/>
      <c r="M26" s="1634"/>
      <c r="N26" s="1631"/>
      <c r="O26" s="1634"/>
      <c r="P26" s="1631"/>
      <c r="Q26" s="1634"/>
      <c r="R26" s="1631"/>
      <c r="S26" s="1634"/>
      <c r="T26" s="1631"/>
      <c r="U26" s="1634"/>
      <c r="V26" s="1631"/>
      <c r="W26" s="1634"/>
      <c r="X26" s="1631"/>
      <c r="Y26" s="1634"/>
      <c r="Z26" s="1760"/>
      <c r="AA26" s="1631">
        <v>121.3</v>
      </c>
      <c r="AB26" s="3417"/>
      <c r="AC26" s="1734"/>
      <c r="AD26" s="1631">
        <v>144.9</v>
      </c>
      <c r="AE26" s="1734"/>
      <c r="AF26" s="1733"/>
      <c r="AG26" s="1750">
        <f>ROUND(SUM(AA26-AD26),1)</f>
        <v>-23.6</v>
      </c>
      <c r="AI26" s="1171">
        <f>ROUND(IF(AG26=0,0,AG26/ABS(AD26)),3)</f>
        <v>-0.16300000000000001</v>
      </c>
      <c r="AJ26" s="3773"/>
    </row>
    <row r="27" spans="1:36" ht="16.5" customHeight="1">
      <c r="A27" s="149" t="s">
        <v>156</v>
      </c>
      <c r="B27" s="237">
        <v>4.0999999999999996</v>
      </c>
      <c r="C27" s="237"/>
      <c r="D27" s="237">
        <v>4.9000000000000004</v>
      </c>
      <c r="E27" s="237"/>
      <c r="F27" s="237">
        <v>6.6</v>
      </c>
      <c r="G27" s="237"/>
      <c r="H27" s="237">
        <f t="shared" si="0"/>
        <v>5.2000000000000028</v>
      </c>
      <c r="I27" s="1634"/>
      <c r="J27" s="237"/>
      <c r="K27" s="1634"/>
      <c r="L27" s="237"/>
      <c r="M27" s="1634"/>
      <c r="N27" s="1631"/>
      <c r="O27" s="1634"/>
      <c r="P27" s="1631"/>
      <c r="Q27" s="1634"/>
      <c r="R27" s="1631"/>
      <c r="S27" s="1634"/>
      <c r="T27" s="1631"/>
      <c r="U27" s="1634"/>
      <c r="V27" s="1631"/>
      <c r="W27" s="1634"/>
      <c r="X27" s="1631"/>
      <c r="Y27" s="1634"/>
      <c r="Z27" s="1760"/>
      <c r="AA27" s="1631">
        <v>20.8</v>
      </c>
      <c r="AB27" s="3417"/>
      <c r="AC27" s="1734"/>
      <c r="AD27" s="1631">
        <v>20.9</v>
      </c>
      <c r="AE27" s="1634"/>
      <c r="AF27" s="1733"/>
      <c r="AG27" s="1762">
        <f>ROUND(SUM(AA27-AD27),1)</f>
        <v>-0.1</v>
      </c>
      <c r="AI27" s="3782">
        <f>ROUND(IF(AD27=0,1,AG27/ABS(AD27)),3)</f>
        <v>-5.0000000000000001E-3</v>
      </c>
      <c r="AJ27" s="3773"/>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75"/>
      <c r="Y28" s="1634"/>
      <c r="Z28" s="1760"/>
      <c r="AA28" s="2275"/>
      <c r="AB28" s="3417"/>
      <c r="AC28" s="1734"/>
      <c r="AD28" s="2275"/>
      <c r="AE28" s="2276"/>
      <c r="AF28" s="1739"/>
      <c r="AG28" s="1750"/>
      <c r="AH28" s="1173"/>
      <c r="AI28" s="1169"/>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0</v>
      </c>
      <c r="K29" s="389"/>
      <c r="L29" s="389">
        <f>ROUND(SUM(L25:L28),1)</f>
        <v>0</v>
      </c>
      <c r="M29" s="389"/>
      <c r="N29" s="389">
        <f>ROUND(SUM(N25:N28),1)</f>
        <v>0</v>
      </c>
      <c r="O29" s="389"/>
      <c r="P29" s="389">
        <f>ROUND(SUM(P25:P28),1)</f>
        <v>0</v>
      </c>
      <c r="Q29" s="389"/>
      <c r="R29" s="389">
        <f>ROUND(SUM(R25:R28),1)</f>
        <v>0</v>
      </c>
      <c r="S29" s="389"/>
      <c r="T29" s="389">
        <f>ROUND(SUM(T25:T28),1)</f>
        <v>0</v>
      </c>
      <c r="U29" s="389"/>
      <c r="V29" s="389">
        <f>ROUND(SUM(V25:V28),1)</f>
        <v>0</v>
      </c>
      <c r="W29" s="389">
        <f>SUM(W25:W28)</f>
        <v>0</v>
      </c>
      <c r="X29" s="2277">
        <f>ROUND(SUM(X25:X27),1)</f>
        <v>0</v>
      </c>
      <c r="Y29" s="2277"/>
      <c r="Z29" s="2278"/>
      <c r="AA29" s="2277">
        <f>ROUND(SUM(AA24:AA27),1)</f>
        <v>185.1</v>
      </c>
      <c r="AB29" s="3418"/>
      <c r="AC29" s="3419"/>
      <c r="AD29" s="2277">
        <f>ROUND(SUM(AD24:AD27),1)</f>
        <v>201.8</v>
      </c>
      <c r="AE29" s="1734"/>
      <c r="AF29" s="1744"/>
      <c r="AG29" s="3398">
        <f>ROUND(SUM(AG25:AG27),1)</f>
        <v>-16.7</v>
      </c>
      <c r="AH29" s="1167"/>
      <c r="AI29" s="1168">
        <f>ROUND(IF(AG29=0,0,AG29/ABS(AD29)),3)</f>
        <v>-8.3000000000000004E-2</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75"/>
      <c r="Y30" s="1634"/>
      <c r="Z30" s="1760"/>
      <c r="AA30" s="2275"/>
      <c r="AB30" s="3417"/>
      <c r="AC30" s="1734"/>
      <c r="AD30" s="2275"/>
      <c r="AE30" s="1634"/>
      <c r="AF30" s="1744"/>
      <c r="AG30" s="1750"/>
      <c r="AI30" s="1155"/>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34"/>
      <c r="Y31" s="1634"/>
      <c r="Z31" s="1760"/>
      <c r="AA31" s="1634"/>
      <c r="AB31" s="3417"/>
      <c r="AC31" s="1734"/>
      <c r="AD31" s="1634"/>
      <c r="AE31" s="1736"/>
      <c r="AF31" s="1743"/>
      <c r="AG31" s="1750"/>
      <c r="AH31" s="1170"/>
      <c r="AI31" s="1169"/>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34"/>
      <c r="Y32" s="1634"/>
      <c r="Z32" s="1760"/>
      <c r="AA32" s="1634"/>
      <c r="AB32" s="3417"/>
      <c r="AC32" s="1734"/>
      <c r="AD32" s="1634"/>
      <c r="AE32" s="1736"/>
      <c r="AF32" s="1744"/>
      <c r="AG32" s="1750"/>
      <c r="AH32" s="1170"/>
      <c r="AI32" s="116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34"/>
      <c r="Y33" s="1634"/>
      <c r="Z33" s="1760"/>
      <c r="AA33" s="1634"/>
      <c r="AB33" s="3417"/>
      <c r="AC33" s="1734"/>
      <c r="AD33" s="1634"/>
      <c r="AE33" s="2279"/>
      <c r="AF33" s="1743"/>
      <c r="AG33" s="1750"/>
      <c r="AH33" s="1170"/>
      <c r="AI33" s="1169"/>
    </row>
    <row r="34" spans="1:35" ht="16.5" customHeight="1">
      <c r="A34" s="249" t="s">
        <v>45</v>
      </c>
      <c r="B34" s="389">
        <f>ROUND(B19-B29,1)</f>
        <v>-5</v>
      </c>
      <c r="C34" s="389"/>
      <c r="D34" s="389">
        <f>ROUND(D19-D29,1)</f>
        <v>-42.7</v>
      </c>
      <c r="E34" s="389"/>
      <c r="F34" s="389">
        <f>ROUND(F19-F29,1)</f>
        <v>20.2</v>
      </c>
      <c r="G34" s="389"/>
      <c r="H34" s="389">
        <f>ROUND(H19-H29,1)</f>
        <v>7</v>
      </c>
      <c r="I34" s="389"/>
      <c r="J34" s="389">
        <f>ROUND(J19-J29,1)</f>
        <v>0</v>
      </c>
      <c r="K34" s="389"/>
      <c r="L34" s="389">
        <f>ROUND(L19-L29,1)</f>
        <v>0</v>
      </c>
      <c r="M34" s="389"/>
      <c r="N34" s="389">
        <f>ROUND(N19-N29,1)</f>
        <v>0</v>
      </c>
      <c r="O34" s="389"/>
      <c r="P34" s="389">
        <f>ROUND(P19-P29,1)</f>
        <v>0</v>
      </c>
      <c r="Q34" s="389"/>
      <c r="R34" s="389">
        <f>ROUND(R19-R29,1)</f>
        <v>0</v>
      </c>
      <c r="S34" s="389"/>
      <c r="T34" s="389">
        <f>ROUND(T19-T29,1)</f>
        <v>0</v>
      </c>
      <c r="U34" s="389"/>
      <c r="V34" s="389">
        <f>ROUND(V19-V29,1)</f>
        <v>0</v>
      </c>
      <c r="W34" s="389"/>
      <c r="X34" s="2277">
        <f>ROUND(X19-X29,1)</f>
        <v>0</v>
      </c>
      <c r="Y34" s="2277"/>
      <c r="Z34" s="2278"/>
      <c r="AA34" s="2277">
        <f>ROUND(AA19-AA29,1)</f>
        <v>-20.5</v>
      </c>
      <c r="AB34" s="3418"/>
      <c r="AC34" s="3419"/>
      <c r="AD34" s="2277">
        <f>ROUND(AD19-AD29,1)</f>
        <v>-28.8</v>
      </c>
      <c r="AE34" s="1734"/>
      <c r="AF34" s="1733"/>
      <c r="AG34" s="3398">
        <f>ROUND(SUM(AG19-AG29),1)</f>
        <v>8.3000000000000007</v>
      </c>
      <c r="AH34" s="1167"/>
      <c r="AI34" s="2189">
        <f>ROUND(IF(AG34=0,0,AG34/ABS(AD34)),3)</f>
        <v>0.28799999999999998</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75"/>
      <c r="Y35" s="1634"/>
      <c r="Z35" s="1760"/>
      <c r="AA35" s="2275"/>
      <c r="AB35" s="3417"/>
      <c r="AC35" s="1734"/>
      <c r="AD35" s="2275"/>
      <c r="AE35" s="1634"/>
      <c r="AF35" s="1733"/>
      <c r="AG35" s="1750"/>
      <c r="AI35" s="115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34"/>
      <c r="Y36" s="1634"/>
      <c r="Z36" s="1760"/>
      <c r="AA36" s="1634"/>
      <c r="AB36" s="3417"/>
      <c r="AC36" s="1734"/>
      <c r="AD36" s="1634"/>
      <c r="AE36" s="2280"/>
      <c r="AF36" s="1771"/>
      <c r="AG36" s="1750"/>
      <c r="AI36" s="115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34"/>
      <c r="Y37" s="1634"/>
      <c r="Z37" s="1760"/>
      <c r="AA37" s="1634"/>
      <c r="AB37" s="3417"/>
      <c r="AC37" s="1734"/>
      <c r="AD37" s="1634"/>
      <c r="AE37" s="2276"/>
      <c r="AF37" s="2281"/>
      <c r="AG37" s="1750"/>
      <c r="AI37" s="116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34"/>
      <c r="Y38" s="1634"/>
      <c r="Z38" s="1760"/>
      <c r="AA38" s="1634"/>
      <c r="AB38" s="3417"/>
      <c r="AC38" s="1734"/>
      <c r="AD38" s="1634"/>
      <c r="AE38" s="2282"/>
      <c r="AF38" s="2283"/>
      <c r="AG38" s="1772"/>
      <c r="AH38" s="1174"/>
      <c r="AI38" s="1169"/>
    </row>
    <row r="39" spans="1:35" ht="16.5" customHeight="1">
      <c r="A39" s="149" t="s">
        <v>182</v>
      </c>
      <c r="B39" s="237">
        <v>14.3</v>
      </c>
      <c r="C39" s="237"/>
      <c r="D39" s="237">
        <v>17.5</v>
      </c>
      <c r="E39" s="237"/>
      <c r="F39" s="237">
        <v>4.6999999999999993</v>
      </c>
      <c r="G39" s="237"/>
      <c r="H39" s="237">
        <f t="shared" ref="H39:H40" si="1">$AA39-$B39-$D39-$F39</f>
        <v>2.2999999999999972</v>
      </c>
      <c r="I39" s="1634"/>
      <c r="J39" s="237"/>
      <c r="K39" s="1634"/>
      <c r="L39" s="237"/>
      <c r="M39" s="1634"/>
      <c r="N39" s="1631"/>
      <c r="O39" s="1634"/>
      <c r="P39" s="1631"/>
      <c r="Q39" s="1634"/>
      <c r="R39" s="1631"/>
      <c r="S39" s="1634"/>
      <c r="T39" s="1631"/>
      <c r="U39" s="1634"/>
      <c r="V39" s="1631"/>
      <c r="W39" s="1634"/>
      <c r="X39" s="1631"/>
      <c r="Y39" s="1634"/>
      <c r="Z39" s="1760"/>
      <c r="AA39" s="1631">
        <v>38.799999999999997</v>
      </c>
      <c r="AB39" s="3417"/>
      <c r="AC39" s="1734"/>
      <c r="AD39" s="1631">
        <v>34.700000000000003</v>
      </c>
      <c r="AE39" s="2284"/>
      <c r="AF39" s="1771"/>
      <c r="AG39" s="1750">
        <f>ROUND(SUM(AA39-AD39),1)</f>
        <v>4.0999999999999996</v>
      </c>
      <c r="AH39" s="1170"/>
      <c r="AI39" s="1171">
        <f>ROUND(IF(AG39=0,0,AG39/ABS(AD39)),3)</f>
        <v>0.11799999999999999</v>
      </c>
    </row>
    <row r="40" spans="1:35" s="1110" customFormat="1" ht="16.5" customHeight="1">
      <c r="A40" s="193" t="s">
        <v>183</v>
      </c>
      <c r="B40" s="237">
        <v>0</v>
      </c>
      <c r="C40" s="1634"/>
      <c r="D40" s="237">
        <v>0</v>
      </c>
      <c r="E40" s="1634"/>
      <c r="F40" s="237">
        <v>0</v>
      </c>
      <c r="G40" s="1634"/>
      <c r="H40" s="237">
        <f t="shared" si="1"/>
        <v>0</v>
      </c>
      <c r="I40" s="1634"/>
      <c r="J40" s="1634"/>
      <c r="K40" s="1634"/>
      <c r="L40" s="237"/>
      <c r="M40" s="1634"/>
      <c r="N40" s="1631"/>
      <c r="O40" s="1634"/>
      <c r="P40" s="1631"/>
      <c r="Q40" s="1634"/>
      <c r="R40" s="1631"/>
      <c r="S40" s="1634"/>
      <c r="T40" s="1631"/>
      <c r="U40" s="1634"/>
      <c r="V40" s="1631"/>
      <c r="W40" s="1634"/>
      <c r="X40" s="1631"/>
      <c r="Y40" s="1634"/>
      <c r="Z40" s="1760"/>
      <c r="AA40" s="1631">
        <v>0</v>
      </c>
      <c r="AB40" s="3417"/>
      <c r="AC40" s="1734"/>
      <c r="AD40" s="1631">
        <v>-0.1</v>
      </c>
      <c r="AE40" s="117"/>
      <c r="AF40" s="1771"/>
      <c r="AG40" s="3190">
        <f>-ROUND(SUM(AA40-AD40),1)</f>
        <v>-0.1</v>
      </c>
      <c r="AH40" s="1742"/>
      <c r="AI40" s="3191">
        <f>ROUND(IF(AG40=0,0,AG40/ABS(AD40)),3)</f>
        <v>-1</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75"/>
      <c r="Y41" s="1634"/>
      <c r="Z41" s="1760"/>
      <c r="AA41" s="3420"/>
      <c r="AB41" s="3417"/>
      <c r="AC41" s="1734"/>
      <c r="AD41" s="3420"/>
      <c r="AE41" s="140"/>
      <c r="AF41" s="1771"/>
      <c r="AG41" s="3394"/>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v>
      </c>
      <c r="K42" s="389"/>
      <c r="L42" s="389">
        <f>ROUND(SUM(L39:L41),1)</f>
        <v>0</v>
      </c>
      <c r="M42" s="389"/>
      <c r="N42" s="389">
        <f>ROUND(SUM(N39:N41),1)</f>
        <v>0</v>
      </c>
      <c r="O42" s="389"/>
      <c r="P42" s="389">
        <f>ROUND(SUM(P39:P41),1)</f>
        <v>0</v>
      </c>
      <c r="Q42" s="389"/>
      <c r="R42" s="389">
        <f>ROUND(SUM(R39:R41),1)</f>
        <v>0</v>
      </c>
      <c r="S42" s="389"/>
      <c r="T42" s="389">
        <f>ROUND(SUM(T39:T41),1)</f>
        <v>0</v>
      </c>
      <c r="U42" s="389"/>
      <c r="V42" s="389">
        <f>ROUND(SUM(V39:V41),1)</f>
        <v>0</v>
      </c>
      <c r="W42" s="389"/>
      <c r="X42" s="2277">
        <f>ROUND(SUM(X39:X41),1)</f>
        <v>0</v>
      </c>
      <c r="Y42" s="2277"/>
      <c r="Z42" s="2278"/>
      <c r="AA42" s="2277">
        <f>ROUND(SUM(AA39:AA41),1)</f>
        <v>38.799999999999997</v>
      </c>
      <c r="AB42" s="3418"/>
      <c r="AC42" s="3419"/>
      <c r="AD42" s="2277">
        <f>ROUND(SUM(AD39:AD41),1)</f>
        <v>34.6</v>
      </c>
      <c r="AF42" s="1739"/>
      <c r="AG42" s="3398">
        <f>AA42-AD42</f>
        <v>4.1999999999999957</v>
      </c>
      <c r="AH42" s="1175"/>
      <c r="AI42" s="1168">
        <f>ROUND(IF(AG42=0,0,AG42/ABS(AD42)),3)</f>
        <v>0.121</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75"/>
      <c r="Y43" s="1634"/>
      <c r="Z43" s="1760"/>
      <c r="AA43" s="2275"/>
      <c r="AB43" s="3417"/>
      <c r="AC43" s="1734"/>
      <c r="AD43" s="2275"/>
      <c r="AE43" s="140"/>
      <c r="AF43" s="1771"/>
      <c r="AG43" s="3394"/>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34"/>
      <c r="Y44" s="1634"/>
      <c r="Z44" s="1760"/>
      <c r="AA44" s="1634"/>
      <c r="AB44" s="3417"/>
      <c r="AC44" s="1734"/>
      <c r="AD44" s="1634"/>
      <c r="AE44" s="140"/>
      <c r="AF44" s="1771"/>
      <c r="AG44" s="3394"/>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34"/>
      <c r="Y45" s="1634"/>
      <c r="Z45" s="1760"/>
      <c r="AA45" s="1634"/>
      <c r="AB45" s="3417"/>
      <c r="AC45" s="1734"/>
      <c r="AD45" s="1634"/>
      <c r="AE45" s="140"/>
      <c r="AF45" s="1771"/>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34"/>
      <c r="Y46" s="1634"/>
      <c r="Z46" s="1760"/>
      <c r="AA46" s="1634"/>
      <c r="AB46" s="3417"/>
      <c r="AC46" s="1734"/>
      <c r="AD46" s="1634"/>
      <c r="AE46" s="140"/>
      <c r="AF46" s="1771"/>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34"/>
      <c r="Y47" s="1634"/>
      <c r="Z47" s="1760"/>
      <c r="AA47" s="1634"/>
      <c r="AB47" s="3417"/>
      <c r="AC47" s="1734"/>
      <c r="AD47" s="1634"/>
      <c r="AE47" s="107"/>
      <c r="AF47" s="1739"/>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0</v>
      </c>
      <c r="K48" s="389"/>
      <c r="L48" s="389">
        <f>ROUND(SUM(L34,L42),1)</f>
        <v>0</v>
      </c>
      <c r="M48" s="389"/>
      <c r="N48" s="389">
        <f>ROUND(SUM(N34,N42),1)</f>
        <v>0</v>
      </c>
      <c r="O48" s="389"/>
      <c r="P48" s="389">
        <f>ROUND(SUM(P34,P42),1)</f>
        <v>0</v>
      </c>
      <c r="Q48" s="389"/>
      <c r="R48" s="389">
        <f>ROUND(SUM(R34,R42),1)</f>
        <v>0</v>
      </c>
      <c r="S48" s="389"/>
      <c r="T48" s="389">
        <f>ROUND(SUM(T34,T42),1)</f>
        <v>0</v>
      </c>
      <c r="U48" s="389"/>
      <c r="V48" s="389">
        <f>ROUND(SUM(V34,V42),1)</f>
        <v>0</v>
      </c>
      <c r="W48" s="389"/>
      <c r="X48" s="2277">
        <f>ROUND(SUM(X34,X42),1)</f>
        <v>0</v>
      </c>
      <c r="Y48" s="2277"/>
      <c r="Z48" s="2278"/>
      <c r="AA48" s="2280">
        <f>ROUND(AA34+AA42,1)</f>
        <v>18.3</v>
      </c>
      <c r="AB48" s="3418"/>
      <c r="AC48" s="3419"/>
      <c r="AD48" s="2280">
        <f>ROUND(AD34+AD42,1)</f>
        <v>5.8</v>
      </c>
      <c r="AE48" s="2285"/>
      <c r="AF48" s="1739"/>
      <c r="AG48" s="3398">
        <f>ROUND(SUM(AG34+AG42),1)</f>
        <v>12.5</v>
      </c>
      <c r="AH48" s="1146"/>
      <c r="AI48" s="1168">
        <f>ROUND(IF(AG48=0,0,AG48/ABS(AD48)),3)</f>
        <v>2.1549999999999998</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21"/>
      <c r="Y49" s="3389"/>
      <c r="Z49" s="3413"/>
      <c r="AA49" s="3421"/>
      <c r="AB49" s="3414"/>
      <c r="AC49" s="3415"/>
      <c r="AD49" s="3421"/>
      <c r="AF49" s="1739"/>
      <c r="AI49" s="1155"/>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0</v>
      </c>
      <c r="K50" s="384"/>
      <c r="L50" s="384">
        <f>ROUND(SUM(L14,L48),1)</f>
        <v>0</v>
      </c>
      <c r="M50" s="384"/>
      <c r="N50" s="384">
        <f>ROUND(SUM(N14,N48),1)</f>
        <v>0</v>
      </c>
      <c r="O50" s="384"/>
      <c r="P50" s="384">
        <f>ROUND(SUM(P14,P48),1)</f>
        <v>0</v>
      </c>
      <c r="Q50" s="384"/>
      <c r="R50" s="393">
        <f>ROUND(SUM(R14,R48),1)</f>
        <v>0</v>
      </c>
      <c r="S50" s="384"/>
      <c r="T50" s="384">
        <f>ROUND(SUM(T14,T48),1)</f>
        <v>0</v>
      </c>
      <c r="U50" s="384"/>
      <c r="V50" s="384">
        <f>ROUND(SUM(V14,V48),1)</f>
        <v>0</v>
      </c>
      <c r="W50" s="384"/>
      <c r="X50" s="1716">
        <f>ROUND(SUM(X14,X48),1)</f>
        <v>0</v>
      </c>
      <c r="Y50" s="1716"/>
      <c r="Z50" s="3411"/>
      <c r="AA50" s="1716">
        <f>ROUND(SUM(AA14,AA48),1)</f>
        <v>-284.39999999999998</v>
      </c>
      <c r="AB50" s="3412"/>
      <c r="AC50" s="2282"/>
      <c r="AD50" s="1716">
        <f>ROUND(SUM(AD14,AD48),1)</f>
        <v>-263.39999999999998</v>
      </c>
      <c r="AF50" s="1739"/>
      <c r="AG50" s="3401">
        <f>ROUND(SUM(AA50-AD50),1)</f>
        <v>-21</v>
      </c>
      <c r="AH50" s="1174"/>
      <c r="AI50" s="1176">
        <f>ROUND(IF(AG50=0,0,AG50/ABS(AD50)),3)</f>
        <v>-0.08</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22"/>
      <c r="Y51" s="3389"/>
      <c r="Z51" s="3389"/>
      <c r="AA51" s="3422"/>
      <c r="AB51" s="3389"/>
      <c r="AC51" s="3389"/>
      <c r="AD51" s="3422"/>
    </row>
    <row r="53" spans="1:35" ht="16.5" customHeight="1">
      <c r="A53" s="395"/>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285" customWidth="1"/>
    <col min="28" max="29" width="1.77734375" style="2285" customWidth="1"/>
    <col min="30" max="30" width="10.109375" style="3444" customWidth="1"/>
    <col min="31" max="31" width="1.77734375" style="1154" customWidth="1"/>
    <col min="32" max="32" width="2.44140625" style="1154" customWidth="1"/>
    <col min="33" max="33" width="10.21875" style="1155" bestFit="1" customWidth="1"/>
    <col min="34" max="34" width="1.77734375" style="1155" customWidth="1"/>
    <col min="35" max="35" width="11.109375" style="1154" customWidth="1"/>
    <col min="36" max="16384" width="8.77734375" style="396"/>
  </cols>
  <sheetData>
    <row r="1" spans="1:35">
      <c r="A1" s="657" t="s">
        <v>980</v>
      </c>
    </row>
    <row r="2" spans="1:35">
      <c r="A2" s="842"/>
    </row>
    <row r="3" spans="1:35" ht="20.25" customHeight="1">
      <c r="A3" s="3757"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5"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31"/>
      <c r="Y5" s="31"/>
      <c r="Z5" s="31"/>
      <c r="AB5" s="3426"/>
      <c r="AC5" s="3426"/>
      <c r="AE5" s="1178"/>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57" t="s">
        <v>1433</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4"/>
      <c r="AF8" s="1154"/>
      <c r="AG8" s="1155"/>
      <c r="AH8" s="1155"/>
      <c r="AI8" s="1154"/>
    </row>
    <row r="9" spans="1:35" s="398" customFormat="1" ht="19.149999999999999"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19"/>
      <c r="AD9" s="3820"/>
      <c r="AE9" s="3820"/>
      <c r="AF9" s="3820"/>
      <c r="AG9" s="3820"/>
      <c r="AH9" s="3820"/>
      <c r="AI9" s="3820"/>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5"/>
      <c r="W10" s="849"/>
      <c r="X10" s="850"/>
      <c r="Y10" s="851"/>
      <c r="Z10" s="3821" t="s">
        <v>1473</v>
      </c>
      <c r="AA10" s="3821"/>
      <c r="AB10" s="3821"/>
      <c r="AC10" s="3821"/>
      <c r="AD10" s="3821"/>
      <c r="AE10" s="3821"/>
      <c r="AF10" s="3821"/>
      <c r="AG10" s="3821"/>
      <c r="AH10" s="3821"/>
      <c r="AI10" s="3821"/>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406"/>
      <c r="AB11" s="3406"/>
      <c r="AC11" s="3406"/>
      <c r="AD11" s="3384"/>
      <c r="AE11" s="1179"/>
      <c r="AF11" s="1146"/>
      <c r="AG11" s="1158" t="s">
        <v>8</v>
      </c>
      <c r="AH11" s="1158"/>
      <c r="AI11" s="1159" t="s">
        <v>9</v>
      </c>
    </row>
    <row r="12" spans="1:35" s="398" customFormat="1" ht="19.149999999999999" customHeight="1">
      <c r="A12" s="149"/>
      <c r="B12" s="852"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853" t="s">
        <v>186</v>
      </c>
      <c r="Y12" s="249"/>
      <c r="Z12" s="249"/>
      <c r="AA12" s="3408" t="str">
        <f>'Cashflow Governmental'!AB14</f>
        <v>2019</v>
      </c>
      <c r="AB12" s="3408"/>
      <c r="AC12" s="3423"/>
      <c r="AD12" s="3654" t="str">
        <f>'Cashflow Governmental'!AE14</f>
        <v>2018</v>
      </c>
      <c r="AE12" s="1175"/>
      <c r="AF12" s="1175"/>
      <c r="AG12" s="1160" t="s">
        <v>12</v>
      </c>
      <c r="AH12" s="1161"/>
      <c r="AI12" s="1160" t="s">
        <v>13</v>
      </c>
    </row>
    <row r="13" spans="1:35" s="1725" customFormat="1" ht="19.149999999999999" customHeight="1">
      <c r="A13" s="1714" t="s">
        <v>137</v>
      </c>
      <c r="B13" s="1745">
        <v>-3</v>
      </c>
      <c r="C13" s="1716"/>
      <c r="D13" s="1745">
        <f>B38</f>
        <v>-7.4</v>
      </c>
      <c r="E13" s="1716"/>
      <c r="F13" s="1745">
        <f>D38</f>
        <v>-11.8</v>
      </c>
      <c r="G13" s="1746"/>
      <c r="H13" s="1745">
        <f>F38</f>
        <v>-16.5</v>
      </c>
      <c r="I13" s="1746"/>
      <c r="J13" s="1745"/>
      <c r="K13" s="1746"/>
      <c r="L13" s="1745"/>
      <c r="M13" s="1746"/>
      <c r="N13" s="1745"/>
      <c r="O13" s="1746"/>
      <c r="P13" s="1745"/>
      <c r="Q13" s="1746"/>
      <c r="R13" s="1745"/>
      <c r="S13" s="1746"/>
      <c r="T13" s="1745"/>
      <c r="U13" s="1746"/>
      <c r="V13" s="1745"/>
      <c r="W13" s="1746"/>
      <c r="X13" s="1745"/>
      <c r="Y13" s="1718"/>
      <c r="Z13" s="1719"/>
      <c r="AA13" s="1745">
        <f>B13</f>
        <v>-3</v>
      </c>
      <c r="AB13" s="1718"/>
      <c r="AC13" s="3427"/>
      <c r="AD13" s="1745">
        <v>-2</v>
      </c>
      <c r="AE13" s="1720"/>
      <c r="AF13" s="1721"/>
      <c r="AG13" s="1722">
        <f>ROUND(SUM(AA13-AD13),1)</f>
        <v>-1</v>
      </c>
      <c r="AH13" s="1723"/>
      <c r="AI13" s="2193">
        <f>-ROUND(IF(AG13=0,0,AG13/(AD13)),3)</f>
        <v>-0.5</v>
      </c>
    </row>
    <row r="14" spans="1:35" s="398" customFormat="1" ht="19.149999999999999" customHeight="1">
      <c r="A14" s="149"/>
      <c r="B14" s="386"/>
      <c r="C14" s="386"/>
      <c r="D14" s="386"/>
      <c r="E14" s="386"/>
      <c r="F14" s="856"/>
      <c r="G14" s="856"/>
      <c r="H14" s="857"/>
      <c r="I14" s="857"/>
      <c r="J14" s="857"/>
      <c r="K14" s="856"/>
      <c r="L14" s="857"/>
      <c r="M14" s="857"/>
      <c r="N14" s="857"/>
      <c r="O14" s="857"/>
      <c r="P14" s="857"/>
      <c r="Q14" s="857"/>
      <c r="R14" s="857"/>
      <c r="S14" s="857"/>
      <c r="T14" s="857"/>
      <c r="U14" s="857"/>
      <c r="V14" s="857"/>
      <c r="W14" s="857"/>
      <c r="X14" s="857"/>
      <c r="Y14" s="858"/>
      <c r="Z14" s="859"/>
      <c r="AA14" s="3389"/>
      <c r="AB14" s="3428"/>
      <c r="AC14" s="3429"/>
      <c r="AD14" s="3389"/>
      <c r="AE14" s="1180"/>
      <c r="AF14" s="1177"/>
      <c r="AG14" s="1164"/>
      <c r="AH14" s="1155"/>
      <c r="AI14" s="1154"/>
    </row>
    <row r="15" spans="1:35" s="398" customFormat="1" ht="19.149999999999999" customHeight="1">
      <c r="A15" s="249" t="s">
        <v>14</v>
      </c>
      <c r="B15" s="386"/>
      <c r="C15" s="386"/>
      <c r="D15" s="386"/>
      <c r="E15" s="386"/>
      <c r="F15" s="856"/>
      <c r="G15" s="856"/>
      <c r="H15" s="857"/>
      <c r="I15" s="857"/>
      <c r="J15" s="857"/>
      <c r="K15" s="856"/>
      <c r="L15" s="857"/>
      <c r="M15" s="857"/>
      <c r="N15" s="857"/>
      <c r="O15" s="857"/>
      <c r="P15" s="857"/>
      <c r="Q15" s="857"/>
      <c r="R15" s="857"/>
      <c r="S15" s="857"/>
      <c r="T15" s="857"/>
      <c r="U15" s="857"/>
      <c r="V15" s="857"/>
      <c r="W15" s="857"/>
      <c r="X15" s="857"/>
      <c r="Y15" s="858"/>
      <c r="Z15" s="859"/>
      <c r="AA15" s="3389"/>
      <c r="AB15" s="3428"/>
      <c r="AC15" s="3429"/>
      <c r="AD15" s="3389"/>
      <c r="AE15" s="1180"/>
      <c r="AF15" s="1177"/>
      <c r="AG15" s="1164"/>
      <c r="AH15" s="1155"/>
      <c r="AI15" s="1154"/>
    </row>
    <row r="16" spans="1:35" s="398" customFormat="1" ht="19.149999999999999" customHeight="1">
      <c r="A16" s="861" t="s">
        <v>179</v>
      </c>
      <c r="B16" s="2235">
        <v>5.3</v>
      </c>
      <c r="C16" s="237"/>
      <c r="D16" s="2235">
        <v>7.8</v>
      </c>
      <c r="E16" s="237"/>
      <c r="F16" s="2235">
        <v>5.0999999999999988</v>
      </c>
      <c r="G16" s="237"/>
      <c r="H16" s="2235">
        <f>$AA16-$B16-$D16-$F16</f>
        <v>5.1000000000000005</v>
      </c>
      <c r="I16" s="1728"/>
      <c r="J16" s="2235"/>
      <c r="K16" s="1634"/>
      <c r="L16" s="2235"/>
      <c r="M16" s="1729"/>
      <c r="N16" s="1727"/>
      <c r="O16" s="1729"/>
      <c r="P16" s="1727"/>
      <c r="Q16" s="1729"/>
      <c r="R16" s="1727"/>
      <c r="S16" s="1729"/>
      <c r="T16" s="1727"/>
      <c r="U16" s="1729"/>
      <c r="V16" s="1727"/>
      <c r="W16" s="1729"/>
      <c r="X16" s="1727"/>
      <c r="Y16" s="1730"/>
      <c r="Z16" s="1731"/>
      <c r="AA16" s="1727">
        <v>23.3</v>
      </c>
      <c r="AB16" s="1730"/>
      <c r="AC16" s="1729"/>
      <c r="AD16" s="1727">
        <v>23.4</v>
      </c>
      <c r="AE16" s="1181"/>
      <c r="AF16" s="1147"/>
      <c r="AG16" s="1166">
        <f>ROUND(SUM(AA16-AD16),1)</f>
        <v>-0.1</v>
      </c>
      <c r="AH16" s="1155"/>
      <c r="AI16" s="1171">
        <f>ROUND(IF(AG16=0,0,AG16/ABS(AD16)),3)</f>
        <v>-4.0000000000000001E-3</v>
      </c>
    </row>
    <row r="17" spans="1:35" s="398" customFormat="1" ht="24" customHeight="1">
      <c r="A17" s="249" t="s">
        <v>151</v>
      </c>
      <c r="B17" s="2220">
        <f>ROUND(SUM(B16),1)</f>
        <v>5.3</v>
      </c>
      <c r="C17" s="389"/>
      <c r="D17" s="866">
        <f>ROUND(SUM(D16),1)</f>
        <v>7.8</v>
      </c>
      <c r="E17" s="389"/>
      <c r="F17" s="866">
        <f>ROUND(SUM(F16),1)</f>
        <v>5.0999999999999996</v>
      </c>
      <c r="G17" s="389"/>
      <c r="H17" s="866">
        <f>ROUND(SUM(H16),1)</f>
        <v>5.0999999999999996</v>
      </c>
      <c r="I17" s="867"/>
      <c r="J17" s="866">
        <f>ROUND(SUM(J16),1)</f>
        <v>0</v>
      </c>
      <c r="K17" s="389"/>
      <c r="L17" s="866">
        <f>ROUND(SUM(L16),1)</f>
        <v>0</v>
      </c>
      <c r="M17" s="868"/>
      <c r="N17" s="866">
        <f>ROUND(SUM(N16),1)</f>
        <v>0</v>
      </c>
      <c r="O17" s="868"/>
      <c r="P17" s="866">
        <f>ROUND(SUM(P16),1)</f>
        <v>0</v>
      </c>
      <c r="Q17" s="868"/>
      <c r="R17" s="2220">
        <f>ROUND(SUM(R16),1)</f>
        <v>0</v>
      </c>
      <c r="S17" s="868"/>
      <c r="T17" s="866">
        <f>ROUND(SUM(T16),1)</f>
        <v>0</v>
      </c>
      <c r="U17" s="868"/>
      <c r="V17" s="866">
        <f>ROUND(SUM(V16),1)</f>
        <v>0</v>
      </c>
      <c r="W17" s="868"/>
      <c r="X17" s="866">
        <f>ROUND(SUM(X16),1)</f>
        <v>0</v>
      </c>
      <c r="Y17" s="869"/>
      <c r="Z17" s="870"/>
      <c r="AA17" s="1761">
        <f>ROUND(SUM(AA16),1)</f>
        <v>23.3</v>
      </c>
      <c r="AB17" s="3430"/>
      <c r="AC17" s="3431"/>
      <c r="AD17" s="1761">
        <f>ROUND(SUM(AD16),1)</f>
        <v>23.4</v>
      </c>
      <c r="AE17" s="1182"/>
      <c r="AF17" s="1147"/>
      <c r="AG17" s="1189">
        <f>ROUND(SUM(AG16),1)</f>
        <v>-0.1</v>
      </c>
      <c r="AH17" s="1190"/>
      <c r="AI17" s="1191">
        <f>ROUND(IF(AG17=0,0,AG17/ABS(AD17)),3)</f>
        <v>-4.0000000000000001E-3</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871"/>
      <c r="Y18" s="864"/>
      <c r="Z18" s="865"/>
      <c r="AA18" s="2275"/>
      <c r="AB18" s="1730"/>
      <c r="AC18" s="1728"/>
      <c r="AD18" s="2275"/>
      <c r="AE18" s="1166"/>
      <c r="AF18" s="1147"/>
      <c r="AG18" s="1166"/>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863"/>
      <c r="Y19" s="864"/>
      <c r="Z19" s="865"/>
      <c r="AA19" s="1634"/>
      <c r="AB19" s="1730"/>
      <c r="AC19" s="1729"/>
      <c r="AD19" s="1634"/>
      <c r="AE19" s="1183"/>
      <c r="AF19" s="1147"/>
      <c r="AG19" s="1166"/>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863"/>
      <c r="Y20" s="864"/>
      <c r="Z20" s="865"/>
      <c r="AA20" s="1634"/>
      <c r="AB20" s="1730"/>
      <c r="AC20" s="1729"/>
      <c r="AD20" s="1634"/>
      <c r="AE20" s="1183"/>
      <c r="AF20" s="1147"/>
      <c r="AG20" s="1166"/>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863"/>
      <c r="Y21" s="864"/>
      <c r="Z21" s="865"/>
      <c r="AA21" s="1736"/>
      <c r="AB21" s="3432"/>
      <c r="AC21" s="3433"/>
      <c r="AD21" s="1736"/>
      <c r="AE21" s="1184"/>
      <c r="AF21" s="1148"/>
      <c r="AG21" s="1166"/>
      <c r="AH21" s="1155"/>
      <c r="AI21" s="1154"/>
    </row>
    <row r="22" spans="1:35" s="1725" customFormat="1" ht="19.149999999999999" customHeight="1">
      <c r="A22" s="193" t="s">
        <v>220</v>
      </c>
      <c r="B22" s="872">
        <v>5.3</v>
      </c>
      <c r="C22" s="237"/>
      <c r="D22" s="872">
        <v>7.7</v>
      </c>
      <c r="E22" s="237"/>
      <c r="F22" s="872">
        <v>5.3999999999999977</v>
      </c>
      <c r="G22" s="237"/>
      <c r="H22" s="872">
        <f>$AA22-$B22-$D22-$F22</f>
        <v>5.0000000000000009</v>
      </c>
      <c r="I22" s="1729"/>
      <c r="J22" s="872"/>
      <c r="K22" s="1634"/>
      <c r="L22" s="872"/>
      <c r="M22" s="1729"/>
      <c r="N22" s="1749"/>
      <c r="O22" s="1729"/>
      <c r="P22" s="1749"/>
      <c r="Q22" s="1729"/>
      <c r="R22" s="1749"/>
      <c r="S22" s="1729"/>
      <c r="T22" s="1749"/>
      <c r="U22" s="1729"/>
      <c r="V22" s="1749"/>
      <c r="W22" s="1729"/>
      <c r="X22" s="1749"/>
      <c r="Y22" s="1730"/>
      <c r="Z22" s="1731"/>
      <c r="AA22" s="1749">
        <v>23.4</v>
      </c>
      <c r="AB22" s="1730"/>
      <c r="AC22" s="1729"/>
      <c r="AD22" s="1749">
        <v>23.6</v>
      </c>
      <c r="AE22" s="1738"/>
      <c r="AF22" s="1739"/>
      <c r="AG22" s="1750">
        <f>ROUND(SUM(AA22-AD22),1)</f>
        <v>-0.2</v>
      </c>
      <c r="AH22" s="1723"/>
      <c r="AI22" s="1735">
        <f>ROUND(IF(AG22=0,0,AG22/ABS(AD22)),3)</f>
        <v>-8.0000000000000002E-3</v>
      </c>
    </row>
    <row r="23" spans="1:35" s="398" customFormat="1" ht="19.149999999999999" customHeight="1">
      <c r="A23" s="861" t="s">
        <v>171</v>
      </c>
      <c r="B23" s="872">
        <v>1.1000000000000001</v>
      </c>
      <c r="C23" s="237"/>
      <c r="D23" s="872">
        <v>1.1000000000000001</v>
      </c>
      <c r="E23" s="237"/>
      <c r="F23" s="872">
        <v>1.0999999999999996</v>
      </c>
      <c r="G23" s="237"/>
      <c r="H23" s="872">
        <f t="shared" ref="H23:H24" si="0">$AA23-$B23-$D23-$F23</f>
        <v>1.2999999999999998</v>
      </c>
      <c r="I23" s="1729"/>
      <c r="J23" s="872"/>
      <c r="K23" s="1634"/>
      <c r="L23" s="872"/>
      <c r="M23" s="1729"/>
      <c r="N23" s="1749"/>
      <c r="O23" s="1729"/>
      <c r="P23" s="1749"/>
      <c r="Q23" s="1729"/>
      <c r="R23" s="1749"/>
      <c r="S23" s="1729"/>
      <c r="T23" s="1749"/>
      <c r="U23" s="1729"/>
      <c r="V23" s="1749"/>
      <c r="W23" s="1729"/>
      <c r="X23" s="1749"/>
      <c r="Y23" s="1730"/>
      <c r="Z23" s="1731"/>
      <c r="AA23" s="1749">
        <v>4.5999999999999996</v>
      </c>
      <c r="AB23" s="1730"/>
      <c r="AC23" s="1729"/>
      <c r="AD23" s="1749">
        <v>4.8</v>
      </c>
      <c r="AE23" s="1184"/>
      <c r="AF23" s="1148"/>
      <c r="AG23" s="1166">
        <f>ROUND(SUM(AA23-AD23),1)</f>
        <v>-0.2</v>
      </c>
      <c r="AH23" s="1170"/>
      <c r="AI23" s="1171">
        <f>ROUND(IF(AG23=0,0,AG23/ABS(AD23)),3)</f>
        <v>-4.2000000000000003E-2</v>
      </c>
    </row>
    <row r="24" spans="1:35" s="1725" customFormat="1" ht="19.149999999999999" customHeight="1">
      <c r="A24" s="193" t="s">
        <v>156</v>
      </c>
      <c r="B24" s="872">
        <v>3.3</v>
      </c>
      <c r="C24" s="237"/>
      <c r="D24" s="2235">
        <v>3.4000000000000004</v>
      </c>
      <c r="E24" s="237"/>
      <c r="F24" s="2235">
        <v>3.3</v>
      </c>
      <c r="G24" s="237"/>
      <c r="H24" s="2235">
        <f t="shared" si="0"/>
        <v>4.9000000000000012</v>
      </c>
      <c r="I24" s="1729"/>
      <c r="J24" s="2235"/>
      <c r="K24" s="1634"/>
      <c r="L24" s="872"/>
      <c r="M24" s="1729"/>
      <c r="N24" s="1749"/>
      <c r="O24" s="1729"/>
      <c r="P24" s="1749"/>
      <c r="Q24" s="1729"/>
      <c r="R24" s="1727"/>
      <c r="S24" s="1729"/>
      <c r="T24" s="1749"/>
      <c r="U24" s="1729"/>
      <c r="V24" s="1727"/>
      <c r="W24" s="1729"/>
      <c r="X24" s="1749"/>
      <c r="Y24" s="1730"/>
      <c r="Z24" s="1731"/>
      <c r="AA24" s="3434">
        <v>14.9</v>
      </c>
      <c r="AB24" s="1730"/>
      <c r="AC24" s="1729"/>
      <c r="AD24" s="3434">
        <v>21.1</v>
      </c>
      <c r="AE24" s="1737"/>
      <c r="AF24" s="1739"/>
      <c r="AG24" s="1750">
        <f>ROUND(SUM(AA24-AD24),1)</f>
        <v>-6.2</v>
      </c>
      <c r="AH24" s="1723"/>
      <c r="AI24" s="1171">
        <f>ROUND(IF(AD24=0,1,AG24/ABS(AD24)),3)</f>
        <v>-0.29399999999999998</v>
      </c>
    </row>
    <row r="25" spans="1:35" s="398" customFormat="1" ht="22.5" customHeight="1">
      <c r="A25" s="249" t="s">
        <v>157</v>
      </c>
      <c r="B25" s="2180">
        <f>ROUND(SUM(B22)+SUM(B23)+SUM(B24),1)</f>
        <v>9.6999999999999993</v>
      </c>
      <c r="C25" s="389"/>
      <c r="D25" s="873">
        <f>ROUND(SUM(D22)+SUM(D23)+SUM(D24),1)</f>
        <v>12.2</v>
      </c>
      <c r="E25" s="389"/>
      <c r="F25" s="2180">
        <f>ROUND(SUM(F22)+SUM(F23)+SUM(F24),1)</f>
        <v>9.8000000000000007</v>
      </c>
      <c r="G25" s="873"/>
      <c r="H25" s="873">
        <f>ROUND(SUM(H22)+SUM(H23)+SUM(H24),1)</f>
        <v>11.2</v>
      </c>
      <c r="I25" s="868"/>
      <c r="J25" s="2187">
        <f>ROUND(SUM(J22)+SUM(J23)+SUM(J24),1)</f>
        <v>0</v>
      </c>
      <c r="K25" s="389"/>
      <c r="L25" s="2187">
        <f>ROUND(SUM(L22)+SUM(L23)+SUM(L24),1)</f>
        <v>0</v>
      </c>
      <c r="M25" s="868"/>
      <c r="N25" s="2187">
        <f>ROUND(SUM(N22)+SUM(N23)+SUM(N24),1)</f>
        <v>0</v>
      </c>
      <c r="O25" s="868"/>
      <c r="P25" s="2187">
        <f>ROUND(SUM(P22)+SUM(P23)+SUM(P24),1)</f>
        <v>0</v>
      </c>
      <c r="Q25" s="868"/>
      <c r="R25" s="2180">
        <f>ROUND(SUM(R22)+SUM(R23)+SUM(R24),1)</f>
        <v>0</v>
      </c>
      <c r="S25" s="868"/>
      <c r="T25" s="2180">
        <f>ROUND(SUM(T22)+SUM(T23)+SUM(T24),1)</f>
        <v>0</v>
      </c>
      <c r="U25" s="868"/>
      <c r="V25" s="2187">
        <f>ROUND(SUM(V22)+SUM(V23)+SUM(V24),1)</f>
        <v>0</v>
      </c>
      <c r="W25" s="868"/>
      <c r="X25" s="2187">
        <f>ROUND(SUM(X22)+SUM(X23)+SUM(X24),1)</f>
        <v>0</v>
      </c>
      <c r="Y25" s="869"/>
      <c r="Z25" s="870"/>
      <c r="AA25" s="2274">
        <f>ROUND(SUM(AA22:AA24),1)</f>
        <v>42.9</v>
      </c>
      <c r="AB25" s="3430"/>
      <c r="AC25" s="3431"/>
      <c r="AD25" s="2274">
        <f>ROUND(SUM(AD22:AD24),1)</f>
        <v>49.5</v>
      </c>
      <c r="AE25" s="1185"/>
      <c r="AF25" s="1148"/>
      <c r="AG25" s="1189">
        <f>ROUND(SUM(AG22:AG24),1)</f>
        <v>-6.6</v>
      </c>
      <c r="AH25" s="1167"/>
      <c r="AI25" s="1191">
        <f>ROUND(IF(AG25=0,0,AG25/ABS(AD25)),3)</f>
        <v>-0.13300000000000001</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871"/>
      <c r="Y26" s="864"/>
      <c r="Z26" s="865"/>
      <c r="AA26" s="2275"/>
      <c r="AB26" s="1730"/>
      <c r="AC26" s="1728"/>
      <c r="AD26" s="2275"/>
      <c r="AE26" s="1166"/>
      <c r="AF26" s="1147"/>
      <c r="AG26" s="1166"/>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863"/>
      <c r="Y27" s="864"/>
      <c r="Z27" s="865"/>
      <c r="AA27" s="1634"/>
      <c r="AB27" s="1730"/>
      <c r="AC27" s="1729"/>
      <c r="AD27" s="1634"/>
      <c r="AE27" s="1183"/>
      <c r="AF27" s="1147"/>
      <c r="AG27" s="1166"/>
      <c r="AH27" s="1155"/>
      <c r="AI27" s="1154"/>
    </row>
    <row r="28" spans="1:35" s="398" customFormat="1" ht="18.75" customHeight="1">
      <c r="A28" s="249" t="s">
        <v>45</v>
      </c>
      <c r="B28" s="874">
        <f>ROUND(B17-B25,1)</f>
        <v>-4.4000000000000004</v>
      </c>
      <c r="C28" s="389"/>
      <c r="D28" s="874">
        <f>ROUND(D17-D25,1)</f>
        <v>-4.4000000000000004</v>
      </c>
      <c r="E28" s="389"/>
      <c r="F28" s="874">
        <f>ROUND(F17-F25,1)</f>
        <v>-4.7</v>
      </c>
      <c r="G28" s="389"/>
      <c r="H28" s="874">
        <f>ROUND(H17-H25,1)</f>
        <v>-6.1</v>
      </c>
      <c r="I28" s="390"/>
      <c r="J28" s="874">
        <f>ROUND(J17-J25,1)</f>
        <v>0</v>
      </c>
      <c r="K28" s="389"/>
      <c r="L28" s="874">
        <f>ROUND(L17-L25,1)</f>
        <v>0</v>
      </c>
      <c r="M28" s="868"/>
      <c r="N28" s="874">
        <f>ROUND(N17-N25,1)</f>
        <v>0</v>
      </c>
      <c r="O28" s="868"/>
      <c r="P28" s="874">
        <f>ROUND(P17-P25,1)</f>
        <v>0</v>
      </c>
      <c r="Q28" s="868"/>
      <c r="R28" s="874">
        <f>ROUND(R17-R25,1)</f>
        <v>0</v>
      </c>
      <c r="S28" s="868"/>
      <c r="T28" s="874">
        <f>ROUND(T17-T25,1)</f>
        <v>0</v>
      </c>
      <c r="U28" s="868"/>
      <c r="V28" s="874">
        <f>ROUND(V17-V25,1)</f>
        <v>0</v>
      </c>
      <c r="W28" s="868"/>
      <c r="X28" s="874">
        <f>ROUND(X17-X25,1)</f>
        <v>0</v>
      </c>
      <c r="Y28" s="869"/>
      <c r="Z28" s="870"/>
      <c r="AA28" s="3435">
        <f>ROUND(AA17-AA25,1)</f>
        <v>-19.600000000000001</v>
      </c>
      <c r="AB28" s="3430"/>
      <c r="AC28" s="3436"/>
      <c r="AD28" s="3435">
        <f>ROUND(AD17-AD25,1)</f>
        <v>-26.1</v>
      </c>
      <c r="AE28" s="1186"/>
      <c r="AF28" s="1148"/>
      <c r="AG28" s="1451">
        <f>ROUND(SUM(AA28-AD28),1)</f>
        <v>6.5</v>
      </c>
      <c r="AH28" s="1155"/>
      <c r="AI28" s="1641">
        <f>ROUND(IF(AG28=0,0,AG28/ABS(AD28)),3)</f>
        <v>0.249</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71"/>
      <c r="S29" s="863"/>
      <c r="T29" s="862"/>
      <c r="U29" s="863"/>
      <c r="V29" s="862"/>
      <c r="W29" s="863"/>
      <c r="X29" s="871"/>
      <c r="Y29" s="864"/>
      <c r="Z29" s="865"/>
      <c r="AA29" s="1734"/>
      <c r="AB29" s="1730"/>
      <c r="AC29" s="1728"/>
      <c r="AD29" s="1734"/>
      <c r="AE29" s="1166"/>
      <c r="AF29" s="1149"/>
      <c r="AG29" s="1166"/>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863"/>
      <c r="Y30" s="864"/>
      <c r="Z30" s="865"/>
      <c r="AA30" s="1634"/>
      <c r="AB30" s="1730"/>
      <c r="AC30" s="1729"/>
      <c r="AD30" s="1634"/>
      <c r="AE30" s="1183"/>
      <c r="AF30" s="1149"/>
      <c r="AG30" s="1166"/>
      <c r="AH30" s="1155"/>
      <c r="AI30" s="1154"/>
    </row>
    <row r="31" spans="1:35" s="398" customFormat="1" ht="19.149999999999999" customHeight="1">
      <c r="A31" s="149" t="s">
        <v>182</v>
      </c>
      <c r="B31" s="872">
        <v>0</v>
      </c>
      <c r="C31" s="237"/>
      <c r="D31" s="872">
        <v>0</v>
      </c>
      <c r="E31" s="237"/>
      <c r="F31" s="872">
        <v>0</v>
      </c>
      <c r="G31" s="237"/>
      <c r="H31" s="872">
        <f t="shared" ref="H31:H32" si="1">$AA31-$B31-$D31-$F31</f>
        <v>0</v>
      </c>
      <c r="I31" s="1729"/>
      <c r="J31" s="872"/>
      <c r="K31" s="1634"/>
      <c r="L31" s="872"/>
      <c r="M31" s="1729"/>
      <c r="N31" s="1749"/>
      <c r="O31" s="1729"/>
      <c r="P31" s="1749"/>
      <c r="Q31" s="1729"/>
      <c r="R31" s="1749"/>
      <c r="S31" s="1729"/>
      <c r="T31" s="1749"/>
      <c r="U31" s="1729"/>
      <c r="V31" s="1749"/>
      <c r="W31" s="1729"/>
      <c r="X31" s="1749"/>
      <c r="Y31" s="1730"/>
      <c r="Z31" s="1731"/>
      <c r="AA31" s="1749">
        <v>0</v>
      </c>
      <c r="AB31" s="1730"/>
      <c r="AC31" s="1729"/>
      <c r="AD31" s="1749">
        <v>0</v>
      </c>
      <c r="AE31" s="1184"/>
      <c r="AF31" s="1150"/>
      <c r="AG31" s="241">
        <f>ROUND(SUM(AA31-AD31),1)</f>
        <v>0</v>
      </c>
      <c r="AH31" s="1170"/>
      <c r="AI31" s="1171">
        <f>ROUND(IF(AG31=0,0,AG31/ABS(AD31)),3)</f>
        <v>0</v>
      </c>
    </row>
    <row r="32" spans="1:35" s="398" customFormat="1" ht="19.149999999999999" customHeight="1">
      <c r="A32" s="149" t="s">
        <v>183</v>
      </c>
      <c r="B32" s="2235">
        <v>0</v>
      </c>
      <c r="C32" s="237"/>
      <c r="D32" s="872">
        <v>0</v>
      </c>
      <c r="E32" s="237"/>
      <c r="F32" s="872">
        <v>0</v>
      </c>
      <c r="G32" s="237"/>
      <c r="H32" s="872">
        <f t="shared" si="1"/>
        <v>0</v>
      </c>
      <c r="I32" s="1729"/>
      <c r="J32" s="2235"/>
      <c r="K32" s="1634"/>
      <c r="L32" s="872"/>
      <c r="M32" s="1729"/>
      <c r="N32" s="1749"/>
      <c r="O32" s="1729"/>
      <c r="P32" s="1749"/>
      <c r="Q32" s="1729"/>
      <c r="R32" s="1749"/>
      <c r="S32" s="1729"/>
      <c r="T32" s="1749"/>
      <c r="U32" s="1729"/>
      <c r="V32" s="1749"/>
      <c r="W32" s="1729"/>
      <c r="X32" s="1749"/>
      <c r="Y32" s="1730"/>
      <c r="Z32" s="1731"/>
      <c r="AA32" s="3434">
        <v>0</v>
      </c>
      <c r="AB32" s="1730"/>
      <c r="AC32" s="1729"/>
      <c r="AD32" s="3434">
        <v>0</v>
      </c>
      <c r="AE32" s="1184"/>
      <c r="AF32" s="1149"/>
      <c r="AG32" s="241">
        <f>ROUND(SUM(AA32-AD32),1)</f>
        <v>0</v>
      </c>
      <c r="AH32" s="1170"/>
      <c r="AI32" s="1171">
        <f>ROUND(IF(AG32=0,0,AG32/ABS(AD32)),3)</f>
        <v>0</v>
      </c>
    </row>
    <row r="33" spans="1:35" s="398" customFormat="1" ht="22.5" customHeight="1">
      <c r="A33" s="249" t="s">
        <v>209</v>
      </c>
      <c r="B33" s="876">
        <f>ROUND(SUM(B31:B32),1)</f>
        <v>0</v>
      </c>
      <c r="C33" s="389"/>
      <c r="D33" s="876">
        <f>ROUND(SUM(D31:D32),1)</f>
        <v>0</v>
      </c>
      <c r="E33" s="391"/>
      <c r="F33" s="876">
        <f>ROUND(SUM(F31:F32),1)</f>
        <v>0</v>
      </c>
      <c r="G33" s="391"/>
      <c r="H33" s="876">
        <f>ROUND(SUM(H31:H32),1)</f>
        <v>0</v>
      </c>
      <c r="I33" s="877"/>
      <c r="J33" s="876">
        <f>ROUND(SUM(J31:J32),1)</f>
        <v>0</v>
      </c>
      <c r="K33" s="391"/>
      <c r="L33" s="876">
        <f>ROUND(SUM(L31:L32),1)</f>
        <v>0</v>
      </c>
      <c r="M33" s="877"/>
      <c r="N33" s="876">
        <f>ROUND(SUM(N31:N32),1)</f>
        <v>0</v>
      </c>
      <c r="O33" s="877"/>
      <c r="P33" s="876">
        <f>ROUND(SUM(P31:P32),1)</f>
        <v>0</v>
      </c>
      <c r="Q33" s="877"/>
      <c r="R33" s="876">
        <f>ROUND(SUM(R31:R32),1)</f>
        <v>0</v>
      </c>
      <c r="S33" s="877"/>
      <c r="T33" s="876">
        <f>ROUND(SUM(T31:T32),1)</f>
        <v>0</v>
      </c>
      <c r="U33" s="877"/>
      <c r="V33" s="876">
        <f>ROUND(SUM(V31:V32),1)</f>
        <v>0</v>
      </c>
      <c r="W33" s="877"/>
      <c r="X33" s="876">
        <f>ROUND(SUM(X31:X32),1)</f>
        <v>0</v>
      </c>
      <c r="Y33" s="869"/>
      <c r="Z33" s="870"/>
      <c r="AA33" s="3437">
        <f>ROUND(SUM(AA31:AA32),1)</f>
        <v>0</v>
      </c>
      <c r="AB33" s="3438"/>
      <c r="AC33" s="3439"/>
      <c r="AD33" s="3437">
        <f>ROUND(SUM(AD31:AD32),1)</f>
        <v>0</v>
      </c>
      <c r="AE33" s="1187"/>
      <c r="AF33" s="1150"/>
      <c r="AG33" s="1189">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871"/>
      <c r="Y34" s="864"/>
      <c r="Z34" s="865"/>
      <c r="AA34" s="2275"/>
      <c r="AB34" s="1730"/>
      <c r="AC34" s="1728"/>
      <c r="AD34" s="2275"/>
      <c r="AE34" s="1166"/>
      <c r="AF34" s="1147"/>
      <c r="AG34" s="1166"/>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863"/>
      <c r="Y35" s="864"/>
      <c r="Z35" s="865"/>
      <c r="AA35" s="1634"/>
      <c r="AB35" s="1730"/>
      <c r="AC35" s="1729"/>
      <c r="AD35" s="1634"/>
      <c r="AE35" s="1183"/>
      <c r="AF35" s="1147"/>
      <c r="AG35" s="1166"/>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84"/>
      <c r="U36" s="863"/>
      <c r="V36" s="884"/>
      <c r="W36" s="863"/>
      <c r="X36" s="863"/>
      <c r="Y36" s="864"/>
      <c r="Z36" s="865"/>
      <c r="AA36" s="1634"/>
      <c r="AB36" s="1730"/>
      <c r="AC36" s="1729"/>
      <c r="AD36" s="2280"/>
      <c r="AE36" s="1188"/>
      <c r="AF36" s="1151"/>
      <c r="AG36" s="1166"/>
      <c r="AH36" s="1155"/>
      <c r="AI36" s="1154"/>
    </row>
    <row r="37" spans="1:35" s="400" customFormat="1" ht="19.149999999999999" customHeight="1">
      <c r="A37" s="249" t="s">
        <v>951</v>
      </c>
      <c r="B37" s="873">
        <f>ROUND(+B28+B33,1)</f>
        <v>-4.4000000000000004</v>
      </c>
      <c r="C37" s="389"/>
      <c r="D37" s="873">
        <f>ROUND(+D28+D33,1)</f>
        <v>-4.4000000000000004</v>
      </c>
      <c r="E37" s="391"/>
      <c r="F37" s="873">
        <f>ROUND(+F28+F33,1)</f>
        <v>-4.7</v>
      </c>
      <c r="G37" s="391"/>
      <c r="H37" s="873">
        <f>ROUND(+H28+H33,1)</f>
        <v>-6.1</v>
      </c>
      <c r="I37" s="877"/>
      <c r="J37" s="873">
        <f>ROUND(+J28+J33,1)</f>
        <v>0</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873">
        <f>ROUND(+X28+X33,1)</f>
        <v>0</v>
      </c>
      <c r="Y37" s="869"/>
      <c r="Z37" s="870"/>
      <c r="AA37" s="2276">
        <f>ROUND(AA28+AA33,1)</f>
        <v>-19.600000000000001</v>
      </c>
      <c r="AB37" s="3419"/>
      <c r="AC37" s="3440"/>
      <c r="AD37" s="2276">
        <f>ROUND(AD28+AD33,1)</f>
        <v>-26.1</v>
      </c>
      <c r="AE37" s="1186"/>
      <c r="AF37" s="1152"/>
      <c r="AG37" s="1451">
        <f>ROUND(SUM(AA37-AD37),1)</f>
        <v>6.5</v>
      </c>
      <c r="AH37" s="1155"/>
      <c r="AI37" s="1640">
        <f>ROUND(IF(AG37=0,0,AG37/ABS(AD37)),3)</f>
        <v>0.249</v>
      </c>
    </row>
    <row r="38" spans="1:35" s="398" customFormat="1" ht="22.5" customHeight="1" thickBot="1">
      <c r="A38" s="249" t="s">
        <v>142</v>
      </c>
      <c r="B38" s="879">
        <f>ROUND(B13+B37,1)</f>
        <v>-7.4</v>
      </c>
      <c r="C38" s="384"/>
      <c r="D38" s="879">
        <f>ROUND(D13+D37,1)</f>
        <v>-11.8</v>
      </c>
      <c r="E38" s="384"/>
      <c r="F38" s="879">
        <f>ROUND(F13+F37,1)</f>
        <v>-16.5</v>
      </c>
      <c r="G38" s="384"/>
      <c r="H38" s="879">
        <f>ROUND(H13+H37,1)</f>
        <v>-22.6</v>
      </c>
      <c r="I38" s="880"/>
      <c r="J38" s="879">
        <f>ROUND(J13+J37,1)</f>
        <v>0</v>
      </c>
      <c r="K38" s="384"/>
      <c r="L38" s="879">
        <f>ROUND(L13+L37,1)</f>
        <v>0</v>
      </c>
      <c r="M38" s="385"/>
      <c r="N38" s="879">
        <f>ROUND(N13+N37,1)</f>
        <v>0</v>
      </c>
      <c r="O38" s="385"/>
      <c r="P38" s="879">
        <f>ROUND(P13+P37,1)</f>
        <v>0</v>
      </c>
      <c r="Q38" s="385"/>
      <c r="R38" s="879">
        <f>ROUND(R13+R37,1)</f>
        <v>0</v>
      </c>
      <c r="S38" s="880"/>
      <c r="T38" s="879">
        <f>ROUND(T13+T37,1)</f>
        <v>0</v>
      </c>
      <c r="U38" s="880"/>
      <c r="V38" s="879">
        <f>ROUND(V13+V37,1)</f>
        <v>0</v>
      </c>
      <c r="W38" s="880"/>
      <c r="X38" s="879">
        <f>ROUND(X13+X37,1)</f>
        <v>0</v>
      </c>
      <c r="Y38" s="854"/>
      <c r="Z38" s="855"/>
      <c r="AA38" s="3441">
        <f>ROUND(SUM(AA13,AA37),1)</f>
        <v>-22.6</v>
      </c>
      <c r="AB38" s="2282"/>
      <c r="AC38" s="3442"/>
      <c r="AD38" s="3655">
        <f>ROUND(SUM(AD13,AD37),1)</f>
        <v>-28.1</v>
      </c>
      <c r="AE38" s="1162"/>
      <c r="AF38" s="1153"/>
      <c r="AG38" s="1192">
        <f>ROUND(SUM(AA38-AD38),1)</f>
        <v>5.5</v>
      </c>
      <c r="AH38" s="1174"/>
      <c r="AI38" s="1519">
        <f>ROUND(IF(AG38=0,0,AG38/ABS(AD38)),3)</f>
        <v>0.19600000000000001</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881"/>
      <c r="Y39" s="882"/>
      <c r="Z39" s="882"/>
      <c r="AA39" s="3443"/>
      <c r="AB39" s="2284"/>
      <c r="AC39" s="2284"/>
      <c r="AD39" s="2284"/>
      <c r="AE39" s="1173"/>
      <c r="AF39" s="1173"/>
      <c r="AG39" s="1164"/>
      <c r="AH39" s="1155"/>
      <c r="AI39" s="1154"/>
    </row>
    <row r="40" spans="1:35" s="398" customFormat="1" ht="19.149999999999999" customHeight="1">
      <c r="B40" s="682"/>
      <c r="C40" s="833"/>
      <c r="D40" s="682"/>
      <c r="E40" s="682"/>
      <c r="F40" s="682"/>
      <c r="G40" s="682"/>
      <c r="H40" s="682"/>
      <c r="I40" s="682"/>
      <c r="J40" s="682"/>
      <c r="K40" s="682"/>
      <c r="L40" s="682"/>
      <c r="M40" s="682"/>
      <c r="N40" s="682"/>
      <c r="O40" s="682"/>
      <c r="P40" s="682"/>
      <c r="Q40" s="682"/>
      <c r="R40" s="682"/>
      <c r="S40" s="682"/>
      <c r="T40" s="682"/>
      <c r="U40" s="682"/>
      <c r="V40" s="682"/>
      <c r="W40" s="682"/>
      <c r="X40" s="682"/>
      <c r="Y40" s="682"/>
      <c r="Z40" s="883"/>
      <c r="AA40" s="2284"/>
      <c r="AB40" s="2284"/>
      <c r="AC40" s="2284"/>
      <c r="AD40" s="2284"/>
      <c r="AE40" s="1173"/>
      <c r="AF40" s="1173"/>
      <c r="AG40" s="1164"/>
      <c r="AH40" s="1155"/>
      <c r="AI40" s="1154"/>
    </row>
    <row r="41" spans="1:35" ht="15.75" customHeight="1">
      <c r="A41" s="401"/>
      <c r="B41" s="83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140"/>
      <c r="AB41" s="140"/>
      <c r="AC41" s="140"/>
      <c r="AD41" s="3445"/>
      <c r="AE41" s="1157"/>
      <c r="AF41" s="1157"/>
      <c r="AG41" s="116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140"/>
      <c r="AB43" s="140"/>
      <c r="AC43" s="140"/>
      <c r="AD43" s="3445"/>
      <c r="AE43" s="1157"/>
      <c r="AF43" s="1157"/>
      <c r="AG43" s="1164"/>
    </row>
    <row r="44" spans="1:35">
      <c r="A44" s="706"/>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140"/>
      <c r="AB44" s="140"/>
      <c r="AC44" s="140"/>
      <c r="AD44" s="3445"/>
      <c r="AE44" s="1157"/>
      <c r="AF44" s="1157"/>
      <c r="AG44" s="1164"/>
    </row>
    <row r="45" spans="1:35">
      <c r="A45" s="706"/>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140"/>
      <c r="AB45" s="140"/>
      <c r="AC45" s="140"/>
      <c r="AD45" s="3445"/>
      <c r="AE45" s="1157"/>
      <c r="AF45" s="1157"/>
    </row>
    <row r="46" spans="1:35">
      <c r="A46" s="706"/>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140"/>
      <c r="AB46" s="140"/>
      <c r="AC46" s="140"/>
      <c r="AD46" s="3445"/>
      <c r="AE46" s="1157"/>
      <c r="AF46" s="1157"/>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285" customWidth="1"/>
    <col min="25" max="26" width="1.77734375" style="2285" customWidth="1"/>
    <col min="27" max="27" width="10.109375" style="2285" customWidth="1"/>
    <col min="28" max="29" width="1.77734375" style="2285" customWidth="1"/>
    <col min="30" max="30" width="10.109375" style="2285" customWidth="1"/>
    <col min="31" max="31" width="1.77734375" style="2285" customWidth="1"/>
    <col min="32" max="32" width="2.44140625" style="2285" customWidth="1"/>
    <col min="33" max="33" width="10.21875" style="3485" bestFit="1" customWidth="1"/>
    <col min="34" max="34" width="1.77734375" style="403" customWidth="1"/>
    <col min="35" max="35" width="11.109375" style="396" customWidth="1"/>
    <col min="36" max="16384" width="8.77734375" style="396"/>
  </cols>
  <sheetData>
    <row r="1" spans="1:35" ht="15">
      <c r="A1" s="657" t="s">
        <v>980</v>
      </c>
    </row>
    <row r="2" spans="1:35" ht="15">
      <c r="A2" s="842"/>
    </row>
    <row r="3" spans="1:35" ht="20.25" customHeight="1">
      <c r="A3" s="3757"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86"/>
      <c r="AI3" s="848" t="s">
        <v>230</v>
      </c>
    </row>
    <row r="4" spans="1:35" ht="20.25" customHeight="1">
      <c r="A4" s="1582"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86"/>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107"/>
      <c r="Y5" s="107"/>
      <c r="Z5" s="107"/>
      <c r="AB5" s="3426"/>
      <c r="AC5" s="3426"/>
      <c r="AE5" s="3381"/>
      <c r="AG5" s="3486"/>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86"/>
    </row>
    <row r="7" spans="1:35" ht="20.25" customHeight="1">
      <c r="A7" s="3757" t="s">
        <v>1433</v>
      </c>
      <c r="B7" s="31"/>
      <c r="C7" s="31"/>
      <c r="D7" s="31"/>
      <c r="E7" s="31"/>
      <c r="F7" s="31"/>
      <c r="G7" s="31"/>
      <c r="H7" s="31"/>
      <c r="I7" s="31"/>
      <c r="J7" s="31"/>
      <c r="K7" s="29"/>
      <c r="L7" s="31"/>
      <c r="M7" s="31"/>
      <c r="N7" s="31"/>
      <c r="O7" s="31"/>
      <c r="P7" s="31"/>
      <c r="Q7" s="31"/>
      <c r="R7" s="31"/>
      <c r="S7" s="31"/>
      <c r="T7" s="31"/>
      <c r="U7" s="31"/>
      <c r="V7" s="31"/>
      <c r="W7" s="31"/>
      <c r="X7" s="107"/>
      <c r="Y7" s="107"/>
      <c r="Z7" s="107"/>
      <c r="AA7" s="3380"/>
      <c r="AB7" s="3380"/>
      <c r="AC7" s="3380"/>
      <c r="AD7" s="3380"/>
      <c r="AE7" s="3380"/>
      <c r="AF7" s="3380"/>
      <c r="AG7" s="1723"/>
      <c r="AH7" s="1155"/>
      <c r="AI7" s="115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80"/>
      <c r="AB8" s="3380"/>
      <c r="AC8" s="3380"/>
      <c r="AD8" s="3380"/>
      <c r="AE8" s="3380"/>
      <c r="AF8" s="3380"/>
      <c r="AG8" s="1723"/>
      <c r="AH8" s="1155"/>
      <c r="AI8" s="115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80"/>
      <c r="AB9" s="3380"/>
      <c r="AC9" s="3822"/>
      <c r="AD9" s="3823"/>
      <c r="AE9" s="3823"/>
      <c r="AF9" s="3823"/>
      <c r="AG9" s="3823"/>
      <c r="AH9" s="3823"/>
      <c r="AI9" s="3823"/>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5"/>
      <c r="W10" s="849"/>
      <c r="X10" s="3446"/>
      <c r="Y10" s="3444"/>
      <c r="Z10" s="1725"/>
      <c r="AA10" s="3821" t="s">
        <v>1473</v>
      </c>
      <c r="AB10" s="3824"/>
      <c r="AC10" s="3824"/>
      <c r="AD10" s="3824"/>
      <c r="AE10" s="3824"/>
      <c r="AF10" s="3824"/>
      <c r="AG10" s="3824"/>
      <c r="AH10" s="3824"/>
      <c r="AI10" s="3824"/>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14"/>
      <c r="Y11" s="1714"/>
      <c r="Z11" s="3406"/>
      <c r="AA11" s="3385"/>
      <c r="AB11" s="3385"/>
      <c r="AC11" s="3385"/>
      <c r="AD11" s="3487"/>
      <c r="AE11" s="3487"/>
      <c r="AF11" s="3385"/>
      <c r="AG11" s="3388" t="s">
        <v>8</v>
      </c>
      <c r="AH11" s="1158"/>
      <c r="AI11" s="1159" t="s">
        <v>9</v>
      </c>
    </row>
    <row r="12" spans="1:35" s="398" customFormat="1" ht="19.149999999999999" customHeight="1">
      <c r="A12" s="149"/>
      <c r="B12" s="788"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3447" t="s">
        <v>186</v>
      </c>
      <c r="Y12" s="1714"/>
      <c r="Z12" s="1714"/>
      <c r="AA12" s="3448" t="str">
        <f>'Cashflow Governmental'!AB14</f>
        <v>2019</v>
      </c>
      <c r="AB12" s="3448"/>
      <c r="AC12" s="3424"/>
      <c r="AD12" s="3653" t="str">
        <f>'Cashflow Governmental'!AE14</f>
        <v>2018</v>
      </c>
      <c r="AE12" s="3424"/>
      <c r="AF12" s="3424"/>
      <c r="AG12" s="3391" t="s">
        <v>12</v>
      </c>
      <c r="AH12" s="1161"/>
      <c r="AI12" s="1160" t="s">
        <v>13</v>
      </c>
    </row>
    <row r="13" spans="1:35" s="1725" customFormat="1" ht="19.149999999999999" customHeight="1">
      <c r="A13" s="1714" t="s">
        <v>137</v>
      </c>
      <c r="B13" s="1715">
        <v>13.2</v>
      </c>
      <c r="C13" s="1716"/>
      <c r="D13" s="1715">
        <f>B38</f>
        <v>13.4</v>
      </c>
      <c r="E13" s="1716"/>
      <c r="F13" s="1715">
        <f>D38</f>
        <v>13.5</v>
      </c>
      <c r="G13" s="1716" t="s">
        <v>15</v>
      </c>
      <c r="H13" s="1715">
        <f>F38</f>
        <v>13.6</v>
      </c>
      <c r="I13" s="1717" t="s">
        <v>15</v>
      </c>
      <c r="J13" s="1715" t="s">
        <v>15</v>
      </c>
      <c r="K13" s="1716"/>
      <c r="L13" s="1715" t="s">
        <v>15</v>
      </c>
      <c r="M13" s="1717"/>
      <c r="N13" s="1715" t="s">
        <v>15</v>
      </c>
      <c r="O13" s="1717"/>
      <c r="P13" s="1715" t="s">
        <v>15</v>
      </c>
      <c r="Q13" s="1717"/>
      <c r="R13" s="1715" t="s">
        <v>15</v>
      </c>
      <c r="S13" s="1717"/>
      <c r="T13" s="1715" t="s">
        <v>15</v>
      </c>
      <c r="U13" s="1717"/>
      <c r="V13" s="1715" t="s">
        <v>15</v>
      </c>
      <c r="W13" s="1717"/>
      <c r="X13" s="1715" t="s">
        <v>15</v>
      </c>
      <c r="Y13" s="1718"/>
      <c r="Z13" s="1719"/>
      <c r="AA13" s="3449">
        <f>+B13</f>
        <v>13.2</v>
      </c>
      <c r="AB13" s="3450"/>
      <c r="AC13" s="3451"/>
      <c r="AD13" s="1715">
        <v>11.9</v>
      </c>
      <c r="AE13" s="1720"/>
      <c r="AF13" s="1721"/>
      <c r="AG13" s="1722">
        <f>ROUND(SUM(AA13-AD13),1)</f>
        <v>1.3</v>
      </c>
      <c r="AH13" s="1723"/>
      <c r="AI13" s="1724">
        <f>ROUND(IF(AG13=0,0,AG13/(AD13)),3)</f>
        <v>0.109</v>
      </c>
    </row>
    <row r="14" spans="1:35" s="398" customFormat="1" ht="19.149999999999999" customHeight="1">
      <c r="A14" s="149"/>
      <c r="B14" s="386"/>
      <c r="C14" s="386"/>
      <c r="D14" s="386"/>
      <c r="E14" s="386"/>
      <c r="F14" s="386"/>
      <c r="G14" s="386"/>
      <c r="H14" s="860"/>
      <c r="I14" s="860"/>
      <c r="J14" s="860"/>
      <c r="K14" s="386"/>
      <c r="L14" s="860"/>
      <c r="M14" s="860"/>
      <c r="N14" s="860"/>
      <c r="O14" s="860"/>
      <c r="P14" s="860"/>
      <c r="Q14" s="860"/>
      <c r="R14" s="860"/>
      <c r="S14" s="860"/>
      <c r="T14" s="860"/>
      <c r="U14" s="860"/>
      <c r="V14" s="860"/>
      <c r="W14" s="860"/>
      <c r="X14" s="3429"/>
      <c r="Y14" s="3428"/>
      <c r="Z14" s="3452"/>
      <c r="AA14" s="3453"/>
      <c r="AB14" s="3454"/>
      <c r="AC14" s="3455"/>
      <c r="AD14" s="3453"/>
      <c r="AE14" s="3453"/>
      <c r="AF14" s="3425"/>
      <c r="AG14" s="3394"/>
      <c r="AH14" s="1155"/>
      <c r="AI14" s="1154"/>
    </row>
    <row r="15" spans="1:35" s="398" customFormat="1" ht="19.149999999999999" customHeight="1">
      <c r="A15" s="249" t="s">
        <v>14</v>
      </c>
      <c r="B15" s="386"/>
      <c r="C15" s="386"/>
      <c r="D15" s="386"/>
      <c r="E15" s="386"/>
      <c r="F15" s="386"/>
      <c r="G15" s="386"/>
      <c r="H15" s="860"/>
      <c r="I15" s="860"/>
      <c r="J15" s="860"/>
      <c r="K15" s="386"/>
      <c r="L15" s="860"/>
      <c r="M15" s="860"/>
      <c r="N15" s="860"/>
      <c r="O15" s="860"/>
      <c r="P15" s="860"/>
      <c r="Q15" s="860"/>
      <c r="R15" s="860"/>
      <c r="S15" s="860"/>
      <c r="T15" s="860"/>
      <c r="U15" s="860"/>
      <c r="V15" s="860"/>
      <c r="W15" s="860"/>
      <c r="X15" s="3429"/>
      <c r="Y15" s="3428"/>
      <c r="Z15" s="3452"/>
      <c r="AA15" s="3453"/>
      <c r="AB15" s="3454"/>
      <c r="AC15" s="3455"/>
      <c r="AD15" s="3453"/>
      <c r="AE15" s="3453"/>
      <c r="AF15" s="3425"/>
      <c r="AG15" s="3394"/>
      <c r="AH15" s="1155"/>
      <c r="AI15" s="1154"/>
    </row>
    <row r="16" spans="1:35" s="1725" customFormat="1" ht="19.149999999999999" customHeight="1">
      <c r="A16" s="1726" t="s">
        <v>179</v>
      </c>
      <c r="B16" s="1910">
        <v>0.2</v>
      </c>
      <c r="C16" s="237"/>
      <c r="D16" s="1910">
        <v>9.9999999999999978E-2</v>
      </c>
      <c r="E16" s="237"/>
      <c r="F16" s="1910">
        <v>0.10000000000000003</v>
      </c>
      <c r="G16" s="237"/>
      <c r="H16" s="1910">
        <f>$AA16-$B16-$D16-$F16</f>
        <v>0.19999999999999996</v>
      </c>
      <c r="I16" s="1728"/>
      <c r="J16" s="1910"/>
      <c r="K16" s="1634"/>
      <c r="L16" s="1910"/>
      <c r="M16" s="1729"/>
      <c r="N16" s="1727"/>
      <c r="O16" s="1729"/>
      <c r="P16" s="1727"/>
      <c r="Q16" s="1729"/>
      <c r="R16" s="1727"/>
      <c r="S16" s="1729"/>
      <c r="T16" s="1727"/>
      <c r="U16" s="1729"/>
      <c r="V16" s="1727"/>
      <c r="W16" s="1729"/>
      <c r="X16" s="1727"/>
      <c r="Y16" s="1730"/>
      <c r="Z16" s="1731"/>
      <c r="AA16" s="1727">
        <v>0.6</v>
      </c>
      <c r="AB16" s="3456"/>
      <c r="AC16" s="3457"/>
      <c r="AD16" s="1727">
        <v>0.6</v>
      </c>
      <c r="AE16" s="1732"/>
      <c r="AF16" s="1733"/>
      <c r="AG16" s="1734">
        <f>ROUND(SUM(AA16-AD16),1)</f>
        <v>0</v>
      </c>
      <c r="AH16" s="1723"/>
      <c r="AI16" s="1995">
        <f>ROUND(IF(AD16=0,-1,AG16/ABS(AD16)),3)</f>
        <v>0</v>
      </c>
    </row>
    <row r="17" spans="1:35" s="398" customFormat="1" ht="24" customHeight="1">
      <c r="A17" s="249" t="s">
        <v>151</v>
      </c>
      <c r="B17" s="873">
        <f>ROUND(SUM(B16),1)</f>
        <v>0.2</v>
      </c>
      <c r="C17" s="389"/>
      <c r="D17" s="873">
        <f>ROUND(SUM(D16),1)</f>
        <v>0.1</v>
      </c>
      <c r="E17" s="389"/>
      <c r="F17" s="873">
        <f>ROUND(SUM(F16),1)</f>
        <v>0.1</v>
      </c>
      <c r="G17" s="389"/>
      <c r="H17" s="873">
        <f>ROUND(SUM(H16),1)</f>
        <v>0.2</v>
      </c>
      <c r="I17" s="867"/>
      <c r="J17" s="3186">
        <f>ROUND(SUM(J16),1)</f>
        <v>0</v>
      </c>
      <c r="K17" s="389"/>
      <c r="L17" s="873">
        <f>ROUND(SUM(L16),1)</f>
        <v>0</v>
      </c>
      <c r="M17" s="868"/>
      <c r="N17" s="873">
        <f>ROUND(SUM(N16),1)</f>
        <v>0</v>
      </c>
      <c r="O17" s="868"/>
      <c r="P17" s="873">
        <f>ROUND(SUM(P16),1)</f>
        <v>0</v>
      </c>
      <c r="Q17" s="868"/>
      <c r="R17" s="2179">
        <f>ROUND(SUM(R16),1)</f>
        <v>0</v>
      </c>
      <c r="S17" s="868"/>
      <c r="T17" s="873">
        <f>ROUND(SUM(T16),1)</f>
        <v>0</v>
      </c>
      <c r="U17" s="868"/>
      <c r="V17" s="2187">
        <f>ROUND(SUM(V16),1)</f>
        <v>0</v>
      </c>
      <c r="W17" s="868"/>
      <c r="X17" s="3458">
        <f>ROUND(SUM(X16),1)</f>
        <v>0</v>
      </c>
      <c r="Y17" s="3430"/>
      <c r="Z17" s="3431"/>
      <c r="AA17" s="3459">
        <f>ROUND(SUM(AA16),1)</f>
        <v>0.6</v>
      </c>
      <c r="AB17" s="3460"/>
      <c r="AC17" s="3461"/>
      <c r="AD17" s="1761">
        <f>ROUND(SUM(AD16),1)</f>
        <v>0.6</v>
      </c>
      <c r="AE17" s="3459"/>
      <c r="AF17" s="1733"/>
      <c r="AG17" s="3488">
        <f>ROUND(SUM(AG16),1)</f>
        <v>0</v>
      </c>
      <c r="AH17" s="1190"/>
      <c r="AI17" s="1996">
        <f>ROUND(IF(AD17=0,-1,AG17/ABS(AD17)),3)</f>
        <v>0</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3462"/>
      <c r="Y18" s="1730"/>
      <c r="Z18" s="1731"/>
      <c r="AA18" s="3463"/>
      <c r="AB18" s="3456"/>
      <c r="AC18" s="3464"/>
      <c r="AD18" s="3462"/>
      <c r="AE18" s="1750"/>
      <c r="AF18" s="1733"/>
      <c r="AG18" s="1750"/>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1729"/>
      <c r="Y19" s="1730"/>
      <c r="Z19" s="1731"/>
      <c r="AA19" s="3465"/>
      <c r="AB19" s="3456"/>
      <c r="AC19" s="3457"/>
      <c r="AD19" s="1729"/>
      <c r="AE19" s="3465"/>
      <c r="AF19" s="1733"/>
      <c r="AG19" s="1750"/>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1729"/>
      <c r="Y20" s="1730"/>
      <c r="Z20" s="1731"/>
      <c r="AA20" s="3465"/>
      <c r="AB20" s="3456"/>
      <c r="AC20" s="3457"/>
      <c r="AD20" s="1729"/>
      <c r="AE20" s="3465"/>
      <c r="AF20" s="1733"/>
      <c r="AG20" s="1750"/>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1729"/>
      <c r="Y21" s="1730"/>
      <c r="Z21" s="1731"/>
      <c r="AA21" s="1741"/>
      <c r="AB21" s="3466"/>
      <c r="AC21" s="3467"/>
      <c r="AD21" s="1729"/>
      <c r="AE21" s="1741"/>
      <c r="AF21" s="1739"/>
      <c r="AG21" s="1750"/>
      <c r="AH21" s="1155"/>
      <c r="AI21" s="1154"/>
    </row>
    <row r="22" spans="1:35" s="1725" customFormat="1" ht="19.149999999999999" customHeight="1">
      <c r="A22" s="193" t="s">
        <v>220</v>
      </c>
      <c r="B22" s="872">
        <v>0</v>
      </c>
      <c r="C22" s="237"/>
      <c r="D22" s="872">
        <v>0</v>
      </c>
      <c r="E22" s="237"/>
      <c r="F22" s="872">
        <v>0</v>
      </c>
      <c r="G22" s="237"/>
      <c r="H22" s="872">
        <f>$AA22-$B22-$D22-$F22</f>
        <v>0.1</v>
      </c>
      <c r="I22" s="1729"/>
      <c r="J22" s="872"/>
      <c r="K22" s="1634"/>
      <c r="L22" s="872"/>
      <c r="M22" s="1729"/>
      <c r="N22" s="1749"/>
      <c r="O22" s="1729"/>
      <c r="P22" s="1749"/>
      <c r="Q22" s="1729"/>
      <c r="R22" s="1749"/>
      <c r="S22" s="1729"/>
      <c r="T22" s="1749"/>
      <c r="U22" s="1729"/>
      <c r="V22" s="1749"/>
      <c r="W22" s="1729"/>
      <c r="X22" s="1749"/>
      <c r="Y22" s="1730"/>
      <c r="Z22" s="1731"/>
      <c r="AA22" s="1736">
        <v>0.1</v>
      </c>
      <c r="AB22" s="3456"/>
      <c r="AC22" s="3457"/>
      <c r="AD22" s="1736">
        <v>0.1</v>
      </c>
      <c r="AE22" s="1738"/>
      <c r="AF22" s="1739"/>
      <c r="AG22" s="1734">
        <f>ROUND(SUM(AA22-AD22),1)</f>
        <v>0</v>
      </c>
      <c r="AH22" s="1723"/>
      <c r="AI22" s="1740">
        <f>ROUND(IF(AD22=0,0,AG22/ABS(AD22)),3)</f>
        <v>0</v>
      </c>
    </row>
    <row r="23" spans="1:35" s="1725" customFormat="1" ht="19.149999999999999" customHeight="1">
      <c r="A23" s="1726" t="s">
        <v>171</v>
      </c>
      <c r="B23" s="872">
        <v>0</v>
      </c>
      <c r="C23" s="237"/>
      <c r="D23" s="872">
        <v>0</v>
      </c>
      <c r="E23" s="237"/>
      <c r="F23" s="872">
        <v>0</v>
      </c>
      <c r="G23" s="237"/>
      <c r="H23" s="872">
        <f t="shared" ref="H23:H24" si="0">$AA23-$B23-$D23-$F23</f>
        <v>0</v>
      </c>
      <c r="I23" s="1729"/>
      <c r="J23" s="872"/>
      <c r="K23" s="1634"/>
      <c r="L23" s="872"/>
      <c r="M23" s="1729"/>
      <c r="N23" s="1749"/>
      <c r="O23" s="1736"/>
      <c r="P23" s="1749"/>
      <c r="Q23" s="1729"/>
      <c r="R23" s="1749"/>
      <c r="S23" s="1729"/>
      <c r="T23" s="1749"/>
      <c r="U23" s="1729"/>
      <c r="V23" s="1749"/>
      <c r="W23" s="1729"/>
      <c r="X23" s="1749"/>
      <c r="Y23" s="1730"/>
      <c r="Z23" s="1731"/>
      <c r="AA23" s="1736">
        <v>0</v>
      </c>
      <c r="AB23" s="3456"/>
      <c r="AC23" s="3457"/>
      <c r="AD23" s="1736">
        <v>0</v>
      </c>
      <c r="AE23" s="1741"/>
      <c r="AF23" s="1739"/>
      <c r="AG23" s="1734">
        <f>ROUND(SUM(AA23-AD23),1)</f>
        <v>0</v>
      </c>
      <c r="AH23" s="1742"/>
      <c r="AI23" s="1735">
        <f>ROUND(IF(AG23=0,0,AG23/ABS(AD23)),3)</f>
        <v>0</v>
      </c>
    </row>
    <row r="24" spans="1:35" s="1725" customFormat="1" ht="19.149999999999999" customHeight="1">
      <c r="A24" s="193" t="s">
        <v>156</v>
      </c>
      <c r="B24" s="872">
        <v>0</v>
      </c>
      <c r="C24" s="237"/>
      <c r="D24" s="872">
        <v>0</v>
      </c>
      <c r="E24" s="237"/>
      <c r="F24" s="872">
        <v>0</v>
      </c>
      <c r="G24" s="237"/>
      <c r="H24" s="1910">
        <f t="shared" si="0"/>
        <v>0</v>
      </c>
      <c r="I24" s="1729"/>
      <c r="J24" s="1910"/>
      <c r="K24" s="1634"/>
      <c r="L24" s="1910"/>
      <c r="M24" s="1729"/>
      <c r="N24" s="1749"/>
      <c r="O24" s="1729"/>
      <c r="P24" s="1727"/>
      <c r="Q24" s="1729"/>
      <c r="R24" s="1749"/>
      <c r="S24" s="1729"/>
      <c r="T24" s="1749"/>
      <c r="U24" s="1729"/>
      <c r="V24" s="1749"/>
      <c r="W24" s="1729"/>
      <c r="X24" s="1749"/>
      <c r="Y24" s="1730"/>
      <c r="Z24" s="1731"/>
      <c r="AA24" s="3468">
        <v>0</v>
      </c>
      <c r="AB24" s="3456"/>
      <c r="AC24" s="3457"/>
      <c r="AD24" s="3468">
        <v>0</v>
      </c>
      <c r="AE24" s="1737"/>
      <c r="AF24" s="1739"/>
      <c r="AG24" s="1734">
        <f>ROUND(SUM(AA24-AD24),1)</f>
        <v>0</v>
      </c>
      <c r="AH24" s="1723"/>
      <c r="AI24" s="1995">
        <f>ROUND(IF(AD24=0,0,AG24/ABS(AD24)),3)</f>
        <v>0</v>
      </c>
    </row>
    <row r="25" spans="1:35" s="398" customFormat="1" ht="22.5" customHeight="1">
      <c r="A25" s="249" t="s">
        <v>157</v>
      </c>
      <c r="B25" s="2188">
        <f>ROUND(SUM(B22:B24),1)</f>
        <v>0</v>
      </c>
      <c r="C25" s="389"/>
      <c r="D25" s="2205">
        <f>ROUND(SUM(D22:D24),1)</f>
        <v>0</v>
      </c>
      <c r="E25" s="389"/>
      <c r="F25" s="2205">
        <f>ROUND(SUM(F22:F24),1)</f>
        <v>0</v>
      </c>
      <c r="G25" s="389"/>
      <c r="H25" s="885">
        <f>ROUND(SUM(H22:H24),1)</f>
        <v>0.1</v>
      </c>
      <c r="I25" s="868"/>
      <c r="J25" s="2188">
        <f>ROUND(SUM(J22:J24),1)</f>
        <v>0</v>
      </c>
      <c r="K25" s="389"/>
      <c r="L25" s="2188">
        <f>ROUND(SUM(L22:L24),1)</f>
        <v>0</v>
      </c>
      <c r="M25" s="868"/>
      <c r="N25" s="2040">
        <f>ROUND(SUM(N22:N24),1)</f>
        <v>0</v>
      </c>
      <c r="O25" s="877"/>
      <c r="P25" s="885">
        <f>ROUND(SUM(P22:P24),1)</f>
        <v>0</v>
      </c>
      <c r="Q25" s="868"/>
      <c r="R25" s="2188">
        <f>ROUND(SUM(R22:R24),1)</f>
        <v>0</v>
      </c>
      <c r="S25" s="868"/>
      <c r="T25" s="2205">
        <f>ROUND(SUM(T22:T24),1)</f>
        <v>0</v>
      </c>
      <c r="U25" s="877"/>
      <c r="V25" s="2188">
        <f>ROUND(SUM(V22:V24),1)</f>
        <v>0</v>
      </c>
      <c r="W25" s="877"/>
      <c r="X25" s="3469">
        <f>ROUND(SUM(X22:X24),1)</f>
        <v>0</v>
      </c>
      <c r="Y25" s="3430"/>
      <c r="Z25" s="3431"/>
      <c r="AA25" s="3470">
        <f>ROUND(SUM(AA22:AA24),1)</f>
        <v>0.1</v>
      </c>
      <c r="AB25" s="3460"/>
      <c r="AC25" s="3461"/>
      <c r="AD25" s="2274">
        <f>ROUND(SUM(AD22:AD24),1)</f>
        <v>0.1</v>
      </c>
      <c r="AE25" s="3470"/>
      <c r="AF25" s="1739"/>
      <c r="AG25" s="3488">
        <f>ROUND(SUM(AG22:AG24),1)</f>
        <v>0</v>
      </c>
      <c r="AH25" s="1167"/>
      <c r="AI25" s="1191">
        <f>ROUND(IF(AD25=0,0,AG25/ABS(AD25)),3)</f>
        <v>0</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3462"/>
      <c r="Y26" s="1730"/>
      <c r="Z26" s="1731"/>
      <c r="AA26" s="3463"/>
      <c r="AB26" s="3456"/>
      <c r="AC26" s="3464"/>
      <c r="AD26" s="3462"/>
      <c r="AE26" s="1750"/>
      <c r="AF26" s="1733"/>
      <c r="AG26" s="1750"/>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1729"/>
      <c r="Y27" s="1730"/>
      <c r="Z27" s="1731"/>
      <c r="AA27" s="3465"/>
      <c r="AB27" s="3456"/>
      <c r="AC27" s="3457"/>
      <c r="AD27" s="1729"/>
      <c r="AE27" s="3465"/>
      <c r="AF27" s="1733"/>
      <c r="AG27" s="1750"/>
      <c r="AH27" s="1155"/>
      <c r="AI27" s="1155"/>
    </row>
    <row r="28" spans="1:35" s="398" customFormat="1" ht="18.75" customHeight="1">
      <c r="A28" s="249" t="s">
        <v>45</v>
      </c>
      <c r="B28" s="875">
        <f>ROUND(B17-B25,1)</f>
        <v>0.2</v>
      </c>
      <c r="C28" s="389"/>
      <c r="D28" s="875">
        <f>ROUND(D17-D25,1)</f>
        <v>0.1</v>
      </c>
      <c r="E28" s="886"/>
      <c r="F28" s="875">
        <f>ROUND(F17-F25,1)</f>
        <v>0.1</v>
      </c>
      <c r="G28" s="886"/>
      <c r="H28" s="875">
        <f>ROUND(H17-H25,1)</f>
        <v>0.1</v>
      </c>
      <c r="I28" s="887"/>
      <c r="J28" s="875">
        <f>ROUND(J17-J25,1)</f>
        <v>0</v>
      </c>
      <c r="K28" s="886"/>
      <c r="L28" s="875">
        <f>ROUND(L17-L25,1)</f>
        <v>0</v>
      </c>
      <c r="M28" s="888"/>
      <c r="N28" s="875">
        <f>ROUND(N17-N25,1)</f>
        <v>0</v>
      </c>
      <c r="O28" s="888"/>
      <c r="P28" s="875">
        <f>ROUND(P17-P25,1)</f>
        <v>0</v>
      </c>
      <c r="Q28" s="888"/>
      <c r="R28" s="875">
        <f>ROUND(R17-R25,1)</f>
        <v>0</v>
      </c>
      <c r="S28" s="888"/>
      <c r="T28" s="875">
        <f>ROUND(T17-T25,1)</f>
        <v>0</v>
      </c>
      <c r="U28" s="888"/>
      <c r="V28" s="875">
        <f>ROUND(V17-V25,1)</f>
        <v>0</v>
      </c>
      <c r="W28" s="888"/>
      <c r="X28" s="3435">
        <f>ROUND(X17-X25,1)</f>
        <v>0</v>
      </c>
      <c r="Y28" s="3430"/>
      <c r="Z28" s="3431"/>
      <c r="AA28" s="3471">
        <f>ROUND(AA17-AA25,1)</f>
        <v>0.5</v>
      </c>
      <c r="AB28" s="3460"/>
      <c r="AC28" s="3472"/>
      <c r="AD28" s="3435">
        <f>ROUND(AD17-AD25,1)</f>
        <v>0.5</v>
      </c>
      <c r="AE28" s="3478"/>
      <c r="AF28" s="1739"/>
      <c r="AG28" s="3398">
        <f>ROUND(SUM(AG17-AG25),1)</f>
        <v>0</v>
      </c>
      <c r="AH28" s="1167"/>
      <c r="AI28" s="2192">
        <f>ROUND(IF(AD28=0,-1,AG28/ABS(AD28)),3)</f>
        <v>0</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62"/>
      <c r="S29" s="863"/>
      <c r="T29" s="862"/>
      <c r="U29" s="863"/>
      <c r="V29" s="862"/>
      <c r="W29" s="863"/>
      <c r="X29" s="3462"/>
      <c r="Y29" s="1730"/>
      <c r="Z29" s="1731"/>
      <c r="AA29" s="1750"/>
      <c r="AB29" s="3456"/>
      <c r="AC29" s="3464"/>
      <c r="AD29" s="1728"/>
      <c r="AE29" s="1750"/>
      <c r="AF29" s="1744"/>
      <c r="AG29" s="1750"/>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1729"/>
      <c r="Y30" s="1730"/>
      <c r="Z30" s="1731"/>
      <c r="AA30" s="3465"/>
      <c r="AB30" s="3456"/>
      <c r="AC30" s="3457"/>
      <c r="AD30" s="1729"/>
      <c r="AE30" s="3465"/>
      <c r="AF30" s="1744"/>
      <c r="AG30" s="1750"/>
      <c r="AH30" s="1155"/>
      <c r="AI30" s="1154"/>
    </row>
    <row r="31" spans="1:35" s="1725" customFormat="1" ht="19.149999999999999" customHeight="1">
      <c r="A31" s="193" t="s">
        <v>182</v>
      </c>
      <c r="B31" s="872">
        <v>0</v>
      </c>
      <c r="C31" s="237"/>
      <c r="D31" s="872">
        <v>0</v>
      </c>
      <c r="E31" s="237"/>
      <c r="F31" s="872">
        <v>0</v>
      </c>
      <c r="G31" s="237"/>
      <c r="H31" s="872">
        <f t="shared" ref="H31:H32" si="1">$AA31-$B31-$D31-$F31</f>
        <v>0</v>
      </c>
      <c r="I31" s="1729"/>
      <c r="J31" s="872"/>
      <c r="K31" s="1634"/>
      <c r="L31" s="872"/>
      <c r="M31" s="1729"/>
      <c r="N31" s="1749"/>
      <c r="O31" s="1729"/>
      <c r="P31" s="1749"/>
      <c r="Q31" s="1729"/>
      <c r="R31" s="1749"/>
      <c r="S31" s="1729"/>
      <c r="T31" s="1749"/>
      <c r="U31" s="1729"/>
      <c r="V31" s="1749"/>
      <c r="W31" s="1729"/>
      <c r="X31" s="1749"/>
      <c r="Y31" s="1730"/>
      <c r="Z31" s="1731"/>
      <c r="AA31" s="1736">
        <v>0</v>
      </c>
      <c r="AB31" s="3456"/>
      <c r="AC31" s="3457"/>
      <c r="AD31" s="1736">
        <v>0</v>
      </c>
      <c r="AE31" s="1741"/>
      <c r="AF31" s="1743"/>
      <c r="AG31" s="1734">
        <f>ROUND(SUM(AA31-AD31),1)</f>
        <v>0</v>
      </c>
      <c r="AH31" s="1742"/>
      <c r="AI31" s="1735">
        <f>ROUND(IF(AG31=0,0,AG31/ABS(AD31)),3)</f>
        <v>0</v>
      </c>
    </row>
    <row r="32" spans="1:35" s="1725" customFormat="1" ht="19.149999999999999" customHeight="1">
      <c r="A32" s="193" t="s">
        <v>183</v>
      </c>
      <c r="B32" s="872">
        <v>0</v>
      </c>
      <c r="C32" s="237"/>
      <c r="D32" s="872">
        <v>0</v>
      </c>
      <c r="E32" s="237"/>
      <c r="F32" s="872">
        <v>0</v>
      </c>
      <c r="G32" s="237"/>
      <c r="H32" s="872">
        <f t="shared" si="1"/>
        <v>0</v>
      </c>
      <c r="I32" s="1729"/>
      <c r="J32" s="872"/>
      <c r="K32" s="1634"/>
      <c r="L32" s="1910"/>
      <c r="M32" s="1728"/>
      <c r="N32" s="1749"/>
      <c r="O32" s="1727"/>
      <c r="P32" s="1749"/>
      <c r="Q32" s="1728"/>
      <c r="R32" s="1749"/>
      <c r="S32" s="1728"/>
      <c r="T32" s="1749"/>
      <c r="U32" s="1728"/>
      <c r="V32" s="1749"/>
      <c r="W32" s="1728"/>
      <c r="X32" s="1749"/>
      <c r="Y32" s="1730"/>
      <c r="Z32" s="1731"/>
      <c r="AA32" s="1736">
        <v>0</v>
      </c>
      <c r="AB32" s="3473"/>
      <c r="AC32" s="3474"/>
      <c r="AD32" s="1736">
        <v>0</v>
      </c>
      <c r="AE32" s="1741"/>
      <c r="AF32" s="1744"/>
      <c r="AG32" s="1734">
        <f>ROUND(SUM(AA32-AD32),1)</f>
        <v>0</v>
      </c>
      <c r="AH32" s="1742"/>
      <c r="AI32" s="1735">
        <f>ROUND(IF(AG32=0,0,AG32/ABS(AD32)),3)</f>
        <v>0</v>
      </c>
    </row>
    <row r="33" spans="1:35" s="398" customFormat="1" ht="22.5" customHeight="1">
      <c r="A33" s="249" t="s">
        <v>209</v>
      </c>
      <c r="B33" s="889">
        <f>ROUND(SUM(B31:B32),1)</f>
        <v>0</v>
      </c>
      <c r="C33" s="389"/>
      <c r="D33" s="889">
        <f>ROUND(SUM(D31:D32),1)</f>
        <v>0</v>
      </c>
      <c r="E33" s="389"/>
      <c r="F33" s="889">
        <f>ROUND(SUM(F31:F32),1)</f>
        <v>0</v>
      </c>
      <c r="G33" s="389"/>
      <c r="H33" s="889">
        <f>ROUND(SUM(H31:H32),1)</f>
        <v>0</v>
      </c>
      <c r="I33" s="868"/>
      <c r="J33" s="889">
        <f>ROUND(SUM(J31:J32),1)</f>
        <v>0</v>
      </c>
      <c r="K33" s="389"/>
      <c r="L33" s="889">
        <f>ROUND(SUM(L31:L32),1)</f>
        <v>0</v>
      </c>
      <c r="M33" s="868"/>
      <c r="N33" s="889">
        <f>ROUND(SUM(N31:N32),1)</f>
        <v>0</v>
      </c>
      <c r="O33" s="868"/>
      <c r="P33" s="889">
        <f>ROUND(SUM(P31:P32),1)</f>
        <v>0</v>
      </c>
      <c r="Q33" s="890"/>
      <c r="R33" s="889">
        <f>ROUND(SUM(R31:R32),1)</f>
        <v>0</v>
      </c>
      <c r="S33" s="868"/>
      <c r="T33" s="889">
        <f>ROUND(SUM(T31:T32),1)</f>
        <v>0</v>
      </c>
      <c r="U33" s="868"/>
      <c r="V33" s="889">
        <f>ROUND(SUM(V31:V32),1)</f>
        <v>0</v>
      </c>
      <c r="W33" s="868"/>
      <c r="X33" s="3437">
        <f>ROUND(SUM(X31:X32),1)</f>
        <v>0</v>
      </c>
      <c r="Y33" s="3430"/>
      <c r="Z33" s="3431"/>
      <c r="AA33" s="3475">
        <f>ROUND(SUM(AA31:AA32),1)</f>
        <v>0</v>
      </c>
      <c r="AB33" s="3476"/>
      <c r="AC33" s="3477"/>
      <c r="AD33" s="3437">
        <f>ROUND(SUM(AD31:AD32),1)</f>
        <v>0</v>
      </c>
      <c r="AE33" s="3489"/>
      <c r="AF33" s="1743"/>
      <c r="AG33" s="3488">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3462"/>
      <c r="Y34" s="1730"/>
      <c r="Z34" s="1731"/>
      <c r="AA34" s="3463"/>
      <c r="AB34" s="3456"/>
      <c r="AC34" s="3464"/>
      <c r="AD34" s="3462"/>
      <c r="AE34" s="1750"/>
      <c r="AF34" s="1733"/>
      <c r="AG34" s="1750"/>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1729"/>
      <c r="Y35" s="1730"/>
      <c r="Z35" s="1731"/>
      <c r="AA35" s="3465"/>
      <c r="AB35" s="3456"/>
      <c r="AC35" s="3457"/>
      <c r="AD35" s="1729"/>
      <c r="AE35" s="3465"/>
      <c r="AF35" s="1733"/>
      <c r="AG35" s="1750"/>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63"/>
      <c r="U36" s="863"/>
      <c r="V36" s="862"/>
      <c r="W36" s="863"/>
      <c r="X36" s="1729"/>
      <c r="Y36" s="1730"/>
      <c r="Z36" s="1731"/>
      <c r="AA36" s="3465"/>
      <c r="AB36" s="3456"/>
      <c r="AC36" s="3457"/>
      <c r="AD36" s="1729"/>
      <c r="AE36" s="3490"/>
      <c r="AF36" s="1771"/>
      <c r="AG36" s="1750"/>
      <c r="AH36" s="1155"/>
      <c r="AI36" s="1155"/>
    </row>
    <row r="37" spans="1:35" s="400" customFormat="1" ht="19.149999999999999" customHeight="1">
      <c r="A37" s="249" t="s">
        <v>168</v>
      </c>
      <c r="B37" s="873">
        <f>ROUND(B28+B33,1)</f>
        <v>0.2</v>
      </c>
      <c r="C37" s="389"/>
      <c r="D37" s="873">
        <f>ROUND(D28+D33,1)</f>
        <v>0.1</v>
      </c>
      <c r="E37" s="391"/>
      <c r="F37" s="873">
        <f>ROUND(F28+F33,1)</f>
        <v>0.1</v>
      </c>
      <c r="G37" s="391"/>
      <c r="H37" s="873">
        <f>ROUND(H28+H33,1)</f>
        <v>0.1</v>
      </c>
      <c r="I37" s="877"/>
      <c r="J37" s="873">
        <f>ROUND(J28+J33,1)</f>
        <v>0</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1761">
        <f>ROUND(X28+X33,1)</f>
        <v>0</v>
      </c>
      <c r="Y37" s="3430"/>
      <c r="Z37" s="3431"/>
      <c r="AA37" s="3478">
        <f>ROUND(AA28+AA33,1)</f>
        <v>0.5</v>
      </c>
      <c r="AB37" s="3479"/>
      <c r="AC37" s="3480"/>
      <c r="AD37" s="1761">
        <f>ROUND(AD28+AD33,1)</f>
        <v>0.5</v>
      </c>
      <c r="AE37" s="3478"/>
      <c r="AF37" s="2281"/>
      <c r="AG37" s="3479">
        <f>ROUND(SUM(AG28+AG33),1)</f>
        <v>0</v>
      </c>
      <c r="AH37" s="1146"/>
      <c r="AI37" s="2192">
        <f>ROUND(IF(AD37=0,-1,AG37/ABS(AD37)),3)</f>
        <v>0</v>
      </c>
    </row>
    <row r="38" spans="1:35" s="398" customFormat="1" ht="22.5" customHeight="1" thickBot="1">
      <c r="A38" s="249" t="s">
        <v>142</v>
      </c>
      <c r="B38" s="879">
        <f>ROUND(SUM(B13,B37),1)</f>
        <v>13.4</v>
      </c>
      <c r="C38" s="384"/>
      <c r="D38" s="879">
        <f>ROUND(SUM(D13,D37),1)</f>
        <v>13.5</v>
      </c>
      <c r="E38" s="384"/>
      <c r="F38" s="879">
        <f>ROUND(SUM(F13,F37),1)</f>
        <v>13.6</v>
      </c>
      <c r="G38" s="384"/>
      <c r="H38" s="879">
        <f>ROUND(SUM(H13,H37),1)</f>
        <v>13.7</v>
      </c>
      <c r="I38" s="880"/>
      <c r="J38" s="879">
        <f>ROUND(SUM(J13,J37),1)</f>
        <v>0</v>
      </c>
      <c r="K38" s="384"/>
      <c r="L38" s="879">
        <f>ROUND(SUM(L13,L37),1)</f>
        <v>0</v>
      </c>
      <c r="M38" s="385"/>
      <c r="N38" s="879">
        <f>ROUND(SUM(N13,N37),1)</f>
        <v>0</v>
      </c>
      <c r="O38" s="385"/>
      <c r="P38" s="879">
        <f>ROUND(SUM(P13,P37),1)</f>
        <v>0</v>
      </c>
      <c r="Q38" s="385"/>
      <c r="R38" s="879">
        <f>ROUND(SUM(R13,R37),1)</f>
        <v>0</v>
      </c>
      <c r="S38" s="880"/>
      <c r="T38" s="879">
        <f>ROUND(SUM(T13,T37),1)</f>
        <v>0</v>
      </c>
      <c r="U38" s="880"/>
      <c r="V38" s="879">
        <f>ROUND(SUM(V13,V37),1)</f>
        <v>0</v>
      </c>
      <c r="W38" s="880"/>
      <c r="X38" s="3441">
        <f>ROUND(SUM(X13,X37),1)</f>
        <v>0</v>
      </c>
      <c r="Y38" s="1718"/>
      <c r="Z38" s="1719"/>
      <c r="AA38" s="3481">
        <f>ROUND(SUM(AA13,AA37),1)</f>
        <v>13.7</v>
      </c>
      <c r="AB38" s="1722"/>
      <c r="AC38" s="3482"/>
      <c r="AD38" s="3491">
        <f>ROUND(SUM(AD13,AD37),1)</f>
        <v>12.4</v>
      </c>
      <c r="AE38" s="1722"/>
      <c r="AF38" s="2283"/>
      <c r="AG38" s="3491">
        <f>ROUND(SUM(AA38-AD38),1)</f>
        <v>1.3</v>
      </c>
      <c r="AH38" s="1174"/>
      <c r="AI38" s="1193">
        <f>ROUND(IF(AG38=0,0,AG38/ABS(AD38)),3)</f>
        <v>0.105</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3443"/>
      <c r="Y39" s="3445"/>
      <c r="Z39" s="3445"/>
      <c r="AA39" s="3483"/>
      <c r="AB39" s="3484"/>
      <c r="AC39" s="3484"/>
      <c r="AD39" s="3484"/>
      <c r="AE39" s="3484"/>
      <c r="AF39" s="3484"/>
      <c r="AG39" s="3394"/>
      <c r="AH39" s="1155"/>
      <c r="AI39" s="115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92"/>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93"/>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93"/>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93"/>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77734375" defaultRowHeight="15.75"/>
  <cols>
    <col min="1" max="1" width="56.77734375" style="747" customWidth="1"/>
    <col min="2" max="2" width="2.21875" style="747" customWidth="1"/>
    <col min="3" max="3" width="19" style="746" customWidth="1"/>
    <col min="4" max="4" width="1.777343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21875" style="747" customWidth="1"/>
    <col min="12" max="12" width="6.33203125" style="2291" customWidth="1"/>
    <col min="13" max="13" width="2.5546875" style="2291" customWidth="1"/>
    <col min="14" max="14" width="9" style="2291" bestFit="1" customWidth="1"/>
    <col min="15" max="15" width="20.77734375" style="747" customWidth="1"/>
    <col min="16" max="16384" width="8.77734375" style="747"/>
  </cols>
  <sheetData>
    <row r="1" spans="1:14">
      <c r="A1" s="1544" t="s">
        <v>980</v>
      </c>
    </row>
    <row r="2" spans="1:14">
      <c r="A2" s="3154"/>
    </row>
    <row r="3" spans="1:14" ht="18">
      <c r="A3" s="3155" t="s">
        <v>0</v>
      </c>
      <c r="B3" s="790"/>
      <c r="C3" s="790"/>
      <c r="D3" s="790"/>
      <c r="E3" s="790"/>
      <c r="F3" s="790"/>
      <c r="G3" s="790"/>
      <c r="H3" s="790"/>
      <c r="I3" s="790"/>
      <c r="J3" s="790"/>
      <c r="K3" s="3156" t="s">
        <v>232</v>
      </c>
      <c r="L3" s="3157"/>
    </row>
    <row r="4" spans="1:14" ht="18">
      <c r="A4" s="3155" t="s">
        <v>231</v>
      </c>
      <c r="B4" s="790"/>
      <c r="C4" s="790" t="s">
        <v>15</v>
      </c>
      <c r="D4" s="790"/>
      <c r="E4" s="790"/>
      <c r="F4" s="790"/>
      <c r="G4" s="790"/>
      <c r="H4" s="790"/>
      <c r="I4" s="790"/>
      <c r="J4" s="790"/>
      <c r="L4" s="3158"/>
    </row>
    <row r="5" spans="1:14" ht="18">
      <c r="A5" s="3155" t="s">
        <v>1304</v>
      </c>
      <c r="B5" s="790"/>
      <c r="C5" s="790"/>
      <c r="D5" s="790"/>
      <c r="E5" s="790"/>
      <c r="F5" s="790"/>
      <c r="G5" s="790"/>
      <c r="H5" s="790"/>
      <c r="I5" s="790"/>
      <c r="J5" s="790"/>
      <c r="K5" s="3159"/>
      <c r="L5" s="3160"/>
    </row>
    <row r="6" spans="1:14" ht="18">
      <c r="A6" s="3161" t="s">
        <v>233</v>
      </c>
      <c r="B6" s="790"/>
      <c r="C6" s="790"/>
      <c r="D6" s="790"/>
      <c r="E6" s="790"/>
      <c r="F6" s="790"/>
      <c r="G6" s="790"/>
      <c r="H6" s="790"/>
      <c r="I6" s="790"/>
      <c r="J6" s="790"/>
      <c r="K6" s="441"/>
      <c r="L6" s="3162"/>
    </row>
    <row r="7" spans="1:14" ht="18">
      <c r="A7" s="3161" t="s">
        <v>1413</v>
      </c>
      <c r="B7" s="790"/>
      <c r="C7" s="790"/>
      <c r="D7" s="790"/>
      <c r="E7" s="790"/>
      <c r="F7" s="790"/>
      <c r="G7" s="790"/>
      <c r="H7" s="790"/>
      <c r="I7" s="790"/>
      <c r="J7" s="790"/>
      <c r="K7" s="441"/>
      <c r="L7" s="3162"/>
    </row>
    <row r="8" spans="1:14" ht="18">
      <c r="A8" s="3161" t="s">
        <v>1474</v>
      </c>
      <c r="B8" s="790"/>
      <c r="C8" s="790"/>
      <c r="D8" s="790"/>
      <c r="E8" s="790" t="s">
        <v>15</v>
      </c>
      <c r="F8" s="790"/>
      <c r="G8" s="790"/>
      <c r="H8" s="790"/>
      <c r="I8" s="790"/>
      <c r="J8" s="790"/>
      <c r="K8" s="790"/>
      <c r="L8" s="3157"/>
    </row>
    <row r="9" spans="1:14" ht="18">
      <c r="A9" s="3155" t="s">
        <v>1437</v>
      </c>
      <c r="B9" s="3163" t="s">
        <v>234</v>
      </c>
      <c r="C9" s="742"/>
      <c r="D9" s="742"/>
      <c r="E9" s="742"/>
      <c r="F9" s="742"/>
      <c r="G9" s="742"/>
      <c r="H9" s="742"/>
      <c r="I9" s="742"/>
      <c r="J9" s="742"/>
      <c r="K9" s="742"/>
      <c r="L9" s="744"/>
    </row>
    <row r="10" spans="1:14">
      <c r="A10" s="742"/>
      <c r="B10" s="742"/>
      <c r="C10" s="438" t="s">
        <v>235</v>
      </c>
      <c r="D10" s="442"/>
      <c r="E10" s="442"/>
      <c r="F10" s="442"/>
      <c r="G10" s="444"/>
      <c r="H10" s="442"/>
      <c r="I10" s="2286" t="s">
        <v>236</v>
      </c>
      <c r="J10" s="442"/>
      <c r="K10" s="2286" t="s">
        <v>235</v>
      </c>
      <c r="L10" s="2286"/>
    </row>
    <row r="11" spans="1:14">
      <c r="A11" s="742"/>
      <c r="B11" s="742"/>
      <c r="C11" s="3635" t="s">
        <v>1475</v>
      </c>
      <c r="D11" s="442"/>
      <c r="E11" s="2287" t="s">
        <v>237</v>
      </c>
      <c r="F11" s="444"/>
      <c r="G11" s="2288" t="s">
        <v>238</v>
      </c>
      <c r="H11" s="444"/>
      <c r="I11" s="2288" t="s">
        <v>239</v>
      </c>
      <c r="J11" s="444"/>
      <c r="K11" s="3164" t="s">
        <v>1466</v>
      </c>
      <c r="L11" s="2289"/>
    </row>
    <row r="12" spans="1:14">
      <c r="A12" s="742"/>
      <c r="B12" s="742"/>
      <c r="C12" s="2289"/>
      <c r="D12" s="442"/>
      <c r="E12" s="2286"/>
      <c r="F12" s="444"/>
      <c r="G12" s="2286"/>
      <c r="H12" s="444"/>
      <c r="I12" s="2286"/>
      <c r="J12" s="444"/>
      <c r="K12" s="3165"/>
      <c r="L12" s="2289"/>
    </row>
    <row r="13" spans="1:14">
      <c r="A13" s="439" t="s">
        <v>147</v>
      </c>
      <c r="B13" s="742"/>
      <c r="C13" s="744"/>
      <c r="D13" s="742"/>
      <c r="E13" s="1781"/>
      <c r="F13" s="742"/>
      <c r="G13" s="741"/>
      <c r="H13" s="742"/>
      <c r="I13" s="741"/>
      <c r="J13" s="742"/>
      <c r="K13" s="744"/>
      <c r="L13" s="744"/>
    </row>
    <row r="14" spans="1:14">
      <c r="A14" s="742" t="s">
        <v>240</v>
      </c>
      <c r="B14" s="1781"/>
      <c r="C14" s="1747">
        <v>0</v>
      </c>
      <c r="D14" s="1748"/>
      <c r="E14" s="1747">
        <v>2.1000000000000001E-2</v>
      </c>
      <c r="F14" s="1748"/>
      <c r="G14" s="1747">
        <v>3320.1779999999999</v>
      </c>
      <c r="H14" s="1748"/>
      <c r="I14" s="1747">
        <v>3320.1570000000002</v>
      </c>
      <c r="J14" s="1781"/>
      <c r="K14" s="807">
        <f>ROUND(SUM(C14)+SUM(E14)-SUM(G14)+SUM(I14),3)</f>
        <v>0</v>
      </c>
      <c r="L14" s="2198"/>
    </row>
    <row r="15" spans="1:14">
      <c r="A15" s="742" t="s">
        <v>241</v>
      </c>
      <c r="B15" s="742"/>
      <c r="C15" s="1751">
        <v>6558.5990000000002</v>
      </c>
      <c r="D15" s="1748"/>
      <c r="E15" s="1751">
        <v>2676.366</v>
      </c>
      <c r="F15" s="1748"/>
      <c r="G15" s="1751">
        <v>1282.9770000000001</v>
      </c>
      <c r="H15" s="1748"/>
      <c r="I15" s="1751">
        <v>-1371.722</v>
      </c>
      <c r="J15" s="1781"/>
      <c r="K15" s="655">
        <f>ROUND(SUM(C15)+SUM(E15)-SUM(G15)+SUM(I15),3)</f>
        <v>6580.2659999999996</v>
      </c>
      <c r="L15" s="2204"/>
      <c r="M15" s="2201"/>
      <c r="N15" s="2201"/>
    </row>
    <row r="16" spans="1:14">
      <c r="A16" s="743" t="s">
        <v>242</v>
      </c>
      <c r="B16" s="742"/>
      <c r="C16" s="1751">
        <v>0</v>
      </c>
      <c r="D16" s="1748"/>
      <c r="E16" s="1751">
        <v>0</v>
      </c>
      <c r="F16" s="1748"/>
      <c r="G16" s="1751">
        <v>0</v>
      </c>
      <c r="H16" s="1748"/>
      <c r="I16" s="1751">
        <v>0</v>
      </c>
      <c r="J16" s="1781"/>
      <c r="K16" s="655">
        <f t="shared" ref="K16:K23" si="0">ROUND(SUM(C16)+SUM(E16)-SUM(G16)+SUM(I16),3)</f>
        <v>0</v>
      </c>
      <c r="L16" s="2204"/>
      <c r="M16" s="2201"/>
      <c r="N16" s="2201"/>
    </row>
    <row r="17" spans="1:14">
      <c r="A17" s="742" t="s">
        <v>243</v>
      </c>
      <c r="B17" s="742"/>
      <c r="C17" s="1751">
        <v>0</v>
      </c>
      <c r="D17" s="1748"/>
      <c r="E17" s="1751">
        <v>0</v>
      </c>
      <c r="F17" s="1748"/>
      <c r="G17" s="1751">
        <v>0</v>
      </c>
      <c r="H17" s="1748"/>
      <c r="I17" s="1751">
        <v>0</v>
      </c>
      <c r="J17" s="1781"/>
      <c r="K17" s="655">
        <f t="shared" si="0"/>
        <v>0</v>
      </c>
      <c r="L17" s="2204"/>
      <c r="M17" s="2201"/>
      <c r="N17" s="2201"/>
    </row>
    <row r="18" spans="1:14">
      <c r="A18" s="742" t="s">
        <v>244</v>
      </c>
      <c r="B18" s="742"/>
      <c r="C18" s="1751">
        <v>0</v>
      </c>
      <c r="D18" s="1748"/>
      <c r="E18" s="1751">
        <v>0</v>
      </c>
      <c r="F18" s="1748"/>
      <c r="G18" s="1751">
        <v>0</v>
      </c>
      <c r="H18" s="1748"/>
      <c r="I18" s="1751">
        <v>0</v>
      </c>
      <c r="J18" s="1781"/>
      <c r="K18" s="655">
        <f t="shared" si="0"/>
        <v>0</v>
      </c>
      <c r="L18" s="2204"/>
      <c r="M18" s="2201"/>
      <c r="N18" s="2201"/>
    </row>
    <row r="19" spans="1:14">
      <c r="A19" s="742" t="s">
        <v>245</v>
      </c>
      <c r="B19" s="742"/>
      <c r="C19" s="1751">
        <v>34.412999999999997</v>
      </c>
      <c r="D19" s="1748"/>
      <c r="E19" s="1751">
        <v>0</v>
      </c>
      <c r="F19" s="1748"/>
      <c r="G19" s="1751">
        <v>0.40400000000000003</v>
      </c>
      <c r="H19" s="1748"/>
      <c r="I19" s="1751">
        <v>0</v>
      </c>
      <c r="J19" s="1781"/>
      <c r="K19" s="655">
        <f t="shared" si="0"/>
        <v>34.009</v>
      </c>
      <c r="L19" s="745"/>
      <c r="M19" s="2201"/>
      <c r="N19" s="2201"/>
    </row>
    <row r="20" spans="1:14">
      <c r="A20" s="742" t="s">
        <v>246</v>
      </c>
      <c r="B20" s="742"/>
      <c r="C20" s="1751">
        <v>0</v>
      </c>
      <c r="D20" s="1748"/>
      <c r="E20" s="1751">
        <v>0</v>
      </c>
      <c r="F20" s="1748"/>
      <c r="G20" s="1751">
        <v>0</v>
      </c>
      <c r="H20" s="1748"/>
      <c r="I20" s="1751">
        <v>0</v>
      </c>
      <c r="J20" s="1781"/>
      <c r="K20" s="655">
        <f t="shared" si="0"/>
        <v>0</v>
      </c>
      <c r="L20" s="2204"/>
      <c r="M20" s="2201"/>
      <c r="N20" s="2201"/>
    </row>
    <row r="21" spans="1:14">
      <c r="A21" s="743" t="s">
        <v>247</v>
      </c>
      <c r="B21" s="744"/>
      <c r="C21" s="1751">
        <v>0</v>
      </c>
      <c r="D21" s="1748"/>
      <c r="E21" s="1751">
        <v>0</v>
      </c>
      <c r="F21" s="1748"/>
      <c r="G21" s="1751">
        <v>0</v>
      </c>
      <c r="H21" s="1748"/>
      <c r="I21" s="1751">
        <v>0</v>
      </c>
      <c r="J21" s="1781"/>
      <c r="K21" s="655">
        <f t="shared" si="0"/>
        <v>0</v>
      </c>
      <c r="L21" s="2204"/>
      <c r="M21" s="2201"/>
      <c r="N21" s="2201"/>
    </row>
    <row r="22" spans="1:14">
      <c r="A22" s="743" t="s">
        <v>248</v>
      </c>
      <c r="B22" s="742"/>
      <c r="C22" s="1751">
        <v>0</v>
      </c>
      <c r="D22" s="1748"/>
      <c r="E22" s="1751">
        <v>0</v>
      </c>
      <c r="F22" s="1748"/>
      <c r="G22" s="1751">
        <v>0</v>
      </c>
      <c r="H22" s="1748"/>
      <c r="I22" s="1751">
        <v>0</v>
      </c>
      <c r="J22" s="1781"/>
      <c r="K22" s="655">
        <f t="shared" si="0"/>
        <v>0</v>
      </c>
      <c r="L22" s="2204"/>
      <c r="M22" s="2201"/>
      <c r="N22" s="2201"/>
    </row>
    <row r="23" spans="1:14">
      <c r="A23" s="743" t="s">
        <v>249</v>
      </c>
      <c r="B23" s="742"/>
      <c r="C23" s="1751">
        <v>0</v>
      </c>
      <c r="D23" s="1748"/>
      <c r="E23" s="1751">
        <v>0</v>
      </c>
      <c r="F23" s="1748"/>
      <c r="G23" s="1751">
        <v>0</v>
      </c>
      <c r="H23" s="1748"/>
      <c r="I23" s="1751">
        <v>0</v>
      </c>
      <c r="J23" s="1781"/>
      <c r="K23" s="655">
        <f t="shared" si="0"/>
        <v>0</v>
      </c>
      <c r="L23" s="2204"/>
      <c r="M23" s="2201"/>
    </row>
    <row r="24" spans="1:14" ht="22.5" customHeight="1">
      <c r="A24" s="436" t="s">
        <v>250</v>
      </c>
      <c r="B24" s="742"/>
      <c r="C24" s="437">
        <f>ROUND(SUM(C14:C23),3)</f>
        <v>6593.0119999999997</v>
      </c>
      <c r="D24" s="438"/>
      <c r="E24" s="437">
        <f>ROUND(SUM(E14:E23),3)</f>
        <v>2676.3870000000002</v>
      </c>
      <c r="F24" s="438"/>
      <c r="G24" s="437">
        <f>ROUND(SUM(G14:G23),3)</f>
        <v>4603.5590000000002</v>
      </c>
      <c r="H24" s="438"/>
      <c r="I24" s="437">
        <f>ROUND(SUM(I14:I23),3)</f>
        <v>1948.4349999999999</v>
      </c>
      <c r="J24" s="438"/>
      <c r="K24" s="437">
        <f>ROUND(SUM(K14:K23),3)</f>
        <v>6614.2749999999996</v>
      </c>
      <c r="L24" s="3166"/>
      <c r="M24" s="2201"/>
      <c r="N24" s="2201"/>
    </row>
    <row r="25" spans="1:14" ht="8.25" customHeight="1">
      <c r="A25" s="436"/>
      <c r="B25" s="742"/>
      <c r="C25" s="741"/>
      <c r="D25" s="655"/>
      <c r="E25" s="741"/>
      <c r="F25" s="655"/>
      <c r="G25" s="741"/>
      <c r="H25" s="655"/>
      <c r="I25" s="741"/>
      <c r="J25" s="655"/>
      <c r="K25" s="741"/>
      <c r="L25" s="741"/>
      <c r="M25" s="2201"/>
      <c r="N25" s="2201"/>
    </row>
    <row r="26" spans="1:14" ht="17.25">
      <c r="A26" s="743"/>
      <c r="B26" s="742"/>
      <c r="C26" s="744"/>
      <c r="D26" s="742"/>
      <c r="E26" s="744"/>
      <c r="F26" s="696"/>
      <c r="G26" s="744"/>
      <c r="H26" s="696"/>
      <c r="I26" s="744"/>
      <c r="J26" s="742"/>
      <c r="K26" s="745"/>
      <c r="L26" s="745"/>
      <c r="M26" s="2201"/>
      <c r="N26" s="2201"/>
    </row>
    <row r="27" spans="1:14" ht="17.25">
      <c r="A27" s="439" t="s">
        <v>887</v>
      </c>
      <c r="B27" s="742"/>
      <c r="C27" s="742"/>
      <c r="D27" s="742"/>
      <c r="E27" s="742"/>
      <c r="F27" s="696"/>
      <c r="G27" s="742"/>
      <c r="H27" s="696"/>
      <c r="I27" s="742"/>
      <c r="J27" s="742"/>
      <c r="K27" s="742"/>
      <c r="L27" s="744"/>
      <c r="M27" s="2201"/>
      <c r="N27" s="2201"/>
    </row>
    <row r="28" spans="1:14">
      <c r="A28" s="743" t="s">
        <v>251</v>
      </c>
      <c r="B28" s="742"/>
      <c r="C28" s="1751">
        <v>0.81200000000000006</v>
      </c>
      <c r="D28" s="1748"/>
      <c r="E28" s="1751">
        <v>2E-3</v>
      </c>
      <c r="F28" s="1748"/>
      <c r="G28" s="1751">
        <v>0</v>
      </c>
      <c r="H28" s="1748"/>
      <c r="I28" s="1751">
        <v>0</v>
      </c>
      <c r="J28" s="1781"/>
      <c r="K28" s="655">
        <f t="shared" ref="K28:K33" si="1">ROUND(SUM(C28)+SUM(E28)-SUM(G28)+SUM(I28),3)</f>
        <v>0.81399999999999995</v>
      </c>
      <c r="L28" s="3255"/>
      <c r="M28" s="2201"/>
    </row>
    <row r="29" spans="1:14">
      <c r="A29" s="743" t="s">
        <v>252</v>
      </c>
      <c r="B29" s="742"/>
      <c r="C29" s="1751">
        <v>69.61999999999999</v>
      </c>
      <c r="D29" s="1748"/>
      <c r="E29" s="1751">
        <v>0.92300000000000004</v>
      </c>
      <c r="F29" s="1748"/>
      <c r="G29" s="1751">
        <v>1.0109999999999999</v>
      </c>
      <c r="H29" s="1748"/>
      <c r="I29" s="1751">
        <v>0</v>
      </c>
      <c r="J29" s="1781"/>
      <c r="K29" s="655">
        <f>ROUND(SUM(C29)+SUM(E29)-SUM(G29)+SUM(I29),3)</f>
        <v>69.531999999999996</v>
      </c>
      <c r="L29" s="3255"/>
      <c r="M29" s="2201"/>
      <c r="N29" s="2201"/>
    </row>
    <row r="30" spans="1:14">
      <c r="A30" s="742" t="s">
        <v>253</v>
      </c>
      <c r="B30" s="3163" t="s">
        <v>234</v>
      </c>
      <c r="C30" s="1751">
        <v>73.021000000000001</v>
      </c>
      <c r="D30" s="1748"/>
      <c r="E30" s="1751">
        <v>6.4550000000000001</v>
      </c>
      <c r="F30" s="1748"/>
      <c r="G30" s="1751">
        <v>1.524</v>
      </c>
      <c r="H30" s="1748"/>
      <c r="I30" s="1751">
        <v>0</v>
      </c>
      <c r="J30" s="1781"/>
      <c r="K30" s="655">
        <f t="shared" si="1"/>
        <v>77.951999999999998</v>
      </c>
      <c r="L30" s="3255"/>
      <c r="M30" s="2201"/>
      <c r="N30" s="2201"/>
    </row>
    <row r="31" spans="1:14">
      <c r="A31" s="743" t="s">
        <v>254</v>
      </c>
      <c r="B31" s="3163"/>
      <c r="C31" s="1751">
        <v>0.27600000000000002</v>
      </c>
      <c r="D31" s="1748"/>
      <c r="E31" s="1751">
        <v>0</v>
      </c>
      <c r="F31" s="1748"/>
      <c r="G31" s="1751">
        <v>3.2000000000000001E-2</v>
      </c>
      <c r="H31" s="1748"/>
      <c r="I31" s="1751">
        <v>0</v>
      </c>
      <c r="J31" s="1781"/>
      <c r="K31" s="655">
        <f t="shared" si="1"/>
        <v>0.24399999999999999</v>
      </c>
      <c r="L31" s="3255"/>
      <c r="M31" s="2201"/>
      <c r="N31" s="2201"/>
    </row>
    <row r="32" spans="1:14">
      <c r="A32" s="743" t="s">
        <v>255</v>
      </c>
      <c r="B32" s="3163"/>
      <c r="C32" s="1751">
        <v>0.40200000000000002</v>
      </c>
      <c r="D32" s="1748"/>
      <c r="E32" s="1751">
        <v>8.0000000000000002E-3</v>
      </c>
      <c r="F32" s="1748"/>
      <c r="G32" s="1751">
        <v>4.7E-2</v>
      </c>
      <c r="H32" s="1748"/>
      <c r="I32" s="1751">
        <v>0</v>
      </c>
      <c r="J32" s="1781"/>
      <c r="K32" s="655">
        <f>ROUND(SUM(C32)+SUM(E32)-SUM(G32)+SUM(I32),3)</f>
        <v>0.36299999999999999</v>
      </c>
      <c r="L32" s="3255"/>
      <c r="M32" s="2201"/>
      <c r="N32" s="2201"/>
    </row>
    <row r="33" spans="1:14">
      <c r="A33" s="742" t="s">
        <v>256</v>
      </c>
      <c r="B33" s="742"/>
      <c r="C33" s="1751">
        <v>8.0990000000000002</v>
      </c>
      <c r="D33" s="1748"/>
      <c r="E33" s="1751">
        <v>0.34200000000000003</v>
      </c>
      <c r="F33" s="1748"/>
      <c r="G33" s="1751">
        <v>0.26600000000000001</v>
      </c>
      <c r="H33" s="1748"/>
      <c r="I33" s="1751">
        <v>0</v>
      </c>
      <c r="J33" s="1781"/>
      <c r="K33" s="655">
        <f t="shared" si="1"/>
        <v>8.1750000000000007</v>
      </c>
      <c r="L33" s="3255"/>
      <c r="M33" s="2201"/>
      <c r="N33" s="2201"/>
    </row>
    <row r="34" spans="1:14">
      <c r="A34" s="742" t="s">
        <v>257</v>
      </c>
      <c r="B34" s="742"/>
      <c r="C34" s="3636"/>
      <c r="D34" s="1779"/>
      <c r="E34" s="1780"/>
      <c r="F34" s="1780"/>
      <c r="G34" s="1780"/>
      <c r="H34" s="1780"/>
      <c r="I34" s="1780"/>
      <c r="J34" s="440"/>
      <c r="K34" s="1543"/>
      <c r="L34" s="2200"/>
      <c r="M34" s="2201"/>
      <c r="N34" s="2201"/>
    </row>
    <row r="35" spans="1:14">
      <c r="A35" s="742" t="s">
        <v>258</v>
      </c>
      <c r="B35" s="742"/>
      <c r="C35" s="1751">
        <v>5.202</v>
      </c>
      <c r="D35" s="1748"/>
      <c r="E35" s="1751">
        <v>0.61099999999999999</v>
      </c>
      <c r="F35" s="1748"/>
      <c r="G35" s="1751">
        <v>0.45200000000000001</v>
      </c>
      <c r="H35" s="1748"/>
      <c r="I35" s="1751">
        <v>0</v>
      </c>
      <c r="J35" s="1781"/>
      <c r="K35" s="655">
        <f>ROUND(SUM(C35)+SUM(E35)-SUM(G35)+SUM(I35),3)</f>
        <v>5.3609999999999998</v>
      </c>
      <c r="L35" s="2199"/>
      <c r="M35" s="2201"/>
      <c r="N35" s="2201"/>
    </row>
    <row r="36" spans="1:14">
      <c r="A36" s="742" t="s">
        <v>259</v>
      </c>
      <c r="B36" s="742"/>
      <c r="C36" s="1751">
        <v>2E-3</v>
      </c>
      <c r="D36" s="1748"/>
      <c r="E36" s="1751">
        <v>0</v>
      </c>
      <c r="F36" s="1748"/>
      <c r="G36" s="1751">
        <v>0</v>
      </c>
      <c r="H36" s="1748"/>
      <c r="I36" s="1751">
        <v>0</v>
      </c>
      <c r="J36" s="1781"/>
      <c r="K36" s="655">
        <f t="shared" ref="K36:K59" si="2">ROUND(SUM(C36)+SUM(E36)-SUM(G36)+SUM(I36),3)</f>
        <v>2E-3</v>
      </c>
      <c r="L36" s="3255"/>
      <c r="M36" s="2201"/>
      <c r="N36" s="2201"/>
    </row>
    <row r="37" spans="1:14">
      <c r="A37" s="742" t="s">
        <v>260</v>
      </c>
      <c r="B37" s="742"/>
      <c r="C37" s="1751">
        <v>5.9969999999999999</v>
      </c>
      <c r="D37" s="1748"/>
      <c r="E37" s="1751">
        <v>1.2E-2</v>
      </c>
      <c r="F37" s="1748"/>
      <c r="G37" s="1751">
        <v>1.71</v>
      </c>
      <c r="H37" s="1748"/>
      <c r="I37" s="1751">
        <v>0</v>
      </c>
      <c r="J37" s="1781"/>
      <c r="K37" s="655">
        <f t="shared" si="2"/>
        <v>4.2990000000000004</v>
      </c>
      <c r="L37" s="3255"/>
      <c r="M37" s="2201"/>
      <c r="N37" s="2201"/>
    </row>
    <row r="38" spans="1:14">
      <c r="A38" s="2123" t="s">
        <v>261</v>
      </c>
      <c r="B38" s="3167"/>
      <c r="C38" s="1751">
        <v>0</v>
      </c>
      <c r="D38" s="1748"/>
      <c r="E38" s="1751">
        <v>0</v>
      </c>
      <c r="F38" s="1748"/>
      <c r="G38" s="1751">
        <v>0</v>
      </c>
      <c r="H38" s="1748"/>
      <c r="I38" s="1751">
        <v>0</v>
      </c>
      <c r="J38" s="1781"/>
      <c r="K38" s="655">
        <f t="shared" si="2"/>
        <v>0</v>
      </c>
      <c r="L38" s="3255"/>
      <c r="M38" s="2201"/>
      <c r="N38" s="2201"/>
    </row>
    <row r="39" spans="1:14">
      <c r="A39" s="743" t="s">
        <v>262</v>
      </c>
      <c r="B39" s="742"/>
      <c r="C39" s="1751">
        <v>300.39299999999997</v>
      </c>
      <c r="D39" s="1748"/>
      <c r="E39" s="1751">
        <v>586.36300000000006</v>
      </c>
      <c r="F39" s="1748"/>
      <c r="G39" s="1751">
        <v>466.072</v>
      </c>
      <c r="H39" s="1748"/>
      <c r="I39" s="1751">
        <v>-0.38600000000000001</v>
      </c>
      <c r="J39" s="1781"/>
      <c r="K39" s="655">
        <f t="shared" si="2"/>
        <v>420.298</v>
      </c>
      <c r="L39" s="2199"/>
      <c r="M39" s="2201"/>
      <c r="N39" s="2201"/>
    </row>
    <row r="40" spans="1:14">
      <c r="A40" s="742" t="s">
        <v>263</v>
      </c>
      <c r="B40" s="742"/>
      <c r="C40" s="1751">
        <v>87.126999999999995</v>
      </c>
      <c r="D40" s="1748"/>
      <c r="E40" s="1782">
        <v>50.881999999999998</v>
      </c>
      <c r="F40" s="1748"/>
      <c r="G40" s="1751">
        <v>53.4</v>
      </c>
      <c r="H40" s="1748"/>
      <c r="I40" s="1751">
        <v>0</v>
      </c>
      <c r="J40" s="1781"/>
      <c r="K40" s="655">
        <f t="shared" si="2"/>
        <v>84.608999999999995</v>
      </c>
      <c r="L40" s="3255"/>
      <c r="M40" s="2201"/>
    </row>
    <row r="41" spans="1:14">
      <c r="A41" s="743" t="s">
        <v>264</v>
      </c>
      <c r="B41" s="742"/>
      <c r="C41" s="1751">
        <v>966.00699999999995</v>
      </c>
      <c r="D41" s="1748"/>
      <c r="E41" s="1751">
        <v>315.53399999999999</v>
      </c>
      <c r="F41" s="1748"/>
      <c r="G41" s="1751">
        <v>3.1030000000000002</v>
      </c>
      <c r="H41" s="1748"/>
      <c r="I41" s="1751">
        <v>0</v>
      </c>
      <c r="J41" s="1781"/>
      <c r="K41" s="655">
        <f t="shared" si="2"/>
        <v>1278.4380000000001</v>
      </c>
      <c r="L41" s="3255"/>
      <c r="M41" s="2201"/>
      <c r="N41" s="2201"/>
    </row>
    <row r="42" spans="1:14">
      <c r="A42" s="743" t="s">
        <v>265</v>
      </c>
      <c r="B42" s="742"/>
      <c r="C42" s="1751">
        <v>35.844999999999999</v>
      </c>
      <c r="D42" s="1748"/>
      <c r="E42" s="1751">
        <v>2.613</v>
      </c>
      <c r="F42" s="1748"/>
      <c r="G42" s="1751">
        <v>0.184</v>
      </c>
      <c r="H42" s="1748"/>
      <c r="I42" s="1751">
        <v>0</v>
      </c>
      <c r="J42" s="1781"/>
      <c r="K42" s="655">
        <f t="shared" si="2"/>
        <v>38.274000000000001</v>
      </c>
      <c r="L42" s="3255"/>
      <c r="M42" s="2201"/>
      <c r="N42" s="2201"/>
    </row>
    <row r="43" spans="1:14">
      <c r="A43" s="742" t="s">
        <v>266</v>
      </c>
      <c r="B43" s="742"/>
      <c r="C43" s="1751">
        <v>-3.585</v>
      </c>
      <c r="D43" s="1748"/>
      <c r="E43" s="1751">
        <v>0</v>
      </c>
      <c r="F43" s="1748"/>
      <c r="G43" s="1751">
        <v>6.3E-2</v>
      </c>
      <c r="H43" s="1748"/>
      <c r="I43" s="1751">
        <v>0</v>
      </c>
      <c r="J43" s="1781"/>
      <c r="K43" s="655">
        <f t="shared" si="2"/>
        <v>-3.6480000000000001</v>
      </c>
      <c r="L43" s="3255"/>
      <c r="M43" s="2201"/>
      <c r="N43" s="2201"/>
    </row>
    <row r="44" spans="1:14">
      <c r="A44" s="742" t="s">
        <v>1221</v>
      </c>
      <c r="B44" s="742"/>
      <c r="C44" s="1751">
        <v>-5.8</v>
      </c>
      <c r="D44" s="1748"/>
      <c r="E44" s="1751">
        <v>8.91</v>
      </c>
      <c r="F44" s="1748"/>
      <c r="G44" s="1751">
        <v>8.2050000000000001</v>
      </c>
      <c r="H44" s="1748"/>
      <c r="I44" s="1751">
        <v>0</v>
      </c>
      <c r="J44" s="1781"/>
      <c r="K44" s="655">
        <f t="shared" si="2"/>
        <v>-5.0949999999999998</v>
      </c>
      <c r="L44" s="2199"/>
      <c r="M44" s="2201"/>
      <c r="N44" s="2201"/>
    </row>
    <row r="45" spans="1:14">
      <c r="A45" s="742" t="s">
        <v>267</v>
      </c>
      <c r="B45" s="742"/>
      <c r="C45" s="1751">
        <v>73.596999999999994</v>
      </c>
      <c r="D45" s="1748"/>
      <c r="E45" s="1751">
        <v>3.2869999999999999</v>
      </c>
      <c r="F45" s="1748"/>
      <c r="G45" s="1751">
        <v>3.2730000000000001</v>
      </c>
      <c r="H45" s="1748"/>
      <c r="I45" s="1751">
        <v>0</v>
      </c>
      <c r="J45" s="1781"/>
      <c r="K45" s="655">
        <f t="shared" si="2"/>
        <v>73.611000000000004</v>
      </c>
      <c r="L45" s="3255"/>
      <c r="M45" s="2201"/>
      <c r="N45" s="2201"/>
    </row>
    <row r="46" spans="1:14">
      <c r="A46" s="742" t="s">
        <v>268</v>
      </c>
      <c r="B46" s="742"/>
      <c r="C46" s="1751">
        <v>32.359000000000002</v>
      </c>
      <c r="D46" s="1748"/>
      <c r="E46" s="1751">
        <v>6.4210000000000003</v>
      </c>
      <c r="F46" s="1748"/>
      <c r="G46" s="1751">
        <v>1.839</v>
      </c>
      <c r="H46" s="1748"/>
      <c r="I46" s="1751">
        <v>-3.2959999999999998</v>
      </c>
      <c r="J46" s="1781"/>
      <c r="K46" s="655">
        <f t="shared" si="2"/>
        <v>33.645000000000003</v>
      </c>
      <c r="L46" s="3255"/>
      <c r="M46" s="2201"/>
      <c r="N46" s="2201"/>
    </row>
    <row r="47" spans="1:14">
      <c r="A47" s="742" t="s">
        <v>269</v>
      </c>
      <c r="B47" s="742"/>
      <c r="C47" s="1751">
        <v>8.7899999999999991</v>
      </c>
      <c r="D47" s="1748"/>
      <c r="E47" s="1751">
        <v>12.022</v>
      </c>
      <c r="F47" s="1748"/>
      <c r="G47" s="1751">
        <v>4.76</v>
      </c>
      <c r="H47" s="1748"/>
      <c r="I47" s="1751">
        <v>0</v>
      </c>
      <c r="J47" s="1781"/>
      <c r="K47" s="655">
        <f t="shared" si="2"/>
        <v>16.052</v>
      </c>
      <c r="L47" s="3255"/>
      <c r="M47" s="2201"/>
      <c r="N47" s="2201"/>
    </row>
    <row r="48" spans="1:14">
      <c r="A48" s="742" t="s">
        <v>270</v>
      </c>
      <c r="B48" s="742"/>
      <c r="C48" s="1751">
        <v>6.9779999999999998</v>
      </c>
      <c r="D48" s="1748"/>
      <c r="E48" s="1751">
        <v>0.65900000000000003</v>
      </c>
      <c r="F48" s="1748"/>
      <c r="G48" s="1751">
        <v>9.5000000000000001E-2</v>
      </c>
      <c r="H48" s="1748"/>
      <c r="I48" s="1751">
        <v>0</v>
      </c>
      <c r="J48" s="1781"/>
      <c r="K48" s="655">
        <f t="shared" si="2"/>
        <v>7.5419999999999998</v>
      </c>
      <c r="L48" s="3255"/>
      <c r="M48" s="2201"/>
      <c r="N48" s="2201"/>
    </row>
    <row r="49" spans="1:14">
      <c r="A49" s="743" t="s">
        <v>271</v>
      </c>
      <c r="B49" s="742"/>
      <c r="C49" s="1751">
        <v>0.54300000000000004</v>
      </c>
      <c r="D49" s="1748"/>
      <c r="E49" s="1751">
        <v>3.0000000000000001E-3</v>
      </c>
      <c r="F49" s="1748"/>
      <c r="G49" s="1751">
        <v>4.0000000000000001E-3</v>
      </c>
      <c r="H49" s="1748"/>
      <c r="I49" s="1751">
        <v>0</v>
      </c>
      <c r="J49" s="1781"/>
      <c r="K49" s="655">
        <f t="shared" si="2"/>
        <v>0.54200000000000004</v>
      </c>
      <c r="L49" s="3255"/>
      <c r="M49" s="2201"/>
      <c r="N49" s="2201"/>
    </row>
    <row r="50" spans="1:14">
      <c r="A50" s="742" t="s">
        <v>272</v>
      </c>
      <c r="B50" s="742"/>
      <c r="C50" s="1751">
        <v>421.34200000000004</v>
      </c>
      <c r="D50" s="1748"/>
      <c r="E50" s="1751">
        <v>133.79</v>
      </c>
      <c r="F50" s="1748"/>
      <c r="G50" s="1751">
        <v>172.22300000000001</v>
      </c>
      <c r="H50" s="1748"/>
      <c r="I50" s="1751">
        <v>-8.3000000000000004E-2</v>
      </c>
      <c r="J50" s="1781"/>
      <c r="K50" s="655">
        <f t="shared" si="2"/>
        <v>382.82600000000002</v>
      </c>
      <c r="L50" s="3255"/>
      <c r="M50" s="2201"/>
      <c r="N50" s="2201"/>
    </row>
    <row r="51" spans="1:14">
      <c r="A51" s="742" t="s">
        <v>273</v>
      </c>
      <c r="B51" s="742"/>
      <c r="C51" s="1751">
        <v>-28.39</v>
      </c>
      <c r="D51" s="1748"/>
      <c r="E51" s="1751">
        <v>3.177</v>
      </c>
      <c r="F51" s="1748"/>
      <c r="G51" s="1751">
        <v>3.2639999999999998</v>
      </c>
      <c r="H51" s="1748"/>
      <c r="I51" s="1751">
        <v>0</v>
      </c>
      <c r="J51" s="1781"/>
      <c r="K51" s="655">
        <f t="shared" si="2"/>
        <v>-28.477</v>
      </c>
      <c r="L51" s="3255"/>
      <c r="M51" s="2201"/>
      <c r="N51" s="2201"/>
    </row>
    <row r="52" spans="1:14">
      <c r="A52" s="742" t="s">
        <v>274</v>
      </c>
      <c r="B52" s="742"/>
      <c r="C52" s="1751">
        <v>7.0000000000000007E-2</v>
      </c>
      <c r="D52" s="1748"/>
      <c r="E52" s="1751">
        <v>0</v>
      </c>
      <c r="F52" s="1748"/>
      <c r="G52" s="1751">
        <v>0</v>
      </c>
      <c r="H52" s="1748"/>
      <c r="I52" s="1751">
        <v>0</v>
      </c>
      <c r="J52" s="1781"/>
      <c r="K52" s="655">
        <f t="shared" si="2"/>
        <v>7.0000000000000007E-2</v>
      </c>
      <c r="L52" s="3255"/>
      <c r="M52" s="2201"/>
      <c r="N52" s="2201"/>
    </row>
    <row r="53" spans="1:14">
      <c r="A53" s="742" t="s">
        <v>1002</v>
      </c>
      <c r="B53" s="742"/>
      <c r="C53" s="1751">
        <v>12.045999999999999</v>
      </c>
      <c r="D53" s="1748"/>
      <c r="E53" s="1751">
        <v>0.108</v>
      </c>
      <c r="F53" s="1748"/>
      <c r="G53" s="1751">
        <v>7.0000000000000001E-3</v>
      </c>
      <c r="H53" s="1748"/>
      <c r="I53" s="1751">
        <v>0</v>
      </c>
      <c r="J53" s="1781"/>
      <c r="K53" s="655">
        <f t="shared" si="2"/>
        <v>12.147</v>
      </c>
      <c r="L53" s="3255"/>
      <c r="M53" s="2201"/>
      <c r="N53" s="2201"/>
    </row>
    <row r="54" spans="1:14">
      <c r="A54" s="742" t="s">
        <v>275</v>
      </c>
      <c r="B54" s="742"/>
      <c r="C54" s="1751">
        <v>0</v>
      </c>
      <c r="D54" s="1748"/>
      <c r="E54" s="1751">
        <v>0</v>
      </c>
      <c r="F54" s="1748"/>
      <c r="G54" s="1751">
        <v>0</v>
      </c>
      <c r="H54" s="1748"/>
      <c r="I54" s="1751">
        <v>0</v>
      </c>
      <c r="J54" s="1781"/>
      <c r="K54" s="655">
        <f t="shared" si="2"/>
        <v>0</v>
      </c>
      <c r="L54" s="3255"/>
      <c r="M54" s="2201"/>
    </row>
    <row r="55" spans="1:14">
      <c r="A55" s="743" t="s">
        <v>276</v>
      </c>
      <c r="B55" s="742"/>
      <c r="C55" s="1751">
        <v>0.46799999999999997</v>
      </c>
      <c r="D55" s="1748"/>
      <c r="E55" s="1751">
        <v>1E-3</v>
      </c>
      <c r="F55" s="1748"/>
      <c r="G55" s="1751">
        <v>5.0000000000000001E-3</v>
      </c>
      <c r="H55" s="1748"/>
      <c r="I55" s="1751">
        <v>0</v>
      </c>
      <c r="J55" s="1781"/>
      <c r="K55" s="655">
        <f t="shared" si="2"/>
        <v>0.46400000000000002</v>
      </c>
      <c r="L55" s="2199"/>
      <c r="M55" s="2201"/>
      <c r="N55" s="2201"/>
    </row>
    <row r="56" spans="1:14">
      <c r="A56" s="743" t="s">
        <v>277</v>
      </c>
      <c r="B56" s="742"/>
      <c r="C56" s="1751">
        <v>0</v>
      </c>
      <c r="D56" s="1748"/>
      <c r="E56" s="1751">
        <v>0</v>
      </c>
      <c r="F56" s="1748"/>
      <c r="G56" s="1751">
        <v>0</v>
      </c>
      <c r="H56" s="1748"/>
      <c r="I56" s="1751">
        <v>0</v>
      </c>
      <c r="J56" s="1781"/>
      <c r="K56" s="655">
        <f t="shared" si="2"/>
        <v>0</v>
      </c>
      <c r="L56" s="3255"/>
      <c r="M56" s="2201"/>
      <c r="N56" s="2201"/>
    </row>
    <row r="57" spans="1:14">
      <c r="A57" s="743" t="s">
        <v>278</v>
      </c>
      <c r="B57" s="742"/>
      <c r="C57" s="1751">
        <v>1E-3</v>
      </c>
      <c r="D57" s="1748"/>
      <c r="E57" s="1751">
        <v>0</v>
      </c>
      <c r="F57" s="1748"/>
      <c r="G57" s="1751">
        <v>0</v>
      </c>
      <c r="H57" s="1748"/>
      <c r="I57" s="1751">
        <v>0</v>
      </c>
      <c r="J57" s="1781"/>
      <c r="K57" s="655">
        <f t="shared" si="2"/>
        <v>1E-3</v>
      </c>
      <c r="L57" s="3255"/>
      <c r="M57" s="2201"/>
      <c r="N57" s="2201"/>
    </row>
    <row r="58" spans="1:14">
      <c r="A58" s="743" t="s">
        <v>1421</v>
      </c>
      <c r="B58" s="742"/>
      <c r="C58" s="1751">
        <v>0.95799999999999996</v>
      </c>
      <c r="D58" s="1748"/>
      <c r="E58" s="1751">
        <v>3.0000000000000001E-3</v>
      </c>
      <c r="F58" s="1748"/>
      <c r="G58" s="1751">
        <v>0</v>
      </c>
      <c r="H58" s="1748"/>
      <c r="I58" s="1751">
        <v>0</v>
      </c>
      <c r="J58" s="1781"/>
      <c r="K58" s="655">
        <f t="shared" si="2"/>
        <v>0.96099999999999997</v>
      </c>
      <c r="L58" s="3255"/>
      <c r="M58" s="2201"/>
      <c r="N58" s="2201"/>
    </row>
    <row r="59" spans="1:14">
      <c r="A59" s="743" t="s">
        <v>279</v>
      </c>
      <c r="B59" s="742"/>
      <c r="C59" s="1751">
        <v>1336.4590000000001</v>
      </c>
      <c r="D59" s="1748"/>
      <c r="E59" s="1751">
        <v>236.602</v>
      </c>
      <c r="F59" s="1748"/>
      <c r="G59" s="1751">
        <v>340.18299999999999</v>
      </c>
      <c r="H59" s="1748"/>
      <c r="I59" s="1751">
        <v>36.042000000000002</v>
      </c>
      <c r="J59" s="1781"/>
      <c r="K59" s="655">
        <f t="shared" si="2"/>
        <v>1268.92</v>
      </c>
      <c r="L59" s="3255"/>
      <c r="M59" s="3168"/>
      <c r="N59" s="2201"/>
    </row>
    <row r="60" spans="1:14">
      <c r="A60" s="742" t="s">
        <v>280</v>
      </c>
      <c r="B60" s="742"/>
      <c r="C60" s="1751">
        <v>60.570999999999998</v>
      </c>
      <c r="D60" s="1748"/>
      <c r="E60" s="1751">
        <v>0.123</v>
      </c>
      <c r="F60" s="1748"/>
      <c r="G60" s="1751">
        <v>4.0760000000000005</v>
      </c>
      <c r="H60" s="1748"/>
      <c r="I60" s="1751">
        <v>0</v>
      </c>
      <c r="J60" s="1781"/>
      <c r="K60" s="655">
        <f>ROUND(SUM(C60)+SUM(E60)-SUM(G60)+SUM(I60),3)</f>
        <v>56.618000000000002</v>
      </c>
      <c r="L60" s="3255"/>
      <c r="M60" s="747"/>
      <c r="N60" s="2201"/>
    </row>
    <row r="61" spans="1:14">
      <c r="A61" s="742"/>
      <c r="B61" s="742"/>
      <c r="C61" s="1751"/>
      <c r="D61" s="1748"/>
      <c r="E61" s="1751"/>
      <c r="F61" s="1748"/>
      <c r="G61" s="1751"/>
      <c r="H61" s="1748"/>
      <c r="I61" s="1751"/>
      <c r="J61" s="1781"/>
      <c r="K61" s="655"/>
      <c r="L61" s="2199"/>
      <c r="M61" s="439"/>
      <c r="N61" s="2201"/>
    </row>
    <row r="62" spans="1:14">
      <c r="A62" s="439" t="s">
        <v>935</v>
      </c>
      <c r="B62" s="742"/>
      <c r="C62" s="1751"/>
      <c r="D62" s="1748"/>
      <c r="E62" s="1751"/>
      <c r="F62" s="1748"/>
      <c r="G62" s="1751"/>
      <c r="H62" s="1748"/>
      <c r="I62" s="1751"/>
      <c r="J62" s="1781"/>
      <c r="K62" s="655"/>
      <c r="L62" s="2199"/>
      <c r="M62" s="439"/>
      <c r="N62" s="2201"/>
    </row>
    <row r="63" spans="1:14">
      <c r="A63" s="742" t="s">
        <v>281</v>
      </c>
      <c r="B63" s="1781"/>
      <c r="C63" s="1751">
        <v>5.0999999999999997E-2</v>
      </c>
      <c r="D63" s="1748"/>
      <c r="E63" s="1751">
        <v>1E-3</v>
      </c>
      <c r="F63" s="1748"/>
      <c r="G63" s="1751">
        <v>0</v>
      </c>
      <c r="H63" s="1748"/>
      <c r="I63" s="1751">
        <v>0</v>
      </c>
      <c r="J63" s="1781"/>
      <c r="K63" s="655">
        <f>ROUND(SUM(C63)+SUM(E63)-SUM(G63)+SUM(I63),3)</f>
        <v>5.1999999999999998E-2</v>
      </c>
      <c r="L63" s="2199"/>
      <c r="M63" s="2201"/>
      <c r="N63" s="2201"/>
    </row>
    <row r="64" spans="1:14">
      <c r="A64" s="742" t="s">
        <v>282</v>
      </c>
      <c r="B64" s="742"/>
      <c r="C64" s="1751">
        <v>1929.808</v>
      </c>
      <c r="D64" s="1748"/>
      <c r="E64" s="1751">
        <v>340.22700000000003</v>
      </c>
      <c r="F64" s="1748"/>
      <c r="G64" s="1751">
        <v>548.36</v>
      </c>
      <c r="H64" s="1748"/>
      <c r="I64" s="1751">
        <v>186.59200000000001</v>
      </c>
      <c r="J64" s="1781"/>
      <c r="K64" s="655">
        <f>ROUND(SUM(C64)+SUM(E64)-SUM(G64)+SUM(I64),3)</f>
        <v>1908.2670000000001</v>
      </c>
      <c r="L64" s="3255"/>
      <c r="M64" s="2201"/>
      <c r="N64" s="2201"/>
    </row>
    <row r="65" spans="1:14">
      <c r="A65" s="743" t="s">
        <v>283</v>
      </c>
      <c r="B65" s="742"/>
      <c r="C65" s="1751">
        <v>112.517</v>
      </c>
      <c r="D65" s="1748"/>
      <c r="E65" s="1751">
        <v>0.35299999999999998</v>
      </c>
      <c r="F65" s="1748"/>
      <c r="G65" s="1751">
        <v>0.05</v>
      </c>
      <c r="H65" s="1748"/>
      <c r="I65" s="1751">
        <v>-101.295</v>
      </c>
      <c r="J65" s="1781"/>
      <c r="K65" s="655">
        <f>ROUND(SUM(C65)+SUM(E65)-SUM(G65)+SUM(I65),3)</f>
        <v>11.525</v>
      </c>
      <c r="L65" s="3255"/>
      <c r="M65" s="2201"/>
      <c r="N65" s="2201"/>
    </row>
    <row r="66" spans="1:14">
      <c r="A66" s="742" t="s">
        <v>284</v>
      </c>
      <c r="B66" s="742"/>
      <c r="C66" s="1751">
        <v>0.32</v>
      </c>
      <c r="D66" s="1748"/>
      <c r="E66" s="1751">
        <v>0.372</v>
      </c>
      <c r="F66" s="1748"/>
      <c r="G66" s="1751">
        <v>0.14599999999999999</v>
      </c>
      <c r="H66" s="1748"/>
      <c r="I66" s="1751">
        <v>0</v>
      </c>
      <c r="J66" s="1781"/>
      <c r="K66" s="655">
        <f>ROUND(SUM(C66)+SUM(E66)-SUM(G66)+SUM(I66),3)</f>
        <v>0.54600000000000004</v>
      </c>
      <c r="L66" s="3255"/>
      <c r="M66" s="2201"/>
      <c r="N66" s="2201"/>
    </row>
    <row r="67" spans="1:14">
      <c r="A67" s="742" t="s">
        <v>285</v>
      </c>
      <c r="B67" s="742"/>
      <c r="C67" s="3636"/>
      <c r="D67" s="1779"/>
      <c r="E67" s="1782"/>
      <c r="F67" s="1783"/>
      <c r="G67" s="1782"/>
      <c r="H67" s="1783"/>
      <c r="I67" s="1784"/>
      <c r="J67" s="742"/>
      <c r="K67" s="655" t="s">
        <v>15</v>
      </c>
      <c r="L67" s="3255"/>
      <c r="M67" s="2201"/>
      <c r="N67" s="2201"/>
    </row>
    <row r="68" spans="1:14">
      <c r="A68" s="742" t="s">
        <v>286</v>
      </c>
      <c r="B68" s="742"/>
      <c r="C68" s="1751">
        <v>56.012</v>
      </c>
      <c r="D68" s="1748"/>
      <c r="E68" s="1751">
        <v>8.3659999999999997</v>
      </c>
      <c r="F68" s="1748"/>
      <c r="G68" s="1751">
        <v>5.3999999999999999E-2</v>
      </c>
      <c r="H68" s="1748"/>
      <c r="I68" s="1751">
        <v>0</v>
      </c>
      <c r="J68" s="1781"/>
      <c r="K68" s="655">
        <f t="shared" ref="K68:K73" si="3">ROUND(SUM(C68)+SUM(E68)-SUM(G68)+SUM(I68),3)</f>
        <v>64.323999999999998</v>
      </c>
      <c r="L68" s="3255"/>
      <c r="M68" s="2201"/>
      <c r="N68" s="747"/>
    </row>
    <row r="69" spans="1:14">
      <c r="A69" s="742" t="s">
        <v>287</v>
      </c>
      <c r="B69" s="441"/>
      <c r="C69" s="1751">
        <v>0.48399999999999999</v>
      </c>
      <c r="D69" s="1748"/>
      <c r="E69" s="1751">
        <v>1E-3</v>
      </c>
      <c r="F69" s="1748"/>
      <c r="G69" s="1751">
        <v>1.3000000000000001E-2</v>
      </c>
      <c r="H69" s="1748"/>
      <c r="I69" s="1751">
        <v>0</v>
      </c>
      <c r="J69" s="1781"/>
      <c r="K69" s="655">
        <f t="shared" si="3"/>
        <v>0.47199999999999998</v>
      </c>
      <c r="L69" s="3255"/>
      <c r="M69" s="2201"/>
      <c r="N69" s="2201"/>
    </row>
    <row r="70" spans="1:14">
      <c r="A70" s="742" t="s">
        <v>288</v>
      </c>
      <c r="B70" s="742"/>
      <c r="C70" s="1751">
        <v>2.4E-2</v>
      </c>
      <c r="D70" s="1748"/>
      <c r="E70" s="1751">
        <v>0</v>
      </c>
      <c r="F70" s="1748"/>
      <c r="G70" s="1751">
        <v>0</v>
      </c>
      <c r="H70" s="1748"/>
      <c r="I70" s="1751">
        <v>0</v>
      </c>
      <c r="J70" s="1781"/>
      <c r="K70" s="655">
        <f t="shared" si="3"/>
        <v>2.4E-2</v>
      </c>
      <c r="L70" s="3255"/>
      <c r="M70" s="2201"/>
      <c r="N70" s="2201"/>
    </row>
    <row r="71" spans="1:14">
      <c r="A71" s="743" t="s">
        <v>289</v>
      </c>
      <c r="B71" s="742"/>
      <c r="C71" s="1751">
        <v>9.5090000000000003</v>
      </c>
      <c r="D71" s="1748"/>
      <c r="E71" s="1751">
        <v>1.9E-2</v>
      </c>
      <c r="F71" s="1748"/>
      <c r="G71" s="1751">
        <v>0.23</v>
      </c>
      <c r="H71" s="1748"/>
      <c r="I71" s="1751">
        <v>0</v>
      </c>
      <c r="J71" s="1781"/>
      <c r="K71" s="655">
        <f t="shared" si="3"/>
        <v>9.298</v>
      </c>
      <c r="L71" s="3255"/>
      <c r="M71" s="2201"/>
      <c r="N71" s="2201"/>
    </row>
    <row r="72" spans="1:14">
      <c r="A72" s="742" t="s">
        <v>290</v>
      </c>
      <c r="B72" s="742"/>
      <c r="C72" s="1751">
        <v>-13.329000000000001</v>
      </c>
      <c r="D72" s="1748"/>
      <c r="E72" s="1751">
        <v>3.0000000000000001E-3</v>
      </c>
      <c r="F72" s="1748"/>
      <c r="G72" s="1751">
        <v>0.246</v>
      </c>
      <c r="H72" s="1748"/>
      <c r="I72" s="1751">
        <v>0</v>
      </c>
      <c r="J72" s="1781"/>
      <c r="K72" s="655">
        <f t="shared" ref="K72" si="4">ROUND(SUM(C72)+SUM(E72)-SUM(G72)+SUM(I72),3)</f>
        <v>-13.571999999999999</v>
      </c>
      <c r="L72" s="3255"/>
      <c r="M72" s="2201"/>
      <c r="N72" s="2201"/>
    </row>
    <row r="73" spans="1:14">
      <c r="A73" s="742" t="s">
        <v>291</v>
      </c>
      <c r="B73" s="742"/>
      <c r="C73" s="1751">
        <v>0.03</v>
      </c>
      <c r="D73" s="1748"/>
      <c r="E73" s="1751">
        <v>4.0000000000000001E-3</v>
      </c>
      <c r="F73" s="1748"/>
      <c r="G73" s="1751">
        <v>1.2E-2</v>
      </c>
      <c r="H73" s="1748"/>
      <c r="I73" s="1751">
        <v>0</v>
      </c>
      <c r="J73" s="1781"/>
      <c r="K73" s="655">
        <f t="shared" si="3"/>
        <v>2.1999999999999999E-2</v>
      </c>
      <c r="L73" s="2199"/>
      <c r="M73" s="2201"/>
      <c r="N73" s="2201"/>
    </row>
    <row r="74" spans="1:14">
      <c r="A74" s="742" t="s">
        <v>292</v>
      </c>
      <c r="B74" s="742"/>
      <c r="C74" s="3636"/>
      <c r="D74" s="1779"/>
      <c r="E74" s="1782"/>
      <c r="F74" s="1783"/>
      <c r="G74" s="1782"/>
      <c r="H74" s="1783"/>
      <c r="I74" s="1782"/>
      <c r="J74" s="742"/>
      <c r="K74" s="655"/>
      <c r="L74" s="2202"/>
      <c r="M74" s="2201"/>
      <c r="N74" s="2201"/>
    </row>
    <row r="75" spans="1:14">
      <c r="A75" s="742" t="s">
        <v>293</v>
      </c>
      <c r="B75" s="742"/>
      <c r="C75" s="1751">
        <v>-5.351</v>
      </c>
      <c r="D75" s="1748"/>
      <c r="E75" s="1751">
        <v>0</v>
      </c>
      <c r="F75" s="1748"/>
      <c r="G75" s="1751">
        <v>0</v>
      </c>
      <c r="H75" s="1748"/>
      <c r="I75" s="1751">
        <v>0</v>
      </c>
      <c r="J75" s="1781"/>
      <c r="K75" s="655">
        <f>ROUND(SUM(C75)+SUM(E75)-SUM(G75)+SUM(I75),3)</f>
        <v>-5.351</v>
      </c>
      <c r="L75" s="3255"/>
      <c r="M75" s="2201"/>
      <c r="N75" s="2201"/>
    </row>
    <row r="76" spans="1:14">
      <c r="A76" s="742" t="s">
        <v>294</v>
      </c>
      <c r="B76" s="742"/>
      <c r="C76" s="1751">
        <v>-37.515999999999998</v>
      </c>
      <c r="D76" s="1748"/>
      <c r="E76" s="1751">
        <v>0</v>
      </c>
      <c r="F76" s="1748"/>
      <c r="G76" s="1782">
        <v>2.5260000000000002</v>
      </c>
      <c r="H76" s="1748"/>
      <c r="I76" s="1751">
        <v>0</v>
      </c>
      <c r="J76" s="1781"/>
      <c r="K76" s="655">
        <f t="shared" ref="K76:K89" si="5">ROUND(SUM(C76)+SUM(E76)-SUM(G76)+SUM(I76),3)</f>
        <v>-40.042000000000002</v>
      </c>
      <c r="L76" s="3255"/>
      <c r="M76" s="2201"/>
      <c r="N76" s="2201"/>
    </row>
    <row r="77" spans="1:14">
      <c r="A77" s="742" t="s">
        <v>295</v>
      </c>
      <c r="B77" s="742"/>
      <c r="C77" s="1751">
        <v>35.023000000000003</v>
      </c>
      <c r="D77" s="1748"/>
      <c r="E77" s="1751">
        <v>4.5549999999999997</v>
      </c>
      <c r="F77" s="1748"/>
      <c r="G77" s="1751">
        <v>2.6549999999999998</v>
      </c>
      <c r="H77" s="1748"/>
      <c r="I77" s="1751">
        <v>0</v>
      </c>
      <c r="J77" s="1781"/>
      <c r="K77" s="655">
        <f t="shared" si="5"/>
        <v>36.923000000000002</v>
      </c>
      <c r="L77" s="2199"/>
      <c r="M77" s="2201"/>
      <c r="N77" s="2201"/>
    </row>
    <row r="78" spans="1:14">
      <c r="A78" s="742" t="s">
        <v>967</v>
      </c>
      <c r="B78" s="742"/>
      <c r="C78" s="1751">
        <v>200.72800000000001</v>
      </c>
      <c r="D78" s="1748"/>
      <c r="E78" s="1751">
        <v>4.5100000000000007</v>
      </c>
      <c r="F78" s="1748"/>
      <c r="G78" s="1751">
        <v>10.574999999999999</v>
      </c>
      <c r="H78" s="1748"/>
      <c r="I78" s="1751">
        <v>0</v>
      </c>
      <c r="J78" s="1781"/>
      <c r="K78" s="655">
        <f t="shared" si="5"/>
        <v>194.66300000000001</v>
      </c>
      <c r="L78" s="2199"/>
      <c r="M78" s="2201"/>
      <c r="N78" s="2201"/>
    </row>
    <row r="79" spans="1:14">
      <c r="A79" s="742" t="s">
        <v>296</v>
      </c>
      <c r="B79" s="742"/>
      <c r="C79" s="1751">
        <v>0.23400000000000001</v>
      </c>
      <c r="D79" s="1748"/>
      <c r="E79" s="1751">
        <v>8.0000000000000002E-3</v>
      </c>
      <c r="F79" s="1748"/>
      <c r="G79" s="1751">
        <v>0</v>
      </c>
      <c r="H79" s="1748"/>
      <c r="I79" s="1751">
        <v>0</v>
      </c>
      <c r="J79" s="1781"/>
      <c r="K79" s="655">
        <f t="shared" si="5"/>
        <v>0.24199999999999999</v>
      </c>
      <c r="L79" s="2199"/>
      <c r="M79" s="2201"/>
      <c r="N79" s="2201"/>
    </row>
    <row r="80" spans="1:14">
      <c r="A80" s="743" t="s">
        <v>297</v>
      </c>
      <c r="B80" s="742"/>
      <c r="C80" s="1751">
        <v>333.49599999999998</v>
      </c>
      <c r="D80" s="1748"/>
      <c r="E80" s="1751">
        <v>19.611999999999998</v>
      </c>
      <c r="F80" s="1748"/>
      <c r="G80" s="1751">
        <v>2.4049999999999998</v>
      </c>
      <c r="H80" s="1748"/>
      <c r="I80" s="1751">
        <v>0</v>
      </c>
      <c r="J80" s="1781"/>
      <c r="K80" s="655">
        <f t="shared" si="5"/>
        <v>350.70299999999997</v>
      </c>
      <c r="L80" s="3255"/>
      <c r="M80" s="2201"/>
      <c r="N80" s="2201"/>
    </row>
    <row r="81" spans="1:15">
      <c r="A81" s="742" t="s">
        <v>298</v>
      </c>
      <c r="B81" s="742"/>
      <c r="C81" s="1751">
        <v>36.725999999999999</v>
      </c>
      <c r="D81" s="1748"/>
      <c r="E81" s="1751">
        <v>1.18</v>
      </c>
      <c r="F81" s="1748"/>
      <c r="G81" s="1751">
        <v>0.34200000000000003</v>
      </c>
      <c r="H81" s="1748"/>
      <c r="I81" s="1751">
        <v>0</v>
      </c>
      <c r="J81" s="1781"/>
      <c r="K81" s="655">
        <f t="shared" si="5"/>
        <v>37.564</v>
      </c>
      <c r="L81" s="2199"/>
      <c r="M81" s="2201"/>
      <c r="N81" s="2201"/>
    </row>
    <row r="82" spans="1:15">
      <c r="A82" s="743" t="s">
        <v>299</v>
      </c>
      <c r="B82" s="742"/>
      <c r="C82" s="1751">
        <v>50.305999999999997</v>
      </c>
      <c r="D82" s="1748"/>
      <c r="E82" s="1751">
        <v>8.5999999999999993E-2</v>
      </c>
      <c r="F82" s="1748"/>
      <c r="G82" s="1751">
        <v>48.85</v>
      </c>
      <c r="H82" s="1748"/>
      <c r="I82" s="1751">
        <v>0</v>
      </c>
      <c r="J82" s="1781"/>
      <c r="K82" s="655">
        <f t="shared" si="5"/>
        <v>1.542</v>
      </c>
      <c r="L82" s="3255"/>
      <c r="M82" s="2201"/>
      <c r="N82" s="2201"/>
    </row>
    <row r="83" spans="1:15">
      <c r="A83" s="743" t="s">
        <v>1220</v>
      </c>
      <c r="B83" s="742"/>
      <c r="C83" s="1751">
        <v>20.466000000000001</v>
      </c>
      <c r="D83" s="1748"/>
      <c r="E83" s="1751">
        <v>22.216999999999999</v>
      </c>
      <c r="F83" s="1748"/>
      <c r="G83" s="1751">
        <v>10.143000000000001</v>
      </c>
      <c r="H83" s="1748"/>
      <c r="I83" s="1751">
        <v>0</v>
      </c>
      <c r="J83" s="1781"/>
      <c r="K83" s="655">
        <f t="shared" si="5"/>
        <v>32.54</v>
      </c>
      <c r="L83" s="3255"/>
      <c r="M83" s="2201"/>
      <c r="N83" s="2201"/>
    </row>
    <row r="84" spans="1:15">
      <c r="A84" s="743" t="s">
        <v>1305</v>
      </c>
      <c r="B84" s="742"/>
      <c r="C84" s="1751">
        <v>9.4309999999999992</v>
      </c>
      <c r="D84" s="1748"/>
      <c r="E84" s="1751">
        <v>0.45400000000000001</v>
      </c>
      <c r="F84" s="1748"/>
      <c r="G84" s="1751">
        <v>0.46800000000000003</v>
      </c>
      <c r="H84" s="1748"/>
      <c r="I84" s="1751">
        <v>-0.113</v>
      </c>
      <c r="J84" s="1781"/>
      <c r="K84" s="655">
        <f t="shared" si="5"/>
        <v>9.3040000000000003</v>
      </c>
      <c r="L84" s="2199"/>
      <c r="M84" s="2201"/>
      <c r="N84" s="2201"/>
    </row>
    <row r="85" spans="1:15">
      <c r="A85" s="743" t="s">
        <v>1281</v>
      </c>
      <c r="B85" s="742"/>
      <c r="C85" s="1751">
        <v>2.31</v>
      </c>
      <c r="D85" s="1748"/>
      <c r="E85" s="1751">
        <v>0.161</v>
      </c>
      <c r="F85" s="1748"/>
      <c r="G85" s="1751">
        <v>1.9E-2</v>
      </c>
      <c r="H85" s="1748"/>
      <c r="I85" s="1751">
        <v>0</v>
      </c>
      <c r="J85" s="1781"/>
      <c r="K85" s="655">
        <f>ROUND(SUM(C85)+SUM(E85)-SUM(G85)+SUM(I85),3)</f>
        <v>2.452</v>
      </c>
      <c r="L85" s="3255"/>
      <c r="M85" s="2201"/>
      <c r="N85" s="2201"/>
    </row>
    <row r="86" spans="1:15">
      <c r="A86" s="743" t="s">
        <v>1354</v>
      </c>
      <c r="B86" s="742"/>
      <c r="C86" s="1751">
        <v>528.65300000000002</v>
      </c>
      <c r="D86" s="1748"/>
      <c r="E86" s="1751">
        <v>1.0530000000000002</v>
      </c>
      <c r="F86" s="1748"/>
      <c r="G86" s="1751">
        <v>0</v>
      </c>
      <c r="H86" s="1748"/>
      <c r="I86" s="1751">
        <v>0</v>
      </c>
      <c r="J86" s="1781"/>
      <c r="K86" s="655">
        <f>ROUND(SUM(C86)+SUM(E86)-SUM(G86)+SUM(I86),3)</f>
        <v>529.70600000000002</v>
      </c>
      <c r="L86" s="3255"/>
      <c r="M86" s="2201"/>
      <c r="N86" s="2201"/>
    </row>
    <row r="87" spans="1:15">
      <c r="A87" s="743" t="s">
        <v>1396</v>
      </c>
      <c r="B87" s="742"/>
      <c r="C87" s="1751">
        <v>94.185000000000002</v>
      </c>
      <c r="D87" s="1748"/>
      <c r="E87" s="1751">
        <v>0.187</v>
      </c>
      <c r="F87" s="1748"/>
      <c r="G87" s="1751">
        <v>0</v>
      </c>
      <c r="H87" s="1748"/>
      <c r="I87" s="1751">
        <v>0</v>
      </c>
      <c r="J87" s="1781"/>
      <c r="K87" s="655">
        <f>ROUND(SUM(C87)+SUM(E87)-SUM(G87)+SUM(I87),3)</f>
        <v>94.372</v>
      </c>
      <c r="L87" s="3255"/>
      <c r="M87" s="2201"/>
      <c r="N87" s="2201"/>
    </row>
    <row r="88" spans="1:15">
      <c r="A88" s="743" t="s">
        <v>1295</v>
      </c>
      <c r="B88" s="742"/>
      <c r="C88" s="1751">
        <v>15.113</v>
      </c>
      <c r="D88" s="1748"/>
      <c r="E88" s="1751">
        <v>5.7000000000000002E-2</v>
      </c>
      <c r="F88" s="1748"/>
      <c r="G88" s="1751">
        <v>8.9999999999999993E-3</v>
      </c>
      <c r="H88" s="1748"/>
      <c r="I88" s="1751">
        <v>0</v>
      </c>
      <c r="J88" s="1781"/>
      <c r="K88" s="655">
        <f>ROUND(SUM(C88)+SUM(E88)-SUM(G88)+SUM(I88),3)</f>
        <v>15.161</v>
      </c>
      <c r="L88" s="3255"/>
      <c r="M88" s="2201"/>
      <c r="N88" s="2201"/>
    </row>
    <row r="89" spans="1:15">
      <c r="A89" s="1783" t="s">
        <v>902</v>
      </c>
      <c r="B89" s="742"/>
      <c r="C89" s="1751">
        <v>246.80600000000001</v>
      </c>
      <c r="D89" s="1748"/>
      <c r="E89" s="1751">
        <v>7.883</v>
      </c>
      <c r="F89" s="1748"/>
      <c r="G89" s="1751">
        <v>0</v>
      </c>
      <c r="H89" s="1748"/>
      <c r="I89" s="1751">
        <v>-22.85</v>
      </c>
      <c r="J89" s="1781"/>
      <c r="K89" s="655">
        <f t="shared" si="5"/>
        <v>231.839</v>
      </c>
      <c r="L89" s="3255"/>
      <c r="M89" s="2201"/>
      <c r="N89" s="2201"/>
    </row>
    <row r="90" spans="1:15">
      <c r="A90" s="438" t="s">
        <v>300</v>
      </c>
      <c r="B90" s="742"/>
      <c r="C90" s="443">
        <f>ROUND(SUM(C28:C89),3)</f>
        <v>7095.2460000000001</v>
      </c>
      <c r="D90" s="442"/>
      <c r="E90" s="443">
        <f>ROUND(SUM(E28:E89),3)</f>
        <v>1780.16</v>
      </c>
      <c r="F90" s="442"/>
      <c r="G90" s="443">
        <f>ROUND(SUM(G28:G89),3)</f>
        <v>1692.9010000000001</v>
      </c>
      <c r="H90" s="442"/>
      <c r="I90" s="443">
        <f>ROUND(SUM(I28:I89),3)</f>
        <v>94.611000000000004</v>
      </c>
      <c r="J90" s="442"/>
      <c r="K90" s="443">
        <f>ROUND(SUM(K28:K89),3)</f>
        <v>7277.116</v>
      </c>
      <c r="L90" s="2203"/>
      <c r="M90" s="3169"/>
      <c r="N90" s="2201"/>
      <c r="O90" s="3170"/>
    </row>
    <row r="91" spans="1:15" ht="11.25" customHeight="1">
      <c r="A91" s="742"/>
      <c r="B91" s="742"/>
      <c r="C91" s="744"/>
      <c r="D91" s="742"/>
      <c r="E91" s="744"/>
      <c r="F91" s="742"/>
      <c r="G91" s="744"/>
      <c r="H91" s="742"/>
      <c r="I91" s="744"/>
      <c r="J91" s="742"/>
      <c r="K91" s="744"/>
      <c r="L91" s="744"/>
      <c r="M91" s="2201"/>
      <c r="N91" s="2201"/>
    </row>
    <row r="92" spans="1:15">
      <c r="A92" s="439" t="s">
        <v>301</v>
      </c>
      <c r="B92" s="742"/>
      <c r="C92" s="742"/>
      <c r="D92" s="742"/>
      <c r="E92" s="742"/>
      <c r="F92" s="742"/>
      <c r="G92" s="742"/>
      <c r="H92" s="742"/>
      <c r="I92" s="742"/>
      <c r="J92" s="742"/>
      <c r="K92" s="742"/>
      <c r="L92" s="744"/>
      <c r="M92" s="2201"/>
      <c r="N92" s="2201"/>
    </row>
    <row r="93" spans="1:15">
      <c r="A93" s="742" t="s">
        <v>968</v>
      </c>
      <c r="B93" s="742"/>
      <c r="C93" s="1751">
        <v>-47.238</v>
      </c>
      <c r="D93" s="1748"/>
      <c r="E93" s="1751">
        <v>219.62299999999999</v>
      </c>
      <c r="F93" s="1748"/>
      <c r="G93" s="1751">
        <v>293.78699999999998</v>
      </c>
      <c r="H93" s="1748"/>
      <c r="I93" s="1751">
        <v>0</v>
      </c>
      <c r="J93" s="1781"/>
      <c r="K93" s="655">
        <f t="shared" ref="K93:K99" si="6">ROUND(SUM(C93)+SUM(E93)-SUM(G93)+SUM(I93),3)</f>
        <v>-121.402</v>
      </c>
      <c r="L93" s="745"/>
      <c r="M93" s="2201"/>
      <c r="N93" s="2201"/>
      <c r="O93" s="746"/>
    </row>
    <row r="94" spans="1:15">
      <c r="A94" s="742" t="s">
        <v>302</v>
      </c>
      <c r="B94" s="742"/>
      <c r="C94" s="1751">
        <v>1090.0740000000001</v>
      </c>
      <c r="D94" s="1748"/>
      <c r="E94" s="1751">
        <v>2594.614</v>
      </c>
      <c r="F94" s="1748"/>
      <c r="G94" s="1751">
        <v>3704.6970000000001</v>
      </c>
      <c r="H94" s="1748"/>
      <c r="I94" s="1751">
        <v>-118.884</v>
      </c>
      <c r="J94" s="1781"/>
      <c r="K94" s="655">
        <f>ROUND(SUM(C94)+SUM(E94)-SUM(G94)+SUM(I94),3)</f>
        <v>-138.893</v>
      </c>
      <c r="L94" s="745"/>
      <c r="M94" s="2201"/>
      <c r="N94" s="2201"/>
    </row>
    <row r="95" spans="1:15">
      <c r="A95" s="742" t="s">
        <v>303</v>
      </c>
      <c r="B95" s="440"/>
      <c r="C95" s="1751">
        <v>-21.847000000000001</v>
      </c>
      <c r="D95" s="1748"/>
      <c r="E95" s="1751">
        <v>175.56800000000001</v>
      </c>
      <c r="F95" s="1748"/>
      <c r="G95" s="1751">
        <v>176.48</v>
      </c>
      <c r="H95" s="1748"/>
      <c r="I95" s="1751">
        <v>0</v>
      </c>
      <c r="J95" s="1781"/>
      <c r="K95" s="655">
        <f t="shared" si="6"/>
        <v>-22.759</v>
      </c>
      <c r="L95" s="745"/>
      <c r="M95" s="2201"/>
      <c r="N95" s="2201"/>
    </row>
    <row r="96" spans="1:15">
      <c r="A96" s="742" t="s">
        <v>304</v>
      </c>
      <c r="B96" s="742"/>
      <c r="C96" s="1751">
        <v>-281.67399999999998</v>
      </c>
      <c r="D96" s="1748"/>
      <c r="E96" s="1751">
        <v>100.83499999999999</v>
      </c>
      <c r="F96" s="1748"/>
      <c r="G96" s="1751">
        <v>86.784999999999997</v>
      </c>
      <c r="H96" s="1748"/>
      <c r="I96" s="1751">
        <v>0</v>
      </c>
      <c r="J96" s="1781"/>
      <c r="K96" s="655">
        <f t="shared" si="6"/>
        <v>-267.62400000000002</v>
      </c>
      <c r="L96" s="745"/>
      <c r="M96" s="747"/>
    </row>
    <row r="97" spans="1:15">
      <c r="A97" s="742" t="s">
        <v>305</v>
      </c>
      <c r="B97" s="742"/>
      <c r="C97" s="1751">
        <v>158.767</v>
      </c>
      <c r="D97" s="1748"/>
      <c r="E97" s="1751">
        <v>27.469000000000001</v>
      </c>
      <c r="F97" s="1748"/>
      <c r="G97" s="1751">
        <v>28.954999999999998</v>
      </c>
      <c r="H97" s="1748"/>
      <c r="I97" s="1751">
        <v>0</v>
      </c>
      <c r="J97" s="1781"/>
      <c r="K97" s="655">
        <f t="shared" si="6"/>
        <v>157.28100000000001</v>
      </c>
      <c r="L97" s="745"/>
      <c r="M97" s="2201"/>
      <c r="N97" s="2201"/>
    </row>
    <row r="98" spans="1:15">
      <c r="A98" s="742" t="s">
        <v>306</v>
      </c>
      <c r="B98" s="742"/>
      <c r="C98" s="1751">
        <v>-0.51300000000000001</v>
      </c>
      <c r="D98" s="1748"/>
      <c r="E98" s="1751">
        <v>0.33</v>
      </c>
      <c r="F98" s="1748"/>
      <c r="G98" s="1751">
        <v>0.27800000000000002</v>
      </c>
      <c r="H98" s="1748"/>
      <c r="I98" s="1751">
        <v>0</v>
      </c>
      <c r="J98" s="1781"/>
      <c r="K98" s="655">
        <f t="shared" si="6"/>
        <v>-0.46100000000000002</v>
      </c>
      <c r="L98" s="745"/>
      <c r="M98" s="2201"/>
      <c r="N98" s="2201"/>
    </row>
    <row r="99" spans="1:15">
      <c r="A99" s="743" t="s">
        <v>307</v>
      </c>
      <c r="B99" s="742"/>
      <c r="C99" s="1751">
        <v>-6.1959999999999997</v>
      </c>
      <c r="D99" s="1748"/>
      <c r="E99" s="1751">
        <v>13.473000000000001</v>
      </c>
      <c r="F99" s="1748"/>
      <c r="G99" s="1751">
        <v>9.9740000000000002</v>
      </c>
      <c r="H99" s="1748"/>
      <c r="I99" s="1751">
        <v>0</v>
      </c>
      <c r="J99" s="1781"/>
      <c r="K99" s="655">
        <f t="shared" si="6"/>
        <v>-2.6970000000000001</v>
      </c>
      <c r="L99" s="745"/>
      <c r="M99" s="2201"/>
      <c r="N99" s="2201"/>
    </row>
    <row r="100" spans="1:15">
      <c r="A100" s="438" t="s">
        <v>308</v>
      </c>
      <c r="B100" s="742"/>
      <c r="C100" s="443">
        <f>ROUND(SUM(C93:C99),3)</f>
        <v>891.37300000000005</v>
      </c>
      <c r="D100" s="442"/>
      <c r="E100" s="443">
        <f>ROUND(SUM(E93:E99),3)</f>
        <v>3131.9119999999998</v>
      </c>
      <c r="F100" s="442"/>
      <c r="G100" s="443">
        <f>ROUND(SUM(G93:G99),3)</f>
        <v>4300.9560000000001</v>
      </c>
      <c r="H100" s="442"/>
      <c r="I100" s="443">
        <f>ROUND(SUM(I93:I99),3)</f>
        <v>-118.884</v>
      </c>
      <c r="J100" s="442"/>
      <c r="K100" s="443">
        <f>ROUND(SUM(K93:K99),3)</f>
        <v>-396.55500000000001</v>
      </c>
      <c r="L100" s="444"/>
      <c r="M100" s="2201"/>
      <c r="N100" s="2201"/>
    </row>
    <row r="101" spans="1:15" ht="12" customHeight="1">
      <c r="A101" s="442"/>
      <c r="B101" s="742"/>
      <c r="C101" s="744"/>
      <c r="D101" s="742"/>
      <c r="E101" s="744"/>
      <c r="F101" s="742"/>
      <c r="G101" s="744"/>
      <c r="H101" s="742"/>
      <c r="I101" s="744"/>
      <c r="J101" s="742"/>
      <c r="K101" s="744"/>
      <c r="L101" s="744"/>
      <c r="M101" s="2201"/>
      <c r="N101" s="2201"/>
    </row>
    <row r="102" spans="1:15">
      <c r="A102" s="3171" t="s">
        <v>309</v>
      </c>
      <c r="B102" s="742"/>
      <c r="C102" s="2290">
        <f>C90+C100</f>
        <v>7986.6190000000006</v>
      </c>
      <c r="D102" s="442"/>
      <c r="E102" s="2290">
        <f>E90+E100</f>
        <v>4912.0720000000001</v>
      </c>
      <c r="F102" s="442"/>
      <c r="G102" s="2290">
        <f>G90+G100</f>
        <v>5993.857</v>
      </c>
      <c r="H102" s="442"/>
      <c r="I102" s="2290">
        <f>I90+I100</f>
        <v>-24.272999999999996</v>
      </c>
      <c r="J102" s="442"/>
      <c r="K102" s="2290">
        <f>K90+K100</f>
        <v>6880.5609999999997</v>
      </c>
      <c r="L102" s="444"/>
      <c r="M102" s="3169"/>
      <c r="N102" s="3169"/>
      <c r="O102" s="746"/>
    </row>
    <row r="103" spans="1:15" ht="10.5" customHeight="1">
      <c r="A103" s="3172"/>
      <c r="B103" s="742"/>
      <c r="C103" s="744"/>
      <c r="D103" s="742"/>
      <c r="E103" s="744"/>
      <c r="F103" s="742"/>
      <c r="G103" s="744"/>
      <c r="H103" s="742"/>
      <c r="I103" s="744"/>
      <c r="J103" s="742"/>
      <c r="K103" s="744"/>
      <c r="L103" s="744"/>
      <c r="M103" s="2201"/>
      <c r="N103" s="2201"/>
    </row>
    <row r="104" spans="1:15" ht="17.25">
      <c r="A104" s="439" t="s">
        <v>185</v>
      </c>
      <c r="B104" s="742"/>
      <c r="C104" s="742"/>
      <c r="D104" s="742"/>
      <c r="E104" s="696"/>
      <c r="F104" s="696"/>
      <c r="G104" s="696"/>
      <c r="H104" s="696"/>
      <c r="I104" s="696"/>
      <c r="J104" s="440"/>
      <c r="K104" s="696"/>
      <c r="L104" s="744"/>
      <c r="M104" s="2201"/>
      <c r="N104" s="2201"/>
    </row>
    <row r="105" spans="1:15">
      <c r="A105" s="742" t="s">
        <v>310</v>
      </c>
      <c r="B105" s="742"/>
      <c r="C105" s="1751">
        <v>0</v>
      </c>
      <c r="D105" s="1748"/>
      <c r="E105" s="1751">
        <v>0</v>
      </c>
      <c r="F105" s="1748"/>
      <c r="G105" s="1751">
        <v>0</v>
      </c>
      <c r="H105" s="1748"/>
      <c r="I105" s="1751">
        <v>0</v>
      </c>
      <c r="J105" s="1781"/>
      <c r="K105" s="655">
        <f t="shared" ref="K105:K111" si="7">ROUND(SUM(C105)+SUM(E105)-SUM(G105)+SUM(I105),3)</f>
        <v>0</v>
      </c>
      <c r="L105" s="2204"/>
    </row>
    <row r="106" spans="1:15">
      <c r="A106" s="742" t="s">
        <v>311</v>
      </c>
      <c r="B106" s="742"/>
      <c r="C106" s="1751">
        <v>91.83</v>
      </c>
      <c r="D106" s="1748"/>
      <c r="E106" s="1751">
        <v>76.466999999999999</v>
      </c>
      <c r="F106" s="1748"/>
      <c r="G106" s="1751">
        <v>0</v>
      </c>
      <c r="H106" s="1748"/>
      <c r="I106" s="1751">
        <v>-37.084000000000003</v>
      </c>
      <c r="J106" s="1781"/>
      <c r="K106" s="655">
        <f t="shared" si="7"/>
        <v>131.21299999999999</v>
      </c>
      <c r="L106" s="745"/>
      <c r="M106" s="2201"/>
      <c r="N106" s="2201"/>
    </row>
    <row r="107" spans="1:15">
      <c r="A107" s="742" t="s">
        <v>312</v>
      </c>
      <c r="B107" s="742"/>
      <c r="C107" s="1751">
        <v>233.66300000000001</v>
      </c>
      <c r="D107" s="1748"/>
      <c r="E107" s="1751">
        <v>1957.212</v>
      </c>
      <c r="F107" s="1748"/>
      <c r="G107" s="1751">
        <v>53.676000000000002</v>
      </c>
      <c r="H107" s="1748"/>
      <c r="I107" s="1751">
        <v>-1693.001</v>
      </c>
      <c r="J107" s="1781"/>
      <c r="K107" s="655">
        <f t="shared" si="7"/>
        <v>444.19799999999998</v>
      </c>
      <c r="L107" s="745"/>
      <c r="M107" s="2201"/>
      <c r="N107" s="2201"/>
    </row>
    <row r="108" spans="1:15">
      <c r="A108" s="742" t="s">
        <v>313</v>
      </c>
      <c r="B108" s="742"/>
      <c r="C108" s="1751">
        <v>0</v>
      </c>
      <c r="D108" s="1748"/>
      <c r="E108" s="1751">
        <v>0.84399999999999997</v>
      </c>
      <c r="F108" s="1748"/>
      <c r="G108" s="1751">
        <v>0</v>
      </c>
      <c r="H108" s="1748"/>
      <c r="I108" s="1751">
        <v>-0.84399999999999997</v>
      </c>
      <c r="J108" s="1781"/>
      <c r="K108" s="655">
        <f t="shared" si="7"/>
        <v>0</v>
      </c>
      <c r="L108" s="2204"/>
      <c r="M108" s="2201"/>
      <c r="N108" s="2201"/>
    </row>
    <row r="109" spans="1:15">
      <c r="A109" s="742" t="s">
        <v>314</v>
      </c>
      <c r="B109" s="742"/>
      <c r="C109" s="1751">
        <v>35.104999999999997</v>
      </c>
      <c r="D109" s="1748"/>
      <c r="E109" s="1751">
        <v>12.686999999999999</v>
      </c>
      <c r="F109" s="1748"/>
      <c r="G109" s="1751">
        <v>0</v>
      </c>
      <c r="H109" s="1748"/>
      <c r="I109" s="1751">
        <v>-14.084</v>
      </c>
      <c r="J109" s="1781"/>
      <c r="K109" s="655">
        <f t="shared" si="7"/>
        <v>33.707999999999998</v>
      </c>
      <c r="L109" s="745"/>
      <c r="M109" s="2201"/>
      <c r="N109" s="2201"/>
    </row>
    <row r="110" spans="1:15">
      <c r="A110" s="742" t="s">
        <v>315</v>
      </c>
      <c r="B110" s="742"/>
      <c r="C110" s="1751">
        <v>0.95</v>
      </c>
      <c r="D110" s="1748"/>
      <c r="E110" s="1751">
        <v>118.904</v>
      </c>
      <c r="F110" s="1748"/>
      <c r="G110" s="1751">
        <v>0</v>
      </c>
      <c r="H110" s="1748"/>
      <c r="I110" s="1751">
        <v>-114.265</v>
      </c>
      <c r="J110" s="1781"/>
      <c r="K110" s="655">
        <f t="shared" si="7"/>
        <v>5.5890000000000004</v>
      </c>
      <c r="L110" s="745"/>
      <c r="M110" s="2201"/>
      <c r="N110" s="2201"/>
    </row>
    <row r="111" spans="1:15">
      <c r="A111" s="743" t="s">
        <v>316</v>
      </c>
      <c r="B111" s="742"/>
      <c r="C111" s="1751">
        <v>0</v>
      </c>
      <c r="D111" s="1748"/>
      <c r="E111" s="1751">
        <v>289.69600000000003</v>
      </c>
      <c r="F111" s="1748"/>
      <c r="G111" s="1751">
        <v>0</v>
      </c>
      <c r="H111" s="1748"/>
      <c r="I111" s="1751">
        <v>-289.69600000000003</v>
      </c>
      <c r="J111" s="1781"/>
      <c r="K111" s="655">
        <f t="shared" si="7"/>
        <v>0</v>
      </c>
      <c r="L111" s="745"/>
      <c r="M111" s="2201"/>
      <c r="N111" s="2201"/>
    </row>
    <row r="112" spans="1:15">
      <c r="A112" s="3173" t="s">
        <v>317</v>
      </c>
      <c r="B112" s="3174"/>
      <c r="C112" s="443">
        <f>ROUND(SUM(C105:C111),3)</f>
        <v>361.548</v>
      </c>
      <c r="D112" s="445"/>
      <c r="E112" s="443">
        <f>ROUND(SUM(E105:E111),3)</f>
        <v>2455.81</v>
      </c>
      <c r="F112" s="445"/>
      <c r="G112" s="443">
        <f>ROUND(SUM(G105:G111),3)</f>
        <v>53.676000000000002</v>
      </c>
      <c r="H112" s="445"/>
      <c r="I112" s="443">
        <f>ROUND(SUM(I105:I111),3)</f>
        <v>-2148.9740000000002</v>
      </c>
      <c r="J112" s="445"/>
      <c r="K112" s="443">
        <f>ROUND(SUM(K105:K111),3)</f>
        <v>614.70799999999997</v>
      </c>
      <c r="L112" s="444"/>
      <c r="M112" s="3169"/>
      <c r="N112" s="2201"/>
    </row>
    <row r="113" spans="1:14">
      <c r="A113" s="742"/>
      <c r="B113" s="742"/>
      <c r="C113" s="744"/>
      <c r="D113" s="742"/>
      <c r="E113" s="744"/>
      <c r="F113" s="742"/>
      <c r="G113" s="744"/>
      <c r="H113" s="742"/>
      <c r="I113" s="744"/>
      <c r="J113" s="742"/>
      <c r="K113" s="744" t="s">
        <v>15</v>
      </c>
      <c r="L113" s="744"/>
      <c r="M113" s="2201"/>
      <c r="N113" s="2201"/>
    </row>
    <row r="114" spans="1:14">
      <c r="A114" s="3175" t="s">
        <v>936</v>
      </c>
      <c r="B114" s="742"/>
      <c r="K114" s="746"/>
      <c r="L114" s="745"/>
      <c r="M114" s="2201"/>
      <c r="N114" s="2201"/>
    </row>
    <row r="115" spans="1:14">
      <c r="A115" s="742" t="s">
        <v>318</v>
      </c>
      <c r="B115" s="1781"/>
      <c r="C115" s="1751">
        <v>0</v>
      </c>
      <c r="D115" s="1748"/>
      <c r="E115" s="1751">
        <v>139.24299999999999</v>
      </c>
      <c r="F115" s="1748"/>
      <c r="G115" s="1751">
        <v>341.17500000000001</v>
      </c>
      <c r="H115" s="1748"/>
      <c r="I115" s="1751">
        <v>201.93199999999999</v>
      </c>
      <c r="J115" s="1781"/>
      <c r="K115" s="655">
        <f>ROUND(SUM(C115)+SUM(E115)-SUM(G115)+SUM(I115),3)</f>
        <v>0</v>
      </c>
      <c r="L115" s="2204"/>
      <c r="M115" s="2201"/>
      <c r="N115" s="747"/>
    </row>
    <row r="116" spans="1:14">
      <c r="A116" s="742" t="s">
        <v>319</v>
      </c>
      <c r="B116" s="743"/>
      <c r="C116" s="1751">
        <v>-53.32</v>
      </c>
      <c r="D116" s="1748"/>
      <c r="E116" s="1751">
        <v>167.48699999999999</v>
      </c>
      <c r="F116" s="1748"/>
      <c r="G116" s="1751">
        <v>167.762</v>
      </c>
      <c r="H116" s="1748"/>
      <c r="I116" s="1751">
        <v>-45.087000000000003</v>
      </c>
      <c r="J116" s="1781"/>
      <c r="K116" s="655">
        <f>ROUND(SUM(C116)+SUM(E116)-SUM(G116)+SUM(I116),3)</f>
        <v>-98.682000000000002</v>
      </c>
      <c r="L116" s="745"/>
      <c r="M116" s="2201"/>
      <c r="N116" s="2201"/>
    </row>
    <row r="117" spans="1:14">
      <c r="A117" s="742" t="s">
        <v>320</v>
      </c>
      <c r="B117" s="742"/>
      <c r="C117" s="1751">
        <v>151.63399999999999</v>
      </c>
      <c r="D117" s="1748"/>
      <c r="E117" s="1751">
        <v>0.28699999999999998</v>
      </c>
      <c r="F117" s="1748"/>
      <c r="G117" s="1751">
        <v>4.7640000000000002</v>
      </c>
      <c r="H117" s="1748"/>
      <c r="I117" s="1751">
        <v>0</v>
      </c>
      <c r="J117" s="1781"/>
      <c r="K117" s="655">
        <f t="shared" ref="K117:K130" si="8">ROUND(SUM(C117)+SUM(E117)-SUM(G117)+SUM(I117),3)</f>
        <v>147.15700000000001</v>
      </c>
      <c r="L117" s="745"/>
      <c r="M117" s="2201"/>
      <c r="N117" s="2201"/>
    </row>
    <row r="118" spans="1:14">
      <c r="A118" s="742" t="s">
        <v>321</v>
      </c>
      <c r="B118" s="742"/>
      <c r="C118" s="1751">
        <v>12.164</v>
      </c>
      <c r="D118" s="1748"/>
      <c r="E118" s="1751">
        <v>2.5000000000000001E-2</v>
      </c>
      <c r="F118" s="1748"/>
      <c r="G118" s="1751">
        <v>0</v>
      </c>
      <c r="H118" s="1748"/>
      <c r="I118" s="1751">
        <v>0</v>
      </c>
      <c r="J118" s="1781"/>
      <c r="K118" s="655">
        <f t="shared" si="8"/>
        <v>12.189</v>
      </c>
      <c r="L118" s="745"/>
      <c r="M118" s="2201"/>
      <c r="N118" s="2201"/>
    </row>
    <row r="119" spans="1:14">
      <c r="A119" s="742" t="s">
        <v>322</v>
      </c>
      <c r="B119" s="742"/>
      <c r="C119" s="1751">
        <v>-55.625</v>
      </c>
      <c r="D119" s="1748"/>
      <c r="E119" s="1751">
        <v>5.0000000000000001E-3</v>
      </c>
      <c r="F119" s="1748"/>
      <c r="G119" s="1751">
        <v>9.2810000000000006</v>
      </c>
      <c r="H119" s="1748"/>
      <c r="I119" s="1751">
        <v>0</v>
      </c>
      <c r="J119" s="1781"/>
      <c r="K119" s="655">
        <f>ROUND(SUM(C119)+SUM(E119)-SUM(G119)+SUM(I119),3)</f>
        <v>-64.900999999999996</v>
      </c>
      <c r="L119" s="745"/>
      <c r="M119" s="2201"/>
      <c r="N119" s="2201"/>
    </row>
    <row r="120" spans="1:14">
      <c r="A120" s="742" t="s">
        <v>323</v>
      </c>
      <c r="B120" s="742"/>
      <c r="C120" s="1751">
        <v>1.4999999999999999E-2</v>
      </c>
      <c r="D120" s="1748"/>
      <c r="E120" s="1751">
        <v>0</v>
      </c>
      <c r="F120" s="1748"/>
      <c r="G120" s="1751">
        <v>0</v>
      </c>
      <c r="H120" s="1748"/>
      <c r="I120" s="1751">
        <v>0</v>
      </c>
      <c r="J120" s="1781"/>
      <c r="K120" s="655">
        <f t="shared" si="8"/>
        <v>1.4999999999999999E-2</v>
      </c>
      <c r="L120" s="745"/>
      <c r="M120" s="2201"/>
      <c r="N120" s="2201"/>
    </row>
    <row r="121" spans="1:14">
      <c r="A121" s="742" t="s">
        <v>324</v>
      </c>
      <c r="B121" s="742"/>
      <c r="C121" s="1751">
        <v>118.101</v>
      </c>
      <c r="D121" s="1748"/>
      <c r="E121" s="1751">
        <v>13.15</v>
      </c>
      <c r="F121" s="1748"/>
      <c r="G121" s="1751">
        <v>21.988</v>
      </c>
      <c r="H121" s="1748"/>
      <c r="I121" s="1751">
        <v>0</v>
      </c>
      <c r="J121" s="1781"/>
      <c r="K121" s="655">
        <f t="shared" si="8"/>
        <v>109.26300000000001</v>
      </c>
      <c r="L121" s="745"/>
      <c r="M121" s="2201"/>
      <c r="N121" s="2201"/>
    </row>
    <row r="122" spans="1:14">
      <c r="A122" s="742" t="s">
        <v>325</v>
      </c>
      <c r="B122" s="742"/>
      <c r="C122" s="1751">
        <v>0</v>
      </c>
      <c r="D122" s="1748"/>
      <c r="E122" s="1751">
        <v>0</v>
      </c>
      <c r="F122" s="1748"/>
      <c r="G122" s="1751">
        <v>0</v>
      </c>
      <c r="H122" s="1748"/>
      <c r="I122" s="1751">
        <v>0</v>
      </c>
      <c r="J122" s="1781"/>
      <c r="K122" s="655">
        <f t="shared" si="8"/>
        <v>0</v>
      </c>
      <c r="L122" s="745"/>
      <c r="M122" s="2201"/>
      <c r="N122" s="2201"/>
    </row>
    <row r="123" spans="1:14">
      <c r="A123" s="742" t="s">
        <v>326</v>
      </c>
      <c r="B123" s="742"/>
      <c r="C123" s="1751">
        <v>0.16400000000000001</v>
      </c>
      <c r="D123" s="1748"/>
      <c r="E123" s="1751">
        <v>0</v>
      </c>
      <c r="F123" s="1748"/>
      <c r="G123" s="1751">
        <v>0</v>
      </c>
      <c r="H123" s="1748"/>
      <c r="I123" s="1751">
        <v>0</v>
      </c>
      <c r="J123" s="1781"/>
      <c r="K123" s="655">
        <f t="shared" si="8"/>
        <v>0.16400000000000001</v>
      </c>
      <c r="L123" s="745"/>
      <c r="M123" s="2201"/>
      <c r="N123" s="2201"/>
    </row>
    <row r="124" spans="1:14">
      <c r="A124" s="742" t="s">
        <v>966</v>
      </c>
      <c r="B124" s="742"/>
      <c r="C124" s="1751">
        <v>0</v>
      </c>
      <c r="D124" s="1748"/>
      <c r="E124" s="1751">
        <v>0</v>
      </c>
      <c r="F124" s="1748"/>
      <c r="G124" s="1751">
        <v>0</v>
      </c>
      <c r="H124" s="1748"/>
      <c r="I124" s="1751">
        <v>0</v>
      </c>
      <c r="J124" s="1781"/>
      <c r="K124" s="655">
        <f t="shared" si="8"/>
        <v>0</v>
      </c>
      <c r="L124" s="745"/>
      <c r="M124" s="2201"/>
      <c r="N124" s="2201"/>
    </row>
    <row r="125" spans="1:14">
      <c r="A125" s="742" t="s">
        <v>327</v>
      </c>
      <c r="B125" s="742"/>
      <c r="C125" s="1751">
        <v>0.66800000000000004</v>
      </c>
      <c r="D125" s="1748"/>
      <c r="E125" s="1751">
        <v>0</v>
      </c>
      <c r="F125" s="1748"/>
      <c r="G125" s="1751">
        <v>0</v>
      </c>
      <c r="H125" s="1748"/>
      <c r="I125" s="1751">
        <v>0</v>
      </c>
      <c r="J125" s="1781"/>
      <c r="K125" s="655">
        <f t="shared" si="8"/>
        <v>0.66800000000000004</v>
      </c>
      <c r="L125" s="745"/>
      <c r="M125" s="2201"/>
      <c r="N125" s="2201"/>
    </row>
    <row r="126" spans="1:14">
      <c r="A126" s="742" t="s">
        <v>328</v>
      </c>
      <c r="B126" s="742"/>
      <c r="C126" s="1751">
        <v>3.3279999999999998</v>
      </c>
      <c r="D126" s="1748"/>
      <c r="E126" s="1751">
        <v>0</v>
      </c>
      <c r="F126" s="1748"/>
      <c r="G126" s="1751">
        <v>0</v>
      </c>
      <c r="H126" s="1748"/>
      <c r="I126" s="1751">
        <v>0</v>
      </c>
      <c r="J126" s="1781"/>
      <c r="K126" s="655">
        <f t="shared" si="8"/>
        <v>3.3279999999999998</v>
      </c>
      <c r="L126" s="745"/>
      <c r="M126" s="2201"/>
      <c r="N126" s="2201"/>
    </row>
    <row r="127" spans="1:14">
      <c r="A127" s="742" t="s">
        <v>329</v>
      </c>
      <c r="B127" s="742"/>
      <c r="C127" s="1751">
        <v>1.419</v>
      </c>
      <c r="D127" s="1748"/>
      <c r="E127" s="1751">
        <v>0</v>
      </c>
      <c r="F127" s="1748"/>
      <c r="G127" s="1751">
        <v>0</v>
      </c>
      <c r="H127" s="1748"/>
      <c r="I127" s="1751">
        <v>0</v>
      </c>
      <c r="J127" s="1781"/>
      <c r="K127" s="655">
        <f t="shared" si="8"/>
        <v>1.419</v>
      </c>
      <c r="L127" s="745"/>
      <c r="M127" s="2201"/>
      <c r="N127" s="2201"/>
    </row>
    <row r="128" spans="1:14">
      <c r="A128" s="742" t="s">
        <v>330</v>
      </c>
      <c r="B128" s="742"/>
      <c r="C128" s="1751">
        <v>18.86</v>
      </c>
      <c r="D128" s="1748"/>
      <c r="E128" s="1751">
        <v>0</v>
      </c>
      <c r="F128" s="1748"/>
      <c r="G128" s="1751">
        <v>0</v>
      </c>
      <c r="H128" s="1748"/>
      <c r="I128" s="1751">
        <v>-0.05</v>
      </c>
      <c r="J128" s="1781"/>
      <c r="K128" s="655">
        <f t="shared" si="8"/>
        <v>18.809999999999999</v>
      </c>
      <c r="L128" s="745"/>
      <c r="M128" s="2201"/>
      <c r="N128" s="2201"/>
    </row>
    <row r="129" spans="1:14">
      <c r="A129" s="742" t="s">
        <v>331</v>
      </c>
      <c r="B129" s="742"/>
      <c r="C129" s="1751">
        <v>4.2549999999999999</v>
      </c>
      <c r="D129" s="1748"/>
      <c r="E129" s="1751">
        <v>0</v>
      </c>
      <c r="F129" s="1748"/>
      <c r="G129" s="1751">
        <v>0</v>
      </c>
      <c r="H129" s="1748"/>
      <c r="I129" s="1751">
        <v>0</v>
      </c>
      <c r="J129" s="1781"/>
      <c r="K129" s="655">
        <f t="shared" si="8"/>
        <v>4.2549999999999999</v>
      </c>
      <c r="L129" s="745"/>
      <c r="M129" s="2201"/>
      <c r="N129" s="747"/>
    </row>
    <row r="130" spans="1:14">
      <c r="A130" s="742" t="s">
        <v>332</v>
      </c>
      <c r="B130" s="742"/>
      <c r="C130" s="1751">
        <v>5.5510000000000002</v>
      </c>
      <c r="D130" s="1748"/>
      <c r="E130" s="1751">
        <v>0</v>
      </c>
      <c r="F130" s="1748"/>
      <c r="G130" s="1751">
        <v>0</v>
      </c>
      <c r="H130" s="1748"/>
      <c r="I130" s="1751">
        <v>0</v>
      </c>
      <c r="J130" s="1781"/>
      <c r="K130" s="655">
        <f t="shared" si="8"/>
        <v>5.5510000000000002</v>
      </c>
      <c r="L130" s="745"/>
      <c r="M130" s="2201"/>
      <c r="N130" s="2201"/>
    </row>
    <row r="131" spans="1:14">
      <c r="A131" s="742" t="s">
        <v>333</v>
      </c>
      <c r="B131" s="742"/>
      <c r="C131" s="3637"/>
      <c r="D131" s="1779"/>
      <c r="E131" s="1782"/>
      <c r="F131" s="1748"/>
      <c r="G131" s="1782" t="s">
        <v>15</v>
      </c>
      <c r="H131" s="1748"/>
      <c r="I131" s="1782"/>
      <c r="J131" s="742"/>
      <c r="K131" s="2305"/>
      <c r="L131" s="745"/>
      <c r="M131" s="2201"/>
      <c r="N131" s="2201"/>
    </row>
    <row r="132" spans="1:14">
      <c r="A132" s="742" t="s">
        <v>334</v>
      </c>
      <c r="B132" s="742"/>
      <c r="C132" s="1751">
        <v>2.778</v>
      </c>
      <c r="D132" s="1748"/>
      <c r="E132" s="1751">
        <v>0</v>
      </c>
      <c r="F132" s="1748"/>
      <c r="G132" s="1751">
        <v>0</v>
      </c>
      <c r="H132" s="1748"/>
      <c r="I132" s="1751">
        <v>0</v>
      </c>
      <c r="J132" s="1781"/>
      <c r="K132" s="655">
        <f>ROUND(SUM(C132)+SUM(E132)-SUM(G132)+SUM(I132),3)</f>
        <v>2.778</v>
      </c>
      <c r="L132" s="745"/>
      <c r="M132" s="2201"/>
      <c r="N132" s="2201"/>
    </row>
    <row r="133" spans="1:14">
      <c r="A133" s="742" t="s">
        <v>335</v>
      </c>
      <c r="B133" s="742"/>
      <c r="C133" s="1751">
        <v>1.4279999999999999</v>
      </c>
      <c r="D133" s="1748"/>
      <c r="E133" s="1751">
        <v>0</v>
      </c>
      <c r="F133" s="1748"/>
      <c r="G133" s="1751">
        <v>0</v>
      </c>
      <c r="H133" s="1748"/>
      <c r="I133" s="1751">
        <v>0</v>
      </c>
      <c r="J133" s="1781"/>
      <c r="K133" s="655">
        <f t="shared" ref="K133:K153" si="9">ROUND(SUM(C133)+SUM(E133)-SUM(G133)+SUM(I133),3)</f>
        <v>1.4279999999999999</v>
      </c>
      <c r="L133" s="745"/>
      <c r="M133" s="2201"/>
      <c r="N133" s="2201"/>
    </row>
    <row r="134" spans="1:14">
      <c r="A134" s="742" t="s">
        <v>1224</v>
      </c>
      <c r="B134" s="742"/>
      <c r="C134" s="1751">
        <v>0</v>
      </c>
      <c r="D134" s="1748"/>
      <c r="E134" s="1751">
        <v>0</v>
      </c>
      <c r="F134" s="1748"/>
      <c r="G134" s="1751">
        <v>0</v>
      </c>
      <c r="H134" s="1748"/>
      <c r="I134" s="1751">
        <v>0</v>
      </c>
      <c r="J134" s="1781"/>
      <c r="K134" s="655">
        <f t="shared" si="9"/>
        <v>0</v>
      </c>
      <c r="L134" s="745"/>
      <c r="M134" s="2201"/>
      <c r="N134" s="2201"/>
    </row>
    <row r="135" spans="1:14">
      <c r="A135" s="742" t="s">
        <v>1306</v>
      </c>
      <c r="B135" s="742"/>
      <c r="C135" s="1751">
        <v>0</v>
      </c>
      <c r="D135" s="1748"/>
      <c r="E135" s="1751">
        <v>0</v>
      </c>
      <c r="F135" s="1748"/>
      <c r="G135" s="1751">
        <v>0</v>
      </c>
      <c r="H135" s="1748"/>
      <c r="I135" s="1751">
        <v>0</v>
      </c>
      <c r="J135" s="1781"/>
      <c r="K135" s="655">
        <f t="shared" si="9"/>
        <v>0</v>
      </c>
      <c r="L135" s="745"/>
      <c r="M135" s="2201"/>
      <c r="N135" s="2201"/>
    </row>
    <row r="136" spans="1:14">
      <c r="A136" s="742" t="s">
        <v>336</v>
      </c>
      <c r="B136" s="742"/>
      <c r="C136" s="1751">
        <v>0</v>
      </c>
      <c r="D136" s="1748"/>
      <c r="E136" s="1751">
        <v>0</v>
      </c>
      <c r="F136" s="1748"/>
      <c r="G136" s="1751">
        <v>0</v>
      </c>
      <c r="H136" s="1748"/>
      <c r="I136" s="1751">
        <v>0</v>
      </c>
      <c r="J136" s="1781"/>
      <c r="K136" s="655">
        <f t="shared" si="9"/>
        <v>0</v>
      </c>
      <c r="L136" s="745"/>
      <c r="M136" s="2201"/>
      <c r="N136" s="2201"/>
    </row>
    <row r="137" spans="1:14">
      <c r="A137" s="742" t="s">
        <v>337</v>
      </c>
      <c r="B137" s="742"/>
      <c r="C137" s="1751">
        <v>0</v>
      </c>
      <c r="D137" s="1748"/>
      <c r="E137" s="1751">
        <v>0</v>
      </c>
      <c r="F137" s="1748"/>
      <c r="G137" s="1751">
        <v>0</v>
      </c>
      <c r="H137" s="1748"/>
      <c r="I137" s="1751">
        <v>0</v>
      </c>
      <c r="J137" s="1781"/>
      <c r="K137" s="655">
        <f t="shared" si="9"/>
        <v>0</v>
      </c>
      <c r="L137" s="745"/>
      <c r="M137" s="2201"/>
      <c r="N137" s="2201"/>
    </row>
    <row r="138" spans="1:14">
      <c r="A138" s="742" t="s">
        <v>338</v>
      </c>
      <c r="B138" s="742"/>
      <c r="C138" s="1751">
        <v>-575.85500000000002</v>
      </c>
      <c r="D138" s="1748"/>
      <c r="E138" s="1751">
        <v>155.85900000000001</v>
      </c>
      <c r="F138" s="1748"/>
      <c r="G138" s="1751">
        <v>142.68799999999999</v>
      </c>
      <c r="H138" s="1748"/>
      <c r="I138" s="1751">
        <v>0</v>
      </c>
      <c r="J138" s="1781"/>
      <c r="K138" s="655">
        <f>ROUND(SUM(C138)+SUM(E138)-SUM(G138)+SUM(I138),3)</f>
        <v>-562.68399999999997</v>
      </c>
      <c r="L138" s="745"/>
      <c r="M138" s="2201"/>
      <c r="N138" s="2201"/>
    </row>
    <row r="139" spans="1:14">
      <c r="A139" s="742" t="s">
        <v>339</v>
      </c>
      <c r="B139" s="742"/>
      <c r="C139" s="1751">
        <v>1.0629999999999999</v>
      </c>
      <c r="D139" s="1748"/>
      <c r="E139" s="1751">
        <v>2E-3</v>
      </c>
      <c r="F139" s="1748"/>
      <c r="G139" s="1751">
        <v>0</v>
      </c>
      <c r="H139" s="1748"/>
      <c r="I139" s="1751">
        <v>0</v>
      </c>
      <c r="J139" s="1781"/>
      <c r="K139" s="655">
        <f t="shared" si="9"/>
        <v>1.0649999999999999</v>
      </c>
      <c r="L139" s="2204"/>
      <c r="M139" s="2201"/>
      <c r="N139" s="747"/>
    </row>
    <row r="140" spans="1:14">
      <c r="A140" s="743" t="s">
        <v>340</v>
      </c>
      <c r="B140" s="742"/>
      <c r="C140" s="1751">
        <v>-111.342</v>
      </c>
      <c r="D140" s="1748"/>
      <c r="E140" s="1751">
        <v>13.366</v>
      </c>
      <c r="F140" s="1748"/>
      <c r="G140" s="1751">
        <v>8.8480000000000008</v>
      </c>
      <c r="H140" s="1748"/>
      <c r="I140" s="1751">
        <v>-2.1949999999999998</v>
      </c>
      <c r="J140" s="1781"/>
      <c r="K140" s="655">
        <f t="shared" si="9"/>
        <v>-109.01900000000001</v>
      </c>
      <c r="L140" s="745"/>
      <c r="M140" s="2201"/>
      <c r="N140" s="2201"/>
    </row>
    <row r="141" spans="1:14">
      <c r="A141" s="742" t="s">
        <v>341</v>
      </c>
      <c r="B141" s="742"/>
      <c r="C141" s="1751">
        <v>0.53</v>
      </c>
      <c r="D141" s="1748"/>
      <c r="E141" s="1751">
        <v>1E-3</v>
      </c>
      <c r="F141" s="1748"/>
      <c r="G141" s="1751">
        <v>0</v>
      </c>
      <c r="H141" s="1748"/>
      <c r="I141" s="1751">
        <v>0</v>
      </c>
      <c r="J141" s="1781"/>
      <c r="K141" s="655">
        <f t="shared" si="9"/>
        <v>0.53100000000000003</v>
      </c>
      <c r="L141" s="745"/>
      <c r="M141" s="2201"/>
      <c r="N141" s="747"/>
    </row>
    <row r="142" spans="1:14">
      <c r="A142" s="742" t="s">
        <v>342</v>
      </c>
      <c r="B142" s="742"/>
      <c r="C142" s="1751">
        <v>-20.027999999999999</v>
      </c>
      <c r="D142" s="1748"/>
      <c r="E142" s="1751">
        <v>0</v>
      </c>
      <c r="F142" s="1748"/>
      <c r="G142" s="1751">
        <v>1.742</v>
      </c>
      <c r="H142" s="1748"/>
      <c r="I142" s="1751">
        <v>0</v>
      </c>
      <c r="J142" s="1781"/>
      <c r="K142" s="655">
        <f t="shared" si="9"/>
        <v>-21.77</v>
      </c>
      <c r="L142" s="745"/>
      <c r="M142" s="2201"/>
      <c r="N142" s="2201"/>
    </row>
    <row r="143" spans="1:14">
      <c r="A143" s="742" t="s">
        <v>343</v>
      </c>
      <c r="B143" s="742"/>
      <c r="C143" s="1751">
        <v>-12.942</v>
      </c>
      <c r="D143" s="1748"/>
      <c r="E143" s="1751">
        <v>0</v>
      </c>
      <c r="F143" s="1748"/>
      <c r="G143" s="1751">
        <v>0</v>
      </c>
      <c r="H143" s="1748"/>
      <c r="I143" s="1751">
        <v>0</v>
      </c>
      <c r="J143" s="1781"/>
      <c r="K143" s="655">
        <f t="shared" si="9"/>
        <v>-12.942</v>
      </c>
      <c r="L143" s="745"/>
      <c r="M143" s="2201"/>
      <c r="N143" s="2201"/>
    </row>
    <row r="144" spans="1:14">
      <c r="A144" s="742" t="s">
        <v>344</v>
      </c>
      <c r="B144" s="742"/>
      <c r="C144" s="1751">
        <v>-213.947</v>
      </c>
      <c r="D144" s="1748"/>
      <c r="E144" s="1751">
        <v>0</v>
      </c>
      <c r="F144" s="1748"/>
      <c r="G144" s="1751">
        <v>6.04</v>
      </c>
      <c r="H144" s="1748"/>
      <c r="I144" s="1751">
        <v>0</v>
      </c>
      <c r="J144" s="1781"/>
      <c r="K144" s="655">
        <f>ROUND(SUM(C144)+SUM(E144)-SUM(G144)+SUM(I144),3)</f>
        <v>-219.98699999999999</v>
      </c>
      <c r="L144" s="745"/>
      <c r="M144" s="2201"/>
      <c r="N144" s="2201"/>
    </row>
    <row r="145" spans="1:15">
      <c r="A145" s="742" t="s">
        <v>345</v>
      </c>
      <c r="B145" s="742"/>
      <c r="C145" s="1751">
        <v>17.045999999999999</v>
      </c>
      <c r="D145" s="1748"/>
      <c r="E145" s="1751">
        <v>6.4000000000000001E-2</v>
      </c>
      <c r="F145" s="1748"/>
      <c r="G145" s="2237">
        <v>2.2000000000000002E-2</v>
      </c>
      <c r="H145" s="1748"/>
      <c r="I145" s="1751">
        <v>0</v>
      </c>
      <c r="J145" s="1781"/>
      <c r="K145" s="655">
        <f t="shared" si="9"/>
        <v>17.088000000000001</v>
      </c>
      <c r="L145" s="745"/>
      <c r="M145" s="2201"/>
      <c r="N145" s="2201"/>
    </row>
    <row r="146" spans="1:15">
      <c r="A146" s="742" t="s">
        <v>974</v>
      </c>
      <c r="B146" s="742"/>
      <c r="C146" s="1751">
        <v>-12.346</v>
      </c>
      <c r="D146" s="1748"/>
      <c r="E146" s="1751">
        <v>0</v>
      </c>
      <c r="F146" s="1748"/>
      <c r="G146" s="1751">
        <v>-5.1999999999999998E-2</v>
      </c>
      <c r="H146" s="1748"/>
      <c r="I146" s="1751">
        <v>0</v>
      </c>
      <c r="J146" s="1781"/>
      <c r="K146" s="655">
        <f t="shared" si="9"/>
        <v>-12.294</v>
      </c>
      <c r="L146" s="745"/>
      <c r="M146" s="2201"/>
      <c r="N146" s="2201"/>
    </row>
    <row r="147" spans="1:15">
      <c r="A147" s="742" t="s">
        <v>346</v>
      </c>
      <c r="B147" s="742"/>
      <c r="C147" s="1751">
        <v>93.450999999999993</v>
      </c>
      <c r="D147" s="1748"/>
      <c r="E147" s="1751">
        <v>1.4219999999999999</v>
      </c>
      <c r="F147" s="1748"/>
      <c r="G147" s="1751">
        <v>4.3090000000000002</v>
      </c>
      <c r="H147" s="1748"/>
      <c r="I147" s="1751">
        <v>4.8760000000000003</v>
      </c>
      <c r="J147" s="1781"/>
      <c r="K147" s="655">
        <f>ROUND(SUM(C147)+SUM(E147)-SUM(G147)+SUM(I147),3)</f>
        <v>95.44</v>
      </c>
      <c r="L147" s="745"/>
      <c r="M147" s="2201"/>
      <c r="N147" s="2201"/>
    </row>
    <row r="148" spans="1:15">
      <c r="A148" s="742" t="s">
        <v>347</v>
      </c>
      <c r="B148" s="742"/>
      <c r="C148" s="1751">
        <v>0.01</v>
      </c>
      <c r="D148" s="1748"/>
      <c r="E148" s="1751">
        <v>0</v>
      </c>
      <c r="F148" s="1748"/>
      <c r="G148" s="1751">
        <v>0</v>
      </c>
      <c r="H148" s="1748"/>
      <c r="I148" s="1751">
        <v>0</v>
      </c>
      <c r="J148" s="1781"/>
      <c r="K148" s="655">
        <f t="shared" si="9"/>
        <v>0.01</v>
      </c>
      <c r="L148" s="745"/>
      <c r="M148" s="2201"/>
      <c r="N148" s="2201"/>
    </row>
    <row r="149" spans="1:15">
      <c r="A149" s="742" t="s">
        <v>348</v>
      </c>
      <c r="B149" s="742"/>
      <c r="C149" s="1751">
        <v>-502.69900000000001</v>
      </c>
      <c r="D149" s="1748"/>
      <c r="E149" s="1751">
        <v>18.495000000000001</v>
      </c>
      <c r="F149" s="1748"/>
      <c r="G149" s="1751">
        <v>16.988</v>
      </c>
      <c r="H149" s="1748"/>
      <c r="I149" s="1751">
        <v>0</v>
      </c>
      <c r="J149" s="1781"/>
      <c r="K149" s="655">
        <f t="shared" si="9"/>
        <v>-501.19200000000001</v>
      </c>
      <c r="L149" s="2204"/>
      <c r="M149" s="2201"/>
      <c r="N149" s="2201"/>
    </row>
    <row r="150" spans="1:15">
      <c r="A150" s="742" t="s">
        <v>349</v>
      </c>
      <c r="B150" s="742"/>
      <c r="C150" s="1751">
        <v>-268.363</v>
      </c>
      <c r="D150" s="1748"/>
      <c r="E150" s="1751">
        <v>0</v>
      </c>
      <c r="F150" s="1748"/>
      <c r="G150" s="2237">
        <v>37.44</v>
      </c>
      <c r="H150" s="1748"/>
      <c r="I150" s="1751">
        <v>0</v>
      </c>
      <c r="J150" s="1781"/>
      <c r="K150" s="655">
        <f t="shared" si="9"/>
        <v>-305.803</v>
      </c>
      <c r="L150" s="745"/>
      <c r="M150" s="2201"/>
      <c r="N150" s="2201"/>
    </row>
    <row r="151" spans="1:15">
      <c r="A151" s="742" t="s">
        <v>350</v>
      </c>
      <c r="B151" s="742"/>
      <c r="C151" s="1751">
        <v>129.79400000000001</v>
      </c>
      <c r="D151" s="1748"/>
      <c r="E151" s="1751">
        <v>0.25</v>
      </c>
      <c r="F151" s="1748"/>
      <c r="G151" s="2237">
        <v>2.427</v>
      </c>
      <c r="H151" s="1748"/>
      <c r="I151" s="1751">
        <v>2.4089999999999998</v>
      </c>
      <c r="J151" s="1781"/>
      <c r="K151" s="655">
        <f>ROUND(SUM(C151)+SUM(E151)-SUM(G151)+SUM(I151),3)</f>
        <v>130.02600000000001</v>
      </c>
      <c r="L151" s="745"/>
      <c r="M151" s="2201"/>
      <c r="N151" s="2201"/>
    </row>
    <row r="152" spans="1:15">
      <c r="A152" s="742" t="s">
        <v>351</v>
      </c>
      <c r="B152" s="742"/>
      <c r="C152" s="1751">
        <v>-74.960999999999999</v>
      </c>
      <c r="D152" s="1748"/>
      <c r="E152" s="1751">
        <v>0.70499999999999996</v>
      </c>
      <c r="F152" s="1748"/>
      <c r="G152" s="1751">
        <v>1.4139999999999999</v>
      </c>
      <c r="H152" s="1748"/>
      <c r="I152" s="1751">
        <v>0</v>
      </c>
      <c r="J152" s="1781"/>
      <c r="K152" s="655">
        <f t="shared" si="9"/>
        <v>-75.67</v>
      </c>
      <c r="L152" s="745"/>
      <c r="M152" s="2201"/>
      <c r="N152" s="747"/>
    </row>
    <row r="153" spans="1:15">
      <c r="A153" s="742" t="s">
        <v>1231</v>
      </c>
      <c r="B153" s="742"/>
      <c r="C153" s="1751">
        <v>126.634</v>
      </c>
      <c r="D153" s="1748"/>
      <c r="E153" s="1751">
        <v>0</v>
      </c>
      <c r="F153" s="1748"/>
      <c r="G153" s="1751">
        <v>77.338999999999999</v>
      </c>
      <c r="H153" s="1748"/>
      <c r="I153" s="1751">
        <v>50</v>
      </c>
      <c r="J153" s="1781"/>
      <c r="K153" s="655">
        <f t="shared" si="9"/>
        <v>99.295000000000002</v>
      </c>
      <c r="L153" s="745"/>
      <c r="M153" s="2201"/>
      <c r="N153" s="2201"/>
    </row>
    <row r="154" spans="1:15">
      <c r="A154" s="442" t="s">
        <v>352</v>
      </c>
      <c r="B154" s="742"/>
      <c r="C154" s="443">
        <f>ROUND(SUM(C115:C153),3)</f>
        <v>-1212.5350000000001</v>
      </c>
      <c r="D154" s="442"/>
      <c r="E154" s="443">
        <f>ROUND(SUM(E115:E153),3)</f>
        <v>510.36099999999999</v>
      </c>
      <c r="F154" s="442"/>
      <c r="G154" s="443">
        <f>ROUND(SUM(G115:G153),3)</f>
        <v>844.17499999999995</v>
      </c>
      <c r="H154" s="442"/>
      <c r="I154" s="443">
        <f>ROUND(SUM(I115:I153),3)</f>
        <v>211.88499999999999</v>
      </c>
      <c r="J154" s="442"/>
      <c r="K154" s="443">
        <f>ROUND(SUM(K116:K153),3)</f>
        <v>-1334.4639999999999</v>
      </c>
      <c r="L154" s="444"/>
      <c r="M154" s="3169"/>
      <c r="N154" s="3169"/>
      <c r="O154" s="3176"/>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13728.644</v>
      </c>
      <c r="D156" s="445"/>
      <c r="E156" s="446">
        <f>ROUND(SUM(E24+E102+E112+E154),3)</f>
        <v>10554.63</v>
      </c>
      <c r="F156" s="447"/>
      <c r="G156" s="446">
        <f>ROUND(SUM(G24+G102+G112+G154),3)</f>
        <v>11495.267</v>
      </c>
      <c r="H156" s="447"/>
      <c r="I156" s="446">
        <f>ROUND(SUM(I24+I102+I112+I154),3)</f>
        <v>-12.927</v>
      </c>
      <c r="J156" s="445"/>
      <c r="K156" s="446">
        <f>ROUND(SUM(K24+K102+K112+K154),3)</f>
        <v>12775.08</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622"/>
      <c r="F159" s="742"/>
      <c r="G159" s="742"/>
      <c r="H159" s="742"/>
      <c r="I159" s="749"/>
      <c r="J159" s="742"/>
      <c r="K159" s="3623"/>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91"/>
    </row>
    <row r="164" spans="1:12">
      <c r="I164" s="2291"/>
    </row>
    <row r="165" spans="1:12">
      <c r="I165" s="2291"/>
    </row>
    <row r="166" spans="1:12">
      <c r="I166" s="2291"/>
    </row>
    <row r="167" spans="1:12">
      <c r="I167" s="448"/>
    </row>
    <row r="168" spans="1:12">
      <c r="I168" s="2291"/>
    </row>
    <row r="169" spans="1:12">
      <c r="I169" s="2291"/>
    </row>
    <row r="170" spans="1:12">
      <c r="I170" s="2291"/>
    </row>
    <row r="171" spans="1:12">
      <c r="I171" s="2291"/>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292" customWidth="1"/>
    <col min="2" max="2" width="6.21875" style="2292" customWidth="1"/>
    <col min="3" max="3" width="20.21875" style="2292" customWidth="1"/>
    <col min="4" max="4" width="3.109375" style="2292" customWidth="1"/>
    <col min="5" max="5" width="17.21875" style="2292" customWidth="1"/>
    <col min="6" max="6" width="3.5546875" style="2292" customWidth="1"/>
    <col min="7" max="7" width="18.21875" style="2292" customWidth="1"/>
    <col min="8" max="8" width="3.109375" style="2292" customWidth="1"/>
    <col min="9" max="9" width="18.5546875" style="2292" customWidth="1"/>
    <col min="10" max="10" width="3.44140625" style="2292" customWidth="1"/>
    <col min="11" max="11" width="22.109375" style="2292" customWidth="1"/>
    <col min="12" max="12" width="15.5546875" style="2292" customWidth="1"/>
    <col min="13" max="13" width="9.77734375" style="2292" bestFit="1" customWidth="1"/>
    <col min="14" max="16384" width="8.77734375" style="2292"/>
  </cols>
  <sheetData>
    <row r="1" spans="1:15">
      <c r="A1" s="1544" t="s">
        <v>980</v>
      </c>
    </row>
    <row r="2" spans="1:15">
      <c r="A2" s="3203"/>
    </row>
    <row r="3" spans="1:15" s="451" customFormat="1" ht="18" customHeight="1">
      <c r="A3" s="455" t="s">
        <v>0</v>
      </c>
      <c r="B3" s="3204"/>
      <c r="C3" s="3204"/>
      <c r="D3" s="3204"/>
      <c r="E3" s="2293"/>
      <c r="F3" s="2293"/>
      <c r="G3" s="449"/>
      <c r="H3" s="449"/>
      <c r="I3" s="455"/>
      <c r="J3" s="455"/>
      <c r="K3" s="458" t="s">
        <v>354</v>
      </c>
      <c r="L3" s="449"/>
      <c r="M3" s="449"/>
      <c r="N3" s="449"/>
      <c r="O3" s="449"/>
    </row>
    <row r="4" spans="1:15" s="451" customFormat="1" ht="18" customHeight="1">
      <c r="A4" s="455" t="s">
        <v>355</v>
      </c>
      <c r="B4" s="3204"/>
      <c r="C4" s="3204"/>
      <c r="D4" s="3204"/>
      <c r="E4" s="2293"/>
      <c r="F4" s="2293"/>
      <c r="G4" s="449"/>
      <c r="H4" s="449"/>
      <c r="I4" s="455"/>
      <c r="J4" s="455"/>
      <c r="K4" s="455"/>
      <c r="L4" s="449"/>
      <c r="M4" s="449"/>
      <c r="N4" s="449"/>
      <c r="O4" s="449"/>
    </row>
    <row r="5" spans="1:15" s="451" customFormat="1" ht="18" customHeight="1">
      <c r="A5" s="461" t="s">
        <v>1309</v>
      </c>
      <c r="B5" s="3204"/>
      <c r="C5" s="3204"/>
      <c r="D5" s="3204"/>
      <c r="E5" s="2293"/>
      <c r="F5" s="2293"/>
      <c r="G5" s="449"/>
      <c r="H5" s="449"/>
      <c r="I5" s="455"/>
      <c r="J5" s="455"/>
      <c r="K5" s="455"/>
      <c r="L5" s="449"/>
      <c r="M5" s="449"/>
      <c r="N5" s="449"/>
      <c r="O5" s="449"/>
    </row>
    <row r="6" spans="1:15" s="451" customFormat="1" ht="18" customHeight="1">
      <c r="A6" s="461" t="s">
        <v>356</v>
      </c>
      <c r="B6" s="3204"/>
      <c r="C6" s="3204"/>
      <c r="D6" s="3204"/>
      <c r="E6" s="2293"/>
      <c r="F6" s="2293"/>
      <c r="G6" s="449"/>
      <c r="H6" s="449"/>
      <c r="I6" s="455"/>
      <c r="J6" s="455"/>
      <c r="K6" s="455"/>
      <c r="L6" s="449"/>
      <c r="M6" s="449"/>
      <c r="N6" s="449"/>
      <c r="O6" s="449"/>
    </row>
    <row r="7" spans="1:15" s="451" customFormat="1" ht="18" customHeight="1">
      <c r="A7" s="461" t="s">
        <v>1413</v>
      </c>
      <c r="B7" s="3204"/>
      <c r="C7" s="3204"/>
      <c r="D7" s="3204"/>
      <c r="E7" s="2293"/>
      <c r="F7" s="2293"/>
      <c r="G7" s="449"/>
      <c r="H7" s="449"/>
      <c r="I7" s="455"/>
      <c r="J7" s="455"/>
      <c r="K7" s="455"/>
      <c r="L7" s="449"/>
      <c r="M7" s="449"/>
      <c r="N7" s="449"/>
      <c r="O7" s="449"/>
    </row>
    <row r="8" spans="1:15" s="451" customFormat="1" ht="18" customHeight="1">
      <c r="A8" s="461" t="str">
        <f>'Sch 1 '!A8</f>
        <v>FOR THE MONTH OF JULY 2019</v>
      </c>
      <c r="B8" s="3204"/>
      <c r="C8" s="3204"/>
      <c r="D8" s="3204"/>
      <c r="E8" s="2293"/>
      <c r="G8" s="2293"/>
      <c r="H8" s="449"/>
      <c r="I8" s="455"/>
      <c r="J8" s="455"/>
      <c r="K8" s="455"/>
      <c r="L8" s="449"/>
      <c r="M8" s="449"/>
      <c r="N8" s="449"/>
      <c r="O8" s="449"/>
    </row>
    <row r="9" spans="1:15" s="451" customFormat="1" ht="18" customHeight="1">
      <c r="A9" s="455" t="s">
        <v>1433</v>
      </c>
      <c r="B9" s="3204"/>
      <c r="C9" s="3204"/>
      <c r="D9" s="3204"/>
      <c r="E9" s="2293"/>
      <c r="F9" s="2293"/>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32" t="str">
        <f>'Sch 1 '!C11</f>
        <v>JULY 1, 2019</v>
      </c>
      <c r="D14" s="455"/>
      <c r="E14" s="708" t="s">
        <v>237</v>
      </c>
      <c r="F14" s="455"/>
      <c r="G14" s="708" t="s">
        <v>238</v>
      </c>
      <c r="H14" s="455"/>
      <c r="I14" s="708" t="s">
        <v>239</v>
      </c>
      <c r="J14" s="455"/>
      <c r="K14" s="925" t="str">
        <f>'Sch 1 '!K11</f>
        <v>JULY 31, 2019</v>
      </c>
      <c r="L14" s="449"/>
      <c r="M14" s="449"/>
      <c r="N14" s="449"/>
      <c r="O14" s="449"/>
    </row>
    <row r="15" spans="1:15" s="451" customFormat="1" ht="12" customHeight="1">
      <c r="A15" s="449"/>
      <c r="B15" s="449"/>
      <c r="C15" s="3633"/>
      <c r="D15" s="449"/>
      <c r="E15" s="2294"/>
      <c r="F15" s="449"/>
      <c r="G15" s="2294"/>
      <c r="H15" s="449"/>
      <c r="I15" s="2294"/>
      <c r="J15" s="449"/>
      <c r="K15" s="2294"/>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360</v>
      </c>
      <c r="B18" s="450"/>
      <c r="C18" s="1752">
        <v>0.10100000000000001</v>
      </c>
      <c r="D18" s="1753"/>
      <c r="E18" s="1752">
        <v>2E-3</v>
      </c>
      <c r="F18" s="1753"/>
      <c r="G18" s="1752">
        <v>1E-3</v>
      </c>
      <c r="H18" s="1753"/>
      <c r="I18" s="1752">
        <v>0</v>
      </c>
      <c r="J18" s="3187"/>
      <c r="K18" s="1755">
        <f t="shared" ref="K18:K25" si="0">ROUND(SUM(C18)+SUM(E18)-SUM(G18)+SUM(I18),3)</f>
        <v>0.10199999999999999</v>
      </c>
      <c r="L18" s="449"/>
      <c r="M18" s="449"/>
      <c r="N18" s="449"/>
      <c r="O18" s="449"/>
    </row>
    <row r="19" spans="1:15" s="451" customFormat="1" ht="15.75" customHeight="1">
      <c r="A19" s="449" t="s">
        <v>361</v>
      </c>
      <c r="B19" s="449"/>
      <c r="C19" s="1756">
        <v>2.851</v>
      </c>
      <c r="D19" s="1753"/>
      <c r="E19" s="1756">
        <v>1.226</v>
      </c>
      <c r="F19" s="1753"/>
      <c r="G19" s="1756">
        <v>0.54400000000000004</v>
      </c>
      <c r="H19" s="1753"/>
      <c r="I19" s="1756">
        <v>0</v>
      </c>
      <c r="J19" s="3187"/>
      <c r="K19" s="1757">
        <f t="shared" si="0"/>
        <v>3.5329999999999999</v>
      </c>
      <c r="L19" s="449"/>
      <c r="M19" s="449"/>
      <c r="N19" s="449"/>
      <c r="O19" s="449"/>
    </row>
    <row r="20" spans="1:15" s="451" customFormat="1" ht="16.149999999999999" customHeight="1">
      <c r="A20" s="449" t="s">
        <v>362</v>
      </c>
      <c r="B20" s="449"/>
      <c r="C20" s="1756">
        <v>3.5390000000000001</v>
      </c>
      <c r="D20" s="1753"/>
      <c r="E20" s="1756">
        <v>3.8540000000000001</v>
      </c>
      <c r="F20" s="1753"/>
      <c r="G20" s="1756">
        <v>3.9039999999999999</v>
      </c>
      <c r="H20" s="1753"/>
      <c r="I20" s="1756">
        <v>0</v>
      </c>
      <c r="J20" s="3187"/>
      <c r="K20" s="1757">
        <f t="shared" si="0"/>
        <v>3.4889999999999999</v>
      </c>
      <c r="L20" s="449"/>
      <c r="M20" s="449"/>
      <c r="N20" s="449"/>
      <c r="O20" s="449"/>
    </row>
    <row r="21" spans="1:15" s="451" customFormat="1" ht="16.149999999999999" customHeight="1">
      <c r="A21" s="449" t="s">
        <v>1014</v>
      </c>
      <c r="B21" s="449"/>
      <c r="C21" s="1756">
        <v>3.42</v>
      </c>
      <c r="D21" s="1753"/>
      <c r="E21" s="1756">
        <v>0.23200000000000001</v>
      </c>
      <c r="F21" s="1753"/>
      <c r="G21" s="1756">
        <v>0.26900000000000002</v>
      </c>
      <c r="H21" s="1753"/>
      <c r="I21" s="1756">
        <v>0</v>
      </c>
      <c r="J21" s="3187"/>
      <c r="K21" s="1757">
        <f t="shared" si="0"/>
        <v>3.383</v>
      </c>
      <c r="L21" s="449"/>
      <c r="M21" s="449"/>
      <c r="N21" s="449"/>
      <c r="O21" s="449"/>
    </row>
    <row r="22" spans="1:15" s="451" customFormat="1" ht="16.149999999999999" customHeight="1">
      <c r="A22" s="449" t="s">
        <v>1015</v>
      </c>
      <c r="B22" s="449"/>
      <c r="C22" s="1756">
        <v>2.177</v>
      </c>
      <c r="D22" s="1753"/>
      <c r="E22" s="1756">
        <v>1.2999999999999999E-2</v>
      </c>
      <c r="F22" s="1753"/>
      <c r="G22" s="1756">
        <v>1.2999999999999999E-2</v>
      </c>
      <c r="H22" s="1753"/>
      <c r="I22" s="1756">
        <v>0</v>
      </c>
      <c r="J22" s="3187"/>
      <c r="K22" s="1757">
        <f t="shared" si="0"/>
        <v>2.177</v>
      </c>
      <c r="L22" s="449"/>
      <c r="M22" s="449"/>
      <c r="N22" s="449"/>
      <c r="O22" s="449"/>
    </row>
    <row r="23" spans="1:15" s="451" customFormat="1" ht="16.149999999999999" customHeight="1">
      <c r="A23" s="449" t="s">
        <v>1016</v>
      </c>
      <c r="B23" s="449"/>
      <c r="C23" s="1756">
        <v>1.81</v>
      </c>
      <c r="D23" s="1753"/>
      <c r="E23" s="1756">
        <v>3.2000000000000001E-2</v>
      </c>
      <c r="F23" s="1753"/>
      <c r="G23" s="1756">
        <v>5.0999999999999997E-2</v>
      </c>
      <c r="H23" s="1753"/>
      <c r="I23" s="1756">
        <v>0</v>
      </c>
      <c r="J23" s="3187"/>
      <c r="K23" s="1757">
        <f t="shared" si="0"/>
        <v>1.7909999999999999</v>
      </c>
      <c r="L23" s="449"/>
      <c r="M23" s="449"/>
      <c r="N23" s="449"/>
      <c r="O23" s="449"/>
    </row>
    <row r="24" spans="1:15" s="451" customFormat="1" ht="16.149999999999999" customHeight="1">
      <c r="A24" s="449" t="s">
        <v>363</v>
      </c>
      <c r="B24" s="449"/>
      <c r="C24" s="1756">
        <v>4.8600000000000003</v>
      </c>
      <c r="D24" s="1753"/>
      <c r="E24" s="1756">
        <v>0.15</v>
      </c>
      <c r="F24" s="1753"/>
      <c r="G24" s="1756">
        <v>6.5000000000000002E-2</v>
      </c>
      <c r="H24" s="1753"/>
      <c r="I24" s="1756">
        <v>0</v>
      </c>
      <c r="J24" s="3187"/>
      <c r="K24" s="1757">
        <f t="shared" si="0"/>
        <v>4.9450000000000003</v>
      </c>
      <c r="L24" s="449"/>
      <c r="M24" s="449"/>
      <c r="N24" s="449"/>
      <c r="O24" s="449"/>
    </row>
    <row r="25" spans="1:15" s="451" customFormat="1" ht="16.149999999999999" customHeight="1">
      <c r="A25" s="3599" t="s">
        <v>364</v>
      </c>
      <c r="B25" s="449"/>
      <c r="C25" s="1756">
        <v>8.5299999999999994</v>
      </c>
      <c r="D25" s="1753"/>
      <c r="E25" s="1756">
        <v>187.02</v>
      </c>
      <c r="F25" s="1753"/>
      <c r="G25" s="1756">
        <v>187.19400000000002</v>
      </c>
      <c r="H25" s="1753"/>
      <c r="I25" s="1756">
        <v>0</v>
      </c>
      <c r="J25" s="3187"/>
      <c r="K25" s="1757">
        <f t="shared" si="0"/>
        <v>8.3559999999999999</v>
      </c>
      <c r="L25" s="449"/>
      <c r="M25" s="449"/>
      <c r="N25" s="449"/>
      <c r="O25" s="449"/>
    </row>
    <row r="26" spans="1:15" s="451" customFormat="1" ht="20.100000000000001" customHeight="1">
      <c r="A26" s="455" t="s">
        <v>365</v>
      </c>
      <c r="B26" s="449"/>
      <c r="C26" s="1605">
        <f>ROUND(SUM(C18:C25),3)</f>
        <v>27.288</v>
      </c>
      <c r="D26" s="1635"/>
      <c r="E26" s="1605">
        <f>ROUND(SUM(E18:E25),3)</f>
        <v>192.529</v>
      </c>
      <c r="F26" s="1635"/>
      <c r="G26" s="1605">
        <f>ROUND(SUM(G18:G25),3)</f>
        <v>192.041</v>
      </c>
      <c r="H26" s="715"/>
      <c r="I26" s="1605">
        <f>ROUND(SUM(I18:I25),3)</f>
        <v>0</v>
      </c>
      <c r="J26" s="715"/>
      <c r="K26" s="1605">
        <f>ROUND(SUM(K18:K25),3)</f>
        <v>27.776</v>
      </c>
      <c r="L26" s="3188"/>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199"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1017</v>
      </c>
      <c r="B32" s="449"/>
      <c r="C32" s="1756">
        <v>-80.867000000000004</v>
      </c>
      <c r="D32" s="1753"/>
      <c r="E32" s="1756">
        <v>41.765999999999998</v>
      </c>
      <c r="F32" s="1753"/>
      <c r="G32" s="1756">
        <v>30.861000000000001</v>
      </c>
      <c r="H32" s="1753"/>
      <c r="I32" s="1756">
        <v>1.905</v>
      </c>
      <c r="J32" s="3187"/>
      <c r="K32" s="1757">
        <f t="shared" ref="K32:K39" si="1">ROUND(SUM(C32)+SUM(E32)-SUM(G32)+SUM(I32),3)</f>
        <v>-68.057000000000002</v>
      </c>
      <c r="L32" s="449"/>
      <c r="M32" s="452"/>
      <c r="N32" s="449"/>
      <c r="O32" s="449"/>
    </row>
    <row r="33" spans="1:15" s="451" customFormat="1" ht="16.149999999999999" customHeight="1">
      <c r="A33" s="449" t="s">
        <v>366</v>
      </c>
      <c r="B33" s="449"/>
      <c r="C33" s="1756">
        <v>-131.03100000000001</v>
      </c>
      <c r="D33" s="1753"/>
      <c r="E33" s="1756">
        <v>9.1270000000000007</v>
      </c>
      <c r="F33" s="1753"/>
      <c r="G33" s="1756">
        <v>7.85</v>
      </c>
      <c r="H33" s="1753"/>
      <c r="I33" s="1756">
        <v>0.45900000000000002</v>
      </c>
      <c r="J33" s="3187"/>
      <c r="K33" s="1757">
        <f t="shared" si="1"/>
        <v>-129.29499999999999</v>
      </c>
      <c r="L33" s="449"/>
      <c r="M33" s="452"/>
      <c r="N33" s="449"/>
      <c r="O33" s="449"/>
    </row>
    <row r="34" spans="1:15" s="451" customFormat="1" ht="16.149999999999999" customHeight="1">
      <c r="A34" s="449" t="s">
        <v>367</v>
      </c>
      <c r="B34" s="449"/>
      <c r="C34" s="1756">
        <v>0.05</v>
      </c>
      <c r="D34" s="1753"/>
      <c r="E34" s="1756">
        <v>7.0000000000000001E-3</v>
      </c>
      <c r="F34" s="1753"/>
      <c r="G34" s="1756">
        <v>7.6999999999999999E-2</v>
      </c>
      <c r="H34" s="1753"/>
      <c r="I34" s="1756">
        <v>0</v>
      </c>
      <c r="J34" s="3187"/>
      <c r="K34" s="1757">
        <f t="shared" si="1"/>
        <v>-0.02</v>
      </c>
      <c r="L34" s="449"/>
      <c r="M34" s="452"/>
      <c r="N34" s="449"/>
      <c r="O34" s="449"/>
    </row>
    <row r="35" spans="1:15" s="451" customFormat="1" ht="16.149999999999999" customHeight="1">
      <c r="A35" s="449" t="s">
        <v>368</v>
      </c>
      <c r="B35" s="449"/>
      <c r="C35" s="1756">
        <v>7.4999999999999997E-2</v>
      </c>
      <c r="D35" s="1753"/>
      <c r="E35" s="1756">
        <v>0</v>
      </c>
      <c r="F35" s="1753"/>
      <c r="G35" s="1756">
        <v>1E-3</v>
      </c>
      <c r="H35" s="1753"/>
      <c r="I35" s="1756">
        <v>0</v>
      </c>
      <c r="J35" s="3187"/>
      <c r="K35" s="1757">
        <f t="shared" si="1"/>
        <v>7.3999999999999996E-2</v>
      </c>
      <c r="L35" s="449"/>
      <c r="M35" s="452"/>
      <c r="N35" s="449"/>
      <c r="O35" s="449"/>
    </row>
    <row r="36" spans="1:15" s="451" customFormat="1" ht="16.149999999999999" customHeight="1">
      <c r="A36" s="449" t="s">
        <v>1018</v>
      </c>
      <c r="B36" s="449"/>
      <c r="C36" s="1756">
        <v>0.17799999999999999</v>
      </c>
      <c r="D36" s="1753"/>
      <c r="E36" s="1756">
        <v>0</v>
      </c>
      <c r="F36" s="1753"/>
      <c r="G36" s="1756">
        <v>0.104</v>
      </c>
      <c r="H36" s="1753"/>
      <c r="I36" s="1756">
        <v>0</v>
      </c>
      <c r="J36" s="3187"/>
      <c r="K36" s="1757">
        <f t="shared" si="1"/>
        <v>7.3999999999999996E-2</v>
      </c>
      <c r="L36" s="449"/>
      <c r="M36" s="452"/>
      <c r="N36" s="449"/>
      <c r="O36" s="449"/>
    </row>
    <row r="37" spans="1:15" s="451" customFormat="1" ht="16.149999999999999" customHeight="1">
      <c r="A37" s="449" t="s">
        <v>369</v>
      </c>
      <c r="B37" s="449"/>
      <c r="C37" s="1756">
        <v>-39.359000000000002</v>
      </c>
      <c r="D37" s="1753"/>
      <c r="E37" s="1756">
        <v>0</v>
      </c>
      <c r="F37" s="1753"/>
      <c r="G37" s="1756">
        <v>3.3600000000000003</v>
      </c>
      <c r="H37" s="1753"/>
      <c r="I37" s="1756">
        <v>-7.0000000000000007E-2</v>
      </c>
      <c r="J37" s="3187"/>
      <c r="K37" s="1757">
        <f t="shared" si="1"/>
        <v>-42.789000000000001</v>
      </c>
      <c r="L37" s="449"/>
      <c r="M37" s="452"/>
      <c r="N37" s="449"/>
      <c r="O37" s="449"/>
    </row>
    <row r="38" spans="1:15" s="451" customFormat="1" ht="16.149999999999999" customHeight="1">
      <c r="A38" s="449" t="s">
        <v>370</v>
      </c>
      <c r="B38" s="449"/>
      <c r="C38" s="1756">
        <v>-13.632</v>
      </c>
      <c r="D38" s="1753"/>
      <c r="E38" s="1756">
        <v>0.45700000000000002</v>
      </c>
      <c r="F38" s="1753"/>
      <c r="G38" s="1756">
        <v>1.82</v>
      </c>
      <c r="H38" s="1753"/>
      <c r="I38" s="1756">
        <v>0</v>
      </c>
      <c r="J38" s="3187"/>
      <c r="K38" s="1757">
        <f t="shared" si="1"/>
        <v>-14.994999999999999</v>
      </c>
      <c r="L38" s="449"/>
      <c r="M38" s="452"/>
      <c r="N38" s="449"/>
      <c r="O38" s="449"/>
    </row>
    <row r="39" spans="1:15" s="451" customFormat="1" ht="16.149999999999999" customHeight="1">
      <c r="A39" s="449" t="s">
        <v>371</v>
      </c>
      <c r="B39" s="449"/>
      <c r="C39" s="1756">
        <v>-29.091000000000001</v>
      </c>
      <c r="D39" s="1753"/>
      <c r="E39" s="1756">
        <v>5.1589999999999998</v>
      </c>
      <c r="F39" s="1753"/>
      <c r="G39" s="1756">
        <v>5.5049999999999999</v>
      </c>
      <c r="H39" s="1753"/>
      <c r="I39" s="1756">
        <v>0</v>
      </c>
      <c r="J39" s="3187"/>
      <c r="K39" s="1757">
        <f t="shared" si="1"/>
        <v>-29.437000000000001</v>
      </c>
      <c r="L39" s="449"/>
      <c r="M39" s="452"/>
      <c r="N39" s="449"/>
      <c r="O39" s="449"/>
    </row>
    <row r="40" spans="1:15" s="451" customFormat="1" ht="20.100000000000001" customHeight="1">
      <c r="A40" s="455" t="s">
        <v>372</v>
      </c>
      <c r="B40" s="449"/>
      <c r="C40" s="1605">
        <f>ROUND(SUM(C32:C39),3)</f>
        <v>-293.67700000000002</v>
      </c>
      <c r="D40" s="718"/>
      <c r="E40" s="1605">
        <f>ROUND(SUM(E32:E39),3)</f>
        <v>56.515999999999998</v>
      </c>
      <c r="F40" s="718"/>
      <c r="G40" s="1605">
        <f>ROUND(SUM(G32:G39),3)</f>
        <v>49.578000000000003</v>
      </c>
      <c r="H40" s="716"/>
      <c r="I40" s="1605">
        <f>ROUND(SUM(I32:I39),3)</f>
        <v>2.294</v>
      </c>
      <c r="J40" s="716"/>
      <c r="K40" s="1605">
        <f>ROUND(SUM(K32:K39),3)</f>
        <v>-284.44499999999999</v>
      </c>
      <c r="L40" s="3205"/>
      <c r="M40" s="449"/>
      <c r="N40" s="449"/>
      <c r="O40" s="449"/>
    </row>
    <row r="41" spans="1:15" s="451" customFormat="1" ht="15" customHeight="1">
      <c r="A41" s="455"/>
      <c r="B41" s="449"/>
      <c r="C41" s="3634"/>
      <c r="D41" s="2296"/>
      <c r="E41" s="2295"/>
      <c r="F41" s="2296"/>
      <c r="G41" s="2295"/>
      <c r="H41" s="2296"/>
      <c r="I41" s="3189"/>
      <c r="J41" s="2296"/>
      <c r="K41" s="2295"/>
      <c r="L41" s="449"/>
      <c r="M41" s="449"/>
      <c r="N41" s="449"/>
      <c r="O41" s="449"/>
    </row>
    <row r="42" spans="1:15" s="451" customFormat="1" ht="15" customHeight="1">
      <c r="A42" s="455"/>
      <c r="B42" s="449"/>
      <c r="C42" s="3189"/>
      <c r="D42" s="2296"/>
      <c r="E42" s="2296"/>
      <c r="F42" s="2296"/>
      <c r="G42" s="2296" t="s">
        <v>15</v>
      </c>
      <c r="H42" s="2296"/>
      <c r="I42" s="3206"/>
      <c r="J42" s="2296"/>
      <c r="K42" s="2296"/>
      <c r="L42" s="449"/>
      <c r="M42" s="449"/>
      <c r="N42" s="449"/>
      <c r="O42" s="449"/>
    </row>
    <row r="43" spans="1:15" s="451" customFormat="1" ht="20.100000000000001" customHeight="1" thickBot="1">
      <c r="A43" s="455" t="s">
        <v>65</v>
      </c>
      <c r="B43" s="450"/>
      <c r="C43" s="2297">
        <f>ROUND(SUM(C40)+SUM(C26),3)</f>
        <v>-266.38900000000001</v>
      </c>
      <c r="D43" s="726"/>
      <c r="E43" s="2297">
        <f>ROUND(SUM(E40)+SUM(E26),3)</f>
        <v>249.04499999999999</v>
      </c>
      <c r="F43" s="726"/>
      <c r="G43" s="2297">
        <f>ROUND(SUM(G40)+SUM(G26),3)</f>
        <v>241.619</v>
      </c>
      <c r="H43" s="726"/>
      <c r="I43" s="2297">
        <f>ROUND(SUM(I40)+SUM(I26),3)</f>
        <v>2.294</v>
      </c>
      <c r="J43" s="726"/>
      <c r="K43" s="2297">
        <f>ROUND(SUM(K40)+SUM(K26),3)</f>
        <v>-256.66899999999998</v>
      </c>
      <c r="L43" s="3188"/>
      <c r="M43" s="449"/>
      <c r="N43" s="449"/>
      <c r="O43" s="449"/>
    </row>
    <row r="44" spans="1:15" s="451" customFormat="1" ht="18.75" thickTop="1">
      <c r="A44" s="449"/>
      <c r="B44" s="449"/>
      <c r="C44" s="2298"/>
      <c r="D44" s="2296"/>
      <c r="E44" s="2298"/>
      <c r="F44" s="2296"/>
      <c r="G44" s="2298"/>
      <c r="H44" s="2296"/>
      <c r="I44" s="711"/>
      <c r="J44" s="2296"/>
      <c r="K44" s="2298"/>
      <c r="L44" s="449"/>
      <c r="M44" s="449"/>
      <c r="N44" s="449"/>
      <c r="O44" s="449"/>
    </row>
    <row r="45" spans="1:15" s="451" customFormat="1">
      <c r="A45" s="3207"/>
      <c r="B45" s="2292"/>
      <c r="C45" s="2301"/>
      <c r="D45" s="2301"/>
      <c r="E45" s="2299"/>
      <c r="F45" s="2299"/>
      <c r="G45" s="3208"/>
      <c r="H45" s="2299"/>
      <c r="I45" s="3209"/>
      <c r="J45" s="2301"/>
      <c r="K45" s="3210"/>
      <c r="L45" s="2292"/>
      <c r="M45" s="2292"/>
      <c r="N45" s="2292"/>
      <c r="O45" s="2292"/>
    </row>
    <row r="46" spans="1:15" s="451" customFormat="1">
      <c r="A46" s="2292"/>
      <c r="B46" s="2292"/>
      <c r="C46" s="2301"/>
      <c r="D46" s="2301"/>
      <c r="E46" s="2300"/>
      <c r="F46" s="2300"/>
      <c r="G46" s="2300"/>
      <c r="H46" s="2300"/>
      <c r="I46" s="2300"/>
      <c r="J46" s="2300"/>
      <c r="K46" s="2300"/>
      <c r="L46" s="2292"/>
      <c r="M46" s="2292"/>
      <c r="N46" s="2292"/>
      <c r="O46" s="2292"/>
    </row>
    <row r="47" spans="1:15" s="451" customFormat="1">
      <c r="A47" s="2292"/>
      <c r="B47" s="2292"/>
      <c r="C47" s="2301"/>
      <c r="D47" s="2301"/>
      <c r="E47" s="2301"/>
      <c r="F47" s="2301"/>
      <c r="G47" s="3211"/>
      <c r="H47" s="2292"/>
      <c r="I47" s="3212"/>
      <c r="J47" s="2301"/>
      <c r="K47" s="2301"/>
      <c r="L47" s="2292"/>
      <c r="M47" s="2292"/>
      <c r="N47" s="2292"/>
      <c r="O47" s="2292"/>
    </row>
    <row r="48" spans="1:15" s="451" customFormat="1">
      <c r="A48" s="2292"/>
      <c r="B48" s="2292"/>
      <c r="C48" s="2301"/>
      <c r="D48" s="2301"/>
      <c r="E48" s="2301"/>
      <c r="F48" s="2301"/>
      <c r="G48" s="2301"/>
      <c r="H48" s="2292"/>
      <c r="I48" s="3212"/>
      <c r="J48" s="2301"/>
      <c r="K48" s="2301"/>
      <c r="L48" s="2292"/>
      <c r="M48" s="2292"/>
      <c r="N48" s="2292"/>
      <c r="O48" s="2292"/>
    </row>
    <row r="49" spans="1:15" s="451" customFormat="1">
      <c r="A49" s="2292"/>
      <c r="B49" s="2292"/>
      <c r="C49" s="2301"/>
      <c r="D49" s="2301"/>
      <c r="E49" s="2301"/>
      <c r="F49" s="2301"/>
      <c r="G49" s="2301"/>
      <c r="H49" s="2292"/>
      <c r="I49" s="3212"/>
      <c r="J49" s="2301"/>
      <c r="K49" s="2301"/>
      <c r="L49" s="2292"/>
      <c r="M49" s="2292"/>
      <c r="N49" s="2292"/>
      <c r="O49" s="2292"/>
    </row>
    <row r="50" spans="1:15" s="451" customFormat="1">
      <c r="A50" s="2292"/>
      <c r="B50" s="2292"/>
      <c r="C50" s="2301"/>
      <c r="D50" s="2301"/>
      <c r="E50" s="2301"/>
      <c r="F50" s="2301"/>
      <c r="G50" s="2301"/>
      <c r="H50" s="2292"/>
      <c r="I50" s="3212"/>
      <c r="J50" s="2301"/>
      <c r="K50" s="2301"/>
      <c r="L50" s="2292"/>
      <c r="M50" s="2292"/>
      <c r="N50" s="2292"/>
      <c r="O50" s="2292"/>
    </row>
    <row r="51" spans="1:15" s="451" customFormat="1">
      <c r="A51" s="449"/>
      <c r="B51" s="2292"/>
      <c r="C51" s="2301"/>
      <c r="D51" s="2301"/>
      <c r="E51" s="2301"/>
      <c r="F51" s="2301"/>
      <c r="G51" s="2301"/>
      <c r="H51" s="2292"/>
      <c r="I51" s="2292"/>
      <c r="J51" s="2301"/>
      <c r="K51" s="2301"/>
      <c r="L51" s="2292"/>
      <c r="M51" s="2292"/>
      <c r="N51" s="2292"/>
      <c r="O51" s="2292"/>
    </row>
    <row r="52" spans="1:15" s="451" customFormat="1">
      <c r="A52" s="2292"/>
      <c r="B52" s="2292"/>
      <c r="C52" s="2301"/>
      <c r="D52" s="2301"/>
      <c r="E52" s="2301"/>
      <c r="F52" s="2301"/>
      <c r="G52" s="2301"/>
      <c r="H52" s="2292"/>
      <c r="I52" s="2292"/>
      <c r="J52" s="2301"/>
      <c r="K52" s="2301"/>
      <c r="L52" s="2292"/>
      <c r="M52" s="2292"/>
      <c r="N52" s="2292"/>
      <c r="O52" s="2292"/>
    </row>
    <row r="53" spans="1:15" s="451" customFormat="1">
      <c r="A53" s="2292"/>
      <c r="B53" s="2292"/>
      <c r="C53" s="2301"/>
      <c r="D53" s="2301"/>
      <c r="E53" s="2301"/>
      <c r="F53" s="2301"/>
      <c r="G53" s="2301"/>
      <c r="H53" s="2292"/>
      <c r="I53" s="2292"/>
      <c r="J53" s="2301"/>
      <c r="K53" s="2301"/>
      <c r="L53" s="2292"/>
      <c r="M53" s="2292"/>
      <c r="N53" s="2292"/>
      <c r="O53" s="2292"/>
    </row>
    <row r="54" spans="1:15" s="451" customFormat="1">
      <c r="A54" s="2292"/>
      <c r="B54" s="2292"/>
      <c r="C54" s="2301"/>
      <c r="D54" s="2301"/>
      <c r="E54" s="2301"/>
      <c r="F54" s="2301"/>
      <c r="G54" s="2301"/>
      <c r="H54" s="2292"/>
      <c r="I54" s="2292"/>
      <c r="J54" s="2301"/>
      <c r="K54" s="2301"/>
      <c r="L54" s="2292"/>
      <c r="M54" s="2292"/>
      <c r="N54" s="2292"/>
      <c r="O54" s="2292"/>
    </row>
    <row r="55" spans="1:15" s="451" customFormat="1">
      <c r="A55" s="2292"/>
      <c r="B55" s="2292"/>
      <c r="C55" s="2301"/>
      <c r="D55" s="2301"/>
      <c r="E55" s="2301"/>
      <c r="F55" s="2301"/>
      <c r="G55" s="2301"/>
      <c r="H55" s="2292"/>
      <c r="I55" s="2292"/>
      <c r="J55" s="2301"/>
      <c r="K55" s="2301"/>
      <c r="L55" s="2292"/>
      <c r="M55" s="2292"/>
      <c r="N55" s="2292"/>
      <c r="O55" s="2292"/>
    </row>
    <row r="56" spans="1:15" s="451" customFormat="1">
      <c r="A56" s="2292"/>
      <c r="B56" s="2292"/>
      <c r="C56" s="2301"/>
      <c r="D56" s="2301"/>
      <c r="E56" s="2301"/>
      <c r="F56" s="2301"/>
      <c r="G56" s="2301"/>
      <c r="H56" s="2292"/>
      <c r="I56" s="2292"/>
      <c r="J56" s="2301"/>
      <c r="K56" s="2301"/>
      <c r="L56" s="2292"/>
      <c r="M56" s="2292"/>
      <c r="N56" s="2292"/>
      <c r="O56" s="2292"/>
    </row>
    <row r="57" spans="1:15" s="451" customFormat="1">
      <c r="A57" s="2292"/>
      <c r="B57" s="2292"/>
      <c r="C57" s="2301"/>
      <c r="D57" s="2301"/>
      <c r="E57" s="2301"/>
      <c r="F57" s="2301"/>
      <c r="G57" s="2301"/>
      <c r="H57" s="2292"/>
      <c r="I57" s="2292"/>
      <c r="J57" s="2301"/>
      <c r="K57" s="2301"/>
      <c r="L57" s="2292"/>
      <c r="M57" s="2292"/>
      <c r="N57" s="2292"/>
      <c r="O57" s="2292"/>
    </row>
    <row r="58" spans="1:15" s="451" customFormat="1">
      <c r="A58" s="2292"/>
      <c r="B58" s="2292"/>
      <c r="C58" s="2301"/>
      <c r="D58" s="2301"/>
      <c r="E58" s="2301"/>
      <c r="F58" s="2301"/>
      <c r="G58" s="2301"/>
      <c r="H58" s="2292"/>
      <c r="I58" s="2292"/>
      <c r="J58" s="2301"/>
      <c r="K58" s="2301"/>
      <c r="L58" s="2292"/>
      <c r="M58" s="2292"/>
      <c r="N58" s="2292"/>
      <c r="O58" s="2292"/>
    </row>
    <row r="59" spans="1:15" s="451" customFormat="1">
      <c r="A59" s="2292"/>
      <c r="B59" s="2292"/>
      <c r="C59" s="2301"/>
      <c r="D59" s="2301"/>
      <c r="E59" s="2301"/>
      <c r="F59" s="2301"/>
      <c r="G59" s="2301"/>
      <c r="H59" s="2292"/>
      <c r="I59" s="2292"/>
      <c r="J59" s="2301"/>
      <c r="K59" s="2301"/>
      <c r="L59" s="2292"/>
      <c r="M59" s="2292"/>
      <c r="N59" s="2292"/>
      <c r="O59" s="2292"/>
    </row>
    <row r="60" spans="1:15" s="451" customFormat="1">
      <c r="A60" s="2292"/>
      <c r="B60" s="2292"/>
      <c r="C60" s="2301"/>
      <c r="D60" s="2301"/>
      <c r="E60" s="2301"/>
      <c r="F60" s="2301"/>
      <c r="G60" s="2301"/>
      <c r="H60" s="2292"/>
      <c r="I60" s="2292"/>
      <c r="J60" s="2301"/>
      <c r="K60" s="2301"/>
      <c r="L60" s="2292"/>
      <c r="M60" s="2292"/>
      <c r="N60" s="2292"/>
      <c r="O60" s="2292"/>
    </row>
    <row r="61" spans="1:15" s="451" customFormat="1">
      <c r="A61" s="2292"/>
      <c r="B61" s="2292"/>
      <c r="C61" s="2301"/>
      <c r="D61" s="2301"/>
      <c r="E61" s="2301"/>
      <c r="F61" s="2301"/>
      <c r="G61" s="2301"/>
      <c r="H61" s="2292"/>
      <c r="I61" s="2292"/>
      <c r="J61" s="2301"/>
      <c r="K61" s="2301"/>
      <c r="L61" s="2292"/>
      <c r="M61" s="2292"/>
      <c r="N61" s="2292"/>
      <c r="O61" s="2292"/>
    </row>
    <row r="62" spans="1:15" s="451" customFormat="1">
      <c r="A62" s="2292"/>
      <c r="B62" s="2292"/>
      <c r="C62" s="2301"/>
      <c r="D62" s="2301"/>
      <c r="E62" s="2301"/>
      <c r="F62" s="2301"/>
      <c r="G62" s="2301"/>
      <c r="H62" s="2292"/>
      <c r="I62" s="2292"/>
      <c r="J62" s="2301"/>
      <c r="K62" s="2301"/>
      <c r="L62" s="2292"/>
      <c r="M62" s="2292"/>
      <c r="N62" s="2292"/>
      <c r="O62" s="2292"/>
    </row>
    <row r="63" spans="1:15" s="451" customFormat="1">
      <c r="A63" s="2292"/>
      <c r="B63" s="2292"/>
      <c r="C63" s="2301"/>
      <c r="D63" s="2301"/>
      <c r="E63" s="2301"/>
      <c r="F63" s="2301"/>
      <c r="G63" s="2301"/>
      <c r="H63" s="2292"/>
      <c r="I63" s="2292"/>
      <c r="J63" s="2301"/>
      <c r="K63" s="2301"/>
      <c r="L63" s="2292"/>
      <c r="M63" s="2292"/>
      <c r="N63" s="2292"/>
      <c r="O63" s="2292"/>
    </row>
    <row r="64" spans="1:15" s="451" customFormat="1">
      <c r="A64" s="2292"/>
      <c r="B64" s="2292"/>
      <c r="C64" s="2301"/>
      <c r="D64" s="2301"/>
      <c r="E64" s="2301"/>
      <c r="F64" s="2301"/>
      <c r="G64" s="2301"/>
      <c r="H64" s="2292"/>
      <c r="I64" s="2292"/>
      <c r="J64" s="2301"/>
      <c r="K64" s="2301"/>
      <c r="L64" s="2292"/>
      <c r="M64" s="2292"/>
      <c r="N64" s="2292"/>
      <c r="O64" s="2292"/>
    </row>
    <row r="65" spans="1:15" s="451" customFormat="1">
      <c r="A65" s="2292"/>
      <c r="B65" s="2292"/>
      <c r="C65" s="2301"/>
      <c r="D65" s="2301"/>
      <c r="E65" s="2301"/>
      <c r="F65" s="2301"/>
      <c r="G65" s="2301"/>
      <c r="H65" s="2292"/>
      <c r="I65" s="2292"/>
      <c r="J65" s="2301"/>
      <c r="K65" s="2301"/>
      <c r="L65" s="2292"/>
      <c r="M65" s="2292"/>
      <c r="N65" s="2292"/>
      <c r="O65" s="2292"/>
    </row>
    <row r="66" spans="1:15" s="451" customFormat="1">
      <c r="A66" s="2292"/>
      <c r="B66" s="2292"/>
      <c r="C66" s="2301"/>
      <c r="D66" s="2301"/>
      <c r="E66" s="2301"/>
      <c r="F66" s="2301"/>
      <c r="G66" s="2301"/>
      <c r="H66" s="2292"/>
      <c r="I66" s="2292"/>
      <c r="J66" s="2301"/>
      <c r="K66" s="2301"/>
      <c r="L66" s="2292"/>
      <c r="M66" s="2292"/>
      <c r="N66" s="2292"/>
      <c r="O66" s="2292"/>
    </row>
    <row r="67" spans="1:15" s="451" customFormat="1">
      <c r="A67" s="2292"/>
      <c r="B67" s="2292"/>
      <c r="C67" s="2301"/>
      <c r="D67" s="2301"/>
      <c r="E67" s="2301"/>
      <c r="F67" s="2301"/>
      <c r="G67" s="2301"/>
      <c r="H67" s="2292"/>
      <c r="I67" s="2292"/>
      <c r="J67" s="2301"/>
      <c r="K67" s="2301"/>
      <c r="L67" s="2292"/>
      <c r="M67" s="2292"/>
      <c r="N67" s="2292"/>
      <c r="O67" s="2292"/>
    </row>
    <row r="68" spans="1:15" s="451" customFormat="1">
      <c r="A68" s="2292"/>
      <c r="B68" s="2292"/>
      <c r="C68" s="2301"/>
      <c r="D68" s="2301"/>
      <c r="E68" s="2301"/>
      <c r="F68" s="2301"/>
      <c r="G68" s="2301"/>
      <c r="H68" s="2292"/>
      <c r="I68" s="2292"/>
      <c r="J68" s="2301"/>
      <c r="K68" s="2301"/>
      <c r="L68" s="2292"/>
      <c r="M68" s="2292"/>
      <c r="N68" s="2292"/>
      <c r="O68" s="2292"/>
    </row>
    <row r="69" spans="1:15" s="451" customFormat="1">
      <c r="A69" s="2292"/>
      <c r="B69" s="2292"/>
      <c r="C69" s="2301"/>
      <c r="D69" s="2301"/>
      <c r="E69" s="2301"/>
      <c r="F69" s="2301"/>
      <c r="G69" s="2301"/>
      <c r="H69" s="2292"/>
      <c r="I69" s="2292"/>
      <c r="J69" s="2301"/>
      <c r="K69" s="2301"/>
      <c r="L69" s="2292"/>
      <c r="M69" s="2292"/>
      <c r="N69" s="2292"/>
      <c r="O69" s="2292"/>
    </row>
    <row r="70" spans="1:15" s="451" customFormat="1">
      <c r="A70" s="2292"/>
      <c r="B70" s="2292"/>
      <c r="C70" s="2301"/>
      <c r="D70" s="2301"/>
      <c r="E70" s="2301"/>
      <c r="F70" s="2301"/>
      <c r="G70" s="2301"/>
      <c r="H70" s="2292"/>
      <c r="I70" s="2292"/>
      <c r="J70" s="2301"/>
      <c r="K70" s="2301"/>
      <c r="L70" s="2292"/>
      <c r="M70" s="2292"/>
      <c r="N70" s="2292"/>
      <c r="O70" s="2292"/>
    </row>
    <row r="71" spans="1:15" s="451" customFormat="1">
      <c r="A71" s="2292"/>
      <c r="B71" s="2292"/>
      <c r="C71" s="2301"/>
      <c r="D71" s="2301"/>
      <c r="E71" s="2301"/>
      <c r="F71" s="2301"/>
      <c r="G71" s="2301"/>
      <c r="H71" s="2292"/>
      <c r="I71" s="2292"/>
      <c r="J71" s="2301"/>
      <c r="K71" s="2301"/>
      <c r="L71" s="2292"/>
      <c r="M71" s="2292"/>
      <c r="N71" s="2292"/>
      <c r="O71" s="2292"/>
    </row>
    <row r="72" spans="1:15" s="451" customFormat="1">
      <c r="A72" s="2292"/>
      <c r="B72" s="2292"/>
      <c r="C72" s="2301"/>
      <c r="D72" s="2301"/>
      <c r="E72" s="2301"/>
      <c r="F72" s="2301"/>
      <c r="G72" s="2301"/>
      <c r="H72" s="2292"/>
      <c r="I72" s="2292"/>
      <c r="J72" s="2301"/>
      <c r="K72" s="2301"/>
      <c r="L72" s="2292"/>
      <c r="M72" s="2292"/>
      <c r="N72" s="2292"/>
      <c r="O72" s="2292"/>
    </row>
    <row r="73" spans="1:15" s="451" customFormat="1">
      <c r="A73" s="2292"/>
      <c r="B73" s="2292"/>
      <c r="C73" s="2301"/>
      <c r="D73" s="2301"/>
      <c r="E73" s="2301"/>
      <c r="F73" s="2301"/>
      <c r="G73" s="2301"/>
      <c r="H73" s="2292"/>
      <c r="I73" s="2292"/>
      <c r="J73" s="2301"/>
      <c r="K73" s="2301"/>
      <c r="L73" s="2292"/>
      <c r="M73" s="2292"/>
      <c r="N73" s="2292"/>
      <c r="O73" s="2292"/>
    </row>
    <row r="74" spans="1:15" s="451" customFormat="1">
      <c r="A74" s="2292"/>
      <c r="B74" s="2292"/>
      <c r="C74" s="2301"/>
      <c r="D74" s="2301"/>
      <c r="E74" s="2301"/>
      <c r="F74" s="2301"/>
      <c r="G74" s="2301"/>
      <c r="H74" s="2292"/>
      <c r="I74" s="2292"/>
      <c r="J74" s="2301"/>
      <c r="K74" s="2301"/>
      <c r="L74" s="2292"/>
      <c r="M74" s="2292"/>
      <c r="N74" s="2292"/>
      <c r="O74" s="2292"/>
    </row>
    <row r="75" spans="1:15" s="451" customFormat="1">
      <c r="A75" s="2292"/>
      <c r="B75" s="2292"/>
      <c r="C75" s="2301"/>
      <c r="D75" s="2301"/>
      <c r="E75" s="2301"/>
      <c r="F75" s="2301"/>
      <c r="G75" s="2301"/>
      <c r="H75" s="2292"/>
      <c r="I75" s="2292"/>
      <c r="J75" s="2301"/>
      <c r="K75" s="2301"/>
      <c r="L75" s="2292"/>
      <c r="M75" s="2292"/>
      <c r="N75" s="2292"/>
      <c r="O75" s="2292"/>
    </row>
    <row r="76" spans="1:15" s="451" customFormat="1">
      <c r="A76" s="2292"/>
      <c r="B76" s="2292"/>
      <c r="C76" s="2301"/>
      <c r="D76" s="2301"/>
      <c r="E76" s="2301"/>
      <c r="F76" s="2301"/>
      <c r="G76" s="2301"/>
      <c r="H76" s="2292"/>
      <c r="I76" s="2292"/>
      <c r="J76" s="2301"/>
      <c r="K76" s="2301"/>
      <c r="L76" s="2292"/>
      <c r="M76" s="2292"/>
      <c r="N76" s="2292"/>
      <c r="O76" s="2292"/>
    </row>
    <row r="77" spans="1:15" s="451" customFormat="1">
      <c r="A77" s="2292"/>
      <c r="B77" s="2292"/>
      <c r="C77" s="2301"/>
      <c r="D77" s="2301"/>
      <c r="E77" s="2301"/>
      <c r="F77" s="2301"/>
      <c r="G77" s="2301"/>
      <c r="H77" s="2292"/>
      <c r="I77" s="2292"/>
      <c r="J77" s="2301"/>
      <c r="K77" s="2301"/>
      <c r="L77" s="2292"/>
      <c r="M77" s="2292"/>
      <c r="N77" s="2292"/>
      <c r="O77" s="2292"/>
    </row>
    <row r="78" spans="1:15" s="451" customFormat="1">
      <c r="A78" s="2292"/>
      <c r="B78" s="2292"/>
      <c r="C78" s="2301"/>
      <c r="D78" s="2301"/>
      <c r="E78" s="2301"/>
      <c r="F78" s="2301"/>
      <c r="G78" s="2301"/>
      <c r="H78" s="2292"/>
      <c r="I78" s="2292"/>
      <c r="J78" s="2301"/>
      <c r="K78" s="2301"/>
      <c r="L78" s="2292"/>
      <c r="M78" s="2292"/>
      <c r="N78" s="2292"/>
      <c r="O78" s="2292"/>
    </row>
    <row r="79" spans="1:15" s="451" customFormat="1">
      <c r="A79" s="2292"/>
      <c r="B79" s="2292"/>
      <c r="C79" s="2301"/>
      <c r="D79" s="2301"/>
      <c r="E79" s="2301"/>
      <c r="F79" s="2301"/>
      <c r="G79" s="2301"/>
      <c r="H79" s="2292"/>
      <c r="I79" s="2292"/>
      <c r="J79" s="2301"/>
      <c r="K79" s="2301"/>
      <c r="L79" s="2292"/>
      <c r="M79" s="2292"/>
      <c r="N79" s="2292"/>
      <c r="O79" s="2292"/>
    </row>
    <row r="80" spans="1:15" s="451" customFormat="1">
      <c r="A80" s="2292"/>
      <c r="B80" s="2292"/>
      <c r="C80" s="2301"/>
      <c r="D80" s="2301"/>
      <c r="E80" s="2301"/>
      <c r="F80" s="2301"/>
      <c r="G80" s="2301"/>
      <c r="H80" s="2292"/>
      <c r="I80" s="2292"/>
      <c r="J80" s="2301"/>
      <c r="K80" s="2301"/>
      <c r="L80" s="2292"/>
      <c r="M80" s="2292"/>
      <c r="N80" s="2292"/>
      <c r="O80" s="2292"/>
    </row>
    <row r="81" spans="1:15" s="451" customFormat="1">
      <c r="A81" s="2292"/>
      <c r="B81" s="2292"/>
      <c r="C81" s="2301"/>
      <c r="D81" s="2301"/>
      <c r="E81" s="2301"/>
      <c r="F81" s="2301"/>
      <c r="G81" s="2301"/>
      <c r="H81" s="2292"/>
      <c r="I81" s="2292"/>
      <c r="J81" s="2301"/>
      <c r="K81" s="2301"/>
      <c r="L81" s="2292"/>
      <c r="M81" s="2292"/>
      <c r="N81" s="2292"/>
      <c r="O81" s="2292"/>
    </row>
    <row r="82" spans="1:15" s="451" customFormat="1">
      <c r="A82" s="2292"/>
      <c r="B82" s="2292"/>
      <c r="C82" s="2301"/>
      <c r="D82" s="2301"/>
      <c r="E82" s="2301"/>
      <c r="F82" s="2301"/>
      <c r="G82" s="2301"/>
      <c r="H82" s="2292"/>
      <c r="I82" s="2292"/>
      <c r="J82" s="2301"/>
      <c r="K82" s="2301"/>
      <c r="L82" s="2292"/>
      <c r="M82" s="2292"/>
      <c r="N82" s="2292"/>
      <c r="O82" s="2292"/>
    </row>
    <row r="83" spans="1:15" s="451" customFormat="1">
      <c r="A83" s="2292"/>
      <c r="B83" s="2292"/>
      <c r="C83" s="2301"/>
      <c r="D83" s="2301"/>
      <c r="E83" s="2301"/>
      <c r="F83" s="2301"/>
      <c r="G83" s="2301"/>
      <c r="H83" s="2292"/>
      <c r="I83" s="2292"/>
      <c r="J83" s="2301"/>
      <c r="K83" s="2301"/>
      <c r="L83" s="2292"/>
      <c r="M83" s="2292"/>
      <c r="N83" s="2292"/>
      <c r="O83" s="2292"/>
    </row>
    <row r="84" spans="1:15" s="451" customFormat="1">
      <c r="A84" s="2292"/>
      <c r="B84" s="2292"/>
      <c r="C84" s="2301"/>
      <c r="D84" s="2301"/>
      <c r="E84" s="2301"/>
      <c r="F84" s="2301"/>
      <c r="G84" s="2301"/>
      <c r="H84" s="2292"/>
      <c r="I84" s="2292"/>
      <c r="J84" s="2301"/>
      <c r="K84" s="2301"/>
      <c r="L84" s="2292"/>
      <c r="M84" s="2292"/>
      <c r="N84" s="2292"/>
      <c r="O84" s="2292"/>
    </row>
    <row r="85" spans="1:15" s="451" customFormat="1">
      <c r="A85" s="2292"/>
      <c r="B85" s="2292"/>
      <c r="C85" s="2301"/>
      <c r="D85" s="2301"/>
      <c r="E85" s="2301"/>
      <c r="F85" s="2301"/>
      <c r="G85" s="2301"/>
      <c r="H85" s="2292"/>
      <c r="I85" s="2292"/>
      <c r="J85" s="2301"/>
      <c r="K85" s="2301"/>
      <c r="L85" s="2292"/>
      <c r="M85" s="2292"/>
      <c r="N85" s="2292"/>
      <c r="O85" s="2292"/>
    </row>
    <row r="86" spans="1:15" s="451" customFormat="1">
      <c r="A86" s="2292"/>
      <c r="B86" s="2292"/>
      <c r="C86" s="2301"/>
      <c r="D86" s="2301"/>
      <c r="E86" s="2301"/>
      <c r="F86" s="2301"/>
      <c r="G86" s="2301"/>
      <c r="H86" s="2292"/>
      <c r="I86" s="2292"/>
      <c r="J86" s="2301"/>
      <c r="K86" s="2301"/>
      <c r="L86" s="2292"/>
      <c r="M86" s="2292"/>
      <c r="N86" s="2292"/>
      <c r="O86" s="2292"/>
    </row>
    <row r="87" spans="1:15" s="451" customFormat="1">
      <c r="A87" s="2292"/>
      <c r="B87" s="2292"/>
      <c r="C87" s="2301"/>
      <c r="D87" s="2301"/>
      <c r="E87" s="2301"/>
      <c r="F87" s="2301"/>
      <c r="G87" s="2301"/>
      <c r="H87" s="2292"/>
      <c r="I87" s="2292"/>
      <c r="J87" s="2301"/>
      <c r="K87" s="2301"/>
      <c r="L87" s="2292"/>
      <c r="M87" s="2292"/>
      <c r="N87" s="2292"/>
      <c r="O87" s="2292"/>
    </row>
    <row r="88" spans="1:15" s="451" customFormat="1">
      <c r="A88" s="2292"/>
      <c r="B88" s="2292"/>
      <c r="C88" s="2301"/>
      <c r="D88" s="2301"/>
      <c r="E88" s="2301"/>
      <c r="F88" s="2301"/>
      <c r="G88" s="2301"/>
      <c r="H88" s="2292"/>
      <c r="I88" s="2292"/>
      <c r="J88" s="2301"/>
      <c r="K88" s="2301"/>
      <c r="L88" s="2292"/>
      <c r="M88" s="2292"/>
      <c r="N88" s="2292"/>
      <c r="O88" s="2292"/>
    </row>
    <row r="89" spans="1:15" s="451" customFormat="1">
      <c r="A89" s="2292"/>
      <c r="B89" s="2292"/>
      <c r="C89" s="2301"/>
      <c r="D89" s="2301"/>
      <c r="E89" s="2301"/>
      <c r="F89" s="2301"/>
      <c r="G89" s="2301"/>
      <c r="H89" s="2292"/>
      <c r="I89" s="2292"/>
      <c r="J89" s="2301"/>
      <c r="K89" s="2301"/>
      <c r="L89" s="2292"/>
      <c r="M89" s="2292"/>
      <c r="N89" s="2292"/>
      <c r="O89" s="2292"/>
    </row>
    <row r="90" spans="1:15" s="451" customFormat="1">
      <c r="A90" s="2292"/>
      <c r="B90" s="2292"/>
      <c r="C90" s="2301"/>
      <c r="D90" s="2301"/>
      <c r="E90" s="2301"/>
      <c r="F90" s="2301"/>
      <c r="G90" s="2301"/>
      <c r="H90" s="2292"/>
      <c r="I90" s="2292"/>
      <c r="J90" s="2301"/>
      <c r="K90" s="2301"/>
      <c r="L90" s="2292"/>
      <c r="M90" s="2292"/>
      <c r="N90" s="2292"/>
      <c r="O90" s="2292"/>
    </row>
    <row r="91" spans="1:15" s="451" customFormat="1">
      <c r="A91" s="2292"/>
      <c r="B91" s="2292"/>
      <c r="C91" s="2301"/>
      <c r="D91" s="2301"/>
      <c r="E91" s="2301"/>
      <c r="F91" s="2301"/>
      <c r="G91" s="2301"/>
      <c r="H91" s="2292"/>
      <c r="I91" s="2292"/>
      <c r="J91" s="2301"/>
      <c r="K91" s="2301"/>
      <c r="L91" s="2292"/>
      <c r="M91" s="2292"/>
      <c r="N91" s="2292"/>
      <c r="O91" s="2292"/>
    </row>
    <row r="92" spans="1:15" s="451" customFormat="1">
      <c r="A92" s="2292"/>
      <c r="B92" s="2292"/>
      <c r="C92" s="2301"/>
      <c r="D92" s="2301"/>
      <c r="E92" s="2301"/>
      <c r="F92" s="2301"/>
      <c r="G92" s="2301"/>
      <c r="H92" s="2292"/>
      <c r="I92" s="2292"/>
      <c r="J92" s="2301"/>
      <c r="K92" s="2301"/>
      <c r="L92" s="2292"/>
      <c r="M92" s="2292"/>
      <c r="N92" s="2292"/>
      <c r="O92" s="2292"/>
    </row>
    <row r="93" spans="1:15" s="451" customFormat="1">
      <c r="A93" s="2292"/>
      <c r="B93" s="2292"/>
      <c r="C93" s="2301"/>
      <c r="D93" s="2301"/>
      <c r="E93" s="2301"/>
      <c r="F93" s="2301"/>
      <c r="G93" s="2301"/>
      <c r="H93" s="2292"/>
      <c r="I93" s="2292"/>
      <c r="J93" s="2301"/>
      <c r="K93" s="2301"/>
      <c r="L93" s="2292"/>
      <c r="M93" s="2292"/>
      <c r="N93" s="2292"/>
      <c r="O93" s="2292"/>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90" zoomScaleNormal="9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7" t="s">
        <v>980</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1308</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1413</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JULY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1" t="s">
        <v>1433</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5" t="str">
        <f>'Sch 1 '!C11</f>
        <v>JULY 1, 2019</v>
      </c>
      <c r="E11" s="455"/>
      <c r="F11" s="708" t="s">
        <v>237</v>
      </c>
      <c r="G11" s="455"/>
      <c r="H11" s="708" t="s">
        <v>238</v>
      </c>
      <c r="I11" s="455"/>
      <c r="J11" s="708" t="s">
        <v>239</v>
      </c>
      <c r="K11" s="455"/>
      <c r="L11" s="925" t="str">
        <f>'Sch 1 '!K11</f>
        <v>JULY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1019</v>
      </c>
      <c r="B15" s="459"/>
      <c r="C15" s="459"/>
      <c r="D15" s="3630">
        <v>-16.456</v>
      </c>
      <c r="E15" s="1753"/>
      <c r="F15" s="1752">
        <v>5.069</v>
      </c>
      <c r="G15" s="1753"/>
      <c r="H15" s="1752">
        <v>11.227</v>
      </c>
      <c r="I15" s="1753"/>
      <c r="J15" s="1752">
        <v>0</v>
      </c>
      <c r="K15" s="1754"/>
      <c r="L15" s="1755">
        <f>ROUND(SUM(D15)+SUM(F15)-SUM(H15)+SUM(J15),3)</f>
        <v>-22.614000000000001</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31"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-16.456</v>
      </c>
      <c r="E17" s="716"/>
      <c r="F17" s="715">
        <f>ROUND(SUM(F15),3)</f>
        <v>5.069</v>
      </c>
      <c r="G17" s="716"/>
      <c r="H17" s="715">
        <f>ROUND(SUM(H15),3)</f>
        <v>11.227</v>
      </c>
      <c r="I17" s="716"/>
      <c r="J17" s="917">
        <f>ROUND(SUM(J15),3)</f>
        <v>0</v>
      </c>
      <c r="K17" s="716"/>
      <c r="L17" s="715">
        <f>ROUND(SUM(L15),3)</f>
        <v>-22.614000000000001</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56">
        <v>3.04</v>
      </c>
      <c r="E21" s="1753"/>
      <c r="F21" s="1756">
        <v>6.0000000000000001E-3</v>
      </c>
      <c r="G21" s="1753"/>
      <c r="H21" s="1756">
        <v>0.02</v>
      </c>
      <c r="I21" s="1753"/>
      <c r="J21" s="1756">
        <v>0</v>
      </c>
      <c r="K21" s="1754"/>
      <c r="L21" s="1757">
        <f>ROUND(SUM(D21)+SUM(F21)-SUM(H21)+SUM(J21),3)</f>
        <v>3.0259999999999998</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58">
        <v>10.56</v>
      </c>
      <c r="E22" s="1753"/>
      <c r="F22" s="1758">
        <v>9.7000000000000003E-2</v>
      </c>
      <c r="G22" s="1753"/>
      <c r="H22" s="1758">
        <v>1.2E-2</v>
      </c>
      <c r="I22" s="1753"/>
      <c r="J22" s="1758">
        <v>0</v>
      </c>
      <c r="K22" s="1754"/>
      <c r="L22" s="1759">
        <f>ROUND(SUM(D22)+SUM(F22)-SUM(H22)+SUM(J22),3)</f>
        <v>10.645</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1228</v>
      </c>
      <c r="B24" s="455"/>
      <c r="C24" s="477"/>
      <c r="D24" s="722">
        <f>ROUND(SUM(D21:D22),3)</f>
        <v>13.6</v>
      </c>
      <c r="E24" s="718"/>
      <c r="F24" s="722">
        <f>ROUND(SUM(F21:F22),3)</f>
        <v>0.10299999999999999</v>
      </c>
      <c r="G24" s="718"/>
      <c r="H24" s="722">
        <f>ROUND(SUM(H21:H22),3)</f>
        <v>3.2000000000000001E-2</v>
      </c>
      <c r="I24" s="718"/>
      <c r="J24" s="722">
        <f>ROUND(SUM(J21:J22),3)</f>
        <v>0</v>
      </c>
      <c r="K24" s="718"/>
      <c r="L24" s="722">
        <f>ROUND(SUM(L21:L22),3)</f>
        <v>13.670999999999999</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1010</v>
      </c>
      <c r="B28" s="459"/>
      <c r="C28" s="459" t="s">
        <v>15</v>
      </c>
      <c r="D28" s="1756">
        <v>23.44</v>
      </c>
      <c r="E28" s="1753"/>
      <c r="F28" s="1756">
        <v>0.28599999999999998</v>
      </c>
      <c r="G28" s="1753"/>
      <c r="H28" s="1756">
        <v>0</v>
      </c>
      <c r="I28" s="1753"/>
      <c r="J28" s="1756">
        <v>0</v>
      </c>
      <c r="K28" s="1754"/>
      <c r="L28" s="1757">
        <f t="shared" ref="L28:L44" si="0">ROUND(SUM(D28)+SUM(F28)-SUM(H28)+SUM(J28),3)</f>
        <v>23.725999999999999</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56">
        <v>0.52200000000000002</v>
      </c>
      <c r="E29" s="1753"/>
      <c r="F29" s="1756">
        <v>1E-3</v>
      </c>
      <c r="G29" s="1753"/>
      <c r="H29" s="1756">
        <v>1E-3</v>
      </c>
      <c r="I29" s="1753"/>
      <c r="J29" s="1756">
        <v>0</v>
      </c>
      <c r="K29" s="1754"/>
      <c r="L29" s="1757">
        <f t="shared" si="0"/>
        <v>0.52200000000000002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56">
        <v>1053.4690000000001</v>
      </c>
      <c r="E30" s="1753"/>
      <c r="F30" s="1756">
        <v>849.76700000000005</v>
      </c>
      <c r="G30" s="1753"/>
      <c r="H30" s="1756">
        <v>893.98900000000003</v>
      </c>
      <c r="I30" s="1753"/>
      <c r="J30" s="1756">
        <v>0</v>
      </c>
      <c r="K30" s="1754"/>
      <c r="L30" s="1757">
        <f t="shared" si="0"/>
        <v>1009.247</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56">
        <v>15.231</v>
      </c>
      <c r="E31" s="1753"/>
      <c r="F31" s="1756">
        <v>101.88800000000001</v>
      </c>
      <c r="G31" s="1753"/>
      <c r="H31" s="1756">
        <v>102.363</v>
      </c>
      <c r="I31" s="1753"/>
      <c r="J31" s="1756">
        <v>0</v>
      </c>
      <c r="K31" s="1754"/>
      <c r="L31" s="1757">
        <f>ROUND(SUM(D31)+SUM(F31)-SUM(H31)+SUM(J31),3)</f>
        <v>14.756</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1022</v>
      </c>
      <c r="B32" s="459"/>
      <c r="C32" s="459"/>
      <c r="D32" s="1756">
        <v>41.911000000000001</v>
      </c>
      <c r="E32" s="1753"/>
      <c r="F32" s="1756">
        <v>376.03300000000002</v>
      </c>
      <c r="G32" s="1753"/>
      <c r="H32" s="1756">
        <v>401.27</v>
      </c>
      <c r="I32" s="1753"/>
      <c r="J32" s="1756">
        <v>0</v>
      </c>
      <c r="K32" s="1754"/>
      <c r="L32" s="1757">
        <f t="shared" si="0"/>
        <v>16.673999999999999</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56">
        <v>25.736000000000001</v>
      </c>
      <c r="E33" s="1753"/>
      <c r="F33" s="1756">
        <v>5.2939999999999996</v>
      </c>
      <c r="G33" s="1753"/>
      <c r="H33" s="1756">
        <v>5.4379999999999997</v>
      </c>
      <c r="I33" s="1753"/>
      <c r="J33" s="1756">
        <v>0</v>
      </c>
      <c r="K33" s="1754"/>
      <c r="L33" s="1757">
        <f t="shared" si="0"/>
        <v>25.591999999999999</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56">
        <v>0.255</v>
      </c>
      <c r="E34" s="1753"/>
      <c r="F34" s="1756">
        <v>0.95899999999999996</v>
      </c>
      <c r="G34" s="1753"/>
      <c r="H34" s="1756">
        <v>0.69399999999999995</v>
      </c>
      <c r="I34" s="1753"/>
      <c r="J34" s="1756">
        <v>0</v>
      </c>
      <c r="K34" s="1754"/>
      <c r="L34" s="1757">
        <f t="shared" si="0"/>
        <v>0.52</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56">
        <v>537.30999999999995</v>
      </c>
      <c r="E35" s="1753"/>
      <c r="F35" s="1756">
        <v>121.95099999999999</v>
      </c>
      <c r="G35" s="1753"/>
      <c r="H35" s="1756">
        <v>93.823999999999998</v>
      </c>
      <c r="I35" s="1753"/>
      <c r="J35" s="1756">
        <v>0</v>
      </c>
      <c r="K35" s="1754"/>
      <c r="L35" s="1757">
        <f t="shared" si="0"/>
        <v>565.43700000000001</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56">
        <v>0.14299999999999999</v>
      </c>
      <c r="E36" s="1753"/>
      <c r="F36" s="1756">
        <v>0</v>
      </c>
      <c r="G36" s="1753"/>
      <c r="H36" s="1756">
        <v>0</v>
      </c>
      <c r="I36" s="1753"/>
      <c r="J36" s="1756">
        <v>0</v>
      </c>
      <c r="K36" s="1754"/>
      <c r="L36" s="1757">
        <f t="shared" si="0"/>
        <v>0.14299999999999999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56">
        <v>962.18899999999996</v>
      </c>
      <c r="E37" s="1753"/>
      <c r="F37" s="1756">
        <v>766.24800000000005</v>
      </c>
      <c r="G37" s="1753"/>
      <c r="H37" s="1756">
        <v>746.51700000000005</v>
      </c>
      <c r="I37" s="1753"/>
      <c r="J37" s="1756">
        <v>0</v>
      </c>
      <c r="K37" s="1754"/>
      <c r="L37" s="1757">
        <f t="shared" si="0"/>
        <v>981.92</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1030</v>
      </c>
      <c r="B38" s="459"/>
      <c r="C38" s="459"/>
      <c r="D38" s="1756">
        <v>27.263000000000002</v>
      </c>
      <c r="E38" s="1753"/>
      <c r="F38" s="1756">
        <v>6.37</v>
      </c>
      <c r="G38" s="1753"/>
      <c r="H38" s="1756">
        <v>6.35</v>
      </c>
      <c r="I38" s="1753"/>
      <c r="J38" s="1756">
        <v>0</v>
      </c>
      <c r="K38" s="1754"/>
      <c r="L38" s="1757">
        <f t="shared" si="0"/>
        <v>27.283000000000001</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56">
        <v>34.256999999999998</v>
      </c>
      <c r="E39" s="1753"/>
      <c r="F39" s="1756">
        <v>221.85</v>
      </c>
      <c r="G39" s="1753"/>
      <c r="H39" s="1756">
        <v>190.904</v>
      </c>
      <c r="I39" s="1753"/>
      <c r="J39" s="1756">
        <v>0</v>
      </c>
      <c r="K39" s="1754"/>
      <c r="L39" s="1757">
        <f t="shared" si="0"/>
        <v>65.203000000000003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1031</v>
      </c>
      <c r="B40" s="459"/>
      <c r="C40" s="459"/>
      <c r="D40" s="1756">
        <v>156.13800000000001</v>
      </c>
      <c r="E40" s="1753"/>
      <c r="F40" s="1756">
        <v>6465.0709999999999</v>
      </c>
      <c r="G40" s="1753"/>
      <c r="H40" s="1756">
        <v>5141.4799999999996</v>
      </c>
      <c r="I40" s="1753"/>
      <c r="J40" s="1756">
        <v>10.632999999999999</v>
      </c>
      <c r="K40" s="1754"/>
      <c r="L40" s="1757">
        <f t="shared" si="0"/>
        <v>1490.3620000000001</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56">
        <v>0</v>
      </c>
      <c r="E41" s="1753"/>
      <c r="F41" s="1756">
        <v>0</v>
      </c>
      <c r="G41" s="1753"/>
      <c r="H41" s="1756">
        <v>0</v>
      </c>
      <c r="I41" s="1753"/>
      <c r="J41" s="1756">
        <v>0</v>
      </c>
      <c r="K41" s="1754"/>
      <c r="L41" s="1757">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1020</v>
      </c>
      <c r="B42" s="459"/>
      <c r="C42" s="459"/>
      <c r="D42" s="1756">
        <v>82.097999999999999</v>
      </c>
      <c r="E42" s="1753"/>
      <c r="F42" s="1756">
        <v>50.877000000000002</v>
      </c>
      <c r="G42" s="1753"/>
      <c r="H42" s="1756">
        <v>0</v>
      </c>
      <c r="I42" s="1753"/>
      <c r="J42" s="1756">
        <v>0</v>
      </c>
      <c r="K42" s="1754"/>
      <c r="L42" s="1757">
        <f t="shared" si="0"/>
        <v>132.97499999999999</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1021</v>
      </c>
      <c r="B43" s="459"/>
      <c r="C43" s="459"/>
      <c r="D43" s="1756">
        <v>-0.64900000000000002</v>
      </c>
      <c r="E43" s="1753"/>
      <c r="F43" s="1756">
        <v>27.517999999999997</v>
      </c>
      <c r="G43" s="1753"/>
      <c r="H43" s="1756">
        <v>27.989000000000001</v>
      </c>
      <c r="I43" s="1753"/>
      <c r="J43" s="1756">
        <v>0</v>
      </c>
      <c r="K43" s="1754"/>
      <c r="L43" s="1757">
        <f t="shared" si="0"/>
        <v>-1.1200000000000001</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1230</v>
      </c>
      <c r="B44" s="459"/>
      <c r="C44" s="459"/>
      <c r="D44" s="1756">
        <v>0</v>
      </c>
      <c r="E44" s="1753"/>
      <c r="F44" s="1756">
        <v>0</v>
      </c>
      <c r="G44" s="1753"/>
      <c r="H44" s="1756">
        <v>0</v>
      </c>
      <c r="I44" s="1753"/>
      <c r="J44" s="1756">
        <v>0</v>
      </c>
      <c r="K44" s="1754"/>
      <c r="L44" s="1757">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1225</v>
      </c>
      <c r="B45" s="459"/>
      <c r="C45" s="459"/>
      <c r="D45" s="723">
        <f>ROUND(SUM(D28:D44),3)</f>
        <v>2959.3130000000001</v>
      </c>
      <c r="E45" s="715"/>
      <c r="F45" s="723">
        <f>ROUND(SUM(F28:F44),3)</f>
        <v>8994.1129999999994</v>
      </c>
      <c r="G45" s="715"/>
      <c r="H45" s="723">
        <f>ROUND(SUM(H28:H44),3)</f>
        <v>7610.8190000000004</v>
      </c>
      <c r="I45" s="715"/>
      <c r="J45" s="723">
        <f>ROUND(SUM(J28:J44),3)</f>
        <v>10.632999999999999</v>
      </c>
      <c r="K45" s="715"/>
      <c r="L45" s="723">
        <f>ROUND(SUM(L28:L44),3)</f>
        <v>4353.24</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1226</v>
      </c>
      <c r="B48" s="459"/>
      <c r="C48" s="477"/>
      <c r="D48" s="725">
        <f>ROUND(D17+D24+D45,3)</f>
        <v>2956.4569999999999</v>
      </c>
      <c r="E48" s="726"/>
      <c r="F48" s="725">
        <f>ROUND(F17+F24+F45,3)</f>
        <v>8999.2849999999999</v>
      </c>
      <c r="G48" s="726"/>
      <c r="H48" s="725">
        <f>ROUND(H17+H24+H45,3)</f>
        <v>7622.0780000000004</v>
      </c>
      <c r="I48" s="727"/>
      <c r="J48" s="725">
        <f>ROUND(J17+J24+J45,3)</f>
        <v>10.632999999999999</v>
      </c>
      <c r="K48" s="726"/>
      <c r="L48" s="725">
        <f>ROUND(L17+L24+L45,3)</f>
        <v>4344.2969999999996</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6"/>
  <sheetViews>
    <sheetView showGridLines="0" zoomScale="90" workbookViewId="0"/>
  </sheetViews>
  <sheetFormatPr defaultColWidth="8.77734375" defaultRowHeight="12.75"/>
  <cols>
    <col min="1" max="1" width="53.5546875" style="1962" customWidth="1"/>
    <col min="2" max="2" width="1.77734375" style="1962" customWidth="1"/>
    <col min="3" max="3" width="2.77734375" style="1962" customWidth="1"/>
    <col min="4" max="4" width="20.21875" style="1962" customWidth="1"/>
    <col min="5" max="5" width="7.77734375" style="1962" customWidth="1"/>
    <col min="6" max="6" width="18.77734375" style="1962" customWidth="1"/>
    <col min="7" max="7" width="7.77734375" style="1962" customWidth="1"/>
    <col min="8" max="8" width="18.77734375" style="1962" customWidth="1"/>
    <col min="9" max="9" width="7.77734375" style="1962" customWidth="1"/>
    <col min="10" max="10" width="21.77734375" style="1962" customWidth="1"/>
    <col min="11" max="11" width="10.77734375" style="1962" customWidth="1"/>
    <col min="12" max="16384" width="8.77734375" style="1962"/>
  </cols>
  <sheetData>
    <row r="1" spans="1:10" ht="15">
      <c r="A1" s="657" t="s">
        <v>980</v>
      </c>
    </row>
    <row r="2" spans="1:10" ht="15">
      <c r="A2" s="1963"/>
    </row>
    <row r="3" spans="1:10" ht="18">
      <c r="A3" s="1964" t="s">
        <v>0</v>
      </c>
      <c r="B3" s="1965"/>
      <c r="C3" s="1965"/>
      <c r="D3" s="1965"/>
      <c r="E3" s="1965"/>
      <c r="F3" s="1965"/>
      <c r="G3" s="1964"/>
      <c r="H3" s="1964"/>
      <c r="I3" s="1964"/>
      <c r="J3" s="1967" t="s">
        <v>389</v>
      </c>
    </row>
    <row r="4" spans="1:10" ht="18">
      <c r="A4" s="1964" t="s">
        <v>390</v>
      </c>
      <c r="B4" s="1965"/>
      <c r="C4" s="1964"/>
      <c r="D4" s="1965"/>
      <c r="E4" s="1965"/>
      <c r="F4" s="1965"/>
      <c r="G4" s="1964"/>
      <c r="H4" s="1964"/>
      <c r="I4" s="1964"/>
      <c r="J4" s="1964"/>
    </row>
    <row r="5" spans="1:10" ht="18">
      <c r="A5" s="1964" t="s">
        <v>391</v>
      </c>
      <c r="B5" s="1965"/>
      <c r="C5" s="1964"/>
      <c r="D5" s="1965"/>
      <c r="E5" s="1965"/>
      <c r="F5" s="1965"/>
      <c r="G5" s="1964"/>
      <c r="H5" s="1964"/>
      <c r="I5" s="1964"/>
      <c r="J5" s="1964"/>
    </row>
    <row r="6" spans="1:10" ht="18">
      <c r="A6" s="1964" t="s">
        <v>1413</v>
      </c>
      <c r="B6" s="1965"/>
      <c r="C6" s="1964"/>
      <c r="D6" s="1965"/>
      <c r="E6" s="1965"/>
      <c r="F6" s="1965"/>
      <c r="G6" s="1964"/>
      <c r="H6" s="1964"/>
      <c r="I6" s="1964"/>
      <c r="J6" s="1964"/>
    </row>
    <row r="7" spans="1:10" ht="18">
      <c r="A7" s="1966" t="str">
        <f>'Sch 3 '!A7</f>
        <v>FOR THE MONTH OF JULY 2019</v>
      </c>
      <c r="B7" s="1965"/>
      <c r="C7" s="1964"/>
      <c r="D7" s="3238"/>
      <c r="E7" s="1965"/>
      <c r="F7" s="1965"/>
      <c r="G7" s="1964"/>
      <c r="H7" s="1964"/>
      <c r="I7" s="1964"/>
      <c r="J7" s="1964"/>
    </row>
    <row r="8" spans="1:10" ht="18">
      <c r="A8" s="1964" t="s">
        <v>1438</v>
      </c>
      <c r="B8" s="1965"/>
      <c r="C8" s="1964"/>
      <c r="D8" s="3238"/>
      <c r="E8" s="1965"/>
      <c r="F8" s="1965"/>
      <c r="G8" s="1964"/>
      <c r="H8" s="1964"/>
      <c r="I8" s="1964"/>
      <c r="J8" s="1964"/>
    </row>
    <row r="9" spans="1:10" ht="18">
      <c r="A9" s="1964"/>
      <c r="B9" s="1965"/>
      <c r="C9" s="1964"/>
      <c r="D9" s="3238"/>
      <c r="E9" s="1965"/>
      <c r="F9" s="1965"/>
      <c r="G9" s="1964"/>
      <c r="H9" s="1964"/>
      <c r="I9" s="1964"/>
      <c r="J9" s="1964"/>
    </row>
    <row r="10" spans="1:10" ht="18">
      <c r="A10" s="1964"/>
      <c r="B10" s="1964"/>
      <c r="C10" s="1964"/>
      <c r="D10" s="3239"/>
      <c r="E10" s="1964"/>
      <c r="F10" s="1964"/>
      <c r="G10" s="1964"/>
      <c r="H10" s="1964"/>
      <c r="I10" s="1964"/>
      <c r="J10" s="1964"/>
    </row>
    <row r="11" spans="1:10" ht="18">
      <c r="A11" s="1964"/>
      <c r="B11" s="1964"/>
      <c r="C11" s="1964"/>
      <c r="D11" s="3240"/>
      <c r="E11" s="1964"/>
      <c r="F11" s="1964"/>
      <c r="G11" s="1964"/>
      <c r="H11" s="1964"/>
      <c r="I11" s="1964"/>
      <c r="J11" s="1967"/>
    </row>
    <row r="12" spans="1:10" ht="18">
      <c r="A12" s="1964"/>
      <c r="B12" s="1964"/>
      <c r="C12" s="1964"/>
      <c r="D12" s="3240" t="s">
        <v>235</v>
      </c>
      <c r="E12" s="1964"/>
      <c r="F12" s="1964"/>
      <c r="G12" s="1964"/>
      <c r="H12" s="1964"/>
      <c r="I12" s="1964"/>
      <c r="J12" s="1967" t="s">
        <v>235</v>
      </c>
    </row>
    <row r="13" spans="1:10" ht="18">
      <c r="A13" s="1968" t="s">
        <v>359</v>
      </c>
      <c r="B13" s="1964"/>
      <c r="C13" s="1964"/>
      <c r="D13" s="3565" t="str">
        <f>'Sch 3 '!D11</f>
        <v>JULY 1, 2019</v>
      </c>
      <c r="E13" s="1964"/>
      <c r="F13" s="1967" t="s">
        <v>237</v>
      </c>
      <c r="G13" s="1964"/>
      <c r="H13" s="1967" t="s">
        <v>238</v>
      </c>
      <c r="I13" s="1964"/>
      <c r="J13" s="1969" t="str">
        <f>'Sch 3 '!L11</f>
        <v>JULY 31, 2019</v>
      </c>
    </row>
    <row r="14" spans="1:10" ht="18">
      <c r="A14" s="1968"/>
      <c r="B14" s="1964"/>
      <c r="C14" s="1964"/>
      <c r="D14" s="3629"/>
      <c r="E14" s="1964"/>
      <c r="F14" s="1970"/>
      <c r="G14" s="1964"/>
      <c r="H14" s="1971" t="s">
        <v>234</v>
      </c>
      <c r="I14" s="1964"/>
      <c r="J14" s="1970"/>
    </row>
    <row r="15" spans="1:10" ht="18">
      <c r="A15" s="1972" t="s">
        <v>392</v>
      </c>
      <c r="B15" s="1964"/>
      <c r="C15" s="1964"/>
      <c r="D15" s="3239"/>
      <c r="E15" s="3239"/>
      <c r="F15" s="3252"/>
      <c r="G15" s="3239"/>
      <c r="H15" s="3239"/>
      <c r="I15" s="3239"/>
      <c r="J15" s="3239"/>
    </row>
    <row r="16" spans="1:10" ht="25.15" customHeight="1">
      <c r="A16" s="1965" t="s">
        <v>393</v>
      </c>
      <c r="B16" s="1964"/>
      <c r="C16" s="1965"/>
      <c r="D16" s="1973">
        <v>2.8370000000000002</v>
      </c>
      <c r="E16" s="1973"/>
      <c r="F16" s="1973">
        <v>5.0000000000000001E-3</v>
      </c>
      <c r="G16" s="1973"/>
      <c r="H16" s="1973">
        <v>0</v>
      </c>
      <c r="I16" s="1973"/>
      <c r="J16" s="1973">
        <f>ROUND(D16+F16-H16,3)</f>
        <v>2.8420000000000001</v>
      </c>
    </row>
    <row r="17" spans="1:14" s="3749" customFormat="1" ht="25.15" customHeight="1">
      <c r="A17" s="3238" t="s">
        <v>1351</v>
      </c>
      <c r="B17" s="3238"/>
      <c r="C17" s="3238"/>
      <c r="D17" s="1977">
        <v>112.35</v>
      </c>
      <c r="E17" s="1975"/>
      <c r="F17" s="1977">
        <v>152.72999999999999</v>
      </c>
      <c r="G17" s="1975"/>
      <c r="H17" s="1977">
        <v>110.038</v>
      </c>
      <c r="I17" s="1975"/>
      <c r="J17" s="1976">
        <f>ROUND(D17+F17-H17,3)</f>
        <v>155.042</v>
      </c>
    </row>
    <row r="18" spans="1:14" s="3749" customFormat="1" ht="25.15" customHeight="1">
      <c r="A18" s="3238" t="s">
        <v>1404</v>
      </c>
      <c r="B18" s="3238"/>
      <c r="C18" s="3238"/>
      <c r="D18" s="1977">
        <v>40.697000000000003</v>
      </c>
      <c r="E18" s="1975"/>
      <c r="F18" s="1977">
        <v>37.850999999999999</v>
      </c>
      <c r="G18" s="1975"/>
      <c r="H18" s="1977">
        <v>40.398000000000003</v>
      </c>
      <c r="I18" s="1975"/>
      <c r="J18" s="1976">
        <f>ROUND(D18+F18-H18,3)</f>
        <v>38.15</v>
      </c>
    </row>
    <row r="19" spans="1:14" ht="25.15" customHeight="1">
      <c r="A19" s="1974" t="s">
        <v>1405</v>
      </c>
      <c r="B19" s="1965"/>
      <c r="C19" s="1965"/>
      <c r="D19" s="1976">
        <v>2169.1480000000001</v>
      </c>
      <c r="E19" s="1975"/>
      <c r="F19" s="3568">
        <v>7713.56</v>
      </c>
      <c r="G19" s="1975"/>
      <c r="H19" s="3568">
        <v>7569.34</v>
      </c>
      <c r="I19" s="1975"/>
      <c r="J19" s="1976">
        <f>ROUND(D19+F19-H19,3)</f>
        <v>2313.3679999999999</v>
      </c>
    </row>
    <row r="20" spans="1:14" ht="25.15" customHeight="1">
      <c r="A20" s="1965" t="s">
        <v>1344</v>
      </c>
      <c r="B20" s="1965"/>
      <c r="C20" s="1965"/>
      <c r="D20" s="1977">
        <v>0</v>
      </c>
      <c r="E20" s="1975"/>
      <c r="F20" s="1977">
        <v>147.958</v>
      </c>
      <c r="G20" s="1975"/>
      <c r="H20" s="1977">
        <v>147.958</v>
      </c>
      <c r="I20" s="1975"/>
      <c r="J20" s="1976">
        <f>ROUND(D20+F20-H20,3)</f>
        <v>0</v>
      </c>
    </row>
    <row r="21" spans="1:14" ht="25.15" customHeight="1" thickBot="1">
      <c r="A21" s="1978" t="s">
        <v>394</v>
      </c>
      <c r="B21" s="1965"/>
      <c r="C21" s="1965"/>
      <c r="D21" s="1979">
        <f>ROUND(SUM(D16:D20),3)</f>
        <v>2325.0320000000002</v>
      </c>
      <c r="E21" s="3253"/>
      <c r="F21" s="1979">
        <f>ROUND(SUM(F16:F20),3)</f>
        <v>8052.1040000000003</v>
      </c>
      <c r="G21" s="3253"/>
      <c r="H21" s="1979">
        <f>ROUND(SUM(H16:H20),3)</f>
        <v>7867.7340000000004</v>
      </c>
      <c r="I21" s="3253"/>
      <c r="J21" s="1979">
        <f>ROUND(SUM(J16:J20),3)</f>
        <v>2509.402</v>
      </c>
      <c r="K21" s="1980"/>
      <c r="L21" s="1980"/>
      <c r="M21" s="1980"/>
      <c r="N21" s="1980"/>
    </row>
    <row r="22" spans="1:14" ht="18.75" thickTop="1">
      <c r="A22" s="1965"/>
      <c r="B22" s="1965"/>
      <c r="C22" s="1965"/>
      <c r="D22" s="3241"/>
      <c r="E22" s="1965"/>
      <c r="F22" s="1981"/>
      <c r="G22" s="1965"/>
      <c r="H22" s="1981"/>
      <c r="I22" s="1965"/>
      <c r="J22" s="1981"/>
    </row>
    <row r="23" spans="1:14" ht="18">
      <c r="A23" s="1965"/>
      <c r="B23" s="1965"/>
      <c r="C23" s="1965"/>
      <c r="D23" s="3241"/>
      <c r="E23" s="1965"/>
      <c r="F23" s="1981"/>
      <c r="G23" s="1965"/>
      <c r="H23" s="1981"/>
      <c r="I23" s="1965"/>
      <c r="J23" s="1981"/>
    </row>
    <row r="24" spans="1:14" ht="15.75">
      <c r="A24" s="3716" t="s">
        <v>1403</v>
      </c>
      <c r="B24" s="2238"/>
      <c r="C24" s="2238"/>
      <c r="D24" s="3620"/>
      <c r="E24" s="2238"/>
      <c r="F24" s="2238"/>
      <c r="G24" s="2238"/>
      <c r="H24" s="2238"/>
      <c r="I24" s="2238"/>
      <c r="J24" s="2238"/>
    </row>
    <row r="25" spans="1:14" ht="6.75" customHeight="1">
      <c r="A25" s="1965"/>
      <c r="B25" s="1965"/>
      <c r="C25" s="1965"/>
      <c r="D25" s="1981"/>
      <c r="E25" s="1965"/>
      <c r="F25" s="1981"/>
      <c r="G25" s="1965"/>
      <c r="H25" s="1981"/>
      <c r="I25" s="1965"/>
      <c r="J25" s="1981"/>
    </row>
    <row r="26" spans="1:14" ht="18">
      <c r="A26" s="2239" t="s">
        <v>1406</v>
      </c>
      <c r="B26" s="1965"/>
      <c r="C26" s="1965"/>
      <c r="D26" s="1965"/>
      <c r="E26" s="1965"/>
      <c r="F26" s="1965" t="s">
        <v>15</v>
      </c>
      <c r="G26" s="1965"/>
      <c r="H26" s="1965"/>
      <c r="I26" s="1965"/>
      <c r="J26" s="1965"/>
    </row>
    <row r="27" spans="1:14" ht="6" customHeight="1"/>
    <row r="28" spans="1:14" ht="59.25" customHeight="1">
      <c r="A28" s="3825" t="s">
        <v>1324</v>
      </c>
      <c r="B28" s="3825"/>
      <c r="C28" s="3825"/>
      <c r="D28" s="3825"/>
      <c r="E28" s="3825"/>
      <c r="F28" s="3825"/>
      <c r="G28" s="3825"/>
      <c r="H28" s="3825"/>
      <c r="I28" s="3825"/>
      <c r="J28" s="3825"/>
    </row>
    <row r="29" spans="1:14" ht="43.15" customHeight="1">
      <c r="A29" s="3826" t="s">
        <v>1485</v>
      </c>
      <c r="B29" s="3826"/>
      <c r="C29" s="3826"/>
      <c r="D29" s="3826"/>
      <c r="E29" s="3826"/>
      <c r="F29" s="3826"/>
      <c r="G29" s="3826"/>
      <c r="H29" s="3826"/>
      <c r="I29" s="3826"/>
      <c r="J29" s="3826"/>
    </row>
    <row r="30" spans="1:14" ht="18.75" customHeight="1">
      <c r="A30" s="3827"/>
      <c r="B30" s="3827"/>
      <c r="C30" s="3827"/>
      <c r="D30" s="3827"/>
      <c r="E30" s="3827"/>
      <c r="F30" s="3827"/>
      <c r="G30" s="3827"/>
      <c r="H30" s="3827"/>
      <c r="I30" s="3827"/>
      <c r="J30" s="3827"/>
    </row>
    <row r="31" spans="1:14" ht="18" customHeight="1">
      <c r="A31" s="1982"/>
      <c r="B31" s="2007"/>
      <c r="C31" s="2007"/>
      <c r="D31" s="2007"/>
      <c r="E31" s="2007"/>
      <c r="F31" s="2007"/>
      <c r="G31" s="2007"/>
      <c r="H31" s="2007"/>
      <c r="I31" s="2007"/>
      <c r="J31" s="2007"/>
    </row>
    <row r="32" spans="1:14" ht="20.25" customHeight="1">
      <c r="A32" s="3828"/>
      <c r="B32" s="3828"/>
      <c r="C32" s="3828"/>
      <c r="D32" s="3828"/>
      <c r="E32" s="3828"/>
      <c r="F32" s="3828"/>
      <c r="G32" s="3828"/>
      <c r="H32" s="3828"/>
      <c r="I32" s="3828"/>
      <c r="J32" s="3828"/>
    </row>
    <row r="33" spans="1:10" ht="20.25" customHeight="1">
      <c r="A33" s="2008"/>
      <c r="B33" s="2007"/>
      <c r="C33" s="2007"/>
      <c r="D33" s="2007"/>
      <c r="E33" s="2007"/>
      <c r="F33" s="2007"/>
      <c r="G33" s="2007"/>
      <c r="H33" s="2007"/>
      <c r="I33" s="2007"/>
      <c r="J33" s="2007"/>
    </row>
    <row r="34" spans="1:10" ht="20.25" customHeight="1">
      <c r="A34" s="2008"/>
      <c r="B34" s="2007"/>
      <c r="C34" s="2007"/>
      <c r="D34" s="2007"/>
      <c r="E34" s="2007"/>
      <c r="F34" s="2007"/>
      <c r="G34" s="2007"/>
      <c r="H34" s="2007"/>
      <c r="I34" s="2007"/>
      <c r="J34" s="2007"/>
    </row>
    <row r="35" spans="1:10" ht="20.25" customHeight="1">
      <c r="A35" s="2008"/>
      <c r="B35" s="2007"/>
      <c r="C35" s="2007"/>
      <c r="D35" s="2007"/>
      <c r="E35" s="2007"/>
      <c r="F35" s="2007"/>
      <c r="G35" s="2007"/>
      <c r="H35" s="2007"/>
      <c r="I35" s="2007"/>
      <c r="J35" s="2007"/>
    </row>
    <row r="36" spans="1:10" ht="20.25" customHeight="1">
      <c r="A36" s="2008"/>
      <c r="B36" s="2007"/>
      <c r="C36" s="2007"/>
      <c r="D36" s="2007"/>
      <c r="E36" s="2007"/>
      <c r="F36" s="2007"/>
      <c r="G36" s="2007"/>
      <c r="H36" s="2007"/>
      <c r="I36" s="2007"/>
      <c r="J36" s="2007"/>
    </row>
    <row r="37" spans="1:10" ht="20.25" customHeight="1">
      <c r="A37" s="2008"/>
      <c r="B37" s="2007"/>
      <c r="C37" s="2007"/>
      <c r="D37" s="2007"/>
      <c r="E37" s="2007"/>
      <c r="F37" s="2007"/>
      <c r="G37" s="2007"/>
      <c r="H37" s="2007"/>
      <c r="I37" s="2007"/>
      <c r="J37" s="2007"/>
    </row>
    <row r="38" spans="1:10" ht="20.25" customHeight="1">
      <c r="A38" s="2008"/>
      <c r="B38" s="2007"/>
      <c r="C38" s="2007"/>
      <c r="D38" s="2007"/>
      <c r="E38" s="2007"/>
      <c r="F38" s="2007"/>
      <c r="G38" s="2007"/>
      <c r="H38" s="2007"/>
      <c r="I38" s="2007"/>
      <c r="J38" s="2007"/>
    </row>
    <row r="39" spans="1:10" ht="20.25" customHeight="1">
      <c r="A39" s="2008"/>
      <c r="B39" s="2007"/>
      <c r="C39" s="2007"/>
      <c r="D39" s="2007"/>
      <c r="E39" s="2007"/>
      <c r="F39" s="2007"/>
      <c r="G39" s="2007"/>
      <c r="H39" s="2007"/>
      <c r="I39" s="2007"/>
      <c r="J39" s="2007"/>
    </row>
    <row r="40" spans="1:10" ht="20.25" customHeight="1">
      <c r="A40" s="2008"/>
      <c r="B40" s="2007"/>
      <c r="C40" s="2007"/>
      <c r="D40" s="2007"/>
      <c r="E40" s="2007"/>
      <c r="F40" s="2007"/>
      <c r="G40" s="2007"/>
      <c r="H40" s="2007"/>
      <c r="I40" s="2007"/>
      <c r="J40" s="2007"/>
    </row>
    <row r="41" spans="1:10" ht="20.25" customHeight="1">
      <c r="A41" s="2008"/>
      <c r="B41" s="2007"/>
      <c r="C41" s="2007"/>
      <c r="D41" s="2007"/>
      <c r="E41" s="2007"/>
      <c r="F41" s="2007"/>
      <c r="G41" s="2007"/>
      <c r="H41" s="2007"/>
      <c r="I41" s="2007"/>
      <c r="J41" s="2007"/>
    </row>
    <row r="42" spans="1:10" ht="20.25" customHeight="1">
      <c r="A42" s="2008"/>
      <c r="B42" s="2007"/>
      <c r="C42" s="2007"/>
      <c r="D42" s="2007"/>
      <c r="E42" s="2007"/>
      <c r="F42" s="2007"/>
      <c r="G42" s="2007"/>
      <c r="H42" s="2007"/>
      <c r="I42" s="2007"/>
      <c r="J42" s="2007"/>
    </row>
    <row r="43" spans="1:10" ht="20.25" customHeight="1">
      <c r="A43" s="2008"/>
      <c r="B43" s="2007"/>
      <c r="C43" s="2007"/>
      <c r="D43" s="2007"/>
      <c r="E43" s="2007"/>
      <c r="F43" s="2007"/>
      <c r="G43" s="2007"/>
      <c r="H43" s="2007"/>
      <c r="I43" s="2007"/>
      <c r="J43" s="2007"/>
    </row>
    <row r="44" spans="1:10" ht="20.25" customHeight="1">
      <c r="A44" s="2008"/>
      <c r="B44" s="2007"/>
      <c r="C44" s="2007"/>
      <c r="D44" s="2007"/>
      <c r="E44" s="2007"/>
      <c r="F44" s="2007"/>
      <c r="G44" s="2007"/>
      <c r="H44" s="2007"/>
      <c r="I44" s="2007"/>
      <c r="J44" s="2007"/>
    </row>
    <row r="45" spans="1:10" ht="21" customHeight="1"/>
    <row r="46" spans="1:10" ht="21" customHeight="1">
      <c r="A46" s="2008"/>
      <c r="B46" s="2007"/>
      <c r="C46" s="2007"/>
      <c r="D46" s="2007"/>
      <c r="E46" s="2007"/>
      <c r="F46" s="2007"/>
      <c r="G46" s="2007"/>
      <c r="H46" s="2007"/>
      <c r="I46" s="2007"/>
      <c r="J46" s="2007"/>
    </row>
    <row r="47" spans="1:10" ht="18" customHeight="1">
      <c r="A47" s="1983"/>
      <c r="B47" s="1984"/>
      <c r="C47" s="1985"/>
      <c r="D47" s="1986"/>
      <c r="E47" s="1985"/>
      <c r="F47" s="1986"/>
      <c r="G47" s="1985"/>
      <c r="H47" s="1986"/>
      <c r="I47" s="1987"/>
    </row>
    <row r="48" spans="1:10" ht="18" customHeight="1">
      <c r="A48" s="1988"/>
      <c r="B48" s="1984"/>
      <c r="C48" s="1984"/>
      <c r="D48" s="1986"/>
      <c r="E48" s="1984"/>
      <c r="F48" s="1989"/>
      <c r="G48" s="1986"/>
      <c r="H48" s="1986"/>
      <c r="I48" s="1987"/>
    </row>
    <row r="49" spans="1:9" ht="18" customHeight="1">
      <c r="A49" s="1988"/>
      <c r="B49" s="1984"/>
      <c r="C49" s="1984"/>
      <c r="D49" s="1986"/>
      <c r="E49" s="1984"/>
      <c r="F49" s="1989"/>
      <c r="G49" s="1986"/>
      <c r="H49" s="1986"/>
      <c r="I49" s="1987"/>
    </row>
    <row r="50" spans="1:9" ht="18" customHeight="1">
      <c r="A50" s="1988"/>
      <c r="B50" s="1984"/>
      <c r="C50" s="1984"/>
      <c r="D50" s="1986"/>
      <c r="E50" s="1984"/>
      <c r="F50" s="1989"/>
      <c r="G50" s="1986"/>
      <c r="H50" s="1986"/>
      <c r="I50" s="1987"/>
    </row>
    <row r="51" spans="1:9" ht="18" customHeight="1">
      <c r="A51" s="1988"/>
      <c r="B51" s="1984"/>
      <c r="C51" s="1984"/>
      <c r="D51" s="1986"/>
      <c r="E51" s="1984"/>
      <c r="F51" s="1986"/>
      <c r="G51" s="1986"/>
      <c r="H51" s="1990"/>
      <c r="I51" s="1987"/>
    </row>
    <row r="52" spans="1:9" ht="18" customHeight="1">
      <c r="A52" s="1991"/>
      <c r="B52" s="1984"/>
      <c r="C52" s="1984"/>
      <c r="D52" s="1986"/>
      <c r="E52" s="1984"/>
      <c r="F52" s="1986"/>
      <c r="G52" s="1986"/>
      <c r="H52" s="1986"/>
      <c r="I52" s="1987"/>
    </row>
    <row r="53" spans="1:9" ht="18" customHeight="1">
      <c r="A53" s="1992"/>
      <c r="B53" s="1984"/>
      <c r="C53" s="1984"/>
      <c r="D53" s="1986"/>
      <c r="E53" s="1984"/>
      <c r="F53" s="1990"/>
      <c r="G53" s="1986"/>
      <c r="H53" s="1986"/>
      <c r="I53" s="1987"/>
    </row>
    <row r="54" spans="1:9" ht="18" customHeight="1">
      <c r="A54" s="1988"/>
      <c r="B54" s="1984"/>
      <c r="C54" s="1984"/>
      <c r="D54" s="1986"/>
      <c r="E54" s="1984"/>
      <c r="F54" s="1989"/>
      <c r="G54" s="1986"/>
      <c r="H54" s="1986"/>
      <c r="I54" s="1987"/>
    </row>
    <row r="55" spans="1:9" ht="18" customHeight="1">
      <c r="A55" s="1988"/>
      <c r="B55" s="1984"/>
      <c r="C55" s="1984"/>
      <c r="D55" s="1986"/>
      <c r="E55" s="1984"/>
      <c r="F55" s="1993"/>
      <c r="G55" s="1986"/>
      <c r="H55" s="1990"/>
      <c r="I55" s="1987"/>
    </row>
    <row r="56" spans="1:9" ht="18" customHeight="1">
      <c r="A56" s="1991"/>
      <c r="B56" s="1984"/>
      <c r="C56" s="1985"/>
      <c r="D56" s="1994"/>
      <c r="E56" s="1985"/>
      <c r="G56" s="1985"/>
      <c r="H56" s="1994"/>
      <c r="I56" s="1987"/>
    </row>
  </sheetData>
  <mergeCells count="4">
    <mergeCell ref="A28:J28"/>
    <mergeCell ref="A29:J29"/>
    <mergeCell ref="A30:J30"/>
    <mergeCell ref="A32:J32"/>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90" workbookViewId="0"/>
  </sheetViews>
  <sheetFormatPr defaultColWidth="8.77734375" defaultRowHeight="12.75"/>
  <cols>
    <col min="1" max="1" width="40.21875" style="638" customWidth="1"/>
    <col min="2" max="2" width="2.109375" style="638" customWidth="1"/>
    <col min="3" max="3" width="17.21875" style="822"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21875" style="822" customWidth="1"/>
    <col min="14" max="14" width="1.77734375" style="638" customWidth="1"/>
    <col min="15" max="15" width="1.21875" style="638" customWidth="1"/>
    <col min="16" max="16" width="2" style="638" customWidth="1"/>
    <col min="17" max="17" width="15.44140625" style="638" customWidth="1"/>
    <col min="18" max="18" width="2.109375" style="638" customWidth="1"/>
    <col min="19" max="19" width="16.44140625" style="638" bestFit="1" customWidth="1"/>
    <col min="20" max="20" width="11.77734375" style="638" customWidth="1"/>
    <col min="21" max="21" width="12.44140625" style="638" customWidth="1"/>
    <col min="22" max="22" width="8" style="638" bestFit="1" customWidth="1"/>
    <col min="23" max="16384" width="8.77734375" style="638"/>
  </cols>
  <sheetData>
    <row r="1" spans="1:23" ht="15">
      <c r="A1" s="657" t="s">
        <v>980</v>
      </c>
    </row>
    <row r="2" spans="1:23" ht="15">
      <c r="A2" s="1645"/>
    </row>
    <row r="3" spans="1:23" ht="18">
      <c r="A3" s="637" t="s">
        <v>0</v>
      </c>
      <c r="S3" s="637" t="s">
        <v>395</v>
      </c>
    </row>
    <row r="4" spans="1:23" ht="18">
      <c r="A4" s="637" t="s">
        <v>185</v>
      </c>
      <c r="J4" s="638" t="s">
        <v>15</v>
      </c>
    </row>
    <row r="5" spans="1:23" ht="18">
      <c r="A5" s="637" t="s">
        <v>396</v>
      </c>
    </row>
    <row r="6" spans="1:23" ht="18">
      <c r="A6" s="1646" t="str">
        <f>'Cashflow Governmental'!A6</f>
        <v>FISCAL YEAR 2019-2020</v>
      </c>
    </row>
    <row r="9" spans="1:23">
      <c r="C9" s="3728"/>
      <c r="D9" s="1567"/>
      <c r="H9" s="1570"/>
      <c r="L9" s="1567"/>
      <c r="M9" s="1567"/>
      <c r="N9" s="1567"/>
      <c r="O9" s="1572"/>
      <c r="P9" s="1567"/>
    </row>
    <row r="10" spans="1:23">
      <c r="C10" s="1575" t="s">
        <v>122</v>
      </c>
      <c r="D10" s="1574"/>
      <c r="E10" s="2231" t="s">
        <v>1329</v>
      </c>
      <c r="F10" s="2228"/>
      <c r="G10" s="2228"/>
      <c r="H10" s="1567"/>
      <c r="I10" s="1573" t="s">
        <v>1328</v>
      </c>
      <c r="J10" s="2229"/>
      <c r="K10" s="2229"/>
      <c r="L10" s="1567"/>
      <c r="M10" s="1575" t="s">
        <v>122</v>
      </c>
      <c r="N10" s="1567"/>
      <c r="O10" s="1576"/>
      <c r="P10" s="1567"/>
      <c r="Q10" s="1573" t="s">
        <v>940</v>
      </c>
      <c r="R10" s="1573"/>
      <c r="S10" s="1573"/>
    </row>
    <row r="11" spans="1:23">
      <c r="C11" s="1575" t="s">
        <v>397</v>
      </c>
      <c r="D11" s="1574"/>
      <c r="E11" s="1574" t="s">
        <v>7</v>
      </c>
      <c r="F11" s="1567"/>
      <c r="G11" s="1577" t="s">
        <v>1476</v>
      </c>
      <c r="H11" s="1567"/>
      <c r="I11" s="1574" t="s">
        <v>398</v>
      </c>
      <c r="J11" s="1569" t="s">
        <v>15</v>
      </c>
      <c r="K11" s="1574" t="str">
        <f>G11</f>
        <v>4 MONTHS ENDED</v>
      </c>
      <c r="L11" s="1567"/>
      <c r="M11" s="1575" t="s">
        <v>397</v>
      </c>
      <c r="N11" s="1567"/>
      <c r="O11" s="1576"/>
      <c r="P11" s="1567"/>
      <c r="Q11" s="1574" t="s">
        <v>398</v>
      </c>
      <c r="R11" s="1569" t="s">
        <v>15</v>
      </c>
      <c r="S11" s="1574" t="str">
        <f>K11</f>
        <v>4 MONTHS ENDED</v>
      </c>
    </row>
    <row r="12" spans="1:23">
      <c r="A12" s="1647" t="s">
        <v>399</v>
      </c>
      <c r="C12" s="3729" t="s">
        <v>1415</v>
      </c>
      <c r="D12" s="2227"/>
      <c r="E12" s="1571" t="s">
        <v>128</v>
      </c>
      <c r="F12" s="1567"/>
      <c r="G12" s="1648" t="s">
        <v>1466</v>
      </c>
      <c r="H12" s="1567"/>
      <c r="I12" s="1571" t="s">
        <v>128</v>
      </c>
      <c r="J12" s="1567"/>
      <c r="K12" s="1568" t="str">
        <f>G12</f>
        <v>JULY 31, 2019</v>
      </c>
      <c r="L12" s="1567"/>
      <c r="M12" s="1568" t="str">
        <f>K12</f>
        <v>JULY 31, 2019</v>
      </c>
      <c r="N12" s="1567"/>
      <c r="O12" s="1576"/>
      <c r="P12" s="1567"/>
      <c r="Q12" s="1571" t="str">
        <f>E12</f>
        <v>JULY</v>
      </c>
      <c r="R12" s="1567"/>
      <c r="S12" s="1568" t="str">
        <f>M12</f>
        <v>JULY 31, 2019</v>
      </c>
    </row>
    <row r="13" spans="1:23">
      <c r="K13" s="1601"/>
      <c r="O13" s="1649"/>
    </row>
    <row r="14" spans="1:23">
      <c r="A14" s="640" t="s">
        <v>400</v>
      </c>
      <c r="K14" s="1601"/>
      <c r="O14" s="1649"/>
      <c r="Q14" s="639"/>
    </row>
    <row r="15" spans="1:23" ht="12" customHeight="1">
      <c r="A15" s="640"/>
      <c r="K15" s="1601"/>
      <c r="M15" s="822" t="s">
        <v>15</v>
      </c>
      <c r="O15" s="1649"/>
      <c r="Q15" s="639"/>
    </row>
    <row r="16" spans="1:23">
      <c r="A16" s="638" t="s">
        <v>993</v>
      </c>
      <c r="B16" s="639"/>
      <c r="C16" s="3722">
        <f>ROUND(16747925.19,0)</f>
        <v>16747925</v>
      </c>
      <c r="D16" s="1600"/>
      <c r="E16" s="3722">
        <v>0</v>
      </c>
      <c r="F16" s="3722"/>
      <c r="G16" s="3722">
        <f>E16</f>
        <v>0</v>
      </c>
      <c r="H16" s="3722"/>
      <c r="I16" s="3722">
        <v>0</v>
      </c>
      <c r="J16" s="1600"/>
      <c r="K16" s="3722">
        <v>688854</v>
      </c>
      <c r="L16" s="1600"/>
      <c r="M16" s="3722">
        <f>ROUND(SUM(C16)-SUM(K16)+SUM(G16),0)</f>
        <v>16059071</v>
      </c>
      <c r="N16" s="653"/>
      <c r="O16" s="1650"/>
      <c r="P16" s="639"/>
      <c r="Q16" s="3722">
        <v>0</v>
      </c>
      <c r="R16" s="3722"/>
      <c r="S16" s="3722">
        <v>119848.26</v>
      </c>
      <c r="T16" s="642"/>
      <c r="U16" s="1600"/>
      <c r="V16" s="2221"/>
      <c r="W16" s="738"/>
    </row>
    <row r="17" spans="1:23">
      <c r="C17" s="823"/>
      <c r="D17" s="736"/>
      <c r="E17" s="644"/>
      <c r="F17" s="653"/>
      <c r="G17" s="823"/>
      <c r="H17" s="653"/>
      <c r="I17" s="644"/>
      <c r="J17" s="653"/>
      <c r="K17" s="1601"/>
      <c r="L17" s="653"/>
      <c r="M17" s="823"/>
      <c r="N17" s="653"/>
      <c r="O17" s="1650"/>
      <c r="P17" s="653"/>
      <c r="Q17" s="644"/>
      <c r="R17" s="653"/>
      <c r="S17" s="1601"/>
      <c r="U17" s="644"/>
      <c r="V17" s="737"/>
      <c r="W17" s="738"/>
    </row>
    <row r="18" spans="1:23">
      <c r="A18" s="638" t="s">
        <v>401</v>
      </c>
      <c r="C18" s="823"/>
      <c r="D18" s="736"/>
      <c r="E18" s="639"/>
      <c r="F18" s="639"/>
      <c r="G18" s="823"/>
      <c r="H18" s="653"/>
      <c r="J18" s="639"/>
      <c r="K18" s="1601"/>
      <c r="L18" s="653"/>
      <c r="M18" s="823"/>
      <c r="N18" s="653"/>
      <c r="O18" s="1650"/>
      <c r="P18" s="653"/>
      <c r="Q18" s="639"/>
      <c r="R18" s="639"/>
      <c r="S18" s="1601"/>
      <c r="U18" s="639"/>
      <c r="V18" s="737"/>
      <c r="W18" s="642"/>
    </row>
    <row r="19" spans="1:23" ht="12" customHeight="1">
      <c r="A19" s="638" t="s">
        <v>994</v>
      </c>
      <c r="C19" s="3724">
        <f>ROUND(2465599.69,0)</f>
        <v>2465600</v>
      </c>
      <c r="D19" s="1602"/>
      <c r="E19" s="3724">
        <v>0</v>
      </c>
      <c r="F19" s="3724"/>
      <c r="G19" s="3724">
        <f>E19</f>
        <v>0</v>
      </c>
      <c r="H19" s="3724"/>
      <c r="I19" s="3724">
        <v>0</v>
      </c>
      <c r="J19" s="1602"/>
      <c r="K19" s="3724">
        <v>162677</v>
      </c>
      <c r="L19" s="1602" t="s">
        <v>15</v>
      </c>
      <c r="M19" s="3724">
        <f>ROUND(SUM(C19)-SUM(K19)+SUM(G19),0)</f>
        <v>2302923</v>
      </c>
      <c r="N19" s="653"/>
      <c r="O19" s="1650"/>
      <c r="P19" s="653" t="s">
        <v>15</v>
      </c>
      <c r="Q19" s="3724">
        <v>0</v>
      </c>
      <c r="R19" s="3724"/>
      <c r="S19" s="3724">
        <v>5416.44</v>
      </c>
      <c r="T19" s="642"/>
      <c r="U19" s="823"/>
      <c r="V19" s="737"/>
      <c r="W19" s="738"/>
    </row>
    <row r="20" spans="1:23">
      <c r="A20" s="638" t="s">
        <v>402</v>
      </c>
      <c r="C20" s="3724">
        <v>0</v>
      </c>
      <c r="D20" s="1602"/>
      <c r="E20" s="3724">
        <v>0</v>
      </c>
      <c r="F20" s="3724"/>
      <c r="G20" s="3724">
        <f t="shared" ref="G20:G23" si="0">E20</f>
        <v>0</v>
      </c>
      <c r="H20" s="3724"/>
      <c r="I20" s="3724">
        <v>0</v>
      </c>
      <c r="J20" s="1602"/>
      <c r="K20" s="3724">
        <v>0</v>
      </c>
      <c r="L20" s="1602"/>
      <c r="M20" s="3724">
        <f>ROUND(SUM(C20)-SUM(K20)+SUM(G20),0)</f>
        <v>0</v>
      </c>
      <c r="N20" s="653"/>
      <c r="O20" s="1650"/>
      <c r="P20" s="653"/>
      <c r="Q20" s="3724">
        <v>0</v>
      </c>
      <c r="R20" s="3724"/>
      <c r="S20" s="3724">
        <v>0</v>
      </c>
      <c r="T20" s="642"/>
      <c r="U20" s="823"/>
      <c r="V20" s="737"/>
      <c r="W20" s="738"/>
    </row>
    <row r="21" spans="1:23">
      <c r="A21" s="638" t="s">
        <v>1321</v>
      </c>
      <c r="C21" s="3724">
        <f>ROUND(321372380.81,0)</f>
        <v>321372381</v>
      </c>
      <c r="D21" s="1602"/>
      <c r="E21" s="3724">
        <v>0</v>
      </c>
      <c r="F21" s="3724"/>
      <c r="G21" s="3724">
        <f t="shared" si="0"/>
        <v>0</v>
      </c>
      <c r="H21" s="3724"/>
      <c r="I21" s="3724">
        <v>0</v>
      </c>
      <c r="J21" s="1602"/>
      <c r="K21" s="3724">
        <v>8471194</v>
      </c>
      <c r="L21" s="1602"/>
      <c r="M21" s="3724">
        <f>ROUND(SUM(C21)-SUM(K21)+SUM(G21),0)</f>
        <v>312901187</v>
      </c>
      <c r="N21" s="653"/>
      <c r="O21" s="1650"/>
      <c r="P21" s="653"/>
      <c r="Q21" s="3724">
        <v>0</v>
      </c>
      <c r="R21" s="3724"/>
      <c r="S21" s="3724">
        <v>1748426.19</v>
      </c>
      <c r="T21" s="642"/>
      <c r="U21" s="823"/>
      <c r="V21" s="737"/>
      <c r="W21" s="738"/>
    </row>
    <row r="22" spans="1:23">
      <c r="A22" s="638" t="s">
        <v>403</v>
      </c>
      <c r="C22" s="3724">
        <f>ROUND(22144792.5,0)-1</f>
        <v>22144792</v>
      </c>
      <c r="D22" s="1602"/>
      <c r="E22" s="3724">
        <v>0</v>
      </c>
      <c r="F22" s="3724"/>
      <c r="G22" s="3724">
        <f t="shared" si="0"/>
        <v>0</v>
      </c>
      <c r="H22" s="3724"/>
      <c r="I22" s="3724">
        <v>0</v>
      </c>
      <c r="J22" s="1602"/>
      <c r="K22" s="3724">
        <v>2033357</v>
      </c>
      <c r="L22" s="1602"/>
      <c r="M22" s="3724">
        <f>ROUND(SUM(C22)-SUM(K22)+SUM(G22),0)</f>
        <v>20111435</v>
      </c>
      <c r="N22" s="653"/>
      <c r="O22" s="1650"/>
      <c r="P22" s="653"/>
      <c r="Q22" s="3724">
        <v>0</v>
      </c>
      <c r="R22" s="3724"/>
      <c r="S22" s="3724">
        <v>115929.58</v>
      </c>
      <c r="T22" s="642"/>
      <c r="U22" s="823"/>
      <c r="V22" s="737"/>
      <c r="W22" s="738"/>
    </row>
    <row r="23" spans="1:23">
      <c r="A23" s="638" t="s">
        <v>995</v>
      </c>
      <c r="C23" s="3724">
        <f>ROUND(46724919.33,0)</f>
        <v>46724919</v>
      </c>
      <c r="D23" s="1602"/>
      <c r="E23" s="3724">
        <v>0</v>
      </c>
      <c r="F23" s="3724"/>
      <c r="G23" s="3724">
        <f t="shared" si="0"/>
        <v>0</v>
      </c>
      <c r="H23" s="3724"/>
      <c r="I23" s="3724">
        <v>0</v>
      </c>
      <c r="J23" s="1602"/>
      <c r="K23" s="3724">
        <v>210000</v>
      </c>
      <c r="L23" s="1602"/>
      <c r="M23" s="3724">
        <f>ROUND(SUM(C23)-SUM(K23)+SUM(G23),0)</f>
        <v>46514919</v>
      </c>
      <c r="N23" s="653"/>
      <c r="O23" s="1650"/>
      <c r="P23" s="653"/>
      <c r="Q23" s="3724">
        <v>0</v>
      </c>
      <c r="R23" s="3724"/>
      <c r="S23" s="3724">
        <v>220644.46</v>
      </c>
      <c r="T23" s="642"/>
      <c r="U23" s="823"/>
      <c r="V23" s="737"/>
      <c r="W23" s="738"/>
    </row>
    <row r="24" spans="1:23">
      <c r="C24" s="3724"/>
      <c r="D24" s="823"/>
      <c r="E24" s="3723"/>
      <c r="F24" s="3723"/>
      <c r="G24" s="3723"/>
      <c r="H24" s="3723"/>
      <c r="I24" s="3723"/>
      <c r="J24" s="823"/>
      <c r="K24" s="3723"/>
      <c r="L24" s="823"/>
      <c r="M24" s="3723"/>
      <c r="N24" s="653"/>
      <c r="O24" s="1650"/>
      <c r="P24" s="653"/>
      <c r="Q24" s="3724"/>
      <c r="R24" s="3724"/>
      <c r="S24" s="3724"/>
      <c r="U24" s="644"/>
      <c r="V24" s="737"/>
      <c r="W24" s="738"/>
    </row>
    <row r="25" spans="1:23">
      <c r="A25" s="638" t="s">
        <v>894</v>
      </c>
      <c r="C25" s="3724"/>
      <c r="D25" s="823"/>
      <c r="E25" s="3723"/>
      <c r="F25" s="3723"/>
      <c r="G25" s="3723"/>
      <c r="H25" s="3723"/>
      <c r="I25" s="3723"/>
      <c r="J25" s="823"/>
      <c r="K25" s="3723"/>
      <c r="L25" s="823"/>
      <c r="M25" s="3723"/>
      <c r="N25" s="653"/>
      <c r="O25" s="1650"/>
      <c r="P25" s="653"/>
      <c r="Q25" s="3724"/>
      <c r="R25" s="3724"/>
      <c r="S25" s="3724"/>
      <c r="U25" s="644"/>
      <c r="V25" s="737"/>
      <c r="W25" s="642"/>
    </row>
    <row r="26" spans="1:23">
      <c r="A26" s="638" t="s">
        <v>1011</v>
      </c>
      <c r="C26" s="3724">
        <f>ROUND(1352814.93,0)</f>
        <v>1352815</v>
      </c>
      <c r="D26" s="1602"/>
      <c r="E26" s="3724">
        <v>0</v>
      </c>
      <c r="F26" s="3724"/>
      <c r="G26" s="3724">
        <f t="shared" ref="G26" si="1">E26</f>
        <v>0</v>
      </c>
      <c r="H26" s="3724"/>
      <c r="I26" s="3724">
        <v>0</v>
      </c>
      <c r="J26" s="1602"/>
      <c r="K26" s="3724">
        <v>154061</v>
      </c>
      <c r="L26" s="1602"/>
      <c r="M26" s="3724">
        <f>ROUND(SUM(C26)-SUM(K26)+SUM(G26),0)</f>
        <v>1198754</v>
      </c>
      <c r="N26" s="653"/>
      <c r="O26" s="1650"/>
      <c r="P26" s="653"/>
      <c r="Q26" s="3724">
        <v>0</v>
      </c>
      <c r="R26" s="3724"/>
      <c r="S26" s="3724">
        <v>29309.07</v>
      </c>
      <c r="T26" s="642"/>
      <c r="U26" s="823"/>
      <c r="V26" s="737"/>
      <c r="W26" s="738"/>
    </row>
    <row r="27" spans="1:23">
      <c r="C27" s="3724"/>
      <c r="D27" s="823" t="s">
        <v>15</v>
      </c>
      <c r="E27" s="3723"/>
      <c r="F27" s="3723"/>
      <c r="G27" s="3723"/>
      <c r="H27" s="3723"/>
      <c r="I27" s="3723"/>
      <c r="J27" s="823"/>
      <c r="K27" s="3723"/>
      <c r="L27" s="823"/>
      <c r="M27" s="3723"/>
      <c r="N27" s="653"/>
      <c r="O27" s="1650"/>
      <c r="P27" s="653"/>
      <c r="Q27" s="3724"/>
      <c r="R27" s="3724"/>
      <c r="S27" s="3724"/>
      <c r="U27" s="644"/>
      <c r="V27" s="737"/>
      <c r="W27" s="738"/>
    </row>
    <row r="28" spans="1:23">
      <c r="A28" s="638" t="s">
        <v>1266</v>
      </c>
      <c r="C28" s="3724"/>
      <c r="D28" s="823" t="s">
        <v>15</v>
      </c>
      <c r="E28" s="3723"/>
      <c r="F28" s="3723"/>
      <c r="G28" s="3723"/>
      <c r="H28" s="3723"/>
      <c r="I28" s="3723"/>
      <c r="J28" s="823"/>
      <c r="K28" s="3723"/>
      <c r="L28" s="823"/>
      <c r="M28" s="3723"/>
      <c r="N28" s="653"/>
      <c r="O28" s="1650"/>
      <c r="P28" s="653"/>
      <c r="Q28" s="3724"/>
      <c r="R28" s="3724"/>
      <c r="S28" s="3724"/>
      <c r="U28" s="644"/>
      <c r="V28" s="737"/>
    </row>
    <row r="29" spans="1:23">
      <c r="A29" s="638" t="s">
        <v>404</v>
      </c>
      <c r="C29" s="3724">
        <f>ROUND(6246.94,0)</f>
        <v>6247</v>
      </c>
      <c r="D29" s="1602"/>
      <c r="E29" s="3724">
        <v>0</v>
      </c>
      <c r="F29" s="3724"/>
      <c r="G29" s="3724">
        <f t="shared" ref="G29:G31" si="2">E29</f>
        <v>0</v>
      </c>
      <c r="H29" s="3724"/>
      <c r="I29" s="3724">
        <v>0</v>
      </c>
      <c r="J29" s="1602"/>
      <c r="K29" s="3724">
        <v>0</v>
      </c>
      <c r="L29" s="1602"/>
      <c r="M29" s="3724">
        <f>ROUND(SUM(C29)-SUM(K29)+SUM(G29),0)</f>
        <v>6247</v>
      </c>
      <c r="N29" s="653"/>
      <c r="O29" s="1650"/>
      <c r="P29" s="653"/>
      <c r="Q29" s="3724">
        <v>0</v>
      </c>
      <c r="R29" s="3724"/>
      <c r="S29" s="3724">
        <v>0</v>
      </c>
      <c r="T29" s="642"/>
      <c r="U29" s="823"/>
      <c r="V29" s="737"/>
      <c r="W29" s="738"/>
    </row>
    <row r="30" spans="1:23">
      <c r="A30" s="638" t="s">
        <v>996</v>
      </c>
      <c r="C30" s="3724">
        <f>ROUND(5870168.98,0)</f>
        <v>5870169</v>
      </c>
      <c r="D30" s="1602"/>
      <c r="E30" s="3724">
        <v>0</v>
      </c>
      <c r="F30" s="3724"/>
      <c r="G30" s="3724">
        <f t="shared" si="2"/>
        <v>0</v>
      </c>
      <c r="H30" s="3724"/>
      <c r="I30" s="3724">
        <v>0</v>
      </c>
      <c r="J30" s="1602"/>
      <c r="K30" s="3724">
        <v>25000</v>
      </c>
      <c r="L30" s="1602"/>
      <c r="M30" s="3724">
        <f>ROUND(SUM(C30)-SUM(K30)+SUM(G30),0)</f>
        <v>5845169</v>
      </c>
      <c r="N30" s="653"/>
      <c r="O30" s="1650"/>
      <c r="P30" s="653"/>
      <c r="Q30" s="3724">
        <v>0</v>
      </c>
      <c r="R30" s="3724"/>
      <c r="S30" s="3724">
        <v>4996.0600000000004</v>
      </c>
      <c r="T30" s="642"/>
      <c r="U30" s="823"/>
      <c r="V30" s="737"/>
      <c r="W30" s="738"/>
    </row>
    <row r="31" spans="1:23">
      <c r="A31" s="638" t="s">
        <v>405</v>
      </c>
      <c r="C31" s="3724">
        <f>ROUND(10826301.39,0)</f>
        <v>10826301</v>
      </c>
      <c r="D31" s="1602"/>
      <c r="E31" s="3724">
        <v>0</v>
      </c>
      <c r="F31" s="3724"/>
      <c r="G31" s="3724">
        <f t="shared" si="2"/>
        <v>0</v>
      </c>
      <c r="H31" s="3724"/>
      <c r="I31" s="3724">
        <v>0</v>
      </c>
      <c r="J31" s="1602"/>
      <c r="K31" s="3724">
        <v>1503953</v>
      </c>
      <c r="L31" s="1602"/>
      <c r="M31" s="3724">
        <f>ROUND(SUM(C31)-SUM(K31)+SUM(G31),0)</f>
        <v>9322348</v>
      </c>
      <c r="N31" s="653"/>
      <c r="O31" s="1650"/>
      <c r="P31" s="653"/>
      <c r="Q31" s="3724">
        <v>0</v>
      </c>
      <c r="R31" s="3724"/>
      <c r="S31" s="3724">
        <v>98348.82</v>
      </c>
      <c r="T31" s="642"/>
      <c r="U31" s="823"/>
      <c r="V31" s="737"/>
      <c r="W31" s="738"/>
    </row>
    <row r="32" spans="1:23">
      <c r="C32" s="3724"/>
      <c r="D32" s="823"/>
      <c r="E32" s="3723"/>
      <c r="F32" s="3723"/>
      <c r="G32" s="3723"/>
      <c r="H32" s="3723"/>
      <c r="I32" s="3723"/>
      <c r="J32" s="823"/>
      <c r="K32" s="3723"/>
      <c r="L32" s="823"/>
      <c r="M32" s="3723"/>
      <c r="N32" s="653"/>
      <c r="O32" s="1650"/>
      <c r="P32" s="653"/>
      <c r="Q32" s="3724"/>
      <c r="R32" s="3724"/>
      <c r="S32" s="3724"/>
      <c r="U32" s="644"/>
      <c r="V32" s="737"/>
      <c r="W32" s="738"/>
    </row>
    <row r="33" spans="1:24">
      <c r="A33" s="638" t="s">
        <v>406</v>
      </c>
      <c r="C33" s="3724"/>
      <c r="D33" s="823"/>
      <c r="E33" s="3723"/>
      <c r="F33" s="3723"/>
      <c r="G33" s="3723"/>
      <c r="H33" s="3723"/>
      <c r="I33" s="3723"/>
      <c r="J33" s="823"/>
      <c r="K33" s="3723"/>
      <c r="L33" s="823"/>
      <c r="M33" s="3723"/>
      <c r="N33" s="653"/>
      <c r="O33" s="1650"/>
      <c r="P33" s="653"/>
      <c r="Q33" s="3724"/>
      <c r="R33" s="3724"/>
      <c r="S33" s="3724"/>
      <c r="U33" s="644"/>
      <c r="V33" s="737"/>
      <c r="W33" s="642"/>
    </row>
    <row r="34" spans="1:24">
      <c r="A34" s="638" t="s">
        <v>1267</v>
      </c>
      <c r="C34" s="3724">
        <f>ROUND(6831631.69,0)</f>
        <v>6831632</v>
      </c>
      <c r="D34" s="1602"/>
      <c r="E34" s="3724">
        <v>0</v>
      </c>
      <c r="F34" s="3724"/>
      <c r="G34" s="3724">
        <f t="shared" ref="G34:G35" si="3">E34</f>
        <v>0</v>
      </c>
      <c r="H34" s="3724"/>
      <c r="I34" s="3724">
        <v>0</v>
      </c>
      <c r="J34" s="1602"/>
      <c r="K34" s="3724">
        <v>738107</v>
      </c>
      <c r="L34" s="1602"/>
      <c r="M34" s="3724">
        <f>ROUND(SUM(C34)-SUM(K34)+SUM(G34),0)</f>
        <v>6093525</v>
      </c>
      <c r="N34" s="653"/>
      <c r="O34" s="1650"/>
      <c r="P34" s="653"/>
      <c r="Q34" s="3724">
        <v>0</v>
      </c>
      <c r="R34" s="3724"/>
      <c r="S34" s="3724">
        <v>43490.27</v>
      </c>
      <c r="T34" s="642"/>
      <c r="U34" s="823"/>
      <c r="V34" s="737"/>
      <c r="W34" s="738"/>
    </row>
    <row r="35" spans="1:24">
      <c r="A35" s="638" t="s">
        <v>407</v>
      </c>
      <c r="C35" s="3724">
        <f>ROUND(107613084.85,0)</f>
        <v>107613085</v>
      </c>
      <c r="D35" s="1602"/>
      <c r="E35" s="3724">
        <v>0</v>
      </c>
      <c r="F35" s="3724"/>
      <c r="G35" s="3724">
        <f t="shared" si="3"/>
        <v>0</v>
      </c>
      <c r="H35" s="3724"/>
      <c r="I35" s="3724">
        <v>0</v>
      </c>
      <c r="J35" s="1602"/>
      <c r="K35" s="3724">
        <v>7019746</v>
      </c>
      <c r="L35" s="1602"/>
      <c r="M35" s="3724">
        <f>ROUND(SUM(C35)-SUM(K35)+SUM(G35),0)</f>
        <v>100593339</v>
      </c>
      <c r="N35" s="653"/>
      <c r="O35" s="1650"/>
      <c r="P35" s="653"/>
      <c r="Q35" s="3724">
        <v>0</v>
      </c>
      <c r="R35" s="3724"/>
      <c r="S35" s="3724">
        <v>1153838.74</v>
      </c>
      <c r="T35" s="642"/>
      <c r="U35" s="823"/>
      <c r="V35" s="737"/>
      <c r="W35" s="738"/>
      <c r="X35" s="642"/>
    </row>
    <row r="36" spans="1:24">
      <c r="C36" s="3724"/>
      <c r="D36" s="823"/>
      <c r="E36" s="3723"/>
      <c r="F36" s="3723"/>
      <c r="G36" s="3723"/>
      <c r="H36" s="3723"/>
      <c r="I36" s="3723"/>
      <c r="J36" s="823"/>
      <c r="K36" s="3723"/>
      <c r="L36" s="823"/>
      <c r="M36" s="3723"/>
      <c r="N36" s="653"/>
      <c r="O36" s="1650"/>
      <c r="P36" s="653"/>
      <c r="Q36" s="3724"/>
      <c r="R36" s="3724"/>
      <c r="S36" s="3724"/>
      <c r="U36" s="644"/>
      <c r="V36" s="737"/>
      <c r="W36" s="738"/>
    </row>
    <row r="37" spans="1:24">
      <c r="A37" s="638" t="s">
        <v>408</v>
      </c>
      <c r="C37" s="3724"/>
      <c r="D37" s="823"/>
      <c r="E37" s="3723"/>
      <c r="F37" s="3723"/>
      <c r="G37" s="3723"/>
      <c r="H37" s="3723"/>
      <c r="I37" s="3723"/>
      <c r="J37" s="823"/>
      <c r="K37" s="3723"/>
      <c r="L37" s="823"/>
      <c r="M37" s="3723"/>
      <c r="N37" s="653"/>
      <c r="O37" s="1650"/>
      <c r="P37" s="653"/>
      <c r="Q37" s="3724"/>
      <c r="R37" s="3724"/>
      <c r="S37" s="3724"/>
      <c r="U37" s="1899"/>
      <c r="V37" s="737"/>
      <c r="W37" s="642"/>
    </row>
    <row r="38" spans="1:24">
      <c r="A38" s="638" t="s">
        <v>1322</v>
      </c>
      <c r="C38" s="3724">
        <f>ROUND(8500000,0)</f>
        <v>8500000</v>
      </c>
      <c r="D38" s="1602"/>
      <c r="E38" s="3724">
        <v>0</v>
      </c>
      <c r="F38" s="3724"/>
      <c r="G38" s="3724">
        <f t="shared" ref="G38:G39" si="4">E38</f>
        <v>0</v>
      </c>
      <c r="H38" s="3724"/>
      <c r="I38" s="3724">
        <v>0</v>
      </c>
      <c r="J38" s="1602"/>
      <c r="K38" s="3724">
        <v>800000</v>
      </c>
      <c r="L38" s="1602"/>
      <c r="M38" s="3724">
        <f>ROUND(SUM(C38)-SUM(K38)+SUM(G38),0)</f>
        <v>7700000</v>
      </c>
      <c r="N38" s="653"/>
      <c r="O38" s="1650"/>
      <c r="P38" s="653"/>
      <c r="Q38" s="3724">
        <v>0</v>
      </c>
      <c r="R38" s="3724"/>
      <c r="S38" s="3724">
        <v>127500</v>
      </c>
      <c r="T38" s="642"/>
      <c r="U38" s="823"/>
      <c r="V38" s="737"/>
      <c r="W38" s="738"/>
    </row>
    <row r="39" spans="1:24">
      <c r="A39" s="638" t="s">
        <v>997</v>
      </c>
      <c r="C39" s="3724">
        <f>ROUND(6225000,0)</f>
        <v>6225000</v>
      </c>
      <c r="D39" s="1602"/>
      <c r="E39" s="3724">
        <v>0</v>
      </c>
      <c r="F39" s="3724"/>
      <c r="G39" s="3724">
        <f t="shared" si="4"/>
        <v>0</v>
      </c>
      <c r="H39" s="3724"/>
      <c r="I39" s="3724">
        <v>0</v>
      </c>
      <c r="J39" s="1602"/>
      <c r="K39" s="3724">
        <v>0</v>
      </c>
      <c r="L39" s="1602"/>
      <c r="M39" s="3724">
        <f>ROUND(SUM(C39)-SUM(K39)+SUM(G39),0)</f>
        <v>6225000</v>
      </c>
      <c r="N39" s="653"/>
      <c r="O39" s="1650"/>
      <c r="P39" s="653"/>
      <c r="Q39" s="3724">
        <v>0</v>
      </c>
      <c r="R39" s="3724"/>
      <c r="S39" s="3724">
        <v>0</v>
      </c>
      <c r="T39" s="642"/>
      <c r="U39" s="823"/>
      <c r="V39" s="737"/>
      <c r="W39" s="738"/>
    </row>
    <row r="40" spans="1:24">
      <c r="C40" s="3724"/>
      <c r="D40" s="823"/>
      <c r="E40" s="3723"/>
      <c r="F40" s="3723"/>
      <c r="G40" s="3723"/>
      <c r="H40" s="3723"/>
      <c r="I40" s="3723"/>
      <c r="J40" s="823"/>
      <c r="K40" s="3723"/>
      <c r="L40" s="823"/>
      <c r="M40" s="3723"/>
      <c r="N40" s="653"/>
      <c r="O40" s="1650"/>
      <c r="P40" s="653"/>
      <c r="Q40" s="3724"/>
      <c r="R40" s="3724"/>
      <c r="S40" s="3724"/>
      <c r="U40" s="1899"/>
      <c r="V40" s="737"/>
      <c r="W40" s="738"/>
    </row>
    <row r="41" spans="1:24">
      <c r="A41" s="638" t="s">
        <v>998</v>
      </c>
      <c r="C41" s="3724">
        <v>0</v>
      </c>
      <c r="D41" s="1602"/>
      <c r="E41" s="3724">
        <v>0</v>
      </c>
      <c r="F41" s="3724"/>
      <c r="G41" s="3724">
        <f t="shared" ref="G41" si="5">E41</f>
        <v>0</v>
      </c>
      <c r="H41" s="3724"/>
      <c r="I41" s="3724">
        <v>0</v>
      </c>
      <c r="J41" s="1602"/>
      <c r="K41" s="3724">
        <v>0</v>
      </c>
      <c r="L41" s="1602"/>
      <c r="M41" s="3724">
        <f>ROUND(SUM(C41)-SUM(K41)+SUM(G41),2)</f>
        <v>0</v>
      </c>
      <c r="N41" s="653"/>
      <c r="O41" s="1650"/>
      <c r="P41" s="653"/>
      <c r="Q41" s="3724">
        <v>0</v>
      </c>
      <c r="R41" s="3724"/>
      <c r="S41" s="3724">
        <v>0</v>
      </c>
      <c r="T41" s="642"/>
      <c r="U41" s="823"/>
      <c r="V41" s="737"/>
      <c r="W41" s="738"/>
    </row>
    <row r="42" spans="1:24">
      <c r="C42" s="3724"/>
      <c r="D42" s="1602"/>
      <c r="E42" s="3724"/>
      <c r="F42" s="3724"/>
      <c r="G42" s="3724"/>
      <c r="H42" s="3724"/>
      <c r="I42" s="3724"/>
      <c r="J42" s="1602"/>
      <c r="K42" s="3724"/>
      <c r="L42" s="1602"/>
      <c r="M42" s="3724"/>
      <c r="N42" s="653"/>
      <c r="O42" s="1650"/>
      <c r="P42" s="653"/>
      <c r="Q42" s="3724"/>
      <c r="R42" s="3724"/>
      <c r="S42" s="3724"/>
      <c r="U42" s="1899"/>
      <c r="V42" s="737"/>
      <c r="W42" s="738"/>
    </row>
    <row r="43" spans="1:24">
      <c r="A43" s="638" t="s">
        <v>409</v>
      </c>
      <c r="C43" s="3724">
        <f>ROUND(17772576.39,0)</f>
        <v>17772576</v>
      </c>
      <c r="D43" s="1602"/>
      <c r="E43" s="3724">
        <v>0</v>
      </c>
      <c r="F43" s="3724"/>
      <c r="G43" s="3724">
        <f t="shared" ref="G43" si="6">E43</f>
        <v>0</v>
      </c>
      <c r="H43" s="3724"/>
      <c r="I43" s="3724">
        <v>0</v>
      </c>
      <c r="J43" s="1602"/>
      <c r="K43" s="3724">
        <v>994401</v>
      </c>
      <c r="L43" s="1602"/>
      <c r="M43" s="3724">
        <f>ROUND(SUM(C43)-SUM(K43)+SUM(G43),0)</f>
        <v>16778175</v>
      </c>
      <c r="N43" s="653"/>
      <c r="O43" s="1650"/>
      <c r="P43" s="653"/>
      <c r="Q43" s="3724">
        <v>0</v>
      </c>
      <c r="R43" s="3724"/>
      <c r="S43" s="3724">
        <v>189966.89</v>
      </c>
      <c r="T43" s="642"/>
      <c r="U43" s="823"/>
      <c r="V43" s="737"/>
      <c r="W43" s="738"/>
    </row>
    <row r="44" spans="1:24">
      <c r="C44" s="3724"/>
      <c r="D44" s="1602"/>
      <c r="E44" s="3724"/>
      <c r="F44" s="3724"/>
      <c r="G44" s="3724"/>
      <c r="H44" s="3724"/>
      <c r="I44" s="3724"/>
      <c r="J44" s="1602"/>
      <c r="K44" s="3724"/>
      <c r="L44" s="1602"/>
      <c r="M44" s="3724"/>
      <c r="N44" s="653"/>
      <c r="O44" s="1650"/>
      <c r="P44" s="653"/>
      <c r="Q44" s="3724"/>
      <c r="R44" s="3724"/>
      <c r="S44" s="3724"/>
      <c r="U44" s="792"/>
      <c r="V44" s="737"/>
      <c r="W44" s="738"/>
    </row>
    <row r="45" spans="1:24">
      <c r="A45" s="638" t="s">
        <v>410</v>
      </c>
      <c r="C45" s="3724">
        <v>0</v>
      </c>
      <c r="D45" s="1602"/>
      <c r="E45" s="3724">
        <v>0</v>
      </c>
      <c r="F45" s="3724"/>
      <c r="G45" s="3724">
        <f t="shared" ref="G45" si="7">E45</f>
        <v>0</v>
      </c>
      <c r="H45" s="3724"/>
      <c r="I45" s="3724">
        <v>0</v>
      </c>
      <c r="J45" s="1602"/>
      <c r="K45" s="3724">
        <v>0</v>
      </c>
      <c r="L45" s="1602"/>
      <c r="M45" s="3724">
        <f>ROUND(SUM(C45)-SUM(K45)+SUM(G45),0)</f>
        <v>0</v>
      </c>
      <c r="N45" s="653"/>
      <c r="O45" s="1650"/>
      <c r="P45" s="653"/>
      <c r="Q45" s="3724">
        <v>0</v>
      </c>
      <c r="R45" s="3724"/>
      <c r="S45" s="3724">
        <v>0</v>
      </c>
      <c r="T45" s="642"/>
      <c r="U45" s="823"/>
      <c r="V45" s="737"/>
      <c r="W45" s="738"/>
    </row>
    <row r="46" spans="1:24">
      <c r="C46" s="3724"/>
      <c r="D46" s="1602"/>
      <c r="E46" s="3724"/>
      <c r="F46" s="3724"/>
      <c r="G46" s="3724"/>
      <c r="H46" s="3724"/>
      <c r="I46" s="3724"/>
      <c r="J46" s="1602"/>
      <c r="K46" s="3724"/>
      <c r="L46" s="1602"/>
      <c r="M46" s="3724"/>
      <c r="N46" s="653"/>
      <c r="O46" s="1650"/>
      <c r="P46" s="653"/>
      <c r="Q46" s="3724"/>
      <c r="R46" s="3724"/>
      <c r="S46" s="3724"/>
      <c r="U46" s="644"/>
      <c r="V46" s="737"/>
      <c r="W46" s="738"/>
    </row>
    <row r="47" spans="1:24">
      <c r="A47" s="638" t="s">
        <v>411</v>
      </c>
      <c r="C47" s="3724"/>
      <c r="D47" s="1603"/>
      <c r="E47" s="3725"/>
      <c r="F47" s="3725"/>
      <c r="G47" s="3725"/>
      <c r="H47" s="3725"/>
      <c r="I47" s="3725"/>
      <c r="J47" s="1603"/>
      <c r="K47" s="3725"/>
      <c r="L47" s="1603"/>
      <c r="M47" s="3725"/>
      <c r="N47" s="653"/>
      <c r="O47" s="1650"/>
      <c r="P47" s="653"/>
      <c r="Q47" s="3724"/>
      <c r="R47" s="3724"/>
      <c r="S47" s="3724"/>
      <c r="U47" s="1899"/>
      <c r="V47" s="737"/>
      <c r="W47" s="738"/>
    </row>
    <row r="48" spans="1:24">
      <c r="A48" s="638" t="s">
        <v>412</v>
      </c>
      <c r="C48" s="3724">
        <f>ROUND(641322675.69,0)</f>
        <v>641322676</v>
      </c>
      <c r="D48" s="1603"/>
      <c r="E48" s="3725">
        <v>0</v>
      </c>
      <c r="F48" s="3725"/>
      <c r="G48" s="3725">
        <f t="shared" ref="G48:G53" si="8">E48</f>
        <v>0</v>
      </c>
      <c r="H48" s="3725"/>
      <c r="I48" s="3725">
        <v>0</v>
      </c>
      <c r="J48" s="1603"/>
      <c r="K48" s="3725">
        <v>0</v>
      </c>
      <c r="L48" s="1603"/>
      <c r="M48" s="3725">
        <f t="shared" ref="M48:M53" si="9">ROUND(SUM(C48)-SUM(K48)+SUM(G48),0)</f>
        <v>641322676</v>
      </c>
      <c r="N48" s="653"/>
      <c r="O48" s="1650"/>
      <c r="P48" s="653"/>
      <c r="Q48" s="3724">
        <v>0</v>
      </c>
      <c r="R48" s="3724"/>
      <c r="S48" s="3724">
        <v>1423238.34</v>
      </c>
      <c r="T48" s="1651"/>
      <c r="U48" s="823"/>
      <c r="V48" s="737"/>
      <c r="W48" s="738"/>
    </row>
    <row r="49" spans="1:23">
      <c r="A49" s="638" t="s">
        <v>413</v>
      </c>
      <c r="C49" s="3724">
        <f>ROUND(11884363.15,0)</f>
        <v>11884363</v>
      </c>
      <c r="D49" s="1603"/>
      <c r="E49" s="3725">
        <v>0</v>
      </c>
      <c r="F49" s="3725"/>
      <c r="G49" s="3725">
        <f t="shared" si="8"/>
        <v>0</v>
      </c>
      <c r="H49" s="3725"/>
      <c r="I49" s="3725">
        <v>0</v>
      </c>
      <c r="J49" s="1603"/>
      <c r="K49" s="3725">
        <v>0</v>
      </c>
      <c r="L49" s="1603"/>
      <c r="M49" s="3725">
        <f t="shared" si="9"/>
        <v>11884363</v>
      </c>
      <c r="N49" s="653"/>
      <c r="O49" s="1650"/>
      <c r="P49" s="653"/>
      <c r="Q49" s="3724">
        <v>0</v>
      </c>
      <c r="R49" s="3724"/>
      <c r="S49" s="3724">
        <v>38067.06</v>
      </c>
      <c r="T49" s="1651"/>
      <c r="U49" s="823"/>
      <c r="V49" s="737"/>
      <c r="W49" s="738"/>
    </row>
    <row r="50" spans="1:23">
      <c r="A50" s="638" t="s">
        <v>414</v>
      </c>
      <c r="C50" s="3724">
        <f>ROUND(42044726.22,0)</f>
        <v>42044726</v>
      </c>
      <c r="D50" s="1603"/>
      <c r="E50" s="3725">
        <v>0</v>
      </c>
      <c r="F50" s="3725"/>
      <c r="G50" s="3725">
        <f t="shared" si="8"/>
        <v>0</v>
      </c>
      <c r="H50" s="3725"/>
      <c r="I50" s="3725">
        <v>0</v>
      </c>
      <c r="J50" s="1603"/>
      <c r="K50" s="3725">
        <v>0</v>
      </c>
      <c r="L50" s="1603"/>
      <c r="M50" s="3725">
        <f t="shared" si="9"/>
        <v>42044726</v>
      </c>
      <c r="N50" s="653"/>
      <c r="O50" s="1650"/>
      <c r="P50" s="653"/>
      <c r="Q50" s="3724">
        <v>0</v>
      </c>
      <c r="R50" s="3724"/>
      <c r="S50" s="3724">
        <v>0</v>
      </c>
      <c r="T50" s="1651"/>
      <c r="U50" s="823"/>
      <c r="V50" s="737"/>
      <c r="W50" s="738"/>
    </row>
    <row r="51" spans="1:23">
      <c r="A51" s="638" t="s">
        <v>415</v>
      </c>
      <c r="C51" s="3724">
        <f>ROUND(94745140.81,0)</f>
        <v>94745141</v>
      </c>
      <c r="D51" s="1603"/>
      <c r="E51" s="3725">
        <v>0</v>
      </c>
      <c r="F51" s="3725"/>
      <c r="G51" s="3725">
        <f t="shared" si="8"/>
        <v>0</v>
      </c>
      <c r="H51" s="3725"/>
      <c r="I51" s="3725">
        <v>0</v>
      </c>
      <c r="J51" s="1603"/>
      <c r="K51" s="3725">
        <v>0</v>
      </c>
      <c r="L51" s="1603"/>
      <c r="M51" s="3725">
        <f t="shared" si="9"/>
        <v>94745141</v>
      </c>
      <c r="N51" s="653"/>
      <c r="O51" s="1650"/>
      <c r="P51" s="653"/>
      <c r="Q51" s="3724">
        <v>0</v>
      </c>
      <c r="R51" s="3724"/>
      <c r="S51" s="3724">
        <v>0</v>
      </c>
      <c r="T51" s="1651"/>
      <c r="U51" s="823"/>
      <c r="V51" s="737"/>
      <c r="W51" s="738"/>
    </row>
    <row r="52" spans="1:23">
      <c r="A52" s="638" t="s">
        <v>416</v>
      </c>
      <c r="C52" s="3724">
        <f>ROUND(13915297.45,0)</f>
        <v>13915297</v>
      </c>
      <c r="D52" s="1603"/>
      <c r="E52" s="3725">
        <v>0</v>
      </c>
      <c r="F52" s="3725"/>
      <c r="G52" s="3725">
        <f t="shared" si="8"/>
        <v>0</v>
      </c>
      <c r="H52" s="3725"/>
      <c r="I52" s="3725">
        <v>0</v>
      </c>
      <c r="J52" s="1603"/>
      <c r="K52" s="3725">
        <v>0</v>
      </c>
      <c r="L52" s="1603"/>
      <c r="M52" s="3725">
        <f t="shared" si="9"/>
        <v>13915297</v>
      </c>
      <c r="N52" s="653"/>
      <c r="O52" s="1650"/>
      <c r="P52" s="653"/>
      <c r="Q52" s="3724">
        <v>0</v>
      </c>
      <c r="R52" s="3724"/>
      <c r="S52" s="3724">
        <v>0</v>
      </c>
      <c r="T52" s="1651"/>
      <c r="U52" s="823"/>
      <c r="V52" s="737"/>
      <c r="W52" s="738"/>
    </row>
    <row r="53" spans="1:23">
      <c r="A53" s="638" t="s">
        <v>895</v>
      </c>
      <c r="C53" s="3724">
        <f>ROUND(721891398.63,0)</f>
        <v>721891399</v>
      </c>
      <c r="D53" s="1602"/>
      <c r="E53" s="3724">
        <v>0</v>
      </c>
      <c r="F53" s="3724"/>
      <c r="G53" s="3724">
        <f t="shared" si="8"/>
        <v>0</v>
      </c>
      <c r="H53" s="3724"/>
      <c r="I53" s="3724">
        <v>0</v>
      </c>
      <c r="J53" s="1602"/>
      <c r="K53" s="3724">
        <v>0</v>
      </c>
      <c r="L53" s="1602"/>
      <c r="M53" s="3724">
        <f t="shared" si="9"/>
        <v>721891399</v>
      </c>
      <c r="N53" s="653"/>
      <c r="O53" s="1650"/>
      <c r="P53" s="653"/>
      <c r="Q53" s="3724">
        <v>0</v>
      </c>
      <c r="R53" s="3724"/>
      <c r="S53" s="3724">
        <v>3012812.59</v>
      </c>
      <c r="T53" s="1651"/>
      <c r="U53" s="823"/>
      <c r="V53" s="737"/>
      <c r="W53" s="738"/>
    </row>
    <row r="54" spans="1:23">
      <c r="C54" s="3724"/>
      <c r="D54" s="1602"/>
      <c r="E54" s="3724"/>
      <c r="F54" s="3724"/>
      <c r="G54" s="3724"/>
      <c r="H54" s="3724"/>
      <c r="I54" s="3724"/>
      <c r="J54" s="1602"/>
      <c r="K54" s="3724"/>
      <c r="L54" s="1602"/>
      <c r="M54" s="3724"/>
      <c r="N54" s="653"/>
      <c r="O54" s="1650"/>
      <c r="P54" s="653"/>
      <c r="Q54" s="3724"/>
      <c r="R54" s="3724"/>
      <c r="S54" s="3724"/>
      <c r="U54" s="644"/>
      <c r="V54" s="737"/>
      <c r="W54" s="738"/>
    </row>
    <row r="55" spans="1:23">
      <c r="A55" s="638" t="s">
        <v>896</v>
      </c>
      <c r="C55" s="3724"/>
      <c r="D55" s="1602"/>
      <c r="E55" s="3724"/>
      <c r="F55" s="3724"/>
      <c r="G55" s="3724"/>
      <c r="H55" s="3724"/>
      <c r="I55" s="3724"/>
      <c r="J55" s="1602"/>
      <c r="K55" s="3724"/>
      <c r="L55" s="1602"/>
      <c r="M55" s="3724"/>
      <c r="N55" s="653"/>
      <c r="O55" s="1650"/>
      <c r="P55" s="653"/>
      <c r="Q55" s="3724"/>
      <c r="R55" s="3724"/>
      <c r="S55" s="3724"/>
      <c r="U55" s="1899"/>
      <c r="V55" s="737"/>
      <c r="W55" s="642"/>
    </row>
    <row r="56" spans="1:23">
      <c r="A56" s="638" t="s">
        <v>999</v>
      </c>
      <c r="C56" s="3724">
        <f>ROUND(741417.6,0)</f>
        <v>741418</v>
      </c>
      <c r="D56" s="1602"/>
      <c r="E56" s="3724">
        <v>0</v>
      </c>
      <c r="F56" s="3724"/>
      <c r="G56" s="3724">
        <f t="shared" ref="G56:G57" si="10">E56</f>
        <v>0</v>
      </c>
      <c r="H56" s="3724"/>
      <c r="I56" s="3724">
        <v>0</v>
      </c>
      <c r="J56" s="1602"/>
      <c r="K56" s="3724">
        <v>0</v>
      </c>
      <c r="L56" s="1602"/>
      <c r="M56" s="3724">
        <f>ROUND(SUM(C56)-SUM(K56)+SUM(G56),0)</f>
        <v>741418</v>
      </c>
      <c r="N56" s="653"/>
      <c r="O56" s="1650"/>
      <c r="P56" s="653"/>
      <c r="Q56" s="3724">
        <v>0</v>
      </c>
      <c r="R56" s="3724"/>
      <c r="S56" s="3724">
        <v>1247.0999999999999</v>
      </c>
      <c r="T56" s="642"/>
      <c r="U56" s="823"/>
      <c r="V56" s="737"/>
      <c r="W56" s="738"/>
    </row>
    <row r="57" spans="1:23">
      <c r="A57" s="638" t="s">
        <v>969</v>
      </c>
      <c r="C57" s="3724">
        <f>ROUND(2597617.35,0)</f>
        <v>2597617</v>
      </c>
      <c r="D57" s="1602"/>
      <c r="E57" s="3724">
        <v>0</v>
      </c>
      <c r="F57" s="3724"/>
      <c r="G57" s="3724">
        <f t="shared" si="10"/>
        <v>0</v>
      </c>
      <c r="H57" s="3724"/>
      <c r="I57" s="3724">
        <v>0</v>
      </c>
      <c r="J57" s="1602"/>
      <c r="K57" s="3724">
        <v>555054</v>
      </c>
      <c r="L57" s="1602"/>
      <c r="M57" s="3724">
        <f>ROUND(SUM(C57)-SUM(K57)+SUM(G57),0)</f>
        <v>2042563</v>
      </c>
      <c r="N57" s="653"/>
      <c r="O57" s="1650"/>
      <c r="P57" s="653"/>
      <c r="Q57" s="3724">
        <v>0</v>
      </c>
      <c r="R57" s="3724"/>
      <c r="S57" s="3724">
        <v>63246.51</v>
      </c>
      <c r="T57" s="642"/>
      <c r="U57" s="823"/>
      <c r="V57" s="737"/>
      <c r="W57" s="738"/>
    </row>
    <row r="58" spans="1:23" ht="13.5" customHeight="1">
      <c r="C58" s="3724"/>
      <c r="D58" s="1602"/>
      <c r="E58" s="3724"/>
      <c r="F58" s="3724"/>
      <c r="G58" s="3724"/>
      <c r="H58" s="3724"/>
      <c r="I58" s="3724"/>
      <c r="J58" s="1602"/>
      <c r="K58" s="3724"/>
      <c r="L58" s="1602"/>
      <c r="M58" s="3724"/>
      <c r="N58" s="653"/>
      <c r="O58" s="1650"/>
      <c r="P58" s="653"/>
      <c r="Q58" s="3724"/>
      <c r="R58" s="3724"/>
      <c r="S58" s="3724"/>
      <c r="U58" s="644"/>
      <c r="V58" s="737"/>
      <c r="W58" s="738"/>
    </row>
    <row r="59" spans="1:23">
      <c r="A59" s="638" t="s">
        <v>1307</v>
      </c>
      <c r="C59" s="3724">
        <f>ROUND(179020225.27,0)</f>
        <v>179020225</v>
      </c>
      <c r="D59" s="1602"/>
      <c r="E59" s="3724">
        <v>0</v>
      </c>
      <c r="F59" s="3724"/>
      <c r="G59" s="3724">
        <f t="shared" ref="G59" si="11">E59</f>
        <v>0</v>
      </c>
      <c r="H59" s="3724"/>
      <c r="I59" s="3724">
        <v>0</v>
      </c>
      <c r="J59" s="1602"/>
      <c r="K59" s="3724">
        <v>0</v>
      </c>
      <c r="L59" s="1602"/>
      <c r="M59" s="3724">
        <f>ROUND(SUM(C59)-SUM(K59)+SUM(G59),0)</f>
        <v>179020225</v>
      </c>
      <c r="N59" s="653"/>
      <c r="O59" s="1650"/>
      <c r="P59" s="653"/>
      <c r="Q59" s="3724">
        <v>0</v>
      </c>
      <c r="R59" s="3724"/>
      <c r="S59" s="3724">
        <v>0</v>
      </c>
      <c r="T59" s="642"/>
      <c r="U59" s="823"/>
      <c r="V59" s="737"/>
      <c r="W59" s="738"/>
    </row>
    <row r="60" spans="1:23" ht="13.5" customHeight="1">
      <c r="C60" s="3724"/>
      <c r="D60" s="1602"/>
      <c r="E60" s="3724"/>
      <c r="F60" s="3724"/>
      <c r="G60" s="3724"/>
      <c r="H60" s="3724"/>
      <c r="I60" s="3724"/>
      <c r="J60" s="1602"/>
      <c r="K60" s="3724"/>
      <c r="L60" s="1602"/>
      <c r="M60" s="3724"/>
      <c r="N60" s="653"/>
      <c r="O60" s="1650"/>
      <c r="P60" s="653"/>
      <c r="Q60" s="3724"/>
      <c r="R60" s="3724"/>
      <c r="S60" s="3724"/>
      <c r="U60" s="644"/>
      <c r="V60" s="737"/>
      <c r="W60" s="738"/>
    </row>
    <row r="61" spans="1:23">
      <c r="A61" s="638" t="s">
        <v>417</v>
      </c>
      <c r="C61" s="3724"/>
      <c r="D61" s="1602"/>
      <c r="E61" s="3724"/>
      <c r="F61" s="3724"/>
      <c r="G61" s="3724"/>
      <c r="H61" s="3724"/>
      <c r="I61" s="3724"/>
      <c r="J61" s="1602"/>
      <c r="K61" s="3724"/>
      <c r="L61" s="1602"/>
      <c r="M61" s="3724"/>
      <c r="N61" s="653"/>
      <c r="O61" s="1650"/>
      <c r="P61" s="653"/>
      <c r="Q61" s="3724"/>
      <c r="R61" s="3724"/>
      <c r="S61" s="3724"/>
      <c r="U61" s="1899"/>
      <c r="V61" s="737"/>
      <c r="W61" s="642"/>
    </row>
    <row r="62" spans="1:23">
      <c r="A62" s="638" t="s">
        <v>414</v>
      </c>
      <c r="C62" s="3724">
        <f>ROUND(3018694.6,0)</f>
        <v>3018695</v>
      </c>
      <c r="D62" s="1602"/>
      <c r="E62" s="3724">
        <v>0</v>
      </c>
      <c r="F62" s="3724"/>
      <c r="G62" s="3724">
        <f t="shared" ref="G62:G63" si="12">E62</f>
        <v>0</v>
      </c>
      <c r="H62" s="3724"/>
      <c r="I62" s="3724">
        <v>0</v>
      </c>
      <c r="J62" s="1602"/>
      <c r="K62" s="3724">
        <v>308596</v>
      </c>
      <c r="L62" s="1602"/>
      <c r="M62" s="3724">
        <f>ROUND(SUM(C62)-SUM(K62)+SUM(G62),0)</f>
        <v>2710099</v>
      </c>
      <c r="N62" s="653"/>
      <c r="O62" s="1650"/>
      <c r="P62" s="653"/>
      <c r="Q62" s="3724">
        <v>0</v>
      </c>
      <c r="R62" s="3724"/>
      <c r="S62" s="3724">
        <v>54539.26</v>
      </c>
      <c r="T62" s="642"/>
      <c r="U62" s="823"/>
      <c r="V62" s="737"/>
      <c r="W62" s="738"/>
    </row>
    <row r="63" spans="1:23">
      <c r="A63" s="638" t="s">
        <v>418</v>
      </c>
      <c r="C63" s="3724">
        <v>0</v>
      </c>
      <c r="D63" s="1602"/>
      <c r="E63" s="3724">
        <v>0</v>
      </c>
      <c r="F63" s="3724"/>
      <c r="G63" s="3724">
        <f t="shared" si="12"/>
        <v>0</v>
      </c>
      <c r="H63" s="3724"/>
      <c r="I63" s="3724">
        <v>0</v>
      </c>
      <c r="J63" s="1602"/>
      <c r="K63" s="1602">
        <v>0</v>
      </c>
      <c r="L63" s="1602"/>
      <c r="M63" s="3724">
        <f>ROUND(SUM(C63)-SUM(K63)+SUM(G63),2)</f>
        <v>0</v>
      </c>
      <c r="N63" s="653"/>
      <c r="O63" s="1650"/>
      <c r="P63" s="653"/>
      <c r="Q63" s="3724">
        <v>0</v>
      </c>
      <c r="R63" s="3724"/>
      <c r="S63" s="3724">
        <v>0</v>
      </c>
      <c r="T63" s="642"/>
      <c r="U63" s="823"/>
      <c r="V63" s="737"/>
      <c r="W63" s="738"/>
    </row>
    <row r="64" spans="1:23">
      <c r="B64" s="653"/>
      <c r="C64" s="3730"/>
      <c r="D64" s="1652"/>
      <c r="E64" s="3726"/>
      <c r="F64" s="3726"/>
      <c r="G64" s="3726"/>
      <c r="H64" s="3726"/>
      <c r="I64" s="3726"/>
      <c r="J64" s="3726"/>
      <c r="K64" s="3726"/>
      <c r="L64" s="3726"/>
      <c r="M64" s="3726"/>
      <c r="N64" s="653"/>
      <c r="O64" s="1650"/>
      <c r="P64" s="653"/>
      <c r="Q64" s="1653"/>
      <c r="R64" s="653"/>
      <c r="S64" s="1654"/>
      <c r="T64" s="648"/>
    </row>
    <row r="65" spans="1:23" ht="15" customHeight="1" thickBot="1">
      <c r="A65" s="640" t="s">
        <v>419</v>
      </c>
      <c r="B65" s="1655"/>
      <c r="C65" s="3727">
        <f>ROUND(SUM(C16:C63),2)</f>
        <v>2285634999</v>
      </c>
      <c r="D65" s="2222"/>
      <c r="E65" s="3727">
        <f>ROUND(SUM(E16:E64),2)</f>
        <v>0</v>
      </c>
      <c r="F65" s="639"/>
      <c r="G65" s="3727">
        <f>ROUND(SUM(G16:G63),2)</f>
        <v>0</v>
      </c>
      <c r="H65" s="1655"/>
      <c r="I65" s="3727">
        <f>ROUND(SUM(I16:I63),2)</f>
        <v>0</v>
      </c>
      <c r="J65" s="1655"/>
      <c r="K65" s="3727">
        <f>ROUND(SUM(K16:K63),0)</f>
        <v>23665000</v>
      </c>
      <c r="L65" s="1655"/>
      <c r="M65" s="3727">
        <f>ROUND(SUM(M16:M63),2)</f>
        <v>2261969999</v>
      </c>
      <c r="N65" s="1656"/>
      <c r="O65" s="1657"/>
      <c r="P65" s="1655"/>
      <c r="Q65" s="3727">
        <f>ROUND(SUM(Q16:Q63),2)</f>
        <v>0</v>
      </c>
      <c r="R65" s="1655"/>
      <c r="S65" s="3727">
        <f>ROUND(SUM(S16:S63),0)</f>
        <v>8450866</v>
      </c>
      <c r="T65" s="1658"/>
      <c r="U65" s="2222"/>
      <c r="V65" s="793"/>
      <c r="W65" s="793"/>
    </row>
    <row r="66" spans="1:23" ht="15" customHeight="1" thickTop="1">
      <c r="A66" s="1659"/>
      <c r="B66" s="1660"/>
      <c r="C66" s="891"/>
      <c r="D66" s="1658"/>
      <c r="E66" s="1661"/>
      <c r="F66" s="1662"/>
      <c r="G66" s="1661"/>
      <c r="H66" s="1660"/>
      <c r="I66" s="1658"/>
      <c r="J66" s="1660"/>
      <c r="K66" s="1663"/>
      <c r="L66" s="1660"/>
      <c r="M66" s="891"/>
      <c r="N66" s="640"/>
      <c r="O66" s="640"/>
      <c r="P66" s="1660"/>
      <c r="Q66" s="1663"/>
      <c r="R66" s="1660"/>
      <c r="S66" s="1658"/>
      <c r="U66" s="794"/>
      <c r="V66" s="794"/>
      <c r="W66" s="794"/>
    </row>
    <row r="67" spans="1:23">
      <c r="A67" s="1664"/>
      <c r="B67" s="648"/>
      <c r="C67" s="895"/>
      <c r="D67" s="648"/>
      <c r="E67" s="648"/>
      <c r="F67" s="795"/>
      <c r="H67" s="653"/>
      <c r="I67" s="638"/>
      <c r="J67" s="653"/>
      <c r="K67" s="638"/>
      <c r="L67" s="653"/>
      <c r="N67" s="648"/>
      <c r="P67" s="739"/>
    </row>
    <row r="68" spans="1:23">
      <c r="A68" s="739"/>
      <c r="C68" s="895"/>
      <c r="D68" s="648"/>
      <c r="E68" s="795"/>
      <c r="F68" s="796"/>
      <c r="G68" s="648"/>
      <c r="H68" s="737"/>
      <c r="I68" s="653"/>
      <c r="J68" s="737"/>
      <c r="K68" s="653"/>
      <c r="L68" s="738"/>
      <c r="O68" s="648"/>
      <c r="P68" s="738"/>
      <c r="Q68" s="1926"/>
      <c r="R68" s="642"/>
      <c r="S68" s="1926"/>
    </row>
    <row r="69" spans="1:23">
      <c r="A69" s="654"/>
      <c r="E69" s="1665"/>
      <c r="G69" s="652"/>
      <c r="I69" s="644"/>
      <c r="K69" s="644"/>
      <c r="Q69" s="642"/>
      <c r="S69" s="642"/>
      <c r="T69" s="641"/>
    </row>
    <row r="70" spans="1:23">
      <c r="E70" s="653"/>
      <c r="G70" s="653"/>
      <c r="M70" s="823"/>
      <c r="O70" s="648"/>
      <c r="Q70" s="739"/>
    </row>
    <row r="71" spans="1:23">
      <c r="D71" s="642"/>
      <c r="E71" s="643"/>
      <c r="G71" s="643"/>
      <c r="I71" s="644"/>
      <c r="K71" s="644"/>
      <c r="M71" s="645"/>
      <c r="O71" s="648"/>
      <c r="Q71" s="649"/>
      <c r="S71" s="642"/>
    </row>
    <row r="72" spans="1:23">
      <c r="D72" s="642"/>
      <c r="E72" s="643"/>
      <c r="G72" s="738"/>
      <c r="I72" s="644"/>
      <c r="K72" s="644"/>
      <c r="M72" s="892"/>
      <c r="O72" s="648"/>
      <c r="Q72" s="738"/>
      <c r="S72" s="642"/>
    </row>
    <row r="73" spans="1:23">
      <c r="D73" s="642"/>
      <c r="E73" s="643"/>
      <c r="G73" s="736"/>
      <c r="I73" s="644"/>
      <c r="K73" s="644"/>
      <c r="M73" s="823"/>
      <c r="O73" s="648"/>
      <c r="Q73" s="792"/>
      <c r="S73" s="642"/>
    </row>
    <row r="74" spans="1:23">
      <c r="D74" s="642"/>
      <c r="E74" s="643"/>
      <c r="G74" s="643"/>
      <c r="I74" s="644"/>
      <c r="K74" s="644"/>
      <c r="M74" s="645"/>
      <c r="O74" s="648"/>
      <c r="Q74" s="649"/>
      <c r="S74" s="642"/>
      <c r="T74" s="641"/>
    </row>
    <row r="75" spans="1:23">
      <c r="D75" s="642"/>
      <c r="E75" s="643"/>
      <c r="G75" s="643"/>
      <c r="I75" s="644"/>
      <c r="K75" s="644"/>
      <c r="M75" s="645"/>
      <c r="O75" s="648"/>
      <c r="Q75" s="649"/>
      <c r="S75" s="642"/>
    </row>
    <row r="76" spans="1:23">
      <c r="D76" s="642"/>
      <c r="E76" s="643"/>
      <c r="G76" s="738"/>
      <c r="I76" s="644"/>
      <c r="K76" s="644"/>
      <c r="M76" s="892"/>
      <c r="O76" s="648"/>
      <c r="Q76" s="738"/>
      <c r="S76" s="642"/>
    </row>
    <row r="77" spans="1:23">
      <c r="D77" s="642"/>
      <c r="E77" s="643"/>
      <c r="G77" s="736"/>
      <c r="I77" s="644"/>
      <c r="K77" s="644"/>
      <c r="M77" s="823"/>
      <c r="O77" s="648"/>
      <c r="Q77" s="792"/>
      <c r="S77" s="642"/>
    </row>
    <row r="78" spans="1:23">
      <c r="B78" s="648"/>
      <c r="C78" s="895"/>
      <c r="D78" s="797"/>
      <c r="E78" s="798"/>
      <c r="F78" s="648"/>
      <c r="G78" s="798"/>
      <c r="H78" s="648"/>
      <c r="I78" s="799"/>
      <c r="J78" s="648"/>
      <c r="K78" s="799"/>
      <c r="L78" s="648"/>
      <c r="M78" s="893"/>
      <c r="N78" s="648"/>
      <c r="O78" s="648"/>
      <c r="P78" s="648"/>
      <c r="Q78" s="800"/>
      <c r="R78" s="648"/>
      <c r="S78" s="797"/>
    </row>
    <row r="79" spans="1:23">
      <c r="A79" s="648"/>
      <c r="B79" s="648"/>
      <c r="C79" s="3731"/>
      <c r="D79" s="647"/>
      <c r="E79" s="801"/>
      <c r="F79" s="646"/>
      <c r="G79" s="801"/>
      <c r="H79" s="646"/>
      <c r="I79" s="650"/>
      <c r="J79" s="646"/>
      <c r="K79" s="650"/>
      <c r="L79" s="646"/>
      <c r="M79" s="894"/>
      <c r="N79" s="646"/>
      <c r="O79" s="646"/>
      <c r="P79" s="646"/>
      <c r="Q79" s="801"/>
      <c r="R79" s="646"/>
      <c r="S79" s="647"/>
    </row>
    <row r="80" spans="1:23">
      <c r="A80" s="646"/>
      <c r="C80" s="891"/>
      <c r="D80" s="794"/>
      <c r="E80" s="794"/>
      <c r="F80" s="640"/>
      <c r="G80" s="794"/>
      <c r="H80" s="640"/>
      <c r="I80" s="791"/>
      <c r="J80" s="640"/>
      <c r="K80" s="791"/>
      <c r="L80" s="640"/>
      <c r="M80" s="891"/>
      <c r="N80" s="640"/>
      <c r="O80" s="640"/>
      <c r="P80" s="640"/>
      <c r="Q80" s="794"/>
      <c r="R80" s="640"/>
      <c r="S80" s="794"/>
    </row>
    <row r="81" spans="1:13">
      <c r="A81" s="640"/>
    </row>
    <row r="82" spans="1:13">
      <c r="C82" s="3732"/>
      <c r="D82" s="739"/>
    </row>
    <row r="83" spans="1:13">
      <c r="C83" s="3733"/>
      <c r="D83" s="654"/>
      <c r="E83" s="795"/>
      <c r="F83" s="648"/>
      <c r="G83" s="795"/>
      <c r="H83" s="648"/>
      <c r="I83" s="651"/>
      <c r="J83" s="648"/>
      <c r="K83" s="651"/>
      <c r="L83" s="648"/>
      <c r="M83" s="895"/>
    </row>
    <row r="84" spans="1:13">
      <c r="E84" s="1604"/>
      <c r="G84" s="740"/>
    </row>
    <row r="85" spans="1:13">
      <c r="E85" s="1666"/>
      <c r="G85" s="652"/>
    </row>
  </sheetData>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77734375" defaultRowHeight="12.75"/>
  <cols>
    <col min="1" max="1" width="3.77734375" style="1667" customWidth="1"/>
    <col min="2" max="2" width="43.77734375" style="1667" customWidth="1"/>
    <col min="3" max="3" width="2.109375" style="1667" customWidth="1"/>
    <col min="4" max="4" width="13.77734375" style="1667" customWidth="1"/>
    <col min="5" max="5" width="2.109375" style="1667" customWidth="1"/>
    <col min="6" max="6" width="24" style="1667" bestFit="1" customWidth="1"/>
    <col min="7" max="7" width="2.109375" style="1667" customWidth="1"/>
    <col min="8" max="8" width="20.21875" style="1667" customWidth="1"/>
    <col min="9" max="9" width="2.109375" style="1667" customWidth="1"/>
    <col min="10" max="10" width="17.77734375" style="1667" bestFit="1" customWidth="1"/>
    <col min="11" max="11" width="2.109375" style="1667" customWidth="1"/>
    <col min="12" max="12" width="17.77734375" style="1667" bestFit="1" customWidth="1"/>
    <col min="13" max="13" width="2.109375" style="1667" customWidth="1"/>
    <col min="14" max="14" width="19.77734375" style="1667" bestFit="1" customWidth="1"/>
    <col min="15" max="15" width="2.109375" style="1667" customWidth="1"/>
    <col min="16" max="16" width="18.44140625" style="1667" bestFit="1" customWidth="1"/>
    <col min="17" max="17" width="2.109375" style="1667" customWidth="1"/>
    <col min="18" max="18" width="19.77734375" style="1667" customWidth="1"/>
    <col min="19" max="19" width="2.109375" style="1667" customWidth="1"/>
    <col min="20" max="20" width="19.77734375" style="1667" bestFit="1" customWidth="1"/>
    <col min="21" max="21" width="2.109375" style="1667" customWidth="1"/>
    <col min="22" max="22" width="20.77734375" style="1667" bestFit="1" customWidth="1"/>
    <col min="23" max="23" width="17.109375" style="1667" customWidth="1"/>
    <col min="24" max="24" width="18.5546875" style="1667" customWidth="1"/>
    <col min="25" max="25" width="35.21875" style="1667" bestFit="1" customWidth="1"/>
    <col min="26" max="16384" width="8.77734375" style="1667"/>
  </cols>
  <sheetData>
    <row r="1" spans="1:23" ht="15">
      <c r="B1" s="956" t="s">
        <v>980</v>
      </c>
    </row>
    <row r="2" spans="1:23" ht="16.5">
      <c r="B2" s="2128"/>
      <c r="C2" s="2128"/>
      <c r="D2" s="2128"/>
      <c r="E2" s="2128"/>
      <c r="F2" s="2128"/>
      <c r="G2" s="2128"/>
      <c r="H2" s="2128"/>
      <c r="I2" s="2128"/>
      <c r="J2" s="2128"/>
      <c r="K2" s="2128"/>
      <c r="L2" s="2128"/>
      <c r="M2" s="2128"/>
      <c r="N2" s="2128"/>
      <c r="O2" s="2128"/>
      <c r="P2" s="2128"/>
      <c r="Q2" s="2128"/>
      <c r="R2" s="2128"/>
      <c r="S2" s="2128"/>
      <c r="T2" s="2128"/>
      <c r="U2" s="2128"/>
      <c r="V2" s="2128"/>
      <c r="W2" s="2129"/>
    </row>
    <row r="3" spans="1:23" ht="18">
      <c r="A3" s="1668"/>
      <c r="B3" s="2130" t="s">
        <v>0</v>
      </c>
      <c r="C3" s="2131"/>
      <c r="D3" s="2131"/>
      <c r="E3" s="2131"/>
      <c r="F3" s="2128"/>
      <c r="G3" s="2128"/>
      <c r="H3" s="2128"/>
      <c r="I3" s="2128"/>
      <c r="J3" s="2128"/>
      <c r="K3" s="2128"/>
      <c r="L3" s="2128"/>
      <c r="M3" s="2128"/>
      <c r="N3" s="2128"/>
      <c r="O3" s="2128"/>
      <c r="P3" s="2128"/>
      <c r="Q3" s="2128"/>
      <c r="R3" s="2128"/>
      <c r="S3" s="2128"/>
      <c r="T3" s="2128"/>
      <c r="U3" s="2128"/>
      <c r="V3" s="2132" t="s">
        <v>420</v>
      </c>
      <c r="W3" s="2133"/>
    </row>
    <row r="4" spans="1:23" ht="18">
      <c r="A4" s="1668"/>
      <c r="B4" s="2130" t="s">
        <v>421</v>
      </c>
      <c r="C4" s="2131"/>
      <c r="D4" s="2131"/>
      <c r="E4" s="2131"/>
      <c r="F4" s="2128"/>
      <c r="G4" s="2128"/>
      <c r="H4" s="2128"/>
      <c r="I4" s="2128"/>
      <c r="J4" s="2128"/>
      <c r="K4" s="2128"/>
      <c r="L4" s="2128"/>
      <c r="M4" s="2128"/>
      <c r="N4" s="2128"/>
      <c r="O4" s="2128"/>
      <c r="P4" s="2128"/>
      <c r="Q4" s="2128"/>
      <c r="R4" s="2128"/>
      <c r="S4" s="2128"/>
      <c r="T4" s="2128"/>
      <c r="U4" s="2128"/>
      <c r="V4" s="2134"/>
      <c r="W4" s="2129"/>
    </row>
    <row r="5" spans="1:23" ht="18">
      <c r="A5" s="1668"/>
      <c r="B5" s="2130" t="s">
        <v>422</v>
      </c>
      <c r="C5" s="2131"/>
      <c r="D5" s="2131"/>
      <c r="E5" s="2131"/>
      <c r="F5" s="2128"/>
      <c r="G5" s="2128"/>
      <c r="H5" s="2128"/>
      <c r="I5" s="2128"/>
      <c r="J5" s="2128"/>
      <c r="K5" s="2128"/>
      <c r="L5" s="2128"/>
      <c r="M5" s="2128"/>
      <c r="N5" s="2128"/>
      <c r="O5" s="2128"/>
      <c r="P5" s="2128"/>
      <c r="Q5" s="2128"/>
      <c r="R5" s="2128"/>
      <c r="S5" s="2128"/>
      <c r="T5" s="2128"/>
      <c r="U5" s="2128"/>
      <c r="V5" s="2128"/>
      <c r="W5" s="2129"/>
    </row>
    <row r="6" spans="1:23" ht="18">
      <c r="A6" s="1668"/>
      <c r="B6" s="2135" t="s">
        <v>1477</v>
      </c>
      <c r="C6" s="2136"/>
      <c r="D6" s="2131"/>
      <c r="E6" s="2131"/>
      <c r="F6" s="2128"/>
      <c r="G6" s="2128"/>
      <c r="H6" s="2128"/>
      <c r="I6" s="2128"/>
      <c r="J6" s="2128"/>
      <c r="K6" s="2128"/>
      <c r="L6" s="2128"/>
      <c r="M6" s="2128"/>
      <c r="N6" s="2128"/>
      <c r="O6" s="2128"/>
      <c r="P6" s="2128"/>
      <c r="Q6" s="2128"/>
      <c r="R6" s="2128"/>
      <c r="S6" s="2128"/>
      <c r="T6" s="2128"/>
      <c r="U6" s="2128"/>
      <c r="V6" s="2128"/>
      <c r="W6" s="2129"/>
    </row>
    <row r="7" spans="1:23" ht="16.5">
      <c r="A7" s="1668"/>
      <c r="B7" s="2137"/>
      <c r="C7" s="2137"/>
      <c r="D7" s="2131"/>
      <c r="E7" s="2131"/>
      <c r="F7" s="2128"/>
      <c r="G7" s="2128"/>
      <c r="H7" s="2128"/>
      <c r="I7" s="2128"/>
      <c r="J7" s="2128"/>
      <c r="K7" s="2128"/>
      <c r="L7" s="2128"/>
      <c r="M7" s="2128"/>
      <c r="N7" s="2128"/>
      <c r="O7" s="2128"/>
      <c r="P7" s="2128"/>
      <c r="Q7" s="2128"/>
      <c r="R7" s="2128"/>
      <c r="S7" s="2128"/>
      <c r="T7" s="2128"/>
      <c r="U7" s="2128"/>
      <c r="V7" s="2128"/>
      <c r="W7" s="2129"/>
    </row>
    <row r="8" spans="1:23" ht="5.25" customHeight="1">
      <c r="B8" s="2138"/>
      <c r="C8" s="2138"/>
      <c r="D8" s="2128"/>
      <c r="E8" s="2128"/>
      <c r="F8" s="2128"/>
      <c r="G8" s="2128"/>
      <c r="H8" s="2128"/>
      <c r="I8" s="2128"/>
      <c r="J8" s="2128"/>
      <c r="K8" s="2128"/>
      <c r="L8" s="2128"/>
      <c r="M8" s="2128"/>
      <c r="N8" s="2128"/>
      <c r="O8" s="2128"/>
      <c r="P8" s="2128"/>
      <c r="Q8" s="2128"/>
      <c r="R8" s="2128"/>
      <c r="S8" s="2128"/>
      <c r="T8" s="2128"/>
      <c r="U8" s="2128"/>
      <c r="V8" s="2128"/>
      <c r="W8" s="2129"/>
    </row>
    <row r="9" spans="1:23" ht="16.5">
      <c r="B9" s="2128"/>
      <c r="C9" s="2128"/>
      <c r="E9" s="2139"/>
      <c r="F9" s="2139"/>
      <c r="G9" s="2139"/>
      <c r="H9" s="2139"/>
      <c r="I9" s="2139"/>
      <c r="J9" s="2139" t="s">
        <v>423</v>
      </c>
      <c r="K9" s="2139"/>
      <c r="L9" s="2139"/>
      <c r="M9" s="2139"/>
      <c r="N9" s="2139"/>
      <c r="O9" s="2139"/>
      <c r="P9" s="2139"/>
      <c r="Q9" s="2139"/>
      <c r="R9" s="2128"/>
      <c r="S9" s="2128"/>
      <c r="T9" s="2128"/>
      <c r="U9" s="2128"/>
      <c r="V9" s="2128"/>
      <c r="W9" s="2129"/>
    </row>
    <row r="10" spans="1:23" ht="16.5">
      <c r="B10" s="2128"/>
      <c r="C10" s="2128"/>
      <c r="D10" s="2139" t="s">
        <v>122</v>
      </c>
      <c r="E10" s="2140"/>
      <c r="F10" s="2140" t="s">
        <v>105</v>
      </c>
      <c r="G10" s="2140"/>
      <c r="H10" s="2140" t="s">
        <v>425</v>
      </c>
      <c r="I10" s="2140"/>
      <c r="J10" s="2140" t="s">
        <v>426</v>
      </c>
      <c r="K10" s="2140"/>
      <c r="L10" s="2140" t="s">
        <v>427</v>
      </c>
      <c r="M10" s="2140"/>
      <c r="N10" s="2140" t="s">
        <v>10</v>
      </c>
      <c r="O10" s="2140"/>
      <c r="P10" s="2140" t="s">
        <v>897</v>
      </c>
      <c r="Q10" s="2140"/>
      <c r="R10" s="2128"/>
      <c r="S10" s="2128"/>
      <c r="T10" s="2128"/>
      <c r="U10" s="2128"/>
      <c r="V10" s="2128"/>
      <c r="W10" s="2129"/>
    </row>
    <row r="11" spans="1:23" ht="16.5">
      <c r="B11" s="2128"/>
      <c r="C11" s="2128"/>
      <c r="D11" s="2140" t="s">
        <v>424</v>
      </c>
      <c r="E11" s="2140"/>
      <c r="F11" s="2140" t="s">
        <v>122</v>
      </c>
      <c r="G11" s="2140"/>
      <c r="H11" s="2140" t="s">
        <v>429</v>
      </c>
      <c r="I11" s="2140"/>
      <c r="J11" s="2140" t="s">
        <v>430</v>
      </c>
      <c r="K11" s="2140"/>
      <c r="L11" s="2140" t="s">
        <v>431</v>
      </c>
      <c r="M11" s="2140"/>
      <c r="N11" s="2141" t="s">
        <v>432</v>
      </c>
      <c r="O11" s="2140"/>
      <c r="P11" s="2140" t="s">
        <v>898</v>
      </c>
      <c r="Q11" s="2140"/>
      <c r="R11" s="2143" t="s">
        <v>433</v>
      </c>
      <c r="S11" s="2143"/>
      <c r="T11" s="2143"/>
      <c r="U11" s="2128"/>
      <c r="V11" s="2128"/>
      <c r="W11" s="2129"/>
    </row>
    <row r="12" spans="1:23" ht="16.5">
      <c r="B12" s="2128"/>
      <c r="C12" s="2128"/>
      <c r="D12" s="2140" t="s">
        <v>428</v>
      </c>
      <c r="E12" s="2140"/>
      <c r="F12" s="2140" t="s">
        <v>11</v>
      </c>
      <c r="G12" s="2140"/>
      <c r="H12" s="2140" t="s">
        <v>434</v>
      </c>
      <c r="I12" s="2140"/>
      <c r="J12" s="2140" t="s">
        <v>435</v>
      </c>
      <c r="K12" s="2140"/>
      <c r="L12" s="2140" t="s">
        <v>436</v>
      </c>
      <c r="M12" s="2140"/>
      <c r="N12" s="2141" t="s">
        <v>435</v>
      </c>
      <c r="O12" s="2141"/>
      <c r="P12" s="2140" t="s">
        <v>435</v>
      </c>
      <c r="Q12" s="2140"/>
      <c r="R12" s="2142" t="s">
        <v>1478</v>
      </c>
      <c r="S12" s="2142"/>
      <c r="T12" s="2142"/>
      <c r="U12" s="2128"/>
      <c r="V12" s="2139" t="s">
        <v>899</v>
      </c>
      <c r="W12" s="2144"/>
    </row>
    <row r="13" spans="1:23" ht="16.5">
      <c r="A13" s="1669"/>
      <c r="B13" s="2145" t="s">
        <v>444</v>
      </c>
      <c r="C13" s="2146"/>
      <c r="D13" s="2147" t="s">
        <v>437</v>
      </c>
      <c r="E13" s="2144"/>
      <c r="F13" s="2147" t="s">
        <v>438</v>
      </c>
      <c r="G13" s="2144"/>
      <c r="H13" s="2148" t="s">
        <v>439</v>
      </c>
      <c r="I13" s="2144"/>
      <c r="J13" s="2148" t="s">
        <v>440</v>
      </c>
      <c r="K13" s="2144"/>
      <c r="L13" s="2148" t="s">
        <v>441</v>
      </c>
      <c r="M13" s="2144"/>
      <c r="N13" s="2149" t="s">
        <v>442</v>
      </c>
      <c r="O13" s="2144"/>
      <c r="P13" s="2149" t="s">
        <v>900</v>
      </c>
      <c r="Q13" s="2144"/>
      <c r="R13" s="2150">
        <v>2019</v>
      </c>
      <c r="S13" s="2150"/>
      <c r="T13" s="2150">
        <v>2018</v>
      </c>
      <c r="U13" s="2144"/>
      <c r="V13" s="2151" t="s">
        <v>443</v>
      </c>
      <c r="W13" s="2144"/>
    </row>
    <row r="14" spans="1:23" ht="16.5">
      <c r="B14" s="2146" t="s">
        <v>445</v>
      </c>
      <c r="C14" s="2146"/>
      <c r="D14" s="2152"/>
      <c r="E14" s="2152"/>
      <c r="F14" s="2153"/>
      <c r="G14" s="2153"/>
      <c r="H14" s="2154"/>
      <c r="I14" s="2154"/>
      <c r="J14" s="2154"/>
      <c r="K14" s="2154"/>
      <c r="L14" s="2154"/>
      <c r="M14" s="2154"/>
      <c r="N14" s="2152"/>
      <c r="O14" s="2152"/>
      <c r="P14" s="2152"/>
      <c r="Q14" s="2152"/>
      <c r="R14" s="2154"/>
      <c r="S14" s="2154"/>
      <c r="T14" s="2155"/>
      <c r="U14" s="2155"/>
      <c r="V14" s="2156"/>
      <c r="W14" s="2129"/>
    </row>
    <row r="15" spans="1:23" ht="16.5">
      <c r="A15" s="1670"/>
      <c r="B15" s="2138" t="s">
        <v>446</v>
      </c>
      <c r="C15" s="2138"/>
      <c r="D15" s="2157">
        <v>0</v>
      </c>
      <c r="E15" s="2157"/>
      <c r="F15" s="2157">
        <v>54720301</v>
      </c>
      <c r="G15" s="2158"/>
      <c r="H15" s="2157">
        <v>0</v>
      </c>
      <c r="I15" s="2158"/>
      <c r="J15" s="2157">
        <v>0</v>
      </c>
      <c r="K15" s="2158"/>
      <c r="L15" s="2157">
        <v>0</v>
      </c>
      <c r="M15" s="2158"/>
      <c r="N15" s="2157">
        <v>0</v>
      </c>
      <c r="O15" s="2158"/>
      <c r="P15" s="2157">
        <v>0</v>
      </c>
      <c r="Q15" s="2158"/>
      <c r="R15" s="2157">
        <f>ROUND(SUM(D15:Q15),0)</f>
        <v>54720301</v>
      </c>
      <c r="S15" s="2157"/>
      <c r="T15" s="3707">
        <v>88126278</v>
      </c>
      <c r="U15" s="2158"/>
      <c r="V15" s="2159">
        <f>ROUND(R15-T15,0)</f>
        <v>-33405977</v>
      </c>
      <c r="W15" s="2157"/>
    </row>
    <row r="16" spans="1:23" ht="16.5">
      <c r="A16" s="1670"/>
      <c r="B16" s="2128" t="s">
        <v>447</v>
      </c>
      <c r="C16" s="2128"/>
      <c r="D16" s="2160"/>
      <c r="E16" s="2160"/>
      <c r="F16" s="2160"/>
      <c r="G16" s="2160"/>
      <c r="H16" s="2160"/>
      <c r="I16" s="2160"/>
      <c r="J16" s="2160"/>
      <c r="K16" s="2158"/>
      <c r="L16" s="2160"/>
      <c r="M16" s="2161"/>
      <c r="N16" s="2160"/>
      <c r="O16" s="2161"/>
      <c r="P16" s="2160"/>
      <c r="Q16" s="2161"/>
      <c r="R16" s="2161"/>
      <c r="S16" s="2161"/>
      <c r="T16" s="3708"/>
      <c r="U16" s="2161"/>
      <c r="V16" s="2162"/>
      <c r="W16" s="2157"/>
    </row>
    <row r="17" spans="1:23" ht="16.5">
      <c r="A17" s="1670"/>
      <c r="B17" s="2128" t="s">
        <v>1260</v>
      </c>
      <c r="C17" s="2128"/>
      <c r="D17" s="2160">
        <v>0</v>
      </c>
      <c r="E17" s="2160">
        <v>0</v>
      </c>
      <c r="F17" s="2160">
        <v>54430525</v>
      </c>
      <c r="G17" s="2160">
        <v>0</v>
      </c>
      <c r="H17" s="2160">
        <v>0</v>
      </c>
      <c r="I17" s="2160">
        <v>0</v>
      </c>
      <c r="J17" s="2160">
        <v>0</v>
      </c>
      <c r="K17" s="2160">
        <v>0</v>
      </c>
      <c r="L17" s="2160">
        <v>0</v>
      </c>
      <c r="M17" s="2160">
        <v>0</v>
      </c>
      <c r="N17" s="2160">
        <v>0</v>
      </c>
      <c r="O17" s="2160">
        <v>0</v>
      </c>
      <c r="P17" s="2160">
        <v>0</v>
      </c>
      <c r="Q17" s="2160">
        <v>0</v>
      </c>
      <c r="R17" s="2161">
        <f t="shared" ref="R17:R26" si="0">ROUND(SUM(D17:Q17),0)</f>
        <v>54430525</v>
      </c>
      <c r="S17" s="2161"/>
      <c r="T17" s="3709">
        <v>57690325</v>
      </c>
      <c r="U17" s="2163"/>
      <c r="V17" s="2163">
        <f t="shared" ref="V17:V26" si="1">SUM(R17-T17,0)</f>
        <v>-3259800</v>
      </c>
      <c r="W17" s="2157"/>
    </row>
    <row r="18" spans="1:23" ht="16.5">
      <c r="A18" s="1670"/>
      <c r="B18" s="2128" t="s">
        <v>1261</v>
      </c>
      <c r="C18" s="2128"/>
      <c r="D18" s="2160">
        <v>0</v>
      </c>
      <c r="E18" s="2160">
        <v>0</v>
      </c>
      <c r="F18" s="2160">
        <v>0</v>
      </c>
      <c r="G18" s="2160">
        <v>0</v>
      </c>
      <c r="H18" s="2160">
        <v>0</v>
      </c>
      <c r="I18" s="2160">
        <v>0</v>
      </c>
      <c r="J18" s="2160">
        <v>0</v>
      </c>
      <c r="K18" s="2160">
        <v>0</v>
      </c>
      <c r="L18" s="2160">
        <v>0</v>
      </c>
      <c r="M18" s="2160">
        <v>0</v>
      </c>
      <c r="N18" s="2160">
        <v>109355813</v>
      </c>
      <c r="O18" s="2160"/>
      <c r="P18" s="2160">
        <v>0</v>
      </c>
      <c r="Q18" s="2160">
        <v>0</v>
      </c>
      <c r="R18" s="2161">
        <f t="shared" si="0"/>
        <v>109355813</v>
      </c>
      <c r="S18" s="2161"/>
      <c r="T18" s="2160">
        <v>58275</v>
      </c>
      <c r="U18" s="2163"/>
      <c r="V18" s="2163">
        <f t="shared" si="1"/>
        <v>109297538</v>
      </c>
      <c r="W18" s="2157"/>
    </row>
    <row r="19" spans="1:23" ht="16.5">
      <c r="A19" s="1670"/>
      <c r="B19" s="2128" t="s">
        <v>448</v>
      </c>
      <c r="C19" s="2128"/>
      <c r="D19" s="2160">
        <v>0</v>
      </c>
      <c r="E19" s="2160">
        <v>0</v>
      </c>
      <c r="F19" s="2160">
        <v>0</v>
      </c>
      <c r="G19" s="2160">
        <v>0</v>
      </c>
      <c r="H19" s="2160">
        <v>13080876</v>
      </c>
      <c r="I19" s="2160">
        <v>0</v>
      </c>
      <c r="J19" s="2160">
        <v>0</v>
      </c>
      <c r="K19" s="2160">
        <v>0</v>
      </c>
      <c r="L19" s="2160">
        <v>0</v>
      </c>
      <c r="M19" s="2160">
        <v>0</v>
      </c>
      <c r="N19" s="2160">
        <v>0</v>
      </c>
      <c r="O19" s="2160"/>
      <c r="P19" s="2160" t="s">
        <v>15</v>
      </c>
      <c r="Q19" s="2160">
        <v>0</v>
      </c>
      <c r="R19" s="2161">
        <f>ROUND(SUM(D19:Q19),0)</f>
        <v>13080876</v>
      </c>
      <c r="S19" s="2161"/>
      <c r="T19" s="2160">
        <v>13085126</v>
      </c>
      <c r="U19" s="2163"/>
      <c r="V19" s="2163">
        <f t="shared" si="1"/>
        <v>-4250</v>
      </c>
      <c r="W19" s="2157"/>
    </row>
    <row r="20" spans="1:23" ht="16.5">
      <c r="A20" s="1670"/>
      <c r="B20" s="2128" t="s">
        <v>1000</v>
      </c>
      <c r="C20" s="2128"/>
      <c r="D20" s="2160">
        <v>0</v>
      </c>
      <c r="E20" s="2160">
        <v>0</v>
      </c>
      <c r="F20" s="2160">
        <v>0</v>
      </c>
      <c r="G20" s="2160">
        <v>0</v>
      </c>
      <c r="H20" s="2160">
        <v>0</v>
      </c>
      <c r="I20" s="2160">
        <v>0</v>
      </c>
      <c r="J20" s="2160">
        <v>0</v>
      </c>
      <c r="K20" s="2160">
        <v>0</v>
      </c>
      <c r="L20" s="2160">
        <v>1630844</v>
      </c>
      <c r="M20" s="2160">
        <v>0</v>
      </c>
      <c r="N20" s="2160">
        <v>0</v>
      </c>
      <c r="O20" s="2160"/>
      <c r="P20" s="2160">
        <v>0</v>
      </c>
      <c r="Q20" s="2160">
        <v>0</v>
      </c>
      <c r="R20" s="2161">
        <f t="shared" si="0"/>
        <v>1630844</v>
      </c>
      <c r="S20" s="2161"/>
      <c r="T20" s="2160">
        <v>154222</v>
      </c>
      <c r="U20" s="2164"/>
      <c r="V20" s="2163">
        <f t="shared" si="1"/>
        <v>1476622</v>
      </c>
      <c r="W20" s="2157"/>
    </row>
    <row r="21" spans="1:23" ht="16.5">
      <c r="A21" s="1670"/>
      <c r="B21" s="2128" t="s">
        <v>844</v>
      </c>
      <c r="C21" s="2128"/>
      <c r="D21" s="2160">
        <v>0</v>
      </c>
      <c r="E21" s="2160">
        <v>0</v>
      </c>
      <c r="F21" s="2160">
        <v>0</v>
      </c>
      <c r="G21" s="2160">
        <v>0</v>
      </c>
      <c r="H21" s="2160">
        <v>0</v>
      </c>
      <c r="I21" s="2160">
        <v>0</v>
      </c>
      <c r="J21" s="2160">
        <v>0</v>
      </c>
      <c r="K21" s="2160">
        <v>0</v>
      </c>
      <c r="L21" s="2160">
        <v>0</v>
      </c>
      <c r="M21" s="2160">
        <v>0</v>
      </c>
      <c r="N21" s="2160">
        <v>0</v>
      </c>
      <c r="O21" s="2160"/>
      <c r="P21" s="2160">
        <v>0</v>
      </c>
      <c r="Q21" s="2160">
        <v>0</v>
      </c>
      <c r="R21" s="2161">
        <f t="shared" si="0"/>
        <v>0</v>
      </c>
      <c r="S21" s="2161"/>
      <c r="T21" s="2160">
        <v>0</v>
      </c>
      <c r="U21" s="2164"/>
      <c r="V21" s="2163">
        <f t="shared" si="1"/>
        <v>0</v>
      </c>
      <c r="W21" s="2157"/>
    </row>
    <row r="22" spans="1:23" ht="16.5">
      <c r="A22" s="1670"/>
      <c r="B22" s="2128" t="s">
        <v>1262</v>
      </c>
      <c r="C22" s="2128"/>
      <c r="D22" s="2160">
        <v>0</v>
      </c>
      <c r="E22" s="2160">
        <v>0</v>
      </c>
      <c r="F22" s="2160">
        <v>5928700</v>
      </c>
      <c r="G22" s="2160">
        <v>0</v>
      </c>
      <c r="H22" s="2160">
        <v>0</v>
      </c>
      <c r="I22" s="2160">
        <v>0</v>
      </c>
      <c r="J22" s="2160">
        <v>0</v>
      </c>
      <c r="K22" s="2160">
        <v>0</v>
      </c>
      <c r="L22" s="2160">
        <v>0</v>
      </c>
      <c r="M22" s="2160">
        <v>0</v>
      </c>
      <c r="N22" s="2160">
        <v>0</v>
      </c>
      <c r="O22" s="2160"/>
      <c r="P22" s="2160">
        <v>0</v>
      </c>
      <c r="Q22" s="2160">
        <v>0</v>
      </c>
      <c r="R22" s="2161">
        <f t="shared" si="0"/>
        <v>5928700</v>
      </c>
      <c r="S22" s="2161"/>
      <c r="T22" s="2160">
        <v>3620528</v>
      </c>
      <c r="U22" s="2163"/>
      <c r="V22" s="2163">
        <f t="shared" si="1"/>
        <v>2308172</v>
      </c>
      <c r="W22" s="2157"/>
    </row>
    <row r="23" spans="1:23" ht="16.5">
      <c r="A23" s="1670"/>
      <c r="B23" s="2128" t="s">
        <v>1263</v>
      </c>
      <c r="C23" s="2128"/>
      <c r="D23" s="2160">
        <v>0</v>
      </c>
      <c r="E23" s="2160">
        <v>0</v>
      </c>
      <c r="F23" s="2160">
        <v>0</v>
      </c>
      <c r="G23" s="2160">
        <v>0</v>
      </c>
      <c r="H23" s="2160">
        <v>0</v>
      </c>
      <c r="I23" s="2160">
        <v>0</v>
      </c>
      <c r="J23" s="2160">
        <v>0</v>
      </c>
      <c r="K23" s="2160">
        <v>0</v>
      </c>
      <c r="L23" s="2160">
        <v>0</v>
      </c>
      <c r="M23" s="2160">
        <v>0</v>
      </c>
      <c r="N23" s="2160">
        <v>0</v>
      </c>
      <c r="O23" s="2160"/>
      <c r="P23" s="2160">
        <v>0</v>
      </c>
      <c r="Q23" s="2160">
        <v>0</v>
      </c>
      <c r="R23" s="2161">
        <f t="shared" si="0"/>
        <v>0</v>
      </c>
      <c r="S23" s="2161"/>
      <c r="T23" s="2160">
        <v>0</v>
      </c>
      <c r="U23" s="2163"/>
      <c r="V23" s="2163">
        <f t="shared" si="1"/>
        <v>0</v>
      </c>
      <c r="W23" s="2157"/>
    </row>
    <row r="24" spans="1:23" ht="16.5">
      <c r="A24" s="1670"/>
      <c r="B24" s="2128" t="s">
        <v>449</v>
      </c>
      <c r="C24" s="2128"/>
      <c r="D24" s="2160">
        <v>0</v>
      </c>
      <c r="E24" s="2160">
        <v>0</v>
      </c>
      <c r="F24" s="2160">
        <v>0</v>
      </c>
      <c r="G24" s="2160">
        <v>0</v>
      </c>
      <c r="H24" s="2160">
        <v>0</v>
      </c>
      <c r="I24" s="2160">
        <v>0</v>
      </c>
      <c r="J24" s="2160">
        <v>0</v>
      </c>
      <c r="K24" s="2160">
        <v>0</v>
      </c>
      <c r="L24" s="2160">
        <v>0</v>
      </c>
      <c r="M24" s="2160">
        <v>0</v>
      </c>
      <c r="N24" s="2160">
        <v>839859</v>
      </c>
      <c r="O24" s="2160"/>
      <c r="P24" s="2160">
        <v>0</v>
      </c>
      <c r="Q24" s="2160">
        <v>0</v>
      </c>
      <c r="R24" s="2161">
        <f t="shared" si="0"/>
        <v>839859</v>
      </c>
      <c r="S24" s="2161"/>
      <c r="T24" s="3709">
        <v>1671869</v>
      </c>
      <c r="U24" s="2163"/>
      <c r="V24" s="2163">
        <f t="shared" si="1"/>
        <v>-832010</v>
      </c>
      <c r="W24" s="2157"/>
    </row>
    <row r="25" spans="1:23" ht="16.5">
      <c r="A25" s="1670"/>
      <c r="B25" s="2128" t="s">
        <v>450</v>
      </c>
      <c r="C25" s="2128"/>
      <c r="D25" s="2160">
        <v>0</v>
      </c>
      <c r="E25" s="2160">
        <v>0</v>
      </c>
      <c r="F25" s="2160">
        <v>0</v>
      </c>
      <c r="G25" s="2160">
        <v>0</v>
      </c>
      <c r="H25" s="2160">
        <v>0</v>
      </c>
      <c r="I25" s="2160">
        <v>0</v>
      </c>
      <c r="J25" s="2160">
        <v>0</v>
      </c>
      <c r="K25" s="2160">
        <v>0</v>
      </c>
      <c r="L25" s="2160">
        <v>0</v>
      </c>
      <c r="M25" s="2160">
        <v>0</v>
      </c>
      <c r="N25" s="2160">
        <v>0</v>
      </c>
      <c r="O25" s="2160"/>
      <c r="P25" s="2160">
        <v>0</v>
      </c>
      <c r="Q25" s="2160">
        <v>0</v>
      </c>
      <c r="R25" s="2161">
        <f t="shared" si="0"/>
        <v>0</v>
      </c>
      <c r="S25" s="2161"/>
      <c r="T25" s="3709">
        <v>815745</v>
      </c>
      <c r="U25" s="2163"/>
      <c r="V25" s="2163">
        <f t="shared" si="1"/>
        <v>-815745</v>
      </c>
      <c r="W25" s="2157"/>
    </row>
    <row r="26" spans="1:23" ht="16.5">
      <c r="A26" s="1670"/>
      <c r="B26" s="2128" t="s">
        <v>1264</v>
      </c>
      <c r="C26" s="2128"/>
      <c r="D26" s="2160">
        <v>0</v>
      </c>
      <c r="E26" s="2160">
        <v>0</v>
      </c>
      <c r="F26" s="2160">
        <v>0</v>
      </c>
      <c r="G26" s="2160">
        <v>0</v>
      </c>
      <c r="H26" s="2160">
        <v>0</v>
      </c>
      <c r="I26" s="2160">
        <v>0</v>
      </c>
      <c r="J26" s="2160">
        <v>8402319</v>
      </c>
      <c r="K26" s="2160">
        <v>0</v>
      </c>
      <c r="L26" s="2160">
        <v>0</v>
      </c>
      <c r="M26" s="2160">
        <v>0</v>
      </c>
      <c r="N26" s="2160">
        <v>0</v>
      </c>
      <c r="O26" s="2160"/>
      <c r="P26" s="2160">
        <v>0</v>
      </c>
      <c r="Q26" s="2160">
        <v>0</v>
      </c>
      <c r="R26" s="2161">
        <f t="shared" si="0"/>
        <v>8402319</v>
      </c>
      <c r="S26" s="2161"/>
      <c r="T26" s="3709">
        <v>1801863</v>
      </c>
      <c r="U26" s="2163"/>
      <c r="V26" s="2163">
        <f t="shared" si="1"/>
        <v>6600456</v>
      </c>
      <c r="W26" s="2157"/>
    </row>
    <row r="27" spans="1:23" ht="16.5">
      <c r="A27" s="1670"/>
      <c r="B27" s="2128" t="s">
        <v>451</v>
      </c>
      <c r="C27" s="2128"/>
      <c r="D27" s="2165"/>
      <c r="E27" s="2165"/>
      <c r="F27" s="2165"/>
      <c r="G27" s="2165"/>
      <c r="H27" s="2165"/>
      <c r="I27" s="2165"/>
      <c r="J27" s="2165"/>
      <c r="K27" s="2165"/>
      <c r="L27" s="2165"/>
      <c r="M27" s="2165"/>
      <c r="N27" s="2165"/>
      <c r="O27" s="2165"/>
      <c r="P27" s="2165"/>
      <c r="Q27" s="2165"/>
      <c r="R27" s="2161"/>
      <c r="S27" s="2161"/>
      <c r="T27" s="3709"/>
      <c r="U27" s="2163"/>
      <c r="V27" s="2161"/>
      <c r="W27" s="2157"/>
    </row>
    <row r="28" spans="1:23" ht="16.5">
      <c r="A28" s="1670"/>
      <c r="B28" s="2128" t="s">
        <v>452</v>
      </c>
      <c r="C28" s="2128"/>
      <c r="D28" s="2160">
        <v>0</v>
      </c>
      <c r="E28" s="2160">
        <v>0</v>
      </c>
      <c r="F28" s="2160">
        <v>0</v>
      </c>
      <c r="G28" s="2160">
        <v>0</v>
      </c>
      <c r="H28" s="2160">
        <v>0</v>
      </c>
      <c r="I28" s="2160">
        <v>0</v>
      </c>
      <c r="J28" s="2160">
        <v>0</v>
      </c>
      <c r="K28" s="2160">
        <v>0</v>
      </c>
      <c r="L28" s="2160">
        <v>0</v>
      </c>
      <c r="M28" s="2160">
        <v>0</v>
      </c>
      <c r="N28" s="2160">
        <v>0</v>
      </c>
      <c r="O28" s="2160"/>
      <c r="P28" s="2160">
        <v>0</v>
      </c>
      <c r="Q28" s="2160">
        <v>0</v>
      </c>
      <c r="R28" s="2161">
        <f>ROUND(SUM(D28:Q28),0)</f>
        <v>0</v>
      </c>
      <c r="S28" s="2161"/>
      <c r="T28" s="3709">
        <v>35457621</v>
      </c>
      <c r="U28" s="2163"/>
      <c r="V28" s="2163">
        <f>SUM(R28-T28,0)</f>
        <v>-35457621</v>
      </c>
      <c r="W28" s="2157"/>
    </row>
    <row r="29" spans="1:23" ht="16.5">
      <c r="A29" s="1670"/>
      <c r="B29" s="2128" t="s">
        <v>954</v>
      </c>
      <c r="C29" s="2128"/>
      <c r="D29" s="2160"/>
      <c r="E29" s="2160"/>
      <c r="F29" s="2160"/>
      <c r="G29" s="2161"/>
      <c r="H29" s="2160"/>
      <c r="I29" s="2160"/>
      <c r="J29" s="2160"/>
      <c r="K29" s="2161"/>
      <c r="L29" s="2160"/>
      <c r="M29" s="2161"/>
      <c r="N29" s="2160"/>
      <c r="O29" s="2161"/>
      <c r="P29" s="2160"/>
      <c r="Q29" s="2161"/>
      <c r="R29" s="2161"/>
      <c r="S29" s="2161"/>
      <c r="T29" s="3709"/>
      <c r="U29" s="2163"/>
      <c r="V29" s="2161"/>
      <c r="W29" s="2157"/>
    </row>
    <row r="30" spans="1:23" ht="16.899999999999999" customHeight="1">
      <c r="A30" s="1670"/>
      <c r="B30" s="2128" t="s">
        <v>953</v>
      </c>
      <c r="C30" s="2128"/>
      <c r="D30" s="2160">
        <v>0</v>
      </c>
      <c r="E30" s="2160"/>
      <c r="F30" s="2160">
        <v>180279932</v>
      </c>
      <c r="G30" s="2161"/>
      <c r="H30" s="2160">
        <v>0</v>
      </c>
      <c r="I30" s="2160"/>
      <c r="J30" s="2160">
        <v>0</v>
      </c>
      <c r="K30" s="2161"/>
      <c r="L30" s="2160">
        <v>0</v>
      </c>
      <c r="M30" s="2161"/>
      <c r="N30" s="2160">
        <v>0</v>
      </c>
      <c r="O30" s="2161"/>
      <c r="P30" s="2160">
        <v>0</v>
      </c>
      <c r="Q30" s="2161"/>
      <c r="R30" s="2161">
        <f>ROUND(SUM(D30:Q30),0)</f>
        <v>180279932</v>
      </c>
      <c r="S30" s="2161"/>
      <c r="T30" s="3748">
        <v>98455652</v>
      </c>
      <c r="U30" s="2163"/>
      <c r="V30" s="2163">
        <f t="shared" ref="V30:V41" si="2">SUM(R30-T30,0)</f>
        <v>81824280</v>
      </c>
      <c r="W30" s="2157"/>
    </row>
    <row r="31" spans="1:23" ht="16.5">
      <c r="A31" s="1670"/>
      <c r="B31" s="2128" t="s">
        <v>952</v>
      </c>
      <c r="C31" s="2128"/>
      <c r="D31" s="2160">
        <v>0</v>
      </c>
      <c r="E31" s="2160">
        <v>0</v>
      </c>
      <c r="F31" s="2160">
        <v>0</v>
      </c>
      <c r="G31" s="2160">
        <v>0</v>
      </c>
      <c r="H31" s="2160">
        <v>0</v>
      </c>
      <c r="I31" s="2160">
        <v>0</v>
      </c>
      <c r="J31" s="2160">
        <v>0</v>
      </c>
      <c r="K31" s="2160">
        <v>0</v>
      </c>
      <c r="L31" s="2160">
        <v>0</v>
      </c>
      <c r="M31" s="2160">
        <v>0</v>
      </c>
      <c r="N31" s="2160">
        <v>0</v>
      </c>
      <c r="O31" s="2160"/>
      <c r="P31" s="2160">
        <v>0</v>
      </c>
      <c r="Q31" s="2160">
        <v>0</v>
      </c>
      <c r="R31" s="2161">
        <f>ROUND(SUM(D31:Q31),0)</f>
        <v>0</v>
      </c>
      <c r="S31" s="2161"/>
      <c r="T31" s="2160">
        <v>0</v>
      </c>
      <c r="U31" s="2163"/>
      <c r="V31" s="2163">
        <f t="shared" si="2"/>
        <v>0</v>
      </c>
      <c r="W31" s="2157"/>
    </row>
    <row r="32" spans="1:23" ht="16.5">
      <c r="A32" s="1670"/>
      <c r="B32" s="2128" t="s">
        <v>901</v>
      </c>
      <c r="C32" s="2128"/>
      <c r="D32" s="2160">
        <v>0</v>
      </c>
      <c r="E32" s="2160">
        <v>0</v>
      </c>
      <c r="F32" s="2160">
        <v>0</v>
      </c>
      <c r="G32" s="2160">
        <v>0</v>
      </c>
      <c r="H32" s="2160">
        <v>0</v>
      </c>
      <c r="I32" s="2160">
        <v>0</v>
      </c>
      <c r="J32" s="2160">
        <v>0</v>
      </c>
      <c r="K32" s="2160">
        <v>0</v>
      </c>
      <c r="L32" s="2160">
        <v>0</v>
      </c>
      <c r="M32" s="2160">
        <v>0</v>
      </c>
      <c r="N32" s="2160">
        <v>0</v>
      </c>
      <c r="O32" s="2160"/>
      <c r="P32" s="2160">
        <v>0</v>
      </c>
      <c r="Q32" s="2160">
        <v>0</v>
      </c>
      <c r="R32" s="2161">
        <f>ROUND(SUM(D32:Q32),0)</f>
        <v>0</v>
      </c>
      <c r="S32" s="2161"/>
      <c r="T32" s="2160">
        <v>0</v>
      </c>
      <c r="U32" s="2163"/>
      <c r="V32" s="2163">
        <f t="shared" si="2"/>
        <v>0</v>
      </c>
      <c r="W32" s="2157"/>
    </row>
    <row r="33" spans="1:25" ht="16.5">
      <c r="A33" s="1670"/>
      <c r="B33" s="2128" t="s">
        <v>453</v>
      </c>
      <c r="C33" s="2128"/>
      <c r="D33" s="2160"/>
      <c r="E33" s="2160"/>
      <c r="F33" s="2160"/>
      <c r="G33" s="2160"/>
      <c r="H33" s="2160"/>
      <c r="I33" s="2160"/>
      <c r="J33" s="2160"/>
      <c r="K33" s="2160"/>
      <c r="L33" s="2160"/>
      <c r="M33" s="2160"/>
      <c r="N33" s="2160"/>
      <c r="O33" s="2160"/>
      <c r="P33" s="2160"/>
      <c r="Q33" s="2160"/>
      <c r="R33" s="2161"/>
      <c r="S33" s="2161"/>
      <c r="T33" s="3709"/>
      <c r="U33" s="2163"/>
      <c r="V33" s="2161"/>
      <c r="W33" s="2157"/>
    </row>
    <row r="34" spans="1:25" ht="16.5">
      <c r="A34" s="1670"/>
      <c r="B34" s="2128" t="s">
        <v>454</v>
      </c>
      <c r="C34" s="2128"/>
      <c r="D34" s="2160">
        <v>0</v>
      </c>
      <c r="E34" s="2160">
        <v>0</v>
      </c>
      <c r="F34" s="2160">
        <v>26675</v>
      </c>
      <c r="G34" s="2160">
        <v>0</v>
      </c>
      <c r="H34" s="2160">
        <v>0</v>
      </c>
      <c r="I34" s="2160">
        <v>0</v>
      </c>
      <c r="J34" s="2160">
        <v>0</v>
      </c>
      <c r="K34" s="2160">
        <v>0</v>
      </c>
      <c r="L34" s="2160">
        <v>0</v>
      </c>
      <c r="M34" s="2160">
        <v>0</v>
      </c>
      <c r="N34" s="2160">
        <v>0</v>
      </c>
      <c r="O34" s="2160"/>
      <c r="P34" s="2160">
        <v>0</v>
      </c>
      <c r="Q34" s="2160">
        <v>0</v>
      </c>
      <c r="R34" s="2161">
        <f t="shared" ref="R34:R39" si="3">ROUND(SUM(D34:Q34),0)</f>
        <v>26675</v>
      </c>
      <c r="S34" s="2161"/>
      <c r="T34" s="2160">
        <v>51975</v>
      </c>
      <c r="U34" s="2164"/>
      <c r="V34" s="2163">
        <f t="shared" si="2"/>
        <v>-25300</v>
      </c>
      <c r="W34" s="2157"/>
    </row>
    <row r="35" spans="1:25" ht="16.5">
      <c r="A35" s="1670"/>
      <c r="B35" s="2166" t="s">
        <v>455</v>
      </c>
      <c r="C35" s="2167"/>
      <c r="D35" s="2160">
        <v>0</v>
      </c>
      <c r="E35" s="2160">
        <v>0</v>
      </c>
      <c r="F35" s="2160">
        <v>0</v>
      </c>
      <c r="G35" s="2160">
        <v>0</v>
      </c>
      <c r="H35" s="2160">
        <v>0</v>
      </c>
      <c r="I35" s="2160">
        <v>0</v>
      </c>
      <c r="J35" s="2160">
        <v>0</v>
      </c>
      <c r="K35" s="2160">
        <v>0</v>
      </c>
      <c r="L35" s="2160">
        <v>0</v>
      </c>
      <c r="M35" s="2160">
        <v>0</v>
      </c>
      <c r="N35" s="2160">
        <v>0</v>
      </c>
      <c r="O35" s="2160"/>
      <c r="P35" s="2160">
        <v>0</v>
      </c>
      <c r="Q35" s="2160">
        <v>0</v>
      </c>
      <c r="R35" s="2161">
        <f t="shared" si="3"/>
        <v>0</v>
      </c>
      <c r="S35" s="2161"/>
      <c r="T35" s="2160">
        <v>2777000</v>
      </c>
      <c r="U35" s="2164"/>
      <c r="V35" s="2163">
        <f t="shared" si="2"/>
        <v>-2777000</v>
      </c>
      <c r="W35" s="2157"/>
    </row>
    <row r="36" spans="1:25" ht="16.5">
      <c r="A36" s="1670"/>
      <c r="B36" s="2128" t="s">
        <v>1260</v>
      </c>
      <c r="C36" s="2128"/>
      <c r="D36" s="2160">
        <v>0</v>
      </c>
      <c r="E36" s="2160">
        <v>0</v>
      </c>
      <c r="F36" s="2160">
        <v>2894454</v>
      </c>
      <c r="G36" s="2160">
        <v>0</v>
      </c>
      <c r="H36" s="2160">
        <v>0</v>
      </c>
      <c r="I36" s="2160">
        <v>0</v>
      </c>
      <c r="J36" s="2160">
        <v>0</v>
      </c>
      <c r="K36" s="2160">
        <v>0</v>
      </c>
      <c r="L36" s="2160">
        <v>0</v>
      </c>
      <c r="M36" s="2160">
        <v>0</v>
      </c>
      <c r="N36" s="2160">
        <v>0</v>
      </c>
      <c r="O36" s="2160"/>
      <c r="P36" s="2160">
        <v>0</v>
      </c>
      <c r="Q36" s="2160">
        <v>0</v>
      </c>
      <c r="R36" s="2161">
        <f t="shared" si="3"/>
        <v>2894454</v>
      </c>
      <c r="S36" s="2161"/>
      <c r="T36" s="2160">
        <v>25923969</v>
      </c>
      <c r="U36" s="2164"/>
      <c r="V36" s="2163">
        <f t="shared" si="2"/>
        <v>-23029515</v>
      </c>
      <c r="W36" s="2157"/>
    </row>
    <row r="37" spans="1:25" ht="16.5">
      <c r="A37" s="1670"/>
      <c r="B37" s="2166" t="s">
        <v>456</v>
      </c>
      <c r="C37" s="2167"/>
      <c r="D37" s="2160">
        <v>0</v>
      </c>
      <c r="E37" s="2160">
        <v>0</v>
      </c>
      <c r="F37" s="2160">
        <v>0</v>
      </c>
      <c r="G37" s="2160">
        <v>0</v>
      </c>
      <c r="H37" s="2160">
        <v>0</v>
      </c>
      <c r="I37" s="2160">
        <v>0</v>
      </c>
      <c r="J37" s="2160">
        <v>0</v>
      </c>
      <c r="K37" s="2160">
        <v>0</v>
      </c>
      <c r="L37" s="2160">
        <v>0</v>
      </c>
      <c r="M37" s="2160">
        <v>0</v>
      </c>
      <c r="N37" s="2160">
        <v>0</v>
      </c>
      <c r="O37" s="2160"/>
      <c r="P37" s="2160">
        <v>0</v>
      </c>
      <c r="Q37" s="2160">
        <v>0</v>
      </c>
      <c r="R37" s="2161">
        <f t="shared" si="3"/>
        <v>0</v>
      </c>
      <c r="S37" s="2161"/>
      <c r="T37" s="2160">
        <v>362000</v>
      </c>
      <c r="U37" s="2163"/>
      <c r="V37" s="2163">
        <f t="shared" si="2"/>
        <v>-362000</v>
      </c>
      <c r="W37" s="2157"/>
    </row>
    <row r="38" spans="1:25" ht="16.5">
      <c r="A38" s="1670"/>
      <c r="B38" s="2138" t="s">
        <v>457</v>
      </c>
      <c r="C38" s="2138"/>
      <c r="D38" s="2160">
        <v>0</v>
      </c>
      <c r="E38" s="2160">
        <v>0</v>
      </c>
      <c r="F38" s="2160">
        <v>0</v>
      </c>
      <c r="G38" s="2160">
        <v>0</v>
      </c>
      <c r="H38" s="2160">
        <v>0</v>
      </c>
      <c r="I38" s="2160">
        <v>0</v>
      </c>
      <c r="J38" s="2160">
        <v>0</v>
      </c>
      <c r="K38" s="2160">
        <v>0</v>
      </c>
      <c r="L38" s="2160">
        <v>0</v>
      </c>
      <c r="M38" s="2160">
        <v>0</v>
      </c>
      <c r="N38" s="2160">
        <v>0</v>
      </c>
      <c r="O38" s="2160"/>
      <c r="P38" s="2160">
        <v>0</v>
      </c>
      <c r="Q38" s="2160">
        <v>0</v>
      </c>
      <c r="R38" s="2161">
        <f t="shared" si="3"/>
        <v>0</v>
      </c>
      <c r="S38" s="2161"/>
      <c r="T38" s="2160">
        <v>0</v>
      </c>
      <c r="U38" s="2163"/>
      <c r="V38" s="2163">
        <f t="shared" si="2"/>
        <v>0</v>
      </c>
      <c r="W38" s="2157"/>
    </row>
    <row r="39" spans="1:25" ht="16.5">
      <c r="A39" s="1670"/>
      <c r="B39" s="2166" t="s">
        <v>1172</v>
      </c>
      <c r="C39" s="2167"/>
      <c r="D39" s="2160">
        <v>0</v>
      </c>
      <c r="E39" s="2160">
        <v>0</v>
      </c>
      <c r="F39" s="2160">
        <v>0</v>
      </c>
      <c r="G39" s="2160">
        <v>0</v>
      </c>
      <c r="H39" s="2160">
        <v>0</v>
      </c>
      <c r="I39" s="2160">
        <v>0</v>
      </c>
      <c r="J39" s="2160">
        <v>0</v>
      </c>
      <c r="K39" s="2160">
        <v>0</v>
      </c>
      <c r="L39" s="2160">
        <v>0</v>
      </c>
      <c r="M39" s="2160">
        <v>0</v>
      </c>
      <c r="N39" s="2160">
        <v>0</v>
      </c>
      <c r="O39" s="2160"/>
      <c r="P39" s="2160">
        <v>0</v>
      </c>
      <c r="Q39" s="2160">
        <v>0</v>
      </c>
      <c r="R39" s="2161">
        <f t="shared" si="3"/>
        <v>0</v>
      </c>
      <c r="S39" s="2161"/>
      <c r="T39" s="2160">
        <v>0</v>
      </c>
      <c r="U39" s="2163"/>
      <c r="V39" s="2163">
        <f t="shared" si="2"/>
        <v>0</v>
      </c>
      <c r="W39" s="2157"/>
    </row>
    <row r="40" spans="1:25" ht="16.5">
      <c r="A40" s="1669"/>
      <c r="B40" s="2128" t="s">
        <v>1013</v>
      </c>
      <c r="C40" s="2128"/>
      <c r="D40" s="2160">
        <v>0</v>
      </c>
      <c r="E40" s="2160">
        <v>0</v>
      </c>
      <c r="F40" s="2160">
        <v>0</v>
      </c>
      <c r="G40" s="2160">
        <v>0</v>
      </c>
      <c r="H40" s="2160">
        <v>0</v>
      </c>
      <c r="I40" s="2160">
        <v>0</v>
      </c>
      <c r="J40" s="2160">
        <v>0</v>
      </c>
      <c r="K40" s="2160">
        <v>0</v>
      </c>
      <c r="L40" s="2160">
        <v>0</v>
      </c>
      <c r="M40" s="2160">
        <v>0</v>
      </c>
      <c r="N40" s="2160">
        <v>5105575</v>
      </c>
      <c r="O40" s="2160"/>
      <c r="P40" s="2160">
        <v>0</v>
      </c>
      <c r="Q40" s="2160">
        <v>0</v>
      </c>
      <c r="R40" s="2161">
        <f>ROUND(SUM(D40:Q40),0)</f>
        <v>5105575</v>
      </c>
      <c r="S40" s="2161"/>
      <c r="T40" s="2160">
        <v>8251737</v>
      </c>
      <c r="U40" s="2168"/>
      <c r="V40" s="2163">
        <f t="shared" si="2"/>
        <v>-3146162</v>
      </c>
      <c r="W40" s="2157"/>
      <c r="Y40" s="1671"/>
    </row>
    <row r="41" spans="1:25" ht="16.5">
      <c r="B41" s="2128" t="s">
        <v>458</v>
      </c>
      <c r="C41" s="2128"/>
      <c r="D41" s="2160">
        <v>0</v>
      </c>
      <c r="E41" s="2160">
        <v>0</v>
      </c>
      <c r="F41" s="2160">
        <v>60072</v>
      </c>
      <c r="G41" s="2160">
        <v>0</v>
      </c>
      <c r="H41" s="2160">
        <v>0</v>
      </c>
      <c r="I41" s="2160">
        <v>0</v>
      </c>
      <c r="J41" s="2160">
        <v>0</v>
      </c>
      <c r="K41" s="2160">
        <v>0</v>
      </c>
      <c r="L41" s="2160">
        <v>0</v>
      </c>
      <c r="M41" s="2160">
        <v>0</v>
      </c>
      <c r="N41" s="2160">
        <v>0</v>
      </c>
      <c r="O41" s="2160"/>
      <c r="P41" s="2160">
        <v>0</v>
      </c>
      <c r="Q41" s="2160">
        <v>0</v>
      </c>
      <c r="R41" s="2161">
        <f>ROUND(SUM(D41:Q41),0)</f>
        <v>60072</v>
      </c>
      <c r="S41" s="2161"/>
      <c r="T41" s="3709">
        <v>0</v>
      </c>
      <c r="U41" s="2169"/>
      <c r="V41" s="2163">
        <f t="shared" si="2"/>
        <v>60072</v>
      </c>
      <c r="W41" s="2157"/>
    </row>
    <row r="42" spans="1:25" ht="16.5">
      <c r="A42" s="1672"/>
      <c r="B42" s="2131" t="s">
        <v>459</v>
      </c>
      <c r="C42" s="2131"/>
      <c r="D42" s="2134"/>
      <c r="E42" s="2134"/>
      <c r="F42" s="2134"/>
      <c r="G42" s="2134"/>
      <c r="H42" s="2170"/>
      <c r="I42" s="2170"/>
      <c r="J42" s="2162"/>
      <c r="K42" s="2162"/>
      <c r="L42" s="2162"/>
      <c r="M42" s="2162"/>
      <c r="N42" s="2170"/>
      <c r="O42" s="2170"/>
      <c r="P42" s="2170"/>
      <c r="Q42" s="2170"/>
      <c r="R42" s="2170"/>
      <c r="S42" s="2170"/>
      <c r="T42" s="2170"/>
      <c r="U42" s="2171"/>
      <c r="V42" s="2161"/>
      <c r="W42" s="2157"/>
    </row>
    <row r="43" spans="1:25" s="1668" customFormat="1" ht="17.25" thickBot="1">
      <c r="B43" s="2172" t="s">
        <v>460</v>
      </c>
      <c r="C43" s="2136"/>
      <c r="D43" s="2173">
        <f>ROUND(SUM(D15:D41),0)</f>
        <v>0</v>
      </c>
      <c r="E43" s="2174"/>
      <c r="F43" s="2173">
        <f>ROUND(SUM(F15:F41),0)</f>
        <v>298340659</v>
      </c>
      <c r="G43" s="2174"/>
      <c r="H43" s="2173">
        <f>ROUND(SUM(H15:H41),0)</f>
        <v>13080876</v>
      </c>
      <c r="I43" s="2174"/>
      <c r="J43" s="2173">
        <f>ROUND(SUM(J15:J41),0)</f>
        <v>8402319</v>
      </c>
      <c r="K43" s="2175"/>
      <c r="L43" s="2173">
        <f>ROUND(SUM(L15:L41),0)</f>
        <v>1630844</v>
      </c>
      <c r="M43" s="2175"/>
      <c r="N43" s="2173">
        <f>ROUND(SUM(N15:N41),0)</f>
        <v>115301247</v>
      </c>
      <c r="O43" s="2174"/>
      <c r="P43" s="2173">
        <f>ROUND(SUM(P15:P41),0)</f>
        <v>0</v>
      </c>
      <c r="Q43" s="2174"/>
      <c r="R43" s="2173">
        <f>ROUND(SUM(R15:R41),0)</f>
        <v>436755945</v>
      </c>
      <c r="S43" s="2174"/>
      <c r="T43" s="2173">
        <f>ROUND(SUM(T15:T41),0)</f>
        <v>338304185</v>
      </c>
      <c r="U43" s="2174"/>
      <c r="V43" s="2173">
        <f>ROUND(SUM(V15:V41),0)</f>
        <v>98451760</v>
      </c>
      <c r="W43" s="2157"/>
    </row>
    <row r="44" spans="1:25" ht="17.25" thickTop="1">
      <c r="B44" s="2176"/>
      <c r="C44" s="2176"/>
      <c r="D44" s="2128"/>
      <c r="E44" s="2128"/>
      <c r="F44" s="2128"/>
      <c r="G44" s="2128"/>
      <c r="H44" s="2128"/>
      <c r="I44" s="2128"/>
      <c r="J44" s="2128"/>
      <c r="K44" s="2128"/>
      <c r="L44" s="2128"/>
      <c r="M44" s="2128"/>
      <c r="N44" s="2128"/>
      <c r="O44" s="2128"/>
      <c r="P44" s="2128"/>
      <c r="Q44" s="2128"/>
      <c r="R44" s="2128"/>
      <c r="S44" s="2128"/>
      <c r="T44" s="2128"/>
      <c r="U44" s="2128"/>
      <c r="V44" s="2177"/>
      <c r="W44" s="2129"/>
    </row>
    <row r="45" spans="1:25" ht="16.5">
      <c r="B45" s="2128"/>
      <c r="C45" s="2128"/>
      <c r="D45" s="2128"/>
      <c r="E45" s="2128"/>
      <c r="F45" s="2128"/>
      <c r="G45" s="2128"/>
      <c r="H45" s="2128"/>
      <c r="I45" s="2128"/>
      <c r="J45" s="2128"/>
      <c r="K45" s="2128"/>
      <c r="L45" s="2128"/>
      <c r="M45" s="2128"/>
      <c r="N45" s="2128"/>
      <c r="O45" s="2128"/>
      <c r="P45" s="2128"/>
      <c r="Q45" s="2128"/>
      <c r="R45" s="3601"/>
      <c r="S45" s="2128"/>
      <c r="T45" s="2128"/>
      <c r="U45" s="2128"/>
      <c r="V45" s="2128"/>
    </row>
    <row r="46" spans="1:25" ht="15">
      <c r="B46" s="1673"/>
      <c r="R46" s="3602"/>
    </row>
    <row r="47" spans="1:25" ht="15">
      <c r="B47" s="1673"/>
    </row>
    <row r="48" spans="1:25" ht="15">
      <c r="B48" s="1673"/>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62" customWidth="1"/>
    <col min="4" max="4" width="10.44140625" style="1362" customWidth="1"/>
    <col min="5" max="5" width="14.77734375" style="1362" customWidth="1"/>
    <col min="6" max="6" width="1.21875" style="1362" customWidth="1"/>
    <col min="7" max="7" width="16.77734375" style="1362" customWidth="1"/>
    <col min="8" max="8" width="1.21875" style="1362" customWidth="1"/>
    <col min="9" max="9" width="16.77734375" style="1362" bestFit="1" customWidth="1"/>
    <col min="10" max="10" width="9.77734375" style="1362" customWidth="1"/>
    <col min="11" max="11" width="15.77734375" style="1362" customWidth="1"/>
    <col min="12" max="16384" width="8.77734375" style="1362"/>
  </cols>
  <sheetData>
    <row r="1" spans="1:11">
      <c r="A1" s="3758" t="s">
        <v>980</v>
      </c>
    </row>
    <row r="2" spans="1:11">
      <c r="A2" s="845"/>
    </row>
    <row r="3" spans="1:11" ht="15.75">
      <c r="A3" s="735" t="s">
        <v>0</v>
      </c>
      <c r="I3" s="1225" t="s">
        <v>1171</v>
      </c>
    </row>
    <row r="4" spans="1:11" ht="15.75">
      <c r="A4" s="846" t="s">
        <v>1170</v>
      </c>
    </row>
    <row r="5" spans="1:11" ht="15.75">
      <c r="A5" s="2009" t="s">
        <v>1474</v>
      </c>
      <c r="B5" s="2010"/>
      <c r="C5" s="2010"/>
      <c r="D5" s="2010"/>
      <c r="E5" s="2010"/>
      <c r="F5" s="2010"/>
      <c r="G5" s="2010"/>
      <c r="H5" s="2010"/>
      <c r="I5" s="2010"/>
      <c r="J5" s="2010"/>
      <c r="K5" s="2010"/>
    </row>
    <row r="6" spans="1:11" ht="15.75">
      <c r="A6" s="2009" t="s">
        <v>882</v>
      </c>
      <c r="B6" s="2010"/>
      <c r="C6" s="2010"/>
      <c r="D6" s="2010"/>
      <c r="E6" s="2010"/>
      <c r="F6" s="2010"/>
      <c r="G6" s="2010"/>
      <c r="H6" s="2010"/>
      <c r="I6" s="2010"/>
      <c r="J6" s="2010"/>
      <c r="K6" s="2010"/>
    </row>
    <row r="7" spans="1:11" ht="15.75">
      <c r="A7" s="2009" t="s">
        <v>1433</v>
      </c>
      <c r="B7" s="2011"/>
      <c r="C7" s="2011"/>
      <c r="D7" s="2011"/>
      <c r="E7" s="2011"/>
      <c r="F7" s="2011"/>
      <c r="G7" s="2011"/>
      <c r="H7" s="2011"/>
      <c r="I7" s="2011"/>
      <c r="J7" s="2011"/>
      <c r="K7" s="2011"/>
    </row>
    <row r="8" spans="1:11">
      <c r="A8" s="406"/>
      <c r="F8" s="406"/>
      <c r="H8" s="406"/>
    </row>
    <row r="9" spans="1:11" ht="15.75">
      <c r="A9" s="406"/>
      <c r="E9" s="407" t="s">
        <v>7</v>
      </c>
      <c r="F9" s="406"/>
      <c r="G9" s="408" t="s">
        <v>462</v>
      </c>
      <c r="H9" s="406"/>
      <c r="I9" s="407" t="s">
        <v>461</v>
      </c>
    </row>
    <row r="10" spans="1:11" ht="15.75">
      <c r="A10" s="406"/>
      <c r="E10" s="409" t="s">
        <v>1465</v>
      </c>
      <c r="F10" s="406"/>
      <c r="G10" s="408" t="s">
        <v>464</v>
      </c>
      <c r="H10" s="406"/>
      <c r="I10" s="408" t="s">
        <v>463</v>
      </c>
    </row>
    <row r="11" spans="1:11" ht="15.75">
      <c r="A11" s="406"/>
      <c r="E11" s="1960"/>
      <c r="F11" s="406"/>
      <c r="G11" s="1960"/>
      <c r="H11" s="406"/>
      <c r="I11" s="1960"/>
    </row>
    <row r="12" spans="1:11" ht="15.75">
      <c r="A12" s="410" t="s">
        <v>972</v>
      </c>
      <c r="F12" s="406"/>
      <c r="H12" s="406"/>
      <c r="I12" s="734"/>
      <c r="J12" s="734"/>
    </row>
    <row r="13" spans="1:11">
      <c r="A13" s="406"/>
      <c r="F13" s="406"/>
      <c r="H13" s="406"/>
      <c r="I13" s="734"/>
      <c r="J13" s="734"/>
    </row>
    <row r="14" spans="1:11">
      <c r="A14" s="678" t="s">
        <v>971</v>
      </c>
      <c r="E14" s="3249">
        <v>19671.8</v>
      </c>
      <c r="F14" s="3249"/>
      <c r="G14" s="3604">
        <v>19670.599999999999</v>
      </c>
      <c r="H14" s="1363"/>
      <c r="I14" s="3249">
        <v>15699.8</v>
      </c>
      <c r="J14" s="734"/>
    </row>
    <row r="15" spans="1:11">
      <c r="A15" s="678" t="s">
        <v>970</v>
      </c>
      <c r="E15" s="3250">
        <v>2.3779999999999999E-2</v>
      </c>
      <c r="F15" s="732"/>
      <c r="G15" s="3605">
        <v>2.4549999999999999E-2</v>
      </c>
      <c r="H15" s="825"/>
      <c r="I15" s="3250">
        <v>1.9519999999999999E-2</v>
      </c>
      <c r="J15" s="734"/>
    </row>
    <row r="16" spans="1:11">
      <c r="A16" s="825" t="s">
        <v>465</v>
      </c>
      <c r="E16" s="3251">
        <v>38.859000000000002</v>
      </c>
      <c r="F16" s="3606"/>
      <c r="G16" s="3607">
        <v>157.583</v>
      </c>
      <c r="H16" s="921"/>
      <c r="I16" s="3251">
        <v>99.454999999999998</v>
      </c>
      <c r="J16" s="734"/>
    </row>
    <row r="17" spans="1:10">
      <c r="A17" s="406"/>
      <c r="I17" s="734"/>
      <c r="J17" s="412"/>
    </row>
    <row r="18" spans="1:10">
      <c r="A18" s="896"/>
      <c r="B18" s="1364"/>
      <c r="C18" s="1364"/>
      <c r="D18" s="1364"/>
      <c r="E18" s="1364"/>
      <c r="F18" s="1364"/>
      <c r="G18" s="1364"/>
      <c r="H18" s="1364"/>
      <c r="I18" s="3268"/>
      <c r="J18" s="896"/>
    </row>
    <row r="19" spans="1:10">
      <c r="A19" s="896"/>
      <c r="B19" s="1364"/>
      <c r="C19" s="1364"/>
      <c r="D19" s="1364"/>
      <c r="E19" s="1364"/>
      <c r="F19" s="1364"/>
      <c r="G19" s="1364"/>
      <c r="H19" s="1364"/>
      <c r="I19" s="3268"/>
      <c r="J19" s="896"/>
    </row>
    <row r="20" spans="1:10" ht="18">
      <c r="A20" s="897" t="s">
        <v>466</v>
      </c>
      <c r="B20" s="898"/>
      <c r="C20" s="898"/>
      <c r="D20" s="1364"/>
      <c r="E20" s="1364"/>
      <c r="F20" s="1364"/>
      <c r="G20" s="1364"/>
      <c r="H20" s="1364"/>
      <c r="I20" s="3268"/>
      <c r="J20" s="896"/>
    </row>
    <row r="21" spans="1:10">
      <c r="A21" s="896"/>
      <c r="B21" s="1364"/>
      <c r="C21" s="1364"/>
      <c r="D21" s="1364"/>
      <c r="E21" s="1364"/>
      <c r="F21" s="636"/>
      <c r="G21" s="636" t="str">
        <f>E10</f>
        <v>JULY 2019</v>
      </c>
      <c r="H21" s="2209"/>
      <c r="I21" s="3713" t="s">
        <v>1468</v>
      </c>
      <c r="J21" s="896"/>
    </row>
    <row r="22" spans="1:10">
      <c r="A22" s="896"/>
      <c r="B22" s="899" t="s">
        <v>467</v>
      </c>
      <c r="C22" s="1364"/>
      <c r="D22" s="1365" t="s">
        <v>15</v>
      </c>
      <c r="E22" s="1364"/>
      <c r="F22" s="900"/>
      <c r="G22" s="2014" t="s">
        <v>468</v>
      </c>
      <c r="H22" s="900"/>
      <c r="I22" s="3714" t="s">
        <v>468</v>
      </c>
      <c r="J22" s="896"/>
    </row>
    <row r="23" spans="1:10">
      <c r="A23" s="896"/>
      <c r="B23" s="1365" t="s">
        <v>469</v>
      </c>
      <c r="C23" s="1364"/>
      <c r="D23" s="1364"/>
      <c r="E23" s="1364"/>
      <c r="F23" s="1366"/>
      <c r="G23" s="1367">
        <v>1491.3</v>
      </c>
      <c r="H23" s="1366"/>
      <c r="I23" s="3769">
        <v>1800</v>
      </c>
      <c r="J23" s="896"/>
    </row>
    <row r="24" spans="1:10">
      <c r="A24" s="896"/>
      <c r="B24" s="1365" t="s">
        <v>470</v>
      </c>
      <c r="C24" s="1364"/>
      <c r="D24" s="1364"/>
      <c r="E24" s="1364"/>
      <c r="F24" s="1366"/>
      <c r="G24" s="1368">
        <v>29</v>
      </c>
      <c r="H24" s="1366"/>
      <c r="I24" s="3770">
        <v>26.1</v>
      </c>
      <c r="J24" s="896"/>
    </row>
    <row r="25" spans="1:10">
      <c r="A25" s="896"/>
      <c r="B25" s="1365" t="s">
        <v>471</v>
      </c>
      <c r="C25" s="1364"/>
      <c r="D25" s="1364"/>
      <c r="E25" s="1364"/>
      <c r="F25" s="1369"/>
      <c r="G25" s="1368">
        <v>15274.3</v>
      </c>
      <c r="H25" s="1369"/>
      <c r="I25" s="3771">
        <v>11753.6</v>
      </c>
      <c r="J25" s="896" t="s">
        <v>15</v>
      </c>
    </row>
    <row r="26" spans="1:10">
      <c r="A26" s="896"/>
      <c r="B26" s="1365" t="s">
        <v>472</v>
      </c>
      <c r="C26" s="1364"/>
      <c r="D26" s="1364"/>
      <c r="E26" s="1364"/>
      <c r="F26" s="1369"/>
      <c r="G26" s="1368">
        <v>3005.1</v>
      </c>
      <c r="H26" s="1369"/>
      <c r="I26" s="3771">
        <v>2937.8</v>
      </c>
      <c r="J26" s="896" t="s">
        <v>15</v>
      </c>
    </row>
    <row r="27" spans="1:10">
      <c r="A27" s="896"/>
      <c r="B27" s="901" t="s">
        <v>845</v>
      </c>
      <c r="C27" s="1364"/>
      <c r="D27" s="1364"/>
      <c r="E27" s="1364"/>
      <c r="F27" s="1370"/>
      <c r="G27" s="1368">
        <v>3</v>
      </c>
      <c r="H27" s="1370"/>
      <c r="I27" s="3771">
        <v>325</v>
      </c>
      <c r="J27" s="896"/>
    </row>
    <row r="28" spans="1:10" ht="16.5" thickBot="1">
      <c r="A28" s="896"/>
      <c r="B28" s="1364"/>
      <c r="C28" s="1364"/>
      <c r="D28" s="1364"/>
      <c r="E28" s="1364"/>
      <c r="F28" s="411"/>
      <c r="G28" s="1961">
        <f>ROUND(SUM(G23:G27),1)</f>
        <v>19802.7</v>
      </c>
      <c r="H28" s="411"/>
      <c r="I28" s="3621">
        <f>ROUND(SUM(I23:I27),1)</f>
        <v>16842.5</v>
      </c>
      <c r="J28" s="896"/>
    </row>
    <row r="29" spans="1:10" ht="15.75" thickTop="1">
      <c r="A29" s="406"/>
      <c r="F29" s="1371"/>
      <c r="G29" s="1371"/>
      <c r="H29" s="1371"/>
      <c r="I29" s="734"/>
      <c r="J29" s="406"/>
    </row>
    <row r="30" spans="1:10">
      <c r="A30" s="406"/>
      <c r="J30" s="406"/>
    </row>
    <row r="31" spans="1:10" ht="15.75">
      <c r="A31" s="410"/>
      <c r="J31" s="406"/>
    </row>
    <row r="32" spans="1:10" ht="192.75" customHeight="1">
      <c r="A32" s="3829" t="s">
        <v>985</v>
      </c>
      <c r="B32" s="3829"/>
      <c r="C32" s="3829"/>
      <c r="D32" s="3829"/>
      <c r="E32" s="3829"/>
      <c r="F32" s="3829"/>
      <c r="G32" s="3829"/>
      <c r="H32" s="3829"/>
      <c r="I32" s="3829"/>
      <c r="J32" s="406"/>
    </row>
    <row r="34" spans="1:11" ht="15" customHeight="1">
      <c r="A34" s="663" t="s">
        <v>973</v>
      </c>
      <c r="B34" s="733"/>
      <c r="C34" s="733"/>
      <c r="D34" s="733"/>
      <c r="E34" s="733"/>
      <c r="F34" s="733"/>
      <c r="G34" s="733"/>
      <c r="H34" s="733"/>
      <c r="I34" s="733"/>
      <c r="J34" s="733"/>
      <c r="K34" s="733"/>
    </row>
    <row r="35" spans="1:11" ht="17.25" customHeight="1">
      <c r="A35" s="731"/>
      <c r="B35" s="734"/>
      <c r="C35" s="734"/>
      <c r="D35" s="734"/>
      <c r="E35" s="734"/>
      <c r="F35" s="734"/>
      <c r="G35" s="734"/>
      <c r="H35" s="734"/>
      <c r="I35" s="734"/>
      <c r="J35" s="734"/>
      <c r="K35" s="412"/>
    </row>
    <row r="36" spans="1:11">
      <c r="A36" s="825"/>
      <c r="B36" s="825"/>
      <c r="C36" s="734"/>
      <c r="D36" s="734"/>
      <c r="E36" s="734"/>
      <c r="F36" s="734"/>
      <c r="G36" s="734"/>
      <c r="H36" s="734"/>
      <c r="I36" s="734"/>
      <c r="J36" s="734"/>
      <c r="K36" s="412"/>
    </row>
    <row r="37" spans="1:11">
      <c r="A37" s="731"/>
      <c r="B37" s="732"/>
      <c r="C37" s="734"/>
      <c r="D37" s="734"/>
      <c r="E37" s="734"/>
      <c r="F37" s="734"/>
      <c r="G37" s="734"/>
      <c r="H37" s="734"/>
      <c r="I37" s="734"/>
      <c r="J37" s="734"/>
      <c r="K37" s="412"/>
    </row>
    <row r="38" spans="1:11">
      <c r="A38" s="406"/>
      <c r="B38" s="825" t="s">
        <v>15</v>
      </c>
      <c r="C38" s="406"/>
      <c r="D38" s="406"/>
      <c r="E38" s="406"/>
      <c r="F38" s="406"/>
      <c r="G38" s="406"/>
      <c r="H38" s="406"/>
      <c r="I38" s="406"/>
    </row>
    <row r="39" spans="1:11">
      <c r="B39" s="825" t="s">
        <v>15</v>
      </c>
    </row>
  </sheetData>
  <mergeCells count="1">
    <mergeCell ref="A32:I32"/>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77734375" defaultRowHeight="15"/>
  <cols>
    <col min="1" max="1" width="45.44140625" style="1797" customWidth="1"/>
    <col min="2" max="2" width="17" style="1617" bestFit="1" customWidth="1"/>
    <col min="3" max="3" width="1.77734375" style="1617" customWidth="1"/>
    <col min="4" max="4" width="17" style="1617" bestFit="1" customWidth="1"/>
    <col min="5" max="5" width="1.77734375" style="1616" customWidth="1"/>
    <col min="6" max="6" width="17.21875" style="1617" customWidth="1"/>
    <col min="7" max="7" width="1.77734375" style="1616" customWidth="1"/>
    <col min="8" max="8" width="17.5546875" style="1617" customWidth="1"/>
    <col min="9" max="9" width="1.77734375" style="1848" customWidth="1"/>
    <col min="10" max="10" width="16.44140625" style="1802" customWidth="1"/>
    <col min="11" max="11" width="1.77734375" style="1802" customWidth="1"/>
    <col min="12" max="12" width="17" style="1802" bestFit="1" customWidth="1"/>
    <col min="13" max="13" width="1.77734375" style="1848" customWidth="1"/>
    <col min="14" max="14" width="17.5546875" style="1802" customWidth="1"/>
    <col min="15" max="15" width="1.77734375" style="1848" customWidth="1"/>
    <col min="16" max="16" width="17.21875" style="1802" customWidth="1"/>
    <col min="17" max="17" width="1.77734375" style="1848" customWidth="1"/>
    <col min="18" max="18" width="13.77734375" style="1802" customWidth="1"/>
    <col min="19" max="19" width="1.77734375" style="1848" customWidth="1"/>
    <col min="20" max="20" width="13.77734375" style="1802" customWidth="1"/>
    <col min="21" max="21" width="1.77734375" style="1848" customWidth="1"/>
    <col min="22" max="22" width="13.77734375" style="1802" customWidth="1"/>
    <col min="23" max="23" width="1.77734375" style="1848" customWidth="1"/>
    <col min="24" max="24" width="13.77734375" style="1802" customWidth="1"/>
    <col min="25" max="25" width="1.77734375" style="1848" customWidth="1"/>
    <col min="26" max="26" width="21.6640625" style="1849" customWidth="1"/>
    <col min="27" max="27" width="1.5546875" style="1815" customWidth="1"/>
    <col min="28" max="28" width="18.77734375" style="1797" bestFit="1" customWidth="1"/>
    <col min="29" max="29" width="12.77734375" style="1797" bestFit="1" customWidth="1"/>
    <col min="30" max="16384" width="8.77734375" style="1797"/>
  </cols>
  <sheetData>
    <row r="1" spans="1:40">
      <c r="A1" s="1544" t="s">
        <v>980</v>
      </c>
      <c r="B1" s="1332"/>
      <c r="C1" s="1332"/>
      <c r="D1" s="1332"/>
      <c r="E1" s="1332"/>
      <c r="F1" s="1332"/>
      <c r="G1" s="1332"/>
      <c r="H1" s="1332"/>
      <c r="I1" s="1796"/>
      <c r="J1" s="1796"/>
      <c r="K1" s="1796"/>
      <c r="L1" s="1796"/>
      <c r="M1" s="1796"/>
      <c r="N1" s="1796"/>
      <c r="O1" s="1796"/>
      <c r="P1" s="1796"/>
      <c r="Q1" s="1796"/>
      <c r="R1" s="1796"/>
      <c r="S1" s="1796"/>
      <c r="T1" s="1796"/>
      <c r="U1" s="1796"/>
      <c r="V1" s="1796"/>
      <c r="W1" s="1796"/>
      <c r="X1" s="1796"/>
      <c r="Y1" s="1796"/>
      <c r="Z1" s="1796"/>
      <c r="AA1" s="3640"/>
      <c r="AB1" s="1796"/>
      <c r="AC1" s="1796"/>
      <c r="AD1" s="1796"/>
      <c r="AE1" s="1796"/>
      <c r="AF1" s="1796"/>
      <c r="AG1" s="1796"/>
    </row>
    <row r="2" spans="1:40">
      <c r="A2" s="1544"/>
      <c r="B2" s="1332"/>
      <c r="C2" s="1332"/>
      <c r="D2" s="1332"/>
      <c r="E2" s="1332"/>
      <c r="F2" s="1332"/>
      <c r="G2" s="1332"/>
      <c r="H2" s="1332"/>
      <c r="I2" s="1796"/>
      <c r="J2" s="1796"/>
      <c r="K2" s="1796"/>
      <c r="L2" s="1796"/>
      <c r="M2" s="1796"/>
      <c r="N2" s="1796"/>
      <c r="O2" s="1796"/>
      <c r="P2" s="1796"/>
      <c r="Q2" s="1796"/>
      <c r="R2" s="1796"/>
      <c r="S2" s="1796"/>
      <c r="T2" s="1796"/>
      <c r="U2" s="1796"/>
      <c r="V2" s="1796"/>
      <c r="W2" s="1796"/>
      <c r="X2" s="1796"/>
      <c r="Y2" s="1796"/>
      <c r="Z2" s="1796"/>
      <c r="AA2" s="3640"/>
      <c r="AB2" s="1796"/>
      <c r="AC2" s="1796"/>
      <c r="AD2" s="1796"/>
      <c r="AE2" s="1796"/>
      <c r="AF2" s="1796"/>
      <c r="AG2" s="1796"/>
    </row>
    <row r="3" spans="1:40" ht="24" customHeight="1">
      <c r="A3" s="1798" t="s">
        <v>0</v>
      </c>
      <c r="B3" s="486"/>
      <c r="C3" s="486"/>
      <c r="D3" s="487"/>
      <c r="E3" s="488"/>
      <c r="F3" s="487"/>
      <c r="G3" s="488"/>
      <c r="H3" s="487"/>
      <c r="I3" s="1801"/>
      <c r="K3" s="1799"/>
      <c r="L3" s="1803"/>
      <c r="M3" s="1799"/>
      <c r="N3" s="1800"/>
      <c r="O3" s="1801"/>
      <c r="P3" s="1800"/>
      <c r="Q3" s="1801"/>
      <c r="R3" s="1800"/>
      <c r="S3" s="1801"/>
      <c r="T3" s="1800"/>
      <c r="U3" s="1801"/>
      <c r="V3" s="1800"/>
      <c r="W3" s="1801"/>
      <c r="X3" s="1800"/>
      <c r="Y3" s="1801"/>
      <c r="Z3" s="1804" t="s">
        <v>473</v>
      </c>
      <c r="AA3" s="3641"/>
      <c r="AC3" s="1799"/>
      <c r="AE3" s="1799"/>
    </row>
    <row r="4" spans="1:40" ht="16.5">
      <c r="A4" s="1798" t="s">
        <v>474</v>
      </c>
      <c r="B4" s="1333"/>
      <c r="C4" s="1333"/>
      <c r="D4" s="490"/>
      <c r="E4" s="488"/>
      <c r="F4" s="1333"/>
      <c r="G4" s="488"/>
      <c r="H4" s="1333"/>
      <c r="I4" s="1801"/>
      <c r="J4" s="1805"/>
      <c r="K4" s="1805"/>
      <c r="L4" s="1805"/>
      <c r="M4" s="1806"/>
      <c r="N4" s="1805"/>
      <c r="O4" s="1801"/>
      <c r="P4" s="1805"/>
      <c r="Q4" s="1801"/>
      <c r="R4" s="1805"/>
      <c r="S4" s="1801"/>
      <c r="T4" s="1805"/>
      <c r="U4" s="1801"/>
      <c r="V4" s="1805"/>
      <c r="W4" s="1801"/>
      <c r="X4" s="1805"/>
      <c r="Y4" s="1801"/>
      <c r="Z4" s="1807"/>
      <c r="AA4" s="3641"/>
      <c r="AC4" s="1799"/>
    </row>
    <row r="5" spans="1:40" ht="16.5">
      <c r="A5" s="1808" t="s">
        <v>1190</v>
      </c>
      <c r="B5" s="1333"/>
      <c r="C5" s="1333"/>
      <c r="D5" s="1333"/>
      <c r="E5" s="488"/>
      <c r="F5" s="1333"/>
      <c r="G5" s="488"/>
      <c r="H5" s="1333"/>
      <c r="I5" s="1801"/>
      <c r="J5" s="1805"/>
      <c r="K5" s="1805"/>
      <c r="L5" s="1805"/>
      <c r="M5" s="1806"/>
      <c r="N5" s="1805"/>
      <c r="O5" s="1801"/>
      <c r="P5" s="1805"/>
      <c r="Q5" s="1801"/>
      <c r="R5" s="1805"/>
      <c r="S5" s="1801"/>
      <c r="T5" s="1805"/>
      <c r="U5" s="1801"/>
      <c r="V5" s="1805"/>
      <c r="W5" s="1801"/>
      <c r="X5" s="1805"/>
      <c r="Y5" s="1801"/>
      <c r="Z5" s="1807"/>
    </row>
    <row r="6" spans="1:40" ht="18" customHeight="1">
      <c r="A6" s="1809" t="str">
        <f>'Cashflow Governmental'!A6</f>
        <v>FISCAL YEAR 2019-2020</v>
      </c>
      <c r="B6" s="1333"/>
      <c r="C6" s="1333"/>
      <c r="D6" s="495"/>
      <c r="E6" s="488"/>
      <c r="F6" s="1333"/>
      <c r="G6" s="488"/>
      <c r="H6" s="1333"/>
      <c r="I6" s="1801"/>
      <c r="J6" s="1805"/>
      <c r="K6" s="1805"/>
      <c r="L6" s="1805"/>
      <c r="M6" s="1806"/>
      <c r="N6" s="1805"/>
      <c r="O6" s="1801"/>
      <c r="P6" s="1805"/>
      <c r="Q6" s="1801"/>
      <c r="R6" s="1805"/>
      <c r="S6" s="1801"/>
      <c r="T6" s="1805"/>
      <c r="U6" s="1801"/>
      <c r="V6" s="1805"/>
      <c r="W6" s="1801"/>
      <c r="X6" s="1805"/>
      <c r="Y6" s="1801"/>
      <c r="Z6" s="1807"/>
    </row>
    <row r="7" spans="1:40" ht="15" customHeight="1">
      <c r="A7" s="1810"/>
      <c r="B7" s="1333"/>
      <c r="C7" s="1333"/>
      <c r="D7" s="1333"/>
      <c r="E7" s="488"/>
      <c r="F7" s="1333"/>
      <c r="G7" s="488"/>
      <c r="H7" s="1333"/>
      <c r="I7" s="1801"/>
      <c r="J7" s="1805"/>
      <c r="K7" s="1805"/>
      <c r="L7" s="1805"/>
      <c r="M7" s="1806"/>
      <c r="N7" s="1805"/>
      <c r="O7" s="1801"/>
      <c r="P7" s="1805"/>
      <c r="Q7" s="1801"/>
      <c r="R7" s="1811"/>
      <c r="S7" s="1801"/>
      <c r="T7" s="1811"/>
      <c r="U7" s="1801"/>
      <c r="V7" s="1811"/>
      <c r="W7" s="1801"/>
      <c r="X7" s="1811"/>
      <c r="Y7" s="1801"/>
      <c r="Z7" s="1807"/>
    </row>
    <row r="8" spans="1:40" ht="15.75">
      <c r="A8" s="1812"/>
      <c r="B8" s="1333"/>
      <c r="C8" s="1333"/>
      <c r="D8" s="1333"/>
      <c r="E8" s="488"/>
      <c r="F8" s="1333"/>
      <c r="G8" s="488"/>
      <c r="H8" s="1333"/>
      <c r="I8" s="1801"/>
      <c r="J8" s="1805"/>
      <c r="K8" s="1805"/>
      <c r="L8" s="1805"/>
      <c r="M8" s="1801"/>
      <c r="N8" s="1805"/>
      <c r="O8" s="1801"/>
      <c r="P8" s="1805"/>
      <c r="Q8" s="1801"/>
      <c r="R8" s="1805"/>
      <c r="S8" s="1801"/>
      <c r="T8" s="1805"/>
      <c r="U8" s="1801"/>
      <c r="V8" s="1805"/>
      <c r="W8" s="1801"/>
      <c r="X8" s="1805"/>
      <c r="Y8" s="1801"/>
      <c r="Z8" s="1813"/>
      <c r="AA8" s="1814"/>
    </row>
    <row r="9" spans="1:40" ht="15" customHeight="1">
      <c r="A9" s="1815"/>
      <c r="B9" s="928" t="str">
        <f>'Cashflow Governmental'!C13</f>
        <v>2019</v>
      </c>
      <c r="C9" s="498"/>
      <c r="D9" s="498"/>
      <c r="E9" s="491"/>
      <c r="F9" s="498"/>
      <c r="G9" s="491"/>
      <c r="H9" s="498"/>
      <c r="I9" s="1806"/>
      <c r="J9" s="1817"/>
      <c r="K9" s="1817"/>
      <c r="L9" s="1818"/>
      <c r="M9" s="1806"/>
      <c r="N9" s="1818"/>
      <c r="O9" s="1806"/>
      <c r="P9" s="1818"/>
      <c r="Q9" s="1806"/>
      <c r="R9" s="1818"/>
      <c r="S9" s="1806"/>
      <c r="T9" s="1816" t="str">
        <f>'Cashflow Governmental'!U13</f>
        <v>2020</v>
      </c>
      <c r="U9" s="1806"/>
      <c r="V9" s="1818"/>
      <c r="W9" s="1806"/>
      <c r="X9" s="1818"/>
      <c r="Y9" s="1806"/>
      <c r="Z9" s="1819" t="s">
        <v>1479</v>
      </c>
      <c r="AA9" s="1819"/>
    </row>
    <row r="10" spans="1:40" ht="15" customHeight="1">
      <c r="A10" s="1815"/>
      <c r="B10" s="501" t="s">
        <v>125</v>
      </c>
      <c r="C10" s="502"/>
      <c r="D10" s="499" t="s">
        <v>126</v>
      </c>
      <c r="E10" s="491"/>
      <c r="F10" s="499" t="s">
        <v>127</v>
      </c>
      <c r="G10" s="491"/>
      <c r="H10" s="499" t="s">
        <v>128</v>
      </c>
      <c r="I10" s="1806"/>
      <c r="J10" s="2000" t="s">
        <v>129</v>
      </c>
      <c r="K10" s="503"/>
      <c r="L10" s="1818" t="s">
        <v>144</v>
      </c>
      <c r="M10" s="1806"/>
      <c r="N10" s="1818" t="s">
        <v>145</v>
      </c>
      <c r="O10" s="1806"/>
      <c r="P10" s="1818" t="s">
        <v>132</v>
      </c>
      <c r="Q10" s="1806"/>
      <c r="R10" s="1818" t="s">
        <v>133</v>
      </c>
      <c r="S10" s="1806"/>
      <c r="T10" s="1818" t="s">
        <v>134</v>
      </c>
      <c r="U10" s="1806"/>
      <c r="V10" s="1818" t="s">
        <v>135</v>
      </c>
      <c r="W10" s="1806"/>
      <c r="X10" s="1818" t="s">
        <v>186</v>
      </c>
      <c r="Y10" s="1806"/>
      <c r="Z10" s="1820">
        <v>43677</v>
      </c>
      <c r="AA10" s="1820"/>
    </row>
    <row r="11" spans="1:40" ht="15" customHeight="1">
      <c r="A11" s="1815"/>
      <c r="B11" s="1927" t="s">
        <v>15</v>
      </c>
      <c r="C11" s="1337"/>
      <c r="D11" s="1927" t="s">
        <v>15</v>
      </c>
      <c r="E11" s="1338"/>
      <c r="F11" s="1927" t="s">
        <v>15</v>
      </c>
      <c r="G11" s="1338"/>
      <c r="H11" s="1927" t="s">
        <v>15</v>
      </c>
      <c r="I11" s="1823"/>
      <c r="J11" s="1821" t="s">
        <v>15</v>
      </c>
      <c r="K11" s="503"/>
      <c r="L11" s="1821" t="s">
        <v>15</v>
      </c>
      <c r="M11" s="1823"/>
      <c r="N11" s="1821" t="s">
        <v>15</v>
      </c>
      <c r="O11" s="1823"/>
      <c r="P11" s="1821" t="s">
        <v>15</v>
      </c>
      <c r="Q11" s="1823"/>
      <c r="R11" s="1821" t="s">
        <v>15</v>
      </c>
      <c r="S11" s="1823"/>
      <c r="T11" s="1821" t="s">
        <v>15</v>
      </c>
      <c r="U11" s="1823"/>
      <c r="V11" s="1821" t="s">
        <v>15</v>
      </c>
      <c r="W11" s="1823"/>
      <c r="X11" s="1821" t="s">
        <v>15</v>
      </c>
      <c r="Y11" s="1823"/>
      <c r="Z11" s="1824" t="s">
        <v>15</v>
      </c>
      <c r="AB11" s="1825"/>
      <c r="AC11" s="1825"/>
      <c r="AD11" s="1825"/>
      <c r="AE11" s="1825"/>
      <c r="AF11" s="1825"/>
      <c r="AG11" s="1825"/>
      <c r="AH11" s="1825"/>
      <c r="AI11" s="1825"/>
      <c r="AJ11" s="1825"/>
      <c r="AK11" s="1825"/>
      <c r="AL11" s="1825"/>
      <c r="AM11" s="1825"/>
      <c r="AN11" s="1825"/>
    </row>
    <row r="12" spans="1:40" s="1827" customFormat="1" ht="15" customHeight="1">
      <c r="A12" s="517" t="s">
        <v>475</v>
      </c>
      <c r="B12" s="506">
        <v>0</v>
      </c>
      <c r="C12" s="507"/>
      <c r="D12" s="506">
        <f>B46</f>
        <v>543140525</v>
      </c>
      <c r="E12" s="1339"/>
      <c r="F12" s="506">
        <f>D46</f>
        <v>283562198</v>
      </c>
      <c r="G12" s="1339"/>
      <c r="H12" s="506">
        <f>F46</f>
        <v>300393092</v>
      </c>
      <c r="I12" s="1826"/>
      <c r="J12" s="519"/>
      <c r="K12" s="508"/>
      <c r="L12" s="519"/>
      <c r="M12" s="518"/>
      <c r="N12" s="519"/>
      <c r="O12" s="519"/>
      <c r="P12" s="519"/>
      <c r="Q12" s="519"/>
      <c r="R12" s="519"/>
      <c r="S12" s="519"/>
      <c r="T12" s="519"/>
      <c r="U12" s="519"/>
      <c r="V12" s="519"/>
      <c r="W12" s="519"/>
      <c r="X12" s="519"/>
      <c r="Y12" s="519"/>
      <c r="Z12" s="519">
        <f>+B12</f>
        <v>0</v>
      </c>
      <c r="AA12" s="3642"/>
    </row>
    <row r="13" spans="1:40" ht="15" customHeight="1">
      <c r="A13" s="1828"/>
      <c r="B13" s="1341"/>
      <c r="C13" s="1342"/>
      <c r="D13" s="1341"/>
      <c r="E13" s="1341"/>
      <c r="F13" s="1341"/>
      <c r="G13" s="1341"/>
      <c r="H13" s="1341"/>
      <c r="I13" s="1351"/>
      <c r="J13" s="1351"/>
      <c r="K13" s="503"/>
      <c r="L13" s="1351"/>
      <c r="M13" s="1351"/>
      <c r="N13" s="1351"/>
      <c r="O13" s="1351"/>
      <c r="P13" s="1351"/>
      <c r="Q13" s="1351"/>
      <c r="R13" s="1351"/>
      <c r="S13" s="1351"/>
      <c r="T13" s="1351"/>
      <c r="U13" s="1351"/>
      <c r="V13" s="1351"/>
      <c r="W13" s="1351"/>
      <c r="X13" s="1351"/>
      <c r="Y13" s="1351"/>
      <c r="Z13" s="1830"/>
    </row>
    <row r="14" spans="1:40" ht="15" customHeight="1">
      <c r="A14" s="516" t="s">
        <v>14</v>
      </c>
      <c r="B14" s="1341"/>
      <c r="C14" s="1342"/>
      <c r="D14" s="1341"/>
      <c r="E14" s="1341"/>
      <c r="F14" s="1341"/>
      <c r="G14" s="1341"/>
      <c r="H14" s="1341"/>
      <c r="I14" s="1351"/>
      <c r="J14" s="1351"/>
      <c r="K14" s="1351"/>
      <c r="L14" s="1351"/>
      <c r="M14" s="1351"/>
      <c r="N14" s="1351"/>
      <c r="O14" s="1351"/>
      <c r="P14" s="1351"/>
      <c r="Q14" s="1351"/>
      <c r="R14" s="1351"/>
      <c r="S14" s="1351"/>
      <c r="T14" s="1351"/>
      <c r="U14" s="1351"/>
      <c r="V14" s="1351"/>
      <c r="W14" s="1351"/>
      <c r="X14" s="1351"/>
      <c r="Y14" s="1351"/>
      <c r="Z14" s="1830"/>
    </row>
    <row r="15" spans="1:40" ht="15" customHeight="1">
      <c r="A15" s="837" t="s">
        <v>476</v>
      </c>
      <c r="B15" s="1344">
        <v>63203605</v>
      </c>
      <c r="C15" s="1345"/>
      <c r="D15" s="1344">
        <v>59370644</v>
      </c>
      <c r="E15" s="1344"/>
      <c r="F15" s="1344">
        <v>57339173</v>
      </c>
      <c r="G15" s="1344"/>
      <c r="H15" s="1344">
        <f>$Z15-$B15-$D15-$F15</f>
        <v>75425457</v>
      </c>
      <c r="I15" s="1349"/>
      <c r="J15" s="1344"/>
      <c r="K15" s="1349"/>
      <c r="L15" s="1344"/>
      <c r="M15" s="1351"/>
      <c r="N15" s="1349"/>
      <c r="O15" s="1349"/>
      <c r="P15" s="1349"/>
      <c r="Q15" s="1349"/>
      <c r="R15" s="1349"/>
      <c r="S15" s="1349"/>
      <c r="T15" s="1349"/>
      <c r="U15" s="1349"/>
      <c r="V15" s="1349"/>
      <c r="W15" s="1349"/>
      <c r="X15" s="1349"/>
      <c r="Y15" s="1349"/>
      <c r="Z15" s="1349">
        <v>255338879</v>
      </c>
    </row>
    <row r="16" spans="1:40" ht="15" customHeight="1">
      <c r="A16" s="837" t="s">
        <v>477</v>
      </c>
      <c r="B16" s="1344">
        <v>2069000</v>
      </c>
      <c r="C16" s="1345"/>
      <c r="D16" s="1344">
        <v>2175000</v>
      </c>
      <c r="E16" s="1344"/>
      <c r="F16" s="1344">
        <v>1928000</v>
      </c>
      <c r="G16" s="1344"/>
      <c r="H16" s="1344">
        <f t="shared" ref="H16:H23" si="0">$Z16-$B16-$D16-$F16</f>
        <v>1929000</v>
      </c>
      <c r="I16" s="1349"/>
      <c r="J16" s="1344"/>
      <c r="K16" s="1349"/>
      <c r="L16" s="1344"/>
      <c r="M16" s="1351"/>
      <c r="N16" s="1349"/>
      <c r="O16" s="1349"/>
      <c r="P16" s="1349"/>
      <c r="Q16" s="1349"/>
      <c r="R16" s="1349"/>
      <c r="S16" s="1349"/>
      <c r="T16" s="1349"/>
      <c r="U16" s="1349"/>
      <c r="V16" s="1349"/>
      <c r="W16" s="1349"/>
      <c r="X16" s="1349"/>
      <c r="Y16" s="1349"/>
      <c r="Z16" s="1349">
        <v>8101000</v>
      </c>
    </row>
    <row r="17" spans="1:28" ht="15" customHeight="1">
      <c r="A17" s="837" t="s">
        <v>478</v>
      </c>
      <c r="B17" s="1344">
        <v>469440</v>
      </c>
      <c r="C17" s="1345"/>
      <c r="D17" s="1344">
        <v>785843</v>
      </c>
      <c r="E17" s="1344"/>
      <c r="F17" s="1344">
        <v>1583166</v>
      </c>
      <c r="G17" s="1344"/>
      <c r="H17" s="1344">
        <f t="shared" si="0"/>
        <v>1015764</v>
      </c>
      <c r="I17" s="1349"/>
      <c r="J17" s="1344"/>
      <c r="K17" s="1349"/>
      <c r="L17" s="1344"/>
      <c r="M17" s="1351"/>
      <c r="N17" s="1349"/>
      <c r="O17" s="1349"/>
      <c r="P17" s="1349"/>
      <c r="Q17" s="1349"/>
      <c r="R17" s="1349"/>
      <c r="S17" s="1349"/>
      <c r="T17" s="1349"/>
      <c r="U17" s="1349"/>
      <c r="V17" s="1349"/>
      <c r="W17" s="1349"/>
      <c r="X17" s="1349"/>
      <c r="Y17" s="1349"/>
      <c r="Z17" s="1349">
        <v>3854213</v>
      </c>
    </row>
    <row r="18" spans="1:28" ht="15" customHeight="1">
      <c r="A18" s="837" t="s">
        <v>479</v>
      </c>
      <c r="B18" s="1344">
        <v>0</v>
      </c>
      <c r="C18" s="1347"/>
      <c r="D18" s="1344">
        <v>0</v>
      </c>
      <c r="E18" s="1928"/>
      <c r="F18" s="1344">
        <v>0</v>
      </c>
      <c r="G18" s="1928"/>
      <c r="H18" s="1344">
        <f t="shared" si="0"/>
        <v>0</v>
      </c>
      <c r="I18" s="1349"/>
      <c r="J18" s="1344"/>
      <c r="K18" s="1831"/>
      <c r="L18" s="1344"/>
      <c r="M18" s="1351"/>
      <c r="N18" s="1349"/>
      <c r="O18" s="1349"/>
      <c r="P18" s="1349"/>
      <c r="Q18" s="1349"/>
      <c r="R18" s="1349"/>
      <c r="S18" s="1349"/>
      <c r="T18" s="1349"/>
      <c r="U18" s="1349"/>
      <c r="V18" s="1349"/>
      <c r="W18" s="1349"/>
      <c r="X18" s="1349"/>
      <c r="Y18" s="1349"/>
      <c r="Z18" s="1355">
        <v>0</v>
      </c>
    </row>
    <row r="19" spans="1:28" ht="15" customHeight="1">
      <c r="A19" s="837" t="s">
        <v>480</v>
      </c>
      <c r="B19" s="1344">
        <v>533324883</v>
      </c>
      <c r="C19" s="1345"/>
      <c r="D19" s="1344">
        <v>443523673</v>
      </c>
      <c r="E19" s="1344"/>
      <c r="F19" s="1344">
        <v>423216328</v>
      </c>
      <c r="G19" s="1344"/>
      <c r="H19" s="1344">
        <f t="shared" si="0"/>
        <v>494280029</v>
      </c>
      <c r="I19" s="1349"/>
      <c r="J19" s="1344"/>
      <c r="K19" s="1349"/>
      <c r="L19" s="1344"/>
      <c r="M19" s="1351"/>
      <c r="N19" s="1349"/>
      <c r="O19" s="1349"/>
      <c r="P19" s="1349"/>
      <c r="Q19" s="1349"/>
      <c r="R19" s="1349"/>
      <c r="S19" s="1349"/>
      <c r="T19" s="1349"/>
      <c r="U19" s="1349"/>
      <c r="V19" s="1349"/>
      <c r="W19" s="1349"/>
      <c r="X19" s="1349"/>
      <c r="Y19" s="1349"/>
      <c r="Z19" s="1349">
        <v>1894344913</v>
      </c>
    </row>
    <row r="20" spans="1:28" ht="15" customHeight="1">
      <c r="A20" s="837" t="s">
        <v>481</v>
      </c>
      <c r="B20" s="1344">
        <v>404000</v>
      </c>
      <c r="C20" s="1347"/>
      <c r="D20" s="1344">
        <v>903000</v>
      </c>
      <c r="E20" s="1344"/>
      <c r="F20" s="1344">
        <v>2574000</v>
      </c>
      <c r="G20" s="1344"/>
      <c r="H20" s="1344">
        <f t="shared" si="0"/>
        <v>312000</v>
      </c>
      <c r="I20" s="1349"/>
      <c r="J20" s="1344"/>
      <c r="K20" s="1352"/>
      <c r="L20" s="1344"/>
      <c r="M20" s="1351"/>
      <c r="N20" s="1349"/>
      <c r="O20" s="1349"/>
      <c r="P20" s="1349"/>
      <c r="Q20" s="1349"/>
      <c r="R20" s="1349"/>
      <c r="S20" s="1349"/>
      <c r="T20" s="1349"/>
      <c r="U20" s="1349"/>
      <c r="V20" s="1349"/>
      <c r="W20" s="1355"/>
      <c r="X20" s="1349"/>
      <c r="Y20" s="1349"/>
      <c r="Z20" s="1349">
        <v>4193000</v>
      </c>
    </row>
    <row r="21" spans="1:28" ht="15" customHeight="1">
      <c r="A21" s="837" t="s">
        <v>482</v>
      </c>
      <c r="B21" s="1344">
        <v>4761424</v>
      </c>
      <c r="C21" s="1347"/>
      <c r="D21" s="1344">
        <v>362419</v>
      </c>
      <c r="E21" s="1344"/>
      <c r="F21" s="1344">
        <v>6001122</v>
      </c>
      <c r="G21" s="1344"/>
      <c r="H21" s="1344">
        <f t="shared" si="0"/>
        <v>13400488</v>
      </c>
      <c r="I21" s="1349"/>
      <c r="J21" s="1344"/>
      <c r="K21" s="1352"/>
      <c r="L21" s="1344"/>
      <c r="M21" s="1351"/>
      <c r="N21" s="1349"/>
      <c r="O21" s="1349"/>
      <c r="P21" s="1349"/>
      <c r="Q21" s="1349"/>
      <c r="R21" s="1349"/>
      <c r="S21" s="1349"/>
      <c r="T21" s="1349"/>
      <c r="U21" s="1349"/>
      <c r="V21" s="1349"/>
      <c r="W21" s="1355"/>
      <c r="X21" s="1349"/>
      <c r="Y21" s="1349"/>
      <c r="Z21" s="1349">
        <v>24525453</v>
      </c>
    </row>
    <row r="22" spans="1:28" ht="15" customHeight="1">
      <c r="A22" s="837" t="s">
        <v>483</v>
      </c>
      <c r="B22" s="1344">
        <v>0</v>
      </c>
      <c r="C22" s="1347"/>
      <c r="D22" s="1344">
        <v>0</v>
      </c>
      <c r="E22" s="1344"/>
      <c r="F22" s="1344">
        <v>0</v>
      </c>
      <c r="G22" s="1344"/>
      <c r="H22" s="1344">
        <f t="shared" si="0"/>
        <v>0</v>
      </c>
      <c r="I22" s="1349"/>
      <c r="J22" s="1344"/>
      <c r="K22" s="1352"/>
      <c r="L22" s="1344"/>
      <c r="M22" s="1351"/>
      <c r="N22" s="1349"/>
      <c r="O22" s="1349"/>
      <c r="P22" s="1349"/>
      <c r="Q22" s="1349"/>
      <c r="R22" s="1349"/>
      <c r="S22" s="1349"/>
      <c r="T22" s="1349"/>
      <c r="U22" s="1349"/>
      <c r="V22" s="1349"/>
      <c r="W22" s="1355"/>
      <c r="X22" s="1349"/>
      <c r="Y22" s="1349"/>
      <c r="Z22" s="1349">
        <v>0</v>
      </c>
    </row>
    <row r="23" spans="1:28" ht="15" customHeight="1">
      <c r="A23" s="837" t="s">
        <v>484</v>
      </c>
      <c r="B23" s="1344">
        <v>0</v>
      </c>
      <c r="C23" s="1929"/>
      <c r="D23" s="1344">
        <v>0</v>
      </c>
      <c r="E23" s="1344"/>
      <c r="F23" s="1344">
        <v>0</v>
      </c>
      <c r="G23" s="1344"/>
      <c r="H23" s="1344">
        <f t="shared" si="0"/>
        <v>0</v>
      </c>
      <c r="I23" s="1349"/>
      <c r="J23" s="1344"/>
      <c r="K23" s="1349"/>
      <c r="L23" s="1344"/>
      <c r="M23" s="1351"/>
      <c r="N23" s="1349"/>
      <c r="O23" s="1349"/>
      <c r="P23" s="1349"/>
      <c r="Q23" s="1349"/>
      <c r="R23" s="1349"/>
      <c r="S23" s="1349"/>
      <c r="T23" s="1349"/>
      <c r="U23" s="1349"/>
      <c r="V23" s="1349"/>
      <c r="W23" s="1349"/>
      <c r="X23" s="1349"/>
      <c r="Y23" s="1349"/>
      <c r="Z23" s="1349">
        <v>0</v>
      </c>
    </row>
    <row r="24" spans="1:28" s="1827" customFormat="1" ht="22.5" customHeight="1">
      <c r="A24" s="516" t="s">
        <v>151</v>
      </c>
      <c r="B24" s="1930">
        <f>ROUND(SUM(B15:B23),0)</f>
        <v>604232352</v>
      </c>
      <c r="C24" s="512"/>
      <c r="D24" s="1930">
        <f>ROUND(SUM(D15:D23),0)</f>
        <v>507120579</v>
      </c>
      <c r="E24" s="513"/>
      <c r="F24" s="1930">
        <f>ROUND(SUM(F15:F23),0)</f>
        <v>492641789</v>
      </c>
      <c r="G24" s="513"/>
      <c r="H24" s="1930">
        <f>ROUND(SUM(H15:H23),0)</f>
        <v>586362738</v>
      </c>
      <c r="I24" s="1832"/>
      <c r="J24" s="1795">
        <f>ROUND(SUM(J15:J23),0)</f>
        <v>0</v>
      </c>
      <c r="K24" s="515"/>
      <c r="L24" s="1795">
        <f>ROUND(SUM(L15:L23),0)</f>
        <v>0</v>
      </c>
      <c r="M24" s="518"/>
      <c r="N24" s="1795">
        <f>ROUND(SUM(N15:N23),0)</f>
        <v>0</v>
      </c>
      <c r="O24" s="1832"/>
      <c r="P24" s="1795">
        <f>ROUND(SUM(P15:P23),0)</f>
        <v>0</v>
      </c>
      <c r="Q24" s="1832"/>
      <c r="R24" s="1795">
        <f>ROUND(SUM(R15:R23),0)</f>
        <v>0</v>
      </c>
      <c r="S24" s="1832"/>
      <c r="T24" s="1795">
        <f>ROUND(SUM(T15:T23),0)</f>
        <v>0</v>
      </c>
      <c r="U24" s="1832"/>
      <c r="V24" s="1795">
        <f>ROUND(SUM(V15:V23),0)</f>
        <v>0</v>
      </c>
      <c r="W24" s="1832"/>
      <c r="X24" s="1795">
        <f>ROUND(SUM(X15:X23),0)</f>
        <v>0</v>
      </c>
      <c r="Y24" s="1832"/>
      <c r="Z24" s="514">
        <f>ROUND(SUM(Z15:Z23),0)</f>
        <v>2190357458</v>
      </c>
      <c r="AA24" s="3642"/>
      <c r="AB24" s="1833"/>
    </row>
    <row r="25" spans="1:28" ht="15" customHeight="1">
      <c r="A25" s="1828"/>
      <c r="B25" s="1344"/>
      <c r="C25" s="1345"/>
      <c r="D25" s="1344"/>
      <c r="E25" s="1344"/>
      <c r="F25" s="1344"/>
      <c r="G25" s="1344"/>
      <c r="H25" s="1344"/>
      <c r="I25" s="1349"/>
      <c r="J25" s="1349"/>
      <c r="K25" s="1349"/>
      <c r="L25" s="1349"/>
      <c r="M25" s="1351"/>
      <c r="N25" s="1349"/>
      <c r="O25" s="1349"/>
      <c r="P25" s="1349"/>
      <c r="Q25" s="1349"/>
      <c r="R25" s="1349"/>
      <c r="S25" s="1349"/>
      <c r="T25" s="1349"/>
      <c r="U25" s="1349"/>
      <c r="V25" s="1349"/>
      <c r="W25" s="1349"/>
      <c r="X25" s="1349"/>
      <c r="Y25" s="1349"/>
      <c r="Z25" s="1346"/>
    </row>
    <row r="26" spans="1:28" ht="15" customHeight="1">
      <c r="A26" s="516" t="s">
        <v>23</v>
      </c>
      <c r="B26" s="1344"/>
      <c r="C26" s="1345"/>
      <c r="D26" s="1344"/>
      <c r="E26" s="1344"/>
      <c r="F26" s="1344"/>
      <c r="G26" s="1344"/>
      <c r="H26" s="1344"/>
      <c r="I26" s="1349"/>
      <c r="J26" s="1349"/>
      <c r="K26" s="1349"/>
      <c r="L26" s="1349"/>
      <c r="M26" s="1351"/>
      <c r="N26" s="1349"/>
      <c r="O26" s="1349"/>
      <c r="P26" s="1349"/>
      <c r="Q26" s="1349"/>
      <c r="R26" s="1349"/>
      <c r="S26" s="1349"/>
      <c r="T26" s="1349"/>
      <c r="U26" s="1349"/>
      <c r="V26" s="1349"/>
      <c r="W26" s="1349"/>
      <c r="X26" s="1349"/>
      <c r="Y26" s="1349"/>
      <c r="Z26" s="1346"/>
    </row>
    <row r="27" spans="1:28" ht="15" customHeight="1">
      <c r="A27" s="837" t="s">
        <v>485</v>
      </c>
      <c r="B27" s="1344">
        <v>57388500</v>
      </c>
      <c r="C27" s="1350"/>
      <c r="D27" s="1344">
        <v>753490762</v>
      </c>
      <c r="E27" s="1349"/>
      <c r="F27" s="1344">
        <v>467314025</v>
      </c>
      <c r="G27" s="1349"/>
      <c r="H27" s="1344">
        <f t="shared" ref="H27:H31" si="1">$Z27-$B27-$D27-$F27</f>
        <v>461209200</v>
      </c>
      <c r="I27" s="1349"/>
      <c r="J27" s="1344"/>
      <c r="K27" s="1349"/>
      <c r="L27" s="1344"/>
      <c r="M27" s="1351"/>
      <c r="N27" s="1349"/>
      <c r="O27" s="1349"/>
      <c r="P27" s="1349"/>
      <c r="Q27" s="1349"/>
      <c r="R27" s="1349"/>
      <c r="S27" s="1349"/>
      <c r="T27" s="1349"/>
      <c r="U27" s="1349"/>
      <c r="V27" s="1349"/>
      <c r="W27" s="1349"/>
      <c r="X27" s="1349"/>
      <c r="Y27" s="1349"/>
      <c r="Z27" s="1349">
        <v>1739402487</v>
      </c>
    </row>
    <row r="28" spans="1:28" ht="15" customHeight="1">
      <c r="A28" s="837" t="s">
        <v>486</v>
      </c>
      <c r="B28" s="1344">
        <v>1007</v>
      </c>
      <c r="C28" s="1350"/>
      <c r="D28" s="1344">
        <v>72</v>
      </c>
      <c r="E28" s="1349"/>
      <c r="F28" s="1344">
        <v>16</v>
      </c>
      <c r="G28" s="1349"/>
      <c r="H28" s="1344">
        <f t="shared" si="1"/>
        <v>1654</v>
      </c>
      <c r="I28" s="1349"/>
      <c r="J28" s="1344"/>
      <c r="K28" s="1349"/>
      <c r="L28" s="1344"/>
      <c r="M28" s="1351"/>
      <c r="N28" s="1349"/>
      <c r="O28" s="1349"/>
      <c r="P28" s="1349"/>
      <c r="Q28" s="1349"/>
      <c r="R28" s="1349"/>
      <c r="S28" s="1349"/>
      <c r="T28" s="1349"/>
      <c r="U28" s="1349"/>
      <c r="V28" s="1349"/>
      <c r="W28" s="1349"/>
      <c r="X28" s="1349"/>
      <c r="Y28" s="1349"/>
      <c r="Z28" s="1349">
        <v>2749</v>
      </c>
      <c r="AB28" s="1834"/>
    </row>
    <row r="29" spans="1:28" ht="15" customHeight="1">
      <c r="A29" s="837" t="s">
        <v>487</v>
      </c>
      <c r="B29" s="1344">
        <v>541446</v>
      </c>
      <c r="C29" s="1350"/>
      <c r="D29" s="1344">
        <v>1589857</v>
      </c>
      <c r="E29" s="1349"/>
      <c r="F29" s="1344">
        <v>1742462</v>
      </c>
      <c r="G29" s="1349"/>
      <c r="H29" s="1344">
        <f t="shared" si="1"/>
        <v>1042316</v>
      </c>
      <c r="I29" s="1349"/>
      <c r="J29" s="1344"/>
      <c r="K29" s="1349"/>
      <c r="L29" s="1344"/>
      <c r="M29" s="1351"/>
      <c r="N29" s="1349"/>
      <c r="O29" s="1349"/>
      <c r="P29" s="1349"/>
      <c r="Q29" s="1349"/>
      <c r="R29" s="1349"/>
      <c r="S29" s="1349"/>
      <c r="T29" s="1349"/>
      <c r="U29" s="1349"/>
      <c r="V29" s="1349"/>
      <c r="W29" s="1349"/>
      <c r="X29" s="1349"/>
      <c r="Y29" s="1349"/>
      <c r="Z29" s="1349">
        <v>4916081</v>
      </c>
    </row>
    <row r="30" spans="1:28" ht="15" customHeight="1">
      <c r="A30" s="837" t="s">
        <v>488</v>
      </c>
      <c r="B30" s="1344">
        <v>1746620</v>
      </c>
      <c r="C30" s="1350"/>
      <c r="D30" s="1344">
        <v>3414743</v>
      </c>
      <c r="E30" s="1349"/>
      <c r="F30" s="1344">
        <v>4043595</v>
      </c>
      <c r="G30" s="1349"/>
      <c r="H30" s="1344">
        <f t="shared" si="1"/>
        <v>3156138</v>
      </c>
      <c r="I30" s="1349"/>
      <c r="J30" s="1344"/>
      <c r="K30" s="1349"/>
      <c r="L30" s="1344"/>
      <c r="M30" s="1351"/>
      <c r="N30" s="1349"/>
      <c r="O30" s="1349"/>
      <c r="P30" s="1349"/>
      <c r="Q30" s="1349"/>
      <c r="R30" s="1349"/>
      <c r="S30" s="1349"/>
      <c r="T30" s="1349"/>
      <c r="U30" s="1349"/>
      <c r="V30" s="1349"/>
      <c r="W30" s="1349"/>
      <c r="X30" s="1349"/>
      <c r="Y30" s="1349"/>
      <c r="Z30" s="1349">
        <v>12361096</v>
      </c>
    </row>
    <row r="31" spans="1:28" ht="15" customHeight="1">
      <c r="A31" s="837" t="s">
        <v>489</v>
      </c>
      <c r="B31" s="1344">
        <v>345719</v>
      </c>
      <c r="C31" s="1350"/>
      <c r="D31" s="1344">
        <v>445042</v>
      </c>
      <c r="E31" s="1349"/>
      <c r="F31" s="1344">
        <v>1682906</v>
      </c>
      <c r="G31" s="1349"/>
      <c r="H31" s="1344">
        <f t="shared" si="1"/>
        <v>662367</v>
      </c>
      <c r="I31" s="1349"/>
      <c r="J31" s="1344"/>
      <c r="K31" s="1349"/>
      <c r="L31" s="1344"/>
      <c r="M31" s="1351"/>
      <c r="N31" s="1349"/>
      <c r="O31" s="1349"/>
      <c r="P31" s="1349"/>
      <c r="Q31" s="1349"/>
      <c r="R31" s="1349"/>
      <c r="S31" s="1349"/>
      <c r="T31" s="1349"/>
      <c r="U31" s="1349"/>
      <c r="V31" s="1349"/>
      <c r="W31" s="1349"/>
      <c r="X31" s="1349"/>
      <c r="Y31" s="1349"/>
      <c r="Z31" s="1349">
        <v>3136034</v>
      </c>
    </row>
    <row r="32" spans="1:28" ht="22.5" customHeight="1">
      <c r="A32" s="516" t="s">
        <v>157</v>
      </c>
      <c r="B32" s="1795">
        <f>ROUND(SUM(B27:B31),0)</f>
        <v>60023292</v>
      </c>
      <c r="C32" s="1350"/>
      <c r="D32" s="1795">
        <f>ROUND(SUM(D27:D31),0)</f>
        <v>758940476</v>
      </c>
      <c r="E32" s="1349"/>
      <c r="F32" s="1795">
        <f>ROUND(SUM(F27:F31),0)</f>
        <v>474783004</v>
      </c>
      <c r="G32" s="1349"/>
      <c r="H32" s="1795">
        <f>ROUND(SUM(H27:H31),0)</f>
        <v>466071675</v>
      </c>
      <c r="I32" s="1349"/>
      <c r="J32" s="1795">
        <f>ROUND(SUM(J27:J31),0)</f>
        <v>0</v>
      </c>
      <c r="K32" s="1349"/>
      <c r="L32" s="1795">
        <f>ROUND(SUM(L27:L31),0)</f>
        <v>0</v>
      </c>
      <c r="M32" s="1351"/>
      <c r="N32" s="1795">
        <f>ROUND(SUM(N27:N31),0)</f>
        <v>0</v>
      </c>
      <c r="O32" s="1349"/>
      <c r="P32" s="1795">
        <f>ROUND(SUM(P27:P31),0)</f>
        <v>0</v>
      </c>
      <c r="Q32" s="1349"/>
      <c r="R32" s="1795">
        <f>ROUND(SUM(R27:R31),0)</f>
        <v>0</v>
      </c>
      <c r="S32" s="1349"/>
      <c r="T32" s="1795">
        <f>ROUND(SUM(T27:T31),0)</f>
        <v>0</v>
      </c>
      <c r="U32" s="1349"/>
      <c r="V32" s="1795">
        <f>ROUND(SUM(V27:V31),0)</f>
        <v>0</v>
      </c>
      <c r="W32" s="1349"/>
      <c r="X32" s="1795">
        <f>ROUND(SUM(X27:X31),0)</f>
        <v>0</v>
      </c>
      <c r="Y32" s="1349"/>
      <c r="Z32" s="514">
        <f>ROUND(SUM(Z27:Z31),0)</f>
        <v>1759818447</v>
      </c>
    </row>
    <row r="33" spans="1:28" ht="15" customHeight="1">
      <c r="A33" s="516"/>
      <c r="B33" s="1349"/>
      <c r="C33" s="1350"/>
      <c r="D33" s="1349"/>
      <c r="E33" s="1349"/>
      <c r="F33" s="1355"/>
      <c r="G33" s="1349"/>
      <c r="H33" s="1355"/>
      <c r="I33" s="1349"/>
      <c r="J33" s="1349"/>
      <c r="K33" s="1349"/>
      <c r="L33" s="1349"/>
      <c r="M33" s="1351"/>
      <c r="N33" s="1349"/>
      <c r="O33" s="1349"/>
      <c r="P33" s="1349"/>
      <c r="Q33" s="1349"/>
      <c r="R33" s="1349"/>
      <c r="S33" s="1349"/>
      <c r="T33" s="1349"/>
      <c r="U33" s="1349"/>
      <c r="V33" s="1349"/>
      <c r="W33" s="1349"/>
      <c r="X33" s="1349"/>
      <c r="Y33" s="1349"/>
      <c r="Z33" s="1346"/>
    </row>
    <row r="34" spans="1:28" ht="15" customHeight="1">
      <c r="A34" s="517" t="s">
        <v>490</v>
      </c>
      <c r="B34" s="1355"/>
      <c r="C34" s="1356"/>
      <c r="D34" s="1355"/>
      <c r="E34" s="1349"/>
      <c r="F34" s="1354"/>
      <c r="G34" s="1349"/>
      <c r="H34" s="1355"/>
      <c r="I34" s="1349"/>
      <c r="J34" s="1355"/>
      <c r="K34" s="1349"/>
      <c r="L34" s="1355"/>
      <c r="M34" s="1351"/>
      <c r="N34" s="1355"/>
      <c r="O34" s="1349"/>
      <c r="P34" s="1355"/>
      <c r="Q34" s="1349"/>
      <c r="R34" s="1355"/>
      <c r="S34" s="1349"/>
      <c r="T34" s="1355"/>
      <c r="U34" s="1349"/>
      <c r="V34" s="1355"/>
      <c r="W34" s="1349"/>
      <c r="X34" s="1355"/>
      <c r="Y34" s="1349"/>
      <c r="Z34" s="1346"/>
    </row>
    <row r="35" spans="1:28" ht="15" customHeight="1">
      <c r="A35" s="837" t="s">
        <v>491</v>
      </c>
      <c r="B35" s="1344">
        <v>0</v>
      </c>
      <c r="C35" s="1356"/>
      <c r="D35" s="1344">
        <v>0</v>
      </c>
      <c r="E35" s="1349"/>
      <c r="F35" s="1344">
        <v>0</v>
      </c>
      <c r="G35" s="1349"/>
      <c r="H35" s="1344">
        <f t="shared" ref="H35:H41" si="2">$Z35-$B35-$D35-$F35</f>
        <v>0</v>
      </c>
      <c r="I35" s="1349"/>
      <c r="J35" s="1344"/>
      <c r="K35" s="1349"/>
      <c r="L35" s="1344"/>
      <c r="M35" s="1351"/>
      <c r="N35" s="1349"/>
      <c r="O35" s="1349"/>
      <c r="P35" s="1349"/>
      <c r="Q35" s="1349"/>
      <c r="R35" s="1349"/>
      <c r="S35" s="1349"/>
      <c r="T35" s="1349"/>
      <c r="U35" s="1349"/>
      <c r="V35" s="1349"/>
      <c r="W35" s="1349"/>
      <c r="X35" s="1349"/>
      <c r="Y35" s="1349"/>
      <c r="Z35" s="1349">
        <v>0</v>
      </c>
    </row>
    <row r="36" spans="1:28" ht="15" customHeight="1">
      <c r="A36" s="837" t="s">
        <v>492</v>
      </c>
      <c r="B36" s="1344">
        <v>0</v>
      </c>
      <c r="C36" s="1356"/>
      <c r="D36" s="1344">
        <v>0</v>
      </c>
      <c r="E36" s="1349"/>
      <c r="F36" s="1344">
        <v>26968</v>
      </c>
      <c r="G36" s="1349"/>
      <c r="H36" s="1344">
        <f t="shared" si="2"/>
        <v>0</v>
      </c>
      <c r="I36" s="1349"/>
      <c r="J36" s="1344"/>
      <c r="K36" s="1349"/>
      <c r="L36" s="1344"/>
      <c r="M36" s="1351"/>
      <c r="N36" s="1349"/>
      <c r="O36" s="1349"/>
      <c r="P36" s="1349"/>
      <c r="Q36" s="1349"/>
      <c r="R36" s="1349"/>
      <c r="S36" s="1349"/>
      <c r="T36" s="1349"/>
      <c r="U36" s="1349"/>
      <c r="V36" s="1349"/>
      <c r="W36" s="1349"/>
      <c r="X36" s="1349"/>
      <c r="Y36" s="1349"/>
      <c r="Z36" s="1349">
        <v>26968</v>
      </c>
    </row>
    <row r="37" spans="1:28" ht="15" customHeight="1">
      <c r="A37" s="837" t="s">
        <v>146</v>
      </c>
      <c r="B37" s="1344">
        <v>0</v>
      </c>
      <c r="C37" s="1356"/>
      <c r="D37" s="1344">
        <v>0</v>
      </c>
      <c r="E37" s="1349"/>
      <c r="F37" s="1344">
        <v>0</v>
      </c>
      <c r="G37" s="1349"/>
      <c r="H37" s="1344">
        <f t="shared" si="2"/>
        <v>0</v>
      </c>
      <c r="I37" s="1349"/>
      <c r="J37" s="1344"/>
      <c r="K37" s="1349"/>
      <c r="L37" s="1344"/>
      <c r="M37" s="1351"/>
      <c r="N37" s="1349"/>
      <c r="O37" s="1349"/>
      <c r="P37" s="1349"/>
      <c r="Q37" s="1349"/>
      <c r="R37" s="1349"/>
      <c r="S37" s="1349"/>
      <c r="T37" s="1349"/>
      <c r="U37" s="1349"/>
      <c r="V37" s="1349"/>
      <c r="W37" s="1349"/>
      <c r="X37" s="1349"/>
      <c r="Y37" s="1349"/>
      <c r="Z37" s="1349">
        <v>0</v>
      </c>
    </row>
    <row r="38" spans="1:28" ht="13.5" customHeight="1">
      <c r="A38" s="837" t="s">
        <v>493</v>
      </c>
      <c r="B38" s="1344" t="s">
        <v>15</v>
      </c>
      <c r="C38" s="1932"/>
      <c r="D38" s="1344"/>
      <c r="E38" s="1932"/>
      <c r="F38" s="1344"/>
      <c r="G38" s="1932"/>
      <c r="H38" s="1344"/>
      <c r="I38" s="1835"/>
      <c r="J38" s="1344"/>
      <c r="K38" s="1835"/>
      <c r="L38" s="1344"/>
      <c r="M38" s="1351"/>
      <c r="N38" s="1349"/>
      <c r="O38" s="1835"/>
      <c r="P38" s="1349"/>
      <c r="Q38" s="1835"/>
      <c r="R38" s="1349"/>
      <c r="S38" s="1835"/>
      <c r="T38" s="1349"/>
      <c r="U38" s="1835"/>
      <c r="V38" s="1349"/>
      <c r="W38" s="1835"/>
      <c r="X38" s="1349"/>
      <c r="Y38" s="1835"/>
      <c r="Z38" s="1835"/>
    </row>
    <row r="39" spans="1:28" ht="13.5" customHeight="1">
      <c r="A39" s="837" t="s">
        <v>494</v>
      </c>
      <c r="B39" s="1344">
        <v>0</v>
      </c>
      <c r="C39" s="1356"/>
      <c r="D39" s="1344">
        <v>350000</v>
      </c>
      <c r="E39" s="1349"/>
      <c r="F39" s="1344">
        <v>0</v>
      </c>
      <c r="G39" s="1349"/>
      <c r="H39" s="1344">
        <f t="shared" si="2"/>
        <v>386000</v>
      </c>
      <c r="I39" s="1349"/>
      <c r="J39" s="1344"/>
      <c r="K39" s="1349"/>
      <c r="L39" s="1344"/>
      <c r="M39" s="1351"/>
      <c r="N39" s="1349"/>
      <c r="O39" s="1349"/>
      <c r="P39" s="1349"/>
      <c r="Q39" s="1349"/>
      <c r="R39" s="1349"/>
      <c r="S39" s="1349"/>
      <c r="T39" s="1349"/>
      <c r="U39" s="1349"/>
      <c r="V39" s="1349"/>
      <c r="W39" s="1349"/>
      <c r="X39" s="1349"/>
      <c r="Y39" s="1349"/>
      <c r="Z39" s="1349">
        <v>736000</v>
      </c>
    </row>
    <row r="40" spans="1:28" ht="13.5" customHeight="1">
      <c r="A40" s="837" t="s">
        <v>495</v>
      </c>
      <c r="B40" s="1344">
        <v>0</v>
      </c>
      <c r="C40" s="1356"/>
      <c r="D40" s="1344">
        <v>6661750</v>
      </c>
      <c r="E40" s="1349"/>
      <c r="F40" s="1344">
        <v>0</v>
      </c>
      <c r="G40" s="1349"/>
      <c r="H40" s="1344">
        <f t="shared" si="2"/>
        <v>0</v>
      </c>
      <c r="I40" s="1349"/>
      <c r="J40" s="1344"/>
      <c r="K40" s="1349"/>
      <c r="L40" s="1344"/>
      <c r="M40" s="1351"/>
      <c r="N40" s="1349"/>
      <c r="O40" s="1349"/>
      <c r="P40" s="1349"/>
      <c r="Q40" s="1349"/>
      <c r="R40" s="1349"/>
      <c r="S40" s="1349"/>
      <c r="T40" s="1349"/>
      <c r="U40" s="1349"/>
      <c r="V40" s="1349"/>
      <c r="W40" s="1349"/>
      <c r="X40" s="1349"/>
      <c r="Y40" s="1349"/>
      <c r="Z40" s="1349">
        <v>6661750</v>
      </c>
    </row>
    <row r="41" spans="1:28" ht="15" customHeight="1">
      <c r="A41" s="837" t="s">
        <v>496</v>
      </c>
      <c r="B41" s="1344">
        <v>1068535</v>
      </c>
      <c r="C41" s="1356"/>
      <c r="D41" s="1344">
        <v>746680</v>
      </c>
      <c r="E41" s="1349"/>
      <c r="F41" s="1344">
        <v>1000923</v>
      </c>
      <c r="G41" s="1349"/>
      <c r="H41" s="1344">
        <f t="shared" si="2"/>
        <v>0</v>
      </c>
      <c r="I41" s="1349"/>
      <c r="J41" s="1344"/>
      <c r="K41" s="1349"/>
      <c r="L41" s="1344"/>
      <c r="M41" s="1351"/>
      <c r="N41" s="1349"/>
      <c r="O41" s="1349"/>
      <c r="P41" s="1349"/>
      <c r="Q41" s="1349"/>
      <c r="R41" s="1349"/>
      <c r="S41" s="1349"/>
      <c r="T41" s="1349"/>
      <c r="U41" s="1349"/>
      <c r="V41" s="1349"/>
      <c r="W41" s="1349"/>
      <c r="X41" s="1349"/>
      <c r="Y41" s="1349"/>
      <c r="Z41" s="1349">
        <v>2816138</v>
      </c>
    </row>
    <row r="42" spans="1:28" ht="22.5" customHeight="1">
      <c r="A42" s="516" t="s">
        <v>497</v>
      </c>
      <c r="B42" s="1933">
        <f>ROUND(SUM(B35:B41),0)</f>
        <v>1068535</v>
      </c>
      <c r="C42" s="1347"/>
      <c r="D42" s="1933">
        <f>ROUND(SUM(D35:D41),0)</f>
        <v>7758430</v>
      </c>
      <c r="E42" s="1344"/>
      <c r="F42" s="1933">
        <f>ROUND(SUM(F35:F41),0)</f>
        <v>1027891</v>
      </c>
      <c r="G42" s="1344"/>
      <c r="H42" s="1933">
        <f>ROUND(SUM(H35:H41),0)</f>
        <v>386000</v>
      </c>
      <c r="I42" s="1349"/>
      <c r="J42" s="1836">
        <f>ROUND(SUM(J35:J41),0)</f>
        <v>0</v>
      </c>
      <c r="K42" s="1349"/>
      <c r="L42" s="1836">
        <f>ROUND(SUM(L35:L41),0)</f>
        <v>0</v>
      </c>
      <c r="M42" s="1351"/>
      <c r="N42" s="1836">
        <f>ROUND(SUM(N35:N41),0)</f>
        <v>0</v>
      </c>
      <c r="O42" s="1349"/>
      <c r="P42" s="1836">
        <f>ROUND(SUM(P35:P41),0)</f>
        <v>0</v>
      </c>
      <c r="Q42" s="1349"/>
      <c r="R42" s="1836">
        <f>ROUND(SUM(R35:R41),0)</f>
        <v>0</v>
      </c>
      <c r="S42" s="1349"/>
      <c r="T42" s="1836">
        <f>ROUND(SUM(T35:T41),0)</f>
        <v>0</v>
      </c>
      <c r="U42" s="1349"/>
      <c r="V42" s="1836">
        <f>ROUND(SUM(V35:V41),0)</f>
        <v>0</v>
      </c>
      <c r="W42" s="1349"/>
      <c r="X42" s="1836">
        <f>ROUND(SUM(X35:X41),0)</f>
        <v>0</v>
      </c>
      <c r="Y42" s="1349"/>
      <c r="Z42" s="1837">
        <f>ROUND(SUM(Z35:Z41),0)</f>
        <v>10240856</v>
      </c>
    </row>
    <row r="43" spans="1:28" ht="15" customHeight="1">
      <c r="B43" s="1934"/>
      <c r="C43" s="1347"/>
      <c r="D43" s="1934"/>
      <c r="E43" s="1344"/>
      <c r="F43" s="1935"/>
      <c r="G43" s="1344"/>
      <c r="H43" s="1934"/>
      <c r="I43" s="1349"/>
      <c r="J43" s="1838"/>
      <c r="K43" s="1349"/>
      <c r="L43" s="1838"/>
      <c r="M43" s="1351"/>
      <c r="N43" s="1838"/>
      <c r="O43" s="1349"/>
      <c r="P43" s="1838"/>
      <c r="Q43" s="1349"/>
      <c r="R43" s="1838"/>
      <c r="S43" s="1349"/>
      <c r="T43" s="1838"/>
      <c r="U43" s="1349"/>
      <c r="V43" s="1838"/>
      <c r="W43" s="1349"/>
      <c r="X43" s="1838"/>
      <c r="Y43" s="1349"/>
      <c r="Z43" s="1839"/>
    </row>
    <row r="44" spans="1:28" s="1827" customFormat="1" ht="20.25" customHeight="1">
      <c r="A44" s="516" t="s">
        <v>498</v>
      </c>
      <c r="B44" s="1358">
        <f>ROUND(B32+B42,0)</f>
        <v>61091827</v>
      </c>
      <c r="C44" s="512"/>
      <c r="D44" s="1358">
        <f>ROUND(D32+D42,0)</f>
        <v>766698906</v>
      </c>
      <c r="E44" s="513"/>
      <c r="F44" s="1358">
        <f>ROUND(F32+F42,0)</f>
        <v>475810895</v>
      </c>
      <c r="G44" s="513"/>
      <c r="H44" s="1358">
        <f>ROUND(H32+H42,0)</f>
        <v>466457675</v>
      </c>
      <c r="I44" s="1832"/>
      <c r="J44" s="1840">
        <f>ROUND(J32+J42,0)</f>
        <v>0</v>
      </c>
      <c r="K44" s="515"/>
      <c r="L44" s="1840">
        <f>ROUND(L32+L42,0)</f>
        <v>0</v>
      </c>
      <c r="M44" s="518"/>
      <c r="N44" s="1840">
        <f>ROUND(N32+N42,0)</f>
        <v>0</v>
      </c>
      <c r="O44" s="1832"/>
      <c r="P44" s="1840">
        <f>ROUND(P32+P42,0)</f>
        <v>0</v>
      </c>
      <c r="Q44" s="1832"/>
      <c r="R44" s="1840">
        <f>ROUND(R32+R42,0)</f>
        <v>0</v>
      </c>
      <c r="S44" s="1832"/>
      <c r="T44" s="1840">
        <f>ROUND(T32+T42,0)</f>
        <v>0</v>
      </c>
      <c r="U44" s="1832"/>
      <c r="V44" s="1840">
        <f>ROUND(V32+V42,0)</f>
        <v>0</v>
      </c>
      <c r="W44" s="1832"/>
      <c r="X44" s="1840">
        <f>ROUND(X32+X42,0)</f>
        <v>0</v>
      </c>
      <c r="Y44" s="1832"/>
      <c r="Z44" s="1840">
        <f>ROUND(Z32+Z42,0)</f>
        <v>1770059303</v>
      </c>
      <c r="AA44" s="3642"/>
      <c r="AB44" s="1833"/>
    </row>
    <row r="45" spans="1:28" ht="15" customHeight="1">
      <c r="A45" s="1828"/>
      <c r="B45" s="1342"/>
      <c r="C45" s="1342"/>
      <c r="D45" s="1342"/>
      <c r="E45" s="1341"/>
      <c r="F45" s="1342"/>
      <c r="G45" s="1341"/>
      <c r="H45" s="1342"/>
      <c r="I45" s="1351"/>
      <c r="J45" s="1829"/>
      <c r="K45" s="1829"/>
      <c r="L45" s="1829"/>
      <c r="M45" s="1351"/>
      <c r="N45" s="1829"/>
      <c r="O45" s="1351"/>
      <c r="P45" s="1829"/>
      <c r="Q45" s="1351"/>
      <c r="R45" s="1829"/>
      <c r="S45" s="1351"/>
      <c r="T45" s="1829"/>
      <c r="U45" s="1351"/>
      <c r="V45" s="1829"/>
      <c r="W45" s="1351"/>
      <c r="X45" s="1829"/>
      <c r="Y45" s="1351"/>
      <c r="Z45" s="1841"/>
    </row>
    <row r="46" spans="1:28" s="1827" customFormat="1" ht="20.25" customHeight="1" thickBot="1">
      <c r="A46" s="517" t="s">
        <v>499</v>
      </c>
      <c r="B46" s="1620">
        <f>ROUND(B12+B24-B44,0)</f>
        <v>543140525</v>
      </c>
      <c r="C46" s="507"/>
      <c r="D46" s="1620">
        <f>ROUND(D12+D24-D44,0)</f>
        <v>283562198</v>
      </c>
      <c r="E46" s="1339"/>
      <c r="F46" s="1620">
        <f>ROUND(F12+F24-F44,0)</f>
        <v>300393092</v>
      </c>
      <c r="G46" s="1339"/>
      <c r="H46" s="1620">
        <f>ROUND(H12+H24-H44,0)</f>
        <v>420298155</v>
      </c>
      <c r="I46" s="1826"/>
      <c r="J46" s="1842">
        <f>ROUND(J12+J24-J44,0)</f>
        <v>0</v>
      </c>
      <c r="K46" s="508"/>
      <c r="L46" s="1842">
        <f>ROUND(L12+L24-L44,0)</f>
        <v>0</v>
      </c>
      <c r="M46" s="518"/>
      <c r="N46" s="1842">
        <f>ROUND(N12+N24-N44,0)</f>
        <v>0</v>
      </c>
      <c r="O46" s="519"/>
      <c r="P46" s="1842">
        <f>ROUND(P12+P24-P44,0)</f>
        <v>0</v>
      </c>
      <c r="Q46" s="519"/>
      <c r="R46" s="1842">
        <f>ROUND(R12+R24-R44,0)</f>
        <v>0</v>
      </c>
      <c r="S46" s="519"/>
      <c r="T46" s="1842">
        <f>ROUND(T12+T24-T44,0)</f>
        <v>0</v>
      </c>
      <c r="U46" s="519"/>
      <c r="V46" s="1842">
        <f>ROUND(V12+V24-V44,0)</f>
        <v>0</v>
      </c>
      <c r="W46" s="519"/>
      <c r="X46" s="1842">
        <f>ROUND(X12+X24-X44,0)</f>
        <v>0</v>
      </c>
      <c r="Y46" s="519"/>
      <c r="Z46" s="3153">
        <f>ROUND(Z12+Z24-Z44,0)</f>
        <v>420298155</v>
      </c>
      <c r="AA46" s="3642"/>
    </row>
    <row r="47" spans="1:28" ht="15" customHeight="1" thickTop="1">
      <c r="A47" s="1828"/>
      <c r="B47" s="1337"/>
      <c r="C47" s="1337"/>
      <c r="D47" s="1337"/>
      <c r="E47" s="1360"/>
      <c r="F47" s="1337"/>
      <c r="G47" s="1360"/>
      <c r="H47" s="1337"/>
      <c r="I47" s="1843"/>
      <c r="J47" s="1822"/>
      <c r="K47" s="1822"/>
      <c r="L47" s="1822"/>
      <c r="M47" s="1843"/>
      <c r="N47" s="1822"/>
      <c r="O47" s="1843"/>
      <c r="P47" s="1822"/>
      <c r="Q47" s="1843"/>
      <c r="R47" s="1822"/>
      <c r="S47" s="1843"/>
      <c r="T47" s="1822"/>
      <c r="U47" s="1843"/>
      <c r="V47" s="1822"/>
      <c r="W47" s="1843"/>
      <c r="X47" s="1822"/>
      <c r="Y47" s="1843"/>
      <c r="Z47" s="1841"/>
    </row>
    <row r="48" spans="1:28" ht="20.100000000000001" customHeight="1">
      <c r="A48" s="1844"/>
      <c r="B48" s="1361"/>
      <c r="C48" s="1361"/>
      <c r="D48" s="1361"/>
      <c r="E48" s="1338"/>
      <c r="F48" s="1361"/>
      <c r="G48" s="1338"/>
      <c r="H48" s="1361"/>
      <c r="I48" s="1823"/>
      <c r="J48" s="1845"/>
      <c r="K48" s="1845"/>
      <c r="L48" s="1845"/>
      <c r="M48" s="1823"/>
      <c r="N48" s="1845"/>
      <c r="O48" s="1823"/>
      <c r="P48" s="1845"/>
      <c r="Q48" s="1823"/>
      <c r="R48" s="1845"/>
      <c r="S48" s="1823"/>
      <c r="T48" s="1845"/>
      <c r="U48" s="1823"/>
      <c r="V48" s="1845"/>
      <c r="W48" s="1823"/>
      <c r="X48" s="1845"/>
      <c r="Y48" s="1823"/>
      <c r="Z48" s="1827"/>
    </row>
    <row r="50" spans="1:26" ht="18" customHeight="1">
      <c r="A50" s="1846"/>
      <c r="B50" s="1333"/>
      <c r="C50" s="1333"/>
      <c r="D50" s="1333"/>
      <c r="E50" s="488"/>
      <c r="F50" s="1333"/>
      <c r="G50" s="488"/>
      <c r="H50" s="1333"/>
      <c r="I50" s="1801"/>
      <c r="J50" s="1805"/>
      <c r="K50" s="1805"/>
      <c r="L50" s="1805"/>
      <c r="M50" s="1823"/>
      <c r="N50" s="1805"/>
      <c r="O50" s="1801"/>
      <c r="P50" s="1805"/>
      <c r="Q50" s="1801"/>
      <c r="R50" s="1805"/>
      <c r="S50" s="1801"/>
      <c r="T50" s="1805"/>
      <c r="U50" s="1801"/>
      <c r="V50" s="1805"/>
      <c r="W50" s="1801"/>
      <c r="X50" s="1805"/>
      <c r="Y50" s="1801"/>
      <c r="Z50" s="1807"/>
    </row>
    <row r="51" spans="1:26" ht="20.100000000000001" customHeight="1">
      <c r="A51" s="1815"/>
      <c r="B51" s="1361"/>
      <c r="C51" s="1361"/>
      <c r="D51" s="1361"/>
      <c r="E51" s="1338"/>
      <c r="F51" s="1361"/>
      <c r="G51" s="1338"/>
      <c r="H51" s="1361"/>
      <c r="I51" s="1823"/>
      <c r="J51" s="1845"/>
      <c r="K51" s="1845"/>
      <c r="L51" s="1845"/>
      <c r="M51" s="1823"/>
      <c r="N51" s="1845"/>
      <c r="O51" s="1823"/>
      <c r="P51" s="1845"/>
      <c r="Q51" s="1823"/>
      <c r="R51" s="1845"/>
      <c r="S51" s="1823"/>
      <c r="T51" s="1845"/>
      <c r="U51" s="1823"/>
      <c r="V51" s="1845"/>
      <c r="W51" s="1823"/>
      <c r="X51" s="1845"/>
      <c r="Y51" s="1823"/>
      <c r="Z51" s="1830"/>
    </row>
    <row r="52" spans="1:26" ht="20.100000000000001" customHeight="1">
      <c r="A52" s="1815"/>
      <c r="B52" s="1361"/>
      <c r="C52" s="1361"/>
      <c r="D52" s="1361"/>
      <c r="E52" s="1338"/>
      <c r="F52" s="1361"/>
      <c r="G52" s="1338"/>
      <c r="H52" s="1361"/>
      <c r="I52" s="1823"/>
      <c r="J52" s="1845"/>
      <c r="K52" s="1845"/>
      <c r="L52" s="1845"/>
      <c r="M52" s="1823"/>
      <c r="N52" s="1845"/>
      <c r="O52" s="1823"/>
      <c r="P52" s="1845"/>
      <c r="Q52" s="1823"/>
      <c r="R52" s="1845"/>
      <c r="S52" s="1823"/>
      <c r="T52" s="1845"/>
      <c r="U52" s="1823"/>
      <c r="V52" s="1845"/>
      <c r="W52" s="1823"/>
      <c r="X52" s="1845"/>
      <c r="Y52" s="1823"/>
      <c r="Z52" s="1830"/>
    </row>
    <row r="53" spans="1:26" ht="20.100000000000001" customHeight="1">
      <c r="A53" s="1812"/>
      <c r="B53" s="487"/>
      <c r="C53" s="487"/>
      <c r="D53" s="487"/>
      <c r="E53" s="488"/>
      <c r="F53" s="487"/>
      <c r="G53" s="488"/>
      <c r="H53" s="487"/>
      <c r="I53" s="1801"/>
      <c r="J53" s="1800"/>
      <c r="K53" s="1800"/>
      <c r="L53" s="1800"/>
      <c r="M53" s="1801"/>
      <c r="N53" s="1800"/>
      <c r="O53" s="1801"/>
      <c r="P53" s="1800"/>
      <c r="Q53" s="1801"/>
      <c r="R53" s="1800"/>
      <c r="S53" s="1801"/>
      <c r="T53" s="1800"/>
      <c r="U53" s="1801"/>
      <c r="V53" s="1800"/>
      <c r="W53" s="1801"/>
      <c r="X53" s="1800"/>
      <c r="Y53" s="1801"/>
      <c r="Z53" s="1847"/>
    </row>
    <row r="54" spans="1:26" ht="20.100000000000001" customHeight="1">
      <c r="A54" s="1812"/>
      <c r="B54" s="487"/>
      <c r="C54" s="487"/>
      <c r="D54" s="487"/>
      <c r="E54" s="488"/>
      <c r="F54" s="487"/>
      <c r="G54" s="488"/>
      <c r="H54" s="487"/>
      <c r="I54" s="1801"/>
      <c r="J54" s="1800"/>
      <c r="K54" s="1800"/>
      <c r="L54" s="1800"/>
      <c r="M54" s="1801"/>
      <c r="N54" s="1800"/>
      <c r="O54" s="1801"/>
      <c r="P54" s="1800"/>
      <c r="Q54" s="1801"/>
      <c r="R54" s="1800"/>
      <c r="S54" s="1801"/>
      <c r="T54" s="1800"/>
      <c r="U54" s="1801"/>
      <c r="V54" s="1800"/>
      <c r="W54" s="1801"/>
      <c r="X54" s="1800"/>
      <c r="Y54" s="1801"/>
      <c r="Z54" s="1847"/>
    </row>
    <row r="55" spans="1:26" ht="20.100000000000001" customHeight="1">
      <c r="A55" s="1812"/>
      <c r="B55" s="487"/>
      <c r="C55" s="487"/>
      <c r="D55" s="487"/>
      <c r="E55" s="488"/>
      <c r="F55" s="487"/>
      <c r="G55" s="488"/>
      <c r="H55" s="487"/>
      <c r="I55" s="1801"/>
      <c r="J55" s="1800"/>
      <c r="K55" s="1800"/>
      <c r="L55" s="1800"/>
      <c r="M55" s="1801"/>
      <c r="N55" s="1800"/>
      <c r="O55" s="1801"/>
      <c r="P55" s="1800"/>
      <c r="Q55" s="1801"/>
      <c r="R55" s="1800"/>
      <c r="S55" s="1801"/>
      <c r="T55" s="1800"/>
      <c r="U55" s="1801"/>
      <c r="V55" s="1800"/>
      <c r="W55" s="1801"/>
      <c r="X55" s="1800"/>
      <c r="Y55" s="1801"/>
      <c r="Z55" s="1847"/>
    </row>
    <row r="56" spans="1:26" ht="20.100000000000001" customHeight="1">
      <c r="A56" s="1812"/>
      <c r="B56" s="487"/>
      <c r="C56" s="487"/>
      <c r="D56" s="487"/>
      <c r="E56" s="488"/>
      <c r="F56" s="487"/>
      <c r="G56" s="488"/>
      <c r="H56" s="487"/>
      <c r="I56" s="1801"/>
      <c r="J56" s="1800"/>
      <c r="K56" s="1800"/>
      <c r="L56" s="1800"/>
      <c r="M56" s="1801"/>
      <c r="N56" s="1800"/>
      <c r="O56" s="1801"/>
      <c r="P56" s="1800"/>
      <c r="Q56" s="1801"/>
      <c r="R56" s="1800"/>
      <c r="S56" s="1801"/>
      <c r="T56" s="1800"/>
      <c r="U56" s="1801"/>
      <c r="V56" s="1800"/>
      <c r="W56" s="1801"/>
      <c r="X56" s="1800"/>
      <c r="Y56" s="1801"/>
      <c r="Z56" s="1847"/>
    </row>
    <row r="57" spans="1:26" ht="20.100000000000001" customHeight="1">
      <c r="A57" s="1812"/>
      <c r="B57" s="487"/>
      <c r="C57" s="487"/>
      <c r="D57" s="487"/>
      <c r="E57" s="488"/>
      <c r="F57" s="487"/>
      <c r="G57" s="488"/>
      <c r="H57" s="487"/>
      <c r="I57" s="1801"/>
      <c r="J57" s="1800"/>
      <c r="K57" s="1800"/>
      <c r="L57" s="1800"/>
      <c r="M57" s="1801"/>
      <c r="N57" s="1800"/>
      <c r="O57" s="1801"/>
      <c r="P57" s="1800"/>
      <c r="Q57" s="1801"/>
      <c r="R57" s="1800"/>
      <c r="S57" s="1801"/>
      <c r="T57" s="1800"/>
      <c r="U57" s="1801"/>
      <c r="V57" s="1800"/>
      <c r="W57" s="1801"/>
      <c r="X57" s="1800"/>
      <c r="Y57" s="1801"/>
      <c r="Z57" s="1847"/>
    </row>
    <row r="58" spans="1:26">
      <c r="A58" s="1812"/>
      <c r="B58" s="487"/>
      <c r="C58" s="487"/>
      <c r="D58" s="487"/>
      <c r="E58" s="488"/>
      <c r="F58" s="487"/>
      <c r="G58" s="488"/>
      <c r="H58" s="487"/>
      <c r="I58" s="1801"/>
      <c r="J58" s="1800"/>
      <c r="K58" s="1800"/>
      <c r="L58" s="1800"/>
      <c r="M58" s="1801"/>
      <c r="N58" s="1800"/>
      <c r="O58" s="1801"/>
      <c r="P58" s="1800"/>
      <c r="Q58" s="1801"/>
      <c r="R58" s="1800"/>
      <c r="S58" s="1801"/>
      <c r="T58" s="1800"/>
      <c r="U58" s="1801"/>
      <c r="V58" s="1800"/>
      <c r="W58" s="1801"/>
      <c r="X58" s="1800"/>
      <c r="Y58" s="1801"/>
      <c r="Z58" s="1847"/>
    </row>
    <row r="59" spans="1:26">
      <c r="A59" s="1812"/>
      <c r="B59" s="487"/>
      <c r="C59" s="487"/>
      <c r="D59" s="487"/>
      <c r="E59" s="488"/>
      <c r="F59" s="487"/>
      <c r="G59" s="488"/>
      <c r="H59" s="487"/>
      <c r="I59" s="1801"/>
      <c r="J59" s="1800"/>
      <c r="K59" s="1800"/>
      <c r="L59" s="1800"/>
      <c r="M59" s="1801"/>
      <c r="N59" s="1800"/>
      <c r="O59" s="1801"/>
      <c r="P59" s="1800"/>
      <c r="Q59" s="1801"/>
      <c r="R59" s="1800"/>
      <c r="S59" s="1801"/>
      <c r="T59" s="1800"/>
      <c r="U59" s="1801"/>
      <c r="V59" s="1800"/>
      <c r="W59" s="1801"/>
      <c r="X59" s="1800"/>
      <c r="Y59" s="1801"/>
      <c r="Z59" s="1847"/>
    </row>
    <row r="60" spans="1:26">
      <c r="A60" s="1812"/>
      <c r="B60" s="487"/>
      <c r="C60" s="487"/>
      <c r="D60" s="487"/>
      <c r="E60" s="488"/>
      <c r="F60" s="487"/>
      <c r="G60" s="488"/>
      <c r="H60" s="487"/>
      <c r="I60" s="1801"/>
      <c r="J60" s="1800"/>
      <c r="K60" s="1800"/>
      <c r="L60" s="1800"/>
      <c r="M60" s="1801"/>
      <c r="N60" s="1800"/>
      <c r="O60" s="1801"/>
      <c r="P60" s="1800"/>
      <c r="Q60" s="1801"/>
      <c r="R60" s="1800"/>
      <c r="S60" s="1801"/>
      <c r="T60" s="1800"/>
      <c r="U60" s="1801"/>
      <c r="V60" s="1800"/>
      <c r="W60" s="1801"/>
      <c r="X60" s="1800"/>
      <c r="Y60" s="1801"/>
      <c r="Z60" s="1847"/>
    </row>
    <row r="61" spans="1:26">
      <c r="A61" s="1812"/>
      <c r="B61" s="487"/>
      <c r="C61" s="487"/>
      <c r="D61" s="487"/>
      <c r="E61" s="488"/>
      <c r="F61" s="487"/>
      <c r="G61" s="488"/>
      <c r="H61" s="487"/>
      <c r="I61" s="1801"/>
      <c r="J61" s="1800"/>
      <c r="K61" s="1800"/>
      <c r="L61" s="1800"/>
      <c r="M61" s="1801"/>
      <c r="N61" s="1800"/>
      <c r="O61" s="1801"/>
      <c r="P61" s="1800"/>
      <c r="Q61" s="1801"/>
      <c r="R61" s="1800"/>
      <c r="S61" s="1801"/>
      <c r="T61" s="1800"/>
      <c r="U61" s="1801"/>
      <c r="V61" s="1800"/>
      <c r="W61" s="1801"/>
      <c r="X61" s="1800"/>
      <c r="Y61" s="1801"/>
      <c r="Z61" s="1847"/>
    </row>
    <row r="62" spans="1:26">
      <c r="A62" s="1812"/>
      <c r="B62" s="487"/>
      <c r="C62" s="487"/>
      <c r="D62" s="487"/>
      <c r="E62" s="488"/>
      <c r="F62" s="487"/>
      <c r="G62" s="488"/>
      <c r="H62" s="487"/>
      <c r="I62" s="1801"/>
      <c r="J62" s="1800"/>
      <c r="K62" s="1800"/>
      <c r="L62" s="1800"/>
      <c r="M62" s="1801"/>
      <c r="N62" s="1800"/>
      <c r="O62" s="1801"/>
      <c r="P62" s="1800"/>
      <c r="Q62" s="1801"/>
      <c r="R62" s="1800"/>
      <c r="S62" s="1801"/>
      <c r="T62" s="1800"/>
      <c r="U62" s="1801"/>
      <c r="V62" s="1800"/>
      <c r="W62" s="1801"/>
      <c r="X62" s="1800"/>
      <c r="Y62" s="1801"/>
      <c r="Z62" s="1847"/>
    </row>
    <row r="63" spans="1:26">
      <c r="A63" s="1812"/>
      <c r="B63" s="487"/>
      <c r="C63" s="487"/>
      <c r="D63" s="487"/>
      <c r="E63" s="488"/>
      <c r="F63" s="487"/>
      <c r="G63" s="488"/>
      <c r="H63" s="487"/>
      <c r="I63" s="1801"/>
      <c r="J63" s="1800"/>
      <c r="K63" s="1800"/>
      <c r="L63" s="1800"/>
      <c r="M63" s="1801"/>
      <c r="N63" s="1800"/>
      <c r="O63" s="1801"/>
      <c r="P63" s="1800"/>
      <c r="Q63" s="1801"/>
      <c r="R63" s="1800"/>
      <c r="S63" s="1801"/>
      <c r="T63" s="1800"/>
      <c r="U63" s="1801"/>
      <c r="V63" s="1800"/>
      <c r="W63" s="1801"/>
      <c r="X63" s="1800"/>
      <c r="Y63" s="1801"/>
      <c r="Z63" s="1847"/>
    </row>
    <row r="64" spans="1:26">
      <c r="A64" s="1812"/>
      <c r="B64" s="487"/>
      <c r="C64" s="487"/>
      <c r="D64" s="487"/>
      <c r="E64" s="488"/>
      <c r="F64" s="487"/>
      <c r="G64" s="488"/>
      <c r="H64" s="487"/>
      <c r="I64" s="1801"/>
      <c r="J64" s="1800"/>
      <c r="K64" s="1800"/>
      <c r="L64" s="1800"/>
      <c r="M64" s="1801"/>
      <c r="N64" s="1800"/>
      <c r="O64" s="1801"/>
      <c r="P64" s="1800"/>
      <c r="Q64" s="1801"/>
      <c r="R64" s="1800"/>
      <c r="S64" s="1801"/>
      <c r="T64" s="1800"/>
      <c r="U64" s="1801"/>
      <c r="V64" s="1800"/>
      <c r="W64" s="1801"/>
      <c r="X64" s="1800"/>
      <c r="Y64" s="1801"/>
      <c r="Z64" s="1847"/>
    </row>
    <row r="65" spans="1:26">
      <c r="A65" s="1812"/>
      <c r="B65" s="487"/>
      <c r="C65" s="487"/>
      <c r="D65" s="487"/>
      <c r="E65" s="488"/>
      <c r="F65" s="487"/>
      <c r="G65" s="488"/>
      <c r="H65" s="487"/>
      <c r="I65" s="1801"/>
      <c r="J65" s="1800"/>
      <c r="K65" s="1800"/>
      <c r="L65" s="1800"/>
      <c r="M65" s="1801"/>
      <c r="N65" s="1800"/>
      <c r="O65" s="1801"/>
      <c r="P65" s="1800"/>
      <c r="Q65" s="1801"/>
      <c r="R65" s="1800"/>
      <c r="S65" s="1801"/>
      <c r="T65" s="1800"/>
      <c r="U65" s="1801"/>
      <c r="V65" s="1800"/>
      <c r="W65" s="1801"/>
      <c r="X65" s="1800"/>
      <c r="Y65" s="1801"/>
      <c r="Z65" s="1847"/>
    </row>
    <row r="66" spans="1:26">
      <c r="A66" s="1812"/>
      <c r="B66" s="487"/>
      <c r="C66" s="487"/>
      <c r="D66" s="487"/>
      <c r="E66" s="488"/>
      <c r="F66" s="487"/>
      <c r="G66" s="488"/>
      <c r="H66" s="487"/>
      <c r="I66" s="1801"/>
      <c r="J66" s="1800"/>
      <c r="K66" s="1800"/>
      <c r="L66" s="1800"/>
      <c r="M66" s="1801"/>
      <c r="N66" s="1800"/>
      <c r="O66" s="1801"/>
      <c r="P66" s="1800"/>
      <c r="Q66" s="1801"/>
      <c r="R66" s="1800"/>
      <c r="S66" s="1801"/>
      <c r="T66" s="1800"/>
      <c r="U66" s="1801"/>
      <c r="V66" s="1800"/>
      <c r="W66" s="1801"/>
      <c r="X66" s="1800"/>
      <c r="Y66" s="1801"/>
      <c r="Z66" s="1847"/>
    </row>
    <row r="67" spans="1:26">
      <c r="A67" s="1812"/>
      <c r="B67" s="487"/>
      <c r="C67" s="487"/>
      <c r="D67" s="487"/>
      <c r="E67" s="488"/>
      <c r="F67" s="487"/>
      <c r="G67" s="488"/>
      <c r="H67" s="487"/>
      <c r="I67" s="1801"/>
      <c r="J67" s="1800"/>
      <c r="K67" s="1800"/>
      <c r="L67" s="1800"/>
      <c r="M67" s="1801"/>
      <c r="N67" s="1800"/>
      <c r="O67" s="1801"/>
      <c r="P67" s="1800"/>
      <c r="Q67" s="1801"/>
      <c r="R67" s="1800"/>
      <c r="S67" s="1801"/>
      <c r="T67" s="1800"/>
      <c r="U67" s="1801"/>
      <c r="V67" s="1800"/>
      <c r="W67" s="1801"/>
      <c r="X67" s="1800"/>
      <c r="Y67" s="1801"/>
      <c r="Z67" s="1847"/>
    </row>
    <row r="68" spans="1:26">
      <c r="A68" s="1812"/>
      <c r="B68" s="487"/>
      <c r="C68" s="487"/>
      <c r="D68" s="487"/>
      <c r="E68" s="488"/>
      <c r="F68" s="487"/>
      <c r="G68" s="488"/>
      <c r="H68" s="487"/>
      <c r="I68" s="1801"/>
      <c r="J68" s="1800"/>
      <c r="K68" s="1800"/>
      <c r="L68" s="1800"/>
      <c r="M68" s="1801"/>
      <c r="N68" s="1800"/>
      <c r="O68" s="1801"/>
      <c r="P68" s="1800"/>
      <c r="Q68" s="1801"/>
      <c r="R68" s="1800"/>
      <c r="S68" s="1801"/>
      <c r="T68" s="1800"/>
      <c r="U68" s="1801"/>
      <c r="V68" s="1800"/>
      <c r="W68" s="1801"/>
      <c r="X68" s="1800"/>
      <c r="Y68" s="1801"/>
      <c r="Z68" s="1847"/>
    </row>
    <row r="69" spans="1:26">
      <c r="A69" s="1812"/>
      <c r="B69" s="487"/>
      <c r="C69" s="487"/>
      <c r="D69" s="487"/>
      <c r="E69" s="488"/>
      <c r="F69" s="487"/>
      <c r="G69" s="488"/>
      <c r="H69" s="487"/>
      <c r="I69" s="1801"/>
      <c r="J69" s="1800"/>
      <c r="K69" s="1800"/>
      <c r="L69" s="1800"/>
      <c r="M69" s="1801"/>
      <c r="N69" s="1800"/>
      <c r="O69" s="1801"/>
      <c r="P69" s="1800"/>
      <c r="Q69" s="1801"/>
      <c r="R69" s="1800"/>
      <c r="S69" s="1801"/>
      <c r="T69" s="1800"/>
      <c r="U69" s="1801"/>
      <c r="V69" s="1800"/>
      <c r="W69" s="1801"/>
      <c r="X69" s="1800"/>
      <c r="Y69" s="1801"/>
      <c r="Z69" s="1847"/>
    </row>
    <row r="70" spans="1:26">
      <c r="A70" s="1812"/>
      <c r="B70" s="487"/>
      <c r="C70" s="487"/>
      <c r="D70" s="487"/>
      <c r="E70" s="488"/>
      <c r="F70" s="487"/>
      <c r="G70" s="488"/>
      <c r="H70" s="487"/>
      <c r="I70" s="1801"/>
      <c r="J70" s="1800"/>
      <c r="K70" s="1800"/>
      <c r="L70" s="1800"/>
      <c r="M70" s="1801"/>
      <c r="N70" s="1800"/>
      <c r="O70" s="1801"/>
      <c r="P70" s="1800"/>
      <c r="Q70" s="1801"/>
      <c r="R70" s="1800"/>
      <c r="S70" s="1801"/>
      <c r="T70" s="1800"/>
      <c r="U70" s="1801"/>
      <c r="V70" s="1800"/>
      <c r="W70" s="1801"/>
      <c r="X70" s="1800"/>
      <c r="Y70" s="1801"/>
      <c r="Z70" s="1847"/>
    </row>
    <row r="71" spans="1:26">
      <c r="A71" s="1812"/>
      <c r="B71" s="487"/>
      <c r="C71" s="487"/>
      <c r="D71" s="487"/>
      <c r="E71" s="488"/>
      <c r="F71" s="487"/>
      <c r="G71" s="488"/>
      <c r="H71" s="487"/>
      <c r="I71" s="1801"/>
      <c r="J71" s="1800"/>
      <c r="K71" s="1800"/>
      <c r="L71" s="1800"/>
      <c r="M71" s="1801"/>
      <c r="N71" s="1800"/>
      <c r="O71" s="1801"/>
      <c r="P71" s="1800"/>
      <c r="Q71" s="1801"/>
      <c r="R71" s="1800"/>
      <c r="S71" s="1801"/>
      <c r="T71" s="1800"/>
      <c r="U71" s="1801"/>
      <c r="V71" s="1800"/>
      <c r="W71" s="1801"/>
      <c r="X71" s="1800"/>
      <c r="Y71" s="1801"/>
      <c r="Z71" s="1847"/>
    </row>
    <row r="72" spans="1:26">
      <c r="A72" s="1812"/>
      <c r="B72" s="487"/>
      <c r="C72" s="487"/>
      <c r="D72" s="487"/>
      <c r="E72" s="488"/>
      <c r="F72" s="487"/>
      <c r="G72" s="488"/>
      <c r="H72" s="487"/>
      <c r="I72" s="1801"/>
      <c r="J72" s="1800"/>
      <c r="K72" s="1800"/>
      <c r="L72" s="1800"/>
      <c r="M72" s="1801"/>
      <c r="N72" s="1800"/>
      <c r="O72" s="1801"/>
      <c r="P72" s="1800"/>
      <c r="Q72" s="1801"/>
      <c r="R72" s="1800"/>
      <c r="S72" s="1801"/>
      <c r="T72" s="1800"/>
      <c r="U72" s="1801"/>
      <c r="V72" s="1800"/>
      <c r="W72" s="1801"/>
      <c r="X72" s="1800"/>
      <c r="Y72" s="1801"/>
      <c r="Z72" s="1847"/>
    </row>
    <row r="73" spans="1:26">
      <c r="A73" s="1812"/>
      <c r="B73" s="487"/>
      <c r="C73" s="487"/>
      <c r="D73" s="487"/>
      <c r="E73" s="488"/>
      <c r="F73" s="487"/>
      <c r="G73" s="488"/>
      <c r="H73" s="487"/>
      <c r="I73" s="1801"/>
      <c r="J73" s="1800"/>
      <c r="K73" s="1800"/>
      <c r="L73" s="1800"/>
      <c r="M73" s="1801"/>
      <c r="N73" s="1800"/>
      <c r="O73" s="1801"/>
      <c r="P73" s="1800"/>
      <c r="Q73" s="1801"/>
      <c r="R73" s="1800"/>
      <c r="S73" s="1801"/>
      <c r="T73" s="1800"/>
      <c r="U73" s="1801"/>
      <c r="V73" s="1800"/>
      <c r="W73" s="1801"/>
      <c r="X73" s="1800"/>
      <c r="Y73" s="1801"/>
      <c r="Z73" s="1847"/>
    </row>
    <row r="74" spans="1:26">
      <c r="A74" s="1812"/>
      <c r="B74" s="487"/>
      <c r="C74" s="487"/>
      <c r="D74" s="487"/>
      <c r="E74" s="488"/>
      <c r="F74" s="487"/>
      <c r="G74" s="488"/>
      <c r="H74" s="487"/>
      <c r="I74" s="1801"/>
      <c r="J74" s="1800"/>
      <c r="K74" s="1800"/>
      <c r="L74" s="1800"/>
      <c r="M74" s="1801"/>
      <c r="N74" s="1800"/>
      <c r="O74" s="1801"/>
      <c r="P74" s="1800"/>
      <c r="Q74" s="1801"/>
      <c r="R74" s="1800"/>
      <c r="S74" s="1801"/>
      <c r="T74" s="1800"/>
      <c r="U74" s="1801"/>
      <c r="V74" s="1800"/>
      <c r="W74" s="1801"/>
      <c r="X74" s="1800"/>
      <c r="Y74" s="1801"/>
      <c r="Z74" s="1847"/>
    </row>
    <row r="75" spans="1:26">
      <c r="A75" s="1812"/>
      <c r="B75" s="487"/>
      <c r="C75" s="487"/>
      <c r="D75" s="487"/>
      <c r="E75" s="488"/>
      <c r="F75" s="487"/>
      <c r="G75" s="488"/>
      <c r="H75" s="487"/>
      <c r="I75" s="1801"/>
      <c r="J75" s="1800"/>
      <c r="K75" s="1800"/>
      <c r="L75" s="1800"/>
      <c r="M75" s="1801"/>
      <c r="N75" s="1800"/>
      <c r="O75" s="1801"/>
      <c r="P75" s="1800"/>
      <c r="Q75" s="1801"/>
      <c r="R75" s="1800"/>
      <c r="S75" s="1801"/>
      <c r="T75" s="1800"/>
      <c r="U75" s="1801"/>
      <c r="V75" s="1800"/>
      <c r="W75" s="1801"/>
      <c r="X75" s="1800"/>
      <c r="Y75" s="1801"/>
      <c r="Z75" s="1847"/>
    </row>
    <row r="76" spans="1:26">
      <c r="A76" s="1812"/>
      <c r="B76" s="487"/>
      <c r="C76" s="487"/>
      <c r="D76" s="487"/>
      <c r="E76" s="488"/>
      <c r="F76" s="487"/>
      <c r="G76" s="488"/>
      <c r="H76" s="487"/>
      <c r="I76" s="1801"/>
      <c r="J76" s="1800"/>
      <c r="K76" s="1800"/>
      <c r="L76" s="1800"/>
      <c r="M76" s="1801"/>
      <c r="N76" s="1800"/>
      <c r="O76" s="1801"/>
      <c r="P76" s="1800"/>
      <c r="Q76" s="1801"/>
      <c r="R76" s="1800"/>
      <c r="S76" s="1801"/>
      <c r="T76" s="1800"/>
      <c r="U76" s="1801"/>
      <c r="V76" s="1800"/>
      <c r="W76" s="1801"/>
      <c r="X76" s="1800"/>
      <c r="Y76" s="1801"/>
      <c r="Z76" s="1847"/>
    </row>
    <row r="77" spans="1:26">
      <c r="A77" s="1812"/>
      <c r="B77" s="487"/>
      <c r="C77" s="487"/>
      <c r="D77" s="487"/>
      <c r="E77" s="488"/>
      <c r="F77" s="487"/>
      <c r="G77" s="488"/>
      <c r="H77" s="487"/>
      <c r="I77" s="1801"/>
      <c r="J77" s="1800"/>
      <c r="K77" s="1800"/>
      <c r="L77" s="1800"/>
      <c r="M77" s="1801"/>
      <c r="N77" s="1800"/>
      <c r="O77" s="1801"/>
      <c r="P77" s="1800"/>
      <c r="Q77" s="1801"/>
      <c r="R77" s="1800"/>
      <c r="S77" s="1801"/>
      <c r="T77" s="1800"/>
      <c r="U77" s="1801"/>
      <c r="V77" s="1800"/>
      <c r="W77" s="1801"/>
      <c r="X77" s="1800"/>
      <c r="Y77" s="1801"/>
      <c r="Z77" s="1847"/>
    </row>
    <row r="78" spans="1:26">
      <c r="A78" s="1812"/>
      <c r="B78" s="487"/>
      <c r="C78" s="487"/>
      <c r="D78" s="487"/>
      <c r="E78" s="488"/>
      <c r="F78" s="487"/>
      <c r="G78" s="488"/>
      <c r="H78" s="487"/>
      <c r="I78" s="1801"/>
      <c r="J78" s="1800"/>
      <c r="K78" s="1800"/>
      <c r="L78" s="1800"/>
      <c r="M78" s="1801"/>
      <c r="N78" s="1800"/>
      <c r="O78" s="1801"/>
      <c r="P78" s="1800"/>
      <c r="Q78" s="1801"/>
      <c r="R78" s="1800"/>
      <c r="S78" s="1801"/>
      <c r="T78" s="1800"/>
      <c r="U78" s="1801"/>
      <c r="V78" s="1800"/>
      <c r="W78" s="1801"/>
      <c r="X78" s="1800"/>
      <c r="Y78" s="1801"/>
      <c r="Z78" s="1847"/>
    </row>
    <row r="79" spans="1:26">
      <c r="A79" s="1812"/>
      <c r="B79" s="487"/>
      <c r="C79" s="487"/>
      <c r="D79" s="487"/>
      <c r="E79" s="488"/>
      <c r="F79" s="487"/>
      <c r="G79" s="488"/>
      <c r="H79" s="487"/>
      <c r="I79" s="1801"/>
      <c r="J79" s="1800"/>
      <c r="K79" s="1800"/>
      <c r="L79" s="1800"/>
      <c r="M79" s="1801"/>
      <c r="N79" s="1800"/>
      <c r="O79" s="1801"/>
      <c r="P79" s="1800"/>
      <c r="Q79" s="1801"/>
      <c r="R79" s="1800"/>
      <c r="S79" s="1801"/>
      <c r="T79" s="1800"/>
      <c r="U79" s="1801"/>
      <c r="V79" s="1800"/>
      <c r="W79" s="1801"/>
      <c r="X79" s="1800"/>
      <c r="Y79" s="1801"/>
      <c r="Z79" s="1847"/>
    </row>
    <row r="80" spans="1:26">
      <c r="A80" s="1812"/>
      <c r="B80" s="487"/>
      <c r="C80" s="487"/>
      <c r="D80" s="487"/>
      <c r="E80" s="488"/>
      <c r="F80" s="487"/>
      <c r="G80" s="488"/>
      <c r="H80" s="487"/>
      <c r="I80" s="1801"/>
      <c r="J80" s="1800"/>
      <c r="K80" s="1800"/>
      <c r="L80" s="1800"/>
      <c r="M80" s="1801"/>
      <c r="N80" s="1800"/>
      <c r="O80" s="1801"/>
      <c r="P80" s="1800"/>
      <c r="Q80" s="1801"/>
      <c r="R80" s="1800"/>
      <c r="S80" s="1801"/>
      <c r="T80" s="1800"/>
      <c r="U80" s="1801"/>
      <c r="V80" s="1800"/>
      <c r="W80" s="1801"/>
      <c r="X80" s="1800"/>
      <c r="Y80" s="1801"/>
      <c r="Z80" s="1847"/>
    </row>
    <row r="81" spans="1:26">
      <c r="A81" s="1812"/>
      <c r="B81" s="487"/>
      <c r="C81" s="487"/>
      <c r="D81" s="487"/>
      <c r="E81" s="488"/>
      <c r="F81" s="487"/>
      <c r="G81" s="488"/>
      <c r="H81" s="487"/>
      <c r="I81" s="1801"/>
      <c r="J81" s="1800"/>
      <c r="K81" s="1800"/>
      <c r="L81" s="1800"/>
      <c r="M81" s="1801"/>
      <c r="N81" s="1800"/>
      <c r="O81" s="1801"/>
      <c r="P81" s="1800"/>
      <c r="Q81" s="1801"/>
      <c r="R81" s="1800"/>
      <c r="S81" s="1801"/>
      <c r="T81" s="1800"/>
      <c r="U81" s="1801"/>
      <c r="V81" s="1800"/>
      <c r="W81" s="1801"/>
      <c r="X81" s="1800"/>
      <c r="Y81" s="1801"/>
      <c r="Z81" s="1847"/>
    </row>
    <row r="82" spans="1:26">
      <c r="A82" s="1812"/>
      <c r="B82" s="487"/>
      <c r="C82" s="487"/>
      <c r="D82" s="487"/>
      <c r="E82" s="488"/>
      <c r="F82" s="487"/>
      <c r="G82" s="488"/>
      <c r="H82" s="487"/>
      <c r="I82" s="1801"/>
      <c r="J82" s="1800"/>
      <c r="K82" s="1800"/>
      <c r="L82" s="1800"/>
      <c r="M82" s="1801"/>
      <c r="N82" s="1800"/>
      <c r="O82" s="1801"/>
      <c r="P82" s="1800"/>
      <c r="Q82" s="1801"/>
      <c r="R82" s="1800"/>
      <c r="S82" s="1801"/>
      <c r="T82" s="1800"/>
      <c r="U82" s="1801"/>
      <c r="V82" s="1800"/>
      <c r="W82" s="1801"/>
      <c r="X82" s="1800"/>
      <c r="Y82" s="1801"/>
      <c r="Z82" s="1847"/>
    </row>
    <row r="83" spans="1:26">
      <c r="A83" s="1812"/>
      <c r="B83" s="487"/>
      <c r="C83" s="487"/>
      <c r="D83" s="487"/>
      <c r="E83" s="488"/>
      <c r="F83" s="487"/>
      <c r="G83" s="488"/>
      <c r="H83" s="487"/>
      <c r="I83" s="1801"/>
      <c r="J83" s="1800"/>
      <c r="K83" s="1800"/>
      <c r="L83" s="1800"/>
      <c r="M83" s="1801"/>
      <c r="N83" s="1800"/>
      <c r="O83" s="1801"/>
      <c r="P83" s="1800"/>
      <c r="Q83" s="1801"/>
      <c r="R83" s="1800"/>
      <c r="S83" s="1801"/>
      <c r="T83" s="1800"/>
      <c r="U83" s="1801"/>
      <c r="V83" s="1800"/>
      <c r="W83" s="1801"/>
      <c r="X83" s="1800"/>
      <c r="Y83" s="1801"/>
      <c r="Z83" s="1847"/>
    </row>
    <row r="84" spans="1:26">
      <c r="A84" s="1812"/>
      <c r="B84" s="487"/>
      <c r="C84" s="487"/>
      <c r="D84" s="487"/>
      <c r="E84" s="488"/>
      <c r="F84" s="487"/>
      <c r="G84" s="488"/>
      <c r="H84" s="487"/>
      <c r="I84" s="1801"/>
      <c r="J84" s="1800"/>
      <c r="K84" s="1800"/>
      <c r="L84" s="1800"/>
      <c r="M84" s="1801"/>
      <c r="N84" s="1800"/>
      <c r="O84" s="1801"/>
      <c r="P84" s="1800"/>
      <c r="Q84" s="1801"/>
      <c r="R84" s="1800"/>
      <c r="S84" s="1801"/>
      <c r="T84" s="1800"/>
      <c r="U84" s="1801"/>
      <c r="V84" s="1800"/>
      <c r="W84" s="1801"/>
      <c r="X84" s="1800"/>
      <c r="Y84" s="1801"/>
      <c r="Z84" s="1847"/>
    </row>
    <row r="85" spans="1:26">
      <c r="A85" s="1812"/>
      <c r="B85" s="487"/>
      <c r="C85" s="487"/>
      <c r="D85" s="487"/>
      <c r="E85" s="488"/>
      <c r="F85" s="487"/>
      <c r="G85" s="488"/>
      <c r="H85" s="487"/>
      <c r="I85" s="1801"/>
      <c r="J85" s="1800"/>
      <c r="K85" s="1800"/>
      <c r="L85" s="1800"/>
      <c r="M85" s="1801"/>
      <c r="N85" s="1800"/>
      <c r="O85" s="1801"/>
      <c r="P85" s="1800"/>
      <c r="Q85" s="1801"/>
      <c r="R85" s="1800"/>
      <c r="S85" s="1801"/>
      <c r="T85" s="1800"/>
      <c r="U85" s="1801"/>
      <c r="V85" s="1800"/>
      <c r="W85" s="1801"/>
      <c r="X85" s="1800"/>
      <c r="Y85" s="1801"/>
      <c r="Z85" s="1847"/>
    </row>
    <row r="86" spans="1:26">
      <c r="A86" s="1812"/>
      <c r="B86" s="487"/>
      <c r="C86" s="487"/>
      <c r="D86" s="487"/>
      <c r="E86" s="488"/>
      <c r="F86" s="487"/>
      <c r="G86" s="488"/>
      <c r="H86" s="487"/>
      <c r="I86" s="1801"/>
      <c r="J86" s="1800"/>
      <c r="K86" s="1800"/>
      <c r="L86" s="1800"/>
      <c r="M86" s="1801"/>
      <c r="N86" s="1800"/>
      <c r="O86" s="1801"/>
      <c r="P86" s="1800"/>
      <c r="Q86" s="1801"/>
      <c r="R86" s="1800"/>
      <c r="S86" s="1801"/>
      <c r="T86" s="1800"/>
      <c r="U86" s="1801"/>
      <c r="V86" s="1800"/>
      <c r="W86" s="1801"/>
      <c r="X86" s="1800"/>
      <c r="Y86" s="1801"/>
      <c r="Z86" s="1847"/>
    </row>
    <row r="87" spans="1:26">
      <c r="A87" s="1812"/>
      <c r="B87" s="487"/>
      <c r="C87" s="487"/>
      <c r="D87" s="487"/>
      <c r="E87" s="488"/>
      <c r="F87" s="487"/>
      <c r="G87" s="488"/>
      <c r="H87" s="487"/>
      <c r="I87" s="1801"/>
      <c r="J87" s="1800"/>
      <c r="K87" s="1800"/>
      <c r="L87" s="1800"/>
      <c r="M87" s="1801"/>
      <c r="N87" s="1800"/>
      <c r="O87" s="1801"/>
      <c r="P87" s="1800"/>
      <c r="Q87" s="1801"/>
      <c r="R87" s="1800"/>
      <c r="S87" s="1801"/>
      <c r="T87" s="1800"/>
      <c r="U87" s="1801"/>
      <c r="V87" s="1800"/>
      <c r="W87" s="1801"/>
      <c r="X87" s="1800"/>
      <c r="Y87" s="1801"/>
      <c r="Z87" s="1847"/>
    </row>
    <row r="88" spans="1:26">
      <c r="A88" s="1812"/>
      <c r="B88" s="487"/>
      <c r="C88" s="487"/>
      <c r="D88" s="487"/>
      <c r="E88" s="488"/>
      <c r="F88" s="487"/>
      <c r="G88" s="488"/>
      <c r="H88" s="487"/>
      <c r="I88" s="1801"/>
      <c r="J88" s="1800"/>
      <c r="K88" s="1800"/>
      <c r="L88" s="1800"/>
      <c r="M88" s="1801"/>
      <c r="N88" s="1800"/>
      <c r="O88" s="1801"/>
      <c r="P88" s="1800"/>
      <c r="Q88" s="1801"/>
      <c r="R88" s="1800"/>
      <c r="S88" s="1801"/>
      <c r="T88" s="1800"/>
      <c r="U88" s="1801"/>
      <c r="V88" s="1800"/>
      <c r="W88" s="1801"/>
      <c r="X88" s="1800"/>
      <c r="Y88" s="1801"/>
      <c r="Z88" s="1847"/>
    </row>
    <row r="89" spans="1:26">
      <c r="A89" s="1812"/>
      <c r="B89" s="487"/>
      <c r="C89" s="487"/>
      <c r="D89" s="487"/>
      <c r="E89" s="488"/>
      <c r="F89" s="487"/>
      <c r="G89" s="488"/>
      <c r="H89" s="487"/>
      <c r="I89" s="1801"/>
      <c r="J89" s="1800"/>
      <c r="K89" s="1800"/>
      <c r="L89" s="1800"/>
      <c r="M89" s="1801"/>
      <c r="N89" s="1800"/>
      <c r="O89" s="1801"/>
      <c r="P89" s="1800"/>
      <c r="Q89" s="1801"/>
      <c r="R89" s="1800"/>
      <c r="S89" s="1801"/>
      <c r="T89" s="1800"/>
      <c r="U89" s="1801"/>
      <c r="V89" s="1800"/>
      <c r="W89" s="1801"/>
      <c r="X89" s="1800"/>
      <c r="Y89" s="1801"/>
      <c r="Z89" s="1847"/>
    </row>
    <row r="90" spans="1:26">
      <c r="A90" s="1812"/>
      <c r="B90" s="487"/>
      <c r="C90" s="487"/>
      <c r="D90" s="487"/>
      <c r="E90" s="488"/>
      <c r="F90" s="487"/>
      <c r="G90" s="488"/>
      <c r="H90" s="487"/>
      <c r="I90" s="1801"/>
      <c r="J90" s="1800"/>
      <c r="K90" s="1800"/>
      <c r="L90" s="1800"/>
      <c r="M90" s="1801"/>
      <c r="N90" s="1800"/>
      <c r="O90" s="1801"/>
      <c r="P90" s="1800"/>
      <c r="Q90" s="1801"/>
      <c r="R90" s="1800"/>
      <c r="S90" s="1801"/>
      <c r="T90" s="1800"/>
      <c r="U90" s="1801"/>
      <c r="V90" s="1800"/>
      <c r="W90" s="1801"/>
      <c r="X90" s="1800"/>
      <c r="Y90" s="1801"/>
      <c r="Z90" s="1847"/>
    </row>
    <row r="91" spans="1:26">
      <c r="A91" s="1812"/>
      <c r="B91" s="487"/>
      <c r="C91" s="487"/>
      <c r="D91" s="487"/>
      <c r="E91" s="488"/>
      <c r="F91" s="487"/>
      <c r="G91" s="488"/>
      <c r="H91" s="487"/>
      <c r="I91" s="1801"/>
      <c r="J91" s="1800"/>
      <c r="K91" s="1800"/>
      <c r="L91" s="1800"/>
      <c r="M91" s="1801"/>
      <c r="N91" s="1800"/>
      <c r="O91" s="1801"/>
      <c r="P91" s="1800"/>
      <c r="Q91" s="1801"/>
      <c r="R91" s="1800"/>
      <c r="S91" s="1801"/>
      <c r="T91" s="1800"/>
      <c r="U91" s="1801"/>
      <c r="V91" s="1800"/>
      <c r="W91" s="1801"/>
      <c r="X91" s="1800"/>
      <c r="Y91" s="1801"/>
      <c r="Z91" s="1847"/>
    </row>
    <row r="92" spans="1:26">
      <c r="A92" s="1812"/>
      <c r="B92" s="487"/>
      <c r="C92" s="487"/>
      <c r="D92" s="487"/>
      <c r="E92" s="488"/>
      <c r="F92" s="487"/>
      <c r="G92" s="488"/>
      <c r="H92" s="487"/>
      <c r="I92" s="1801"/>
      <c r="J92" s="1800"/>
      <c r="K92" s="1800"/>
      <c r="L92" s="1800"/>
      <c r="M92" s="1801"/>
      <c r="N92" s="1800"/>
      <c r="O92" s="1801"/>
      <c r="P92" s="1800"/>
      <c r="Q92" s="1801"/>
      <c r="R92" s="1800"/>
      <c r="S92" s="1801"/>
      <c r="T92" s="1800"/>
      <c r="U92" s="1801"/>
      <c r="V92" s="1800"/>
      <c r="W92" s="1801"/>
      <c r="X92" s="1800"/>
      <c r="Y92" s="1801"/>
      <c r="Z92" s="1847"/>
    </row>
    <row r="93" spans="1:26">
      <c r="A93" s="1812"/>
      <c r="B93" s="487"/>
      <c r="C93" s="487"/>
      <c r="D93" s="487"/>
      <c r="E93" s="488"/>
      <c r="F93" s="487"/>
      <c r="G93" s="488"/>
      <c r="H93" s="487"/>
      <c r="I93" s="1801"/>
      <c r="J93" s="1800"/>
      <c r="K93" s="1800"/>
      <c r="L93" s="1800"/>
      <c r="M93" s="1801"/>
      <c r="N93" s="1800"/>
      <c r="O93" s="1801"/>
      <c r="P93" s="1800"/>
      <c r="Q93" s="1801"/>
      <c r="R93" s="1800"/>
      <c r="S93" s="1801"/>
      <c r="T93" s="1800"/>
      <c r="U93" s="1801"/>
      <c r="V93" s="1800"/>
      <c r="W93" s="1801"/>
      <c r="X93" s="1800"/>
      <c r="Y93" s="1801"/>
      <c r="Z93" s="1847"/>
    </row>
    <row r="94" spans="1:26">
      <c r="A94" s="1812"/>
      <c r="B94" s="487"/>
      <c r="C94" s="487"/>
      <c r="D94" s="487"/>
      <c r="E94" s="488"/>
      <c r="F94" s="487"/>
      <c r="G94" s="488"/>
      <c r="H94" s="487"/>
      <c r="I94" s="1801"/>
      <c r="J94" s="1800"/>
      <c r="K94" s="1800"/>
      <c r="L94" s="1800"/>
      <c r="M94" s="1801"/>
      <c r="N94" s="1800"/>
      <c r="O94" s="1801"/>
      <c r="P94" s="1800"/>
      <c r="Q94" s="1801"/>
      <c r="R94" s="1800"/>
      <c r="S94" s="1801"/>
      <c r="T94" s="1800"/>
      <c r="U94" s="1801"/>
      <c r="V94" s="1800"/>
      <c r="W94" s="1801"/>
      <c r="X94" s="1800"/>
      <c r="Y94" s="1801"/>
      <c r="Z94" s="1847"/>
    </row>
    <row r="95" spans="1:26">
      <c r="A95" s="1812"/>
      <c r="B95" s="487"/>
      <c r="C95" s="487"/>
      <c r="D95" s="487"/>
      <c r="E95" s="488"/>
      <c r="F95" s="487"/>
      <c r="G95" s="488"/>
      <c r="H95" s="487"/>
      <c r="I95" s="1801"/>
      <c r="J95" s="1800"/>
      <c r="K95" s="1800"/>
      <c r="L95" s="1800"/>
      <c r="M95" s="1801"/>
      <c r="N95" s="1800"/>
      <c r="O95" s="1801"/>
      <c r="P95" s="1800"/>
      <c r="Q95" s="1801"/>
      <c r="R95" s="1800"/>
      <c r="S95" s="1801"/>
      <c r="T95" s="1800"/>
      <c r="U95" s="1801"/>
      <c r="V95" s="1800"/>
      <c r="W95" s="1801"/>
      <c r="X95" s="1800"/>
      <c r="Y95" s="1801"/>
      <c r="Z95" s="1847"/>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77734375" defaultRowHeight="12.75"/>
  <cols>
    <col min="1" max="1" width="45.109375" style="930" customWidth="1"/>
    <col min="2" max="2" width="22.21875" style="930" customWidth="1"/>
    <col min="3" max="3" width="24.77734375" style="930" customWidth="1"/>
    <col min="4" max="4" width="28.44140625" style="930" customWidth="1"/>
    <col min="5" max="5" width="2" style="932" customWidth="1"/>
    <col min="6" max="6" width="13" style="2012" bestFit="1" customWidth="1"/>
    <col min="7" max="7" width="8.77734375" style="932"/>
    <col min="8" max="16384" width="8.77734375" style="930"/>
  </cols>
  <sheetData>
    <row r="1" spans="1:7">
      <c r="A1" s="3214" t="s">
        <v>980</v>
      </c>
      <c r="B1" s="1638"/>
      <c r="C1" s="1638"/>
      <c r="D1" s="1638"/>
      <c r="E1" s="931"/>
    </row>
    <row r="2" spans="1:7">
      <c r="A2" s="3215"/>
      <c r="B2" s="1638"/>
      <c r="C2" s="1638"/>
      <c r="D2" s="1541"/>
      <c r="E2" s="931"/>
    </row>
    <row r="3" spans="1:7" s="937" customFormat="1" ht="15">
      <c r="A3" s="1592" t="s">
        <v>500</v>
      </c>
      <c r="B3" s="1638"/>
      <c r="C3" s="1638"/>
      <c r="D3" s="3603" t="s">
        <v>501</v>
      </c>
      <c r="E3" s="3180"/>
      <c r="F3" s="2013"/>
      <c r="G3" s="638"/>
    </row>
    <row r="4" spans="1:7" s="937" customFormat="1" ht="15">
      <c r="A4" s="1592" t="s">
        <v>502</v>
      </c>
      <c r="B4" s="1638"/>
      <c r="C4" s="1638"/>
      <c r="D4" s="1638"/>
      <c r="E4" s="3180"/>
      <c r="F4" s="2013"/>
      <c r="G4" s="638"/>
    </row>
    <row r="5" spans="1:7" s="937" customFormat="1" ht="15">
      <c r="A5" s="1592" t="s">
        <v>503</v>
      </c>
      <c r="B5" s="1638"/>
      <c r="C5" s="1638"/>
      <c r="D5" s="1638"/>
      <c r="E5" s="3180"/>
      <c r="F5" s="2013"/>
      <c r="G5" s="638"/>
    </row>
    <row r="6" spans="1:7" s="937" customFormat="1" ht="15">
      <c r="A6" s="1593" t="s">
        <v>1424</v>
      </c>
      <c r="B6" s="1638"/>
      <c r="C6" s="1638"/>
      <c r="D6" s="1638"/>
      <c r="E6" s="3180"/>
      <c r="F6" s="2013"/>
      <c r="G6" s="638"/>
    </row>
    <row r="7" spans="1:7">
      <c r="A7" s="1593"/>
      <c r="B7" s="1638"/>
      <c r="C7" s="1638"/>
      <c r="D7" s="1638"/>
      <c r="E7" s="931"/>
    </row>
    <row r="8" spans="1:7" ht="27" customHeight="1">
      <c r="A8" s="3216" t="s">
        <v>504</v>
      </c>
      <c r="B8" s="3216" t="s">
        <v>1356</v>
      </c>
      <c r="C8" s="3216" t="s">
        <v>1480</v>
      </c>
      <c r="D8" s="3217" t="s">
        <v>1481</v>
      </c>
      <c r="E8" s="3181"/>
    </row>
    <row r="9" spans="1:7" s="937" customFormat="1">
      <c r="A9" s="3775" t="s">
        <v>505</v>
      </c>
      <c r="B9" s="3776">
        <v>8752000</v>
      </c>
      <c r="C9" s="3776">
        <v>260654.59999999998</v>
      </c>
      <c r="D9" s="3776">
        <v>1125143.52</v>
      </c>
      <c r="E9" s="1704"/>
      <c r="F9" s="2013"/>
      <c r="G9" s="638"/>
    </row>
    <row r="10" spans="1:7" s="937" customFormat="1" ht="15">
      <c r="A10" s="3638" t="s">
        <v>1357</v>
      </c>
      <c r="B10" s="3639">
        <v>8752000</v>
      </c>
      <c r="C10" s="3639">
        <v>260654.59999999998</v>
      </c>
      <c r="D10" s="3639">
        <v>1125143.52</v>
      </c>
      <c r="E10" s="3182"/>
      <c r="F10" s="2013"/>
      <c r="G10" s="638"/>
    </row>
    <row r="11" spans="1:7" s="937" customFormat="1">
      <c r="A11" s="3221" t="s">
        <v>506</v>
      </c>
      <c r="B11" s="3626">
        <v>1478644000</v>
      </c>
      <c r="C11" s="3626">
        <f>C12</f>
        <v>19092858</v>
      </c>
      <c r="D11" s="3626">
        <f>D12</f>
        <v>103685449.44</v>
      </c>
      <c r="E11" s="1704"/>
      <c r="F11" s="2013"/>
      <c r="G11" s="638"/>
    </row>
    <row r="12" spans="1:7" s="937" customFormat="1">
      <c r="A12" s="3638" t="s">
        <v>1358</v>
      </c>
      <c r="B12" s="3639">
        <v>1478644000</v>
      </c>
      <c r="C12" s="3639">
        <f>19092807.41+50.59</f>
        <v>19092858</v>
      </c>
      <c r="D12" s="3639">
        <f>103685398.85+50.59</f>
        <v>103685449.44</v>
      </c>
      <c r="E12" s="1704"/>
      <c r="F12" s="2013"/>
      <c r="G12" s="638"/>
    </row>
    <row r="13" spans="1:7" s="937" customFormat="1">
      <c r="A13" s="3221" t="s">
        <v>507</v>
      </c>
      <c r="B13" s="3626">
        <v>180000</v>
      </c>
      <c r="C13" s="3626">
        <v>0</v>
      </c>
      <c r="D13" s="3626">
        <v>0</v>
      </c>
      <c r="E13" s="1704"/>
      <c r="F13" s="2013"/>
      <c r="G13" s="638"/>
    </row>
    <row r="14" spans="1:7" s="937" customFormat="1">
      <c r="A14" s="3638" t="s">
        <v>1359</v>
      </c>
      <c r="B14" s="3639">
        <v>180000</v>
      </c>
      <c r="C14" s="3639">
        <v>0</v>
      </c>
      <c r="D14" s="3639">
        <v>0</v>
      </c>
      <c r="E14" s="1704"/>
      <c r="F14" s="2013"/>
      <c r="G14" s="638"/>
    </row>
    <row r="15" spans="1:7" s="937" customFormat="1">
      <c r="A15" s="3221" t="s">
        <v>1233</v>
      </c>
      <c r="B15" s="3626">
        <v>426154811.51999998</v>
      </c>
      <c r="C15" s="3626">
        <v>9578613.9800000004</v>
      </c>
      <c r="D15" s="3626">
        <v>33646661.75</v>
      </c>
      <c r="E15" s="1704"/>
      <c r="F15" s="2013"/>
      <c r="G15" s="638"/>
    </row>
    <row r="16" spans="1:7" s="937" customFormat="1">
      <c r="A16" s="3638" t="s">
        <v>1360</v>
      </c>
      <c r="B16" s="3639">
        <v>426154811.51999998</v>
      </c>
      <c r="C16" s="3639">
        <v>9578613.9800000004</v>
      </c>
      <c r="D16" s="3639">
        <v>33646661.75</v>
      </c>
      <c r="E16" s="1704"/>
      <c r="F16" s="2013"/>
      <c r="G16" s="638"/>
    </row>
    <row r="17" spans="1:7" s="937" customFormat="1">
      <c r="A17" s="3221" t="s">
        <v>508</v>
      </c>
      <c r="B17" s="3626">
        <v>2160773305.0299997</v>
      </c>
      <c r="C17" s="3626">
        <v>15154022.66</v>
      </c>
      <c r="D17" s="3626">
        <v>104551753.41000001</v>
      </c>
      <c r="E17" s="1704"/>
      <c r="F17" s="2013"/>
      <c r="G17" s="638"/>
    </row>
    <row r="18" spans="1:7" s="937" customFormat="1">
      <c r="A18" s="3638" t="s">
        <v>1361</v>
      </c>
      <c r="B18" s="3639">
        <v>205250000</v>
      </c>
      <c r="C18" s="3639">
        <v>0</v>
      </c>
      <c r="D18" s="3639">
        <v>0</v>
      </c>
      <c r="E18" s="1704"/>
      <c r="F18" s="2013"/>
      <c r="G18" s="638"/>
    </row>
    <row r="19" spans="1:7" s="937" customFormat="1">
      <c r="A19" s="3638" t="s">
        <v>1362</v>
      </c>
      <c r="B19" s="3639">
        <v>13520000</v>
      </c>
      <c r="C19" s="3639">
        <v>126915.2</v>
      </c>
      <c r="D19" s="3639">
        <v>366290.82</v>
      </c>
      <c r="E19" s="1704"/>
      <c r="F19" s="2013"/>
      <c r="G19" s="638"/>
    </row>
    <row r="20" spans="1:7" s="937" customFormat="1">
      <c r="A20" s="3638" t="s">
        <v>1363</v>
      </c>
      <c r="B20" s="3639">
        <v>7063000</v>
      </c>
      <c r="C20" s="3639">
        <v>0</v>
      </c>
      <c r="D20" s="3639">
        <v>0</v>
      </c>
      <c r="E20" s="1704"/>
      <c r="F20" s="2013"/>
      <c r="G20" s="638"/>
    </row>
    <row r="21" spans="1:7" s="937" customFormat="1">
      <c r="A21" s="3638" t="s">
        <v>1364</v>
      </c>
      <c r="B21" s="3639">
        <v>24700000</v>
      </c>
      <c r="C21" s="3639">
        <v>0</v>
      </c>
      <c r="D21" s="3639">
        <v>0</v>
      </c>
      <c r="E21" s="1704"/>
      <c r="F21" s="2013"/>
      <c r="G21" s="638"/>
    </row>
    <row r="22" spans="1:7" s="937" customFormat="1">
      <c r="A22" s="3638" t="s">
        <v>1365</v>
      </c>
      <c r="B22" s="3639">
        <v>272000000</v>
      </c>
      <c r="C22" s="3639">
        <v>0</v>
      </c>
      <c r="D22" s="3639">
        <v>0</v>
      </c>
      <c r="E22" s="1704"/>
      <c r="F22" s="2013"/>
      <c r="G22" s="638"/>
    </row>
    <row r="23" spans="1:7" s="937" customFormat="1">
      <c r="A23" s="3638" t="s">
        <v>1366</v>
      </c>
      <c r="B23" s="3639">
        <v>5232000</v>
      </c>
      <c r="C23" s="3639">
        <v>0</v>
      </c>
      <c r="D23" s="3639">
        <v>0</v>
      </c>
      <c r="E23" s="1704"/>
      <c r="F23" s="2013"/>
      <c r="G23" s="638"/>
    </row>
    <row r="24" spans="1:7" s="937" customFormat="1">
      <c r="A24" s="3638" t="s">
        <v>1367</v>
      </c>
      <c r="B24" s="3639">
        <v>13780000</v>
      </c>
      <c r="C24" s="3639">
        <v>0</v>
      </c>
      <c r="D24" s="3639">
        <v>0</v>
      </c>
      <c r="E24" s="1704"/>
      <c r="F24" s="2013"/>
      <c r="G24" s="638"/>
    </row>
    <row r="25" spans="1:7" s="937" customFormat="1">
      <c r="A25" s="3638" t="s">
        <v>1368</v>
      </c>
      <c r="B25" s="3639">
        <v>9440000</v>
      </c>
      <c r="C25" s="3639">
        <v>0</v>
      </c>
      <c r="D25" s="3639">
        <v>1193701.26</v>
      </c>
      <c r="E25" s="1704"/>
      <c r="F25" s="2013"/>
      <c r="G25" s="638"/>
    </row>
    <row r="26" spans="1:7" s="937" customFormat="1">
      <c r="A26" s="3638" t="s">
        <v>1369</v>
      </c>
      <c r="B26" s="3639">
        <v>39200000</v>
      </c>
      <c r="C26" s="3639">
        <v>0</v>
      </c>
      <c r="D26" s="3639">
        <v>19600000</v>
      </c>
      <c r="E26" s="1704"/>
      <c r="F26" s="2013"/>
      <c r="G26" s="638"/>
    </row>
    <row r="27" spans="1:7" s="937" customFormat="1">
      <c r="A27" s="3638" t="s">
        <v>1370</v>
      </c>
      <c r="B27" s="3639">
        <v>210010300</v>
      </c>
      <c r="C27" s="3639">
        <v>94391.13</v>
      </c>
      <c r="D27" s="3639">
        <v>662984.13</v>
      </c>
      <c r="E27" s="931"/>
      <c r="F27" s="2013"/>
      <c r="G27" s="638"/>
    </row>
    <row r="28" spans="1:7" s="937" customFormat="1">
      <c r="A28" s="3638" t="s">
        <v>1371</v>
      </c>
      <c r="B28" s="3639">
        <v>24781746</v>
      </c>
      <c r="C28" s="3639">
        <v>107192.56999999999</v>
      </c>
      <c r="D28" s="3639">
        <v>141942.48000000001</v>
      </c>
      <c r="E28" s="931"/>
      <c r="F28" s="2013"/>
      <c r="G28" s="638"/>
    </row>
    <row r="29" spans="1:7">
      <c r="A29" s="3638" t="s">
        <v>1372</v>
      </c>
      <c r="B29" s="3639">
        <v>208000000</v>
      </c>
      <c r="C29" s="3639">
        <v>0</v>
      </c>
      <c r="D29" s="3639">
        <v>52000000</v>
      </c>
      <c r="E29" s="931"/>
    </row>
    <row r="30" spans="1:7">
      <c r="A30" s="3638" t="s">
        <v>1373</v>
      </c>
      <c r="B30" s="3639">
        <v>2200000</v>
      </c>
      <c r="C30" s="3639">
        <v>0</v>
      </c>
      <c r="D30" s="3639">
        <v>278870.78999999998</v>
      </c>
      <c r="E30" s="931"/>
    </row>
    <row r="31" spans="1:7">
      <c r="A31" s="3638" t="s">
        <v>1374</v>
      </c>
      <c r="B31" s="3639">
        <v>382200000</v>
      </c>
      <c r="C31" s="3639">
        <v>0</v>
      </c>
      <c r="D31" s="3639">
        <v>0</v>
      </c>
      <c r="E31" s="931"/>
    </row>
    <row r="32" spans="1:7">
      <c r="A32" s="3638" t="s">
        <v>1375</v>
      </c>
      <c r="B32" s="3639">
        <v>34465000</v>
      </c>
      <c r="C32" s="3639">
        <v>1824055.29</v>
      </c>
      <c r="D32" s="3639">
        <v>1903975.09</v>
      </c>
      <c r="E32" s="931"/>
    </row>
    <row r="33" spans="1:5">
      <c r="A33" s="3638" t="s">
        <v>1376</v>
      </c>
      <c r="B33" s="3639">
        <v>1000000</v>
      </c>
      <c r="C33" s="3639">
        <v>0</v>
      </c>
      <c r="D33" s="3639">
        <v>0</v>
      </c>
      <c r="E33" s="3183"/>
    </row>
    <row r="34" spans="1:5">
      <c r="A34" s="3638" t="s">
        <v>1377</v>
      </c>
      <c r="B34" s="3639">
        <v>27825000</v>
      </c>
      <c r="C34" s="3639">
        <v>0</v>
      </c>
      <c r="D34" s="3639">
        <v>0</v>
      </c>
      <c r="E34" s="931"/>
    </row>
    <row r="35" spans="1:5">
      <c r="A35" s="3638" t="s">
        <v>1378</v>
      </c>
      <c r="B35" s="3639">
        <v>3954200</v>
      </c>
      <c r="C35" s="3639">
        <v>0</v>
      </c>
      <c r="D35" s="3639">
        <v>0</v>
      </c>
      <c r="E35" s="931"/>
    </row>
    <row r="36" spans="1:5">
      <c r="A36" s="3638" t="s">
        <v>1379</v>
      </c>
      <c r="B36" s="3639">
        <v>8440000</v>
      </c>
      <c r="C36" s="3639">
        <v>0</v>
      </c>
      <c r="D36" s="3639">
        <v>0</v>
      </c>
      <c r="E36" s="931"/>
    </row>
    <row r="37" spans="1:5">
      <c r="A37" s="3638" t="s">
        <v>1380</v>
      </c>
      <c r="B37" s="3639">
        <v>5300000</v>
      </c>
      <c r="C37" s="3639">
        <v>0</v>
      </c>
      <c r="D37" s="3639">
        <v>622498.06000000006</v>
      </c>
      <c r="E37" s="931"/>
    </row>
    <row r="38" spans="1:5">
      <c r="A38" s="3638" t="s">
        <v>1381</v>
      </c>
      <c r="B38" s="3639">
        <v>102606000</v>
      </c>
      <c r="C38" s="3639">
        <v>12825750</v>
      </c>
      <c r="D38" s="3639">
        <v>25651500</v>
      </c>
      <c r="E38" s="931"/>
    </row>
    <row r="39" spans="1:5">
      <c r="A39" s="3638" t="s">
        <v>1461</v>
      </c>
      <c r="B39" s="3639">
        <v>50000</v>
      </c>
      <c r="C39" s="3639">
        <v>0</v>
      </c>
      <c r="D39" s="3639">
        <v>0</v>
      </c>
      <c r="E39" s="931"/>
    </row>
    <row r="40" spans="1:5">
      <c r="A40" s="3638" t="s">
        <v>1382</v>
      </c>
      <c r="B40" s="3639">
        <v>34550000</v>
      </c>
      <c r="C40" s="3639">
        <v>130578.47</v>
      </c>
      <c r="D40" s="3639">
        <v>1013433.59</v>
      </c>
      <c r="E40" s="931"/>
    </row>
    <row r="41" spans="1:5">
      <c r="A41" s="3638" t="s">
        <v>1383</v>
      </c>
      <c r="B41" s="3639">
        <v>22990000</v>
      </c>
      <c r="C41" s="3639">
        <v>45140</v>
      </c>
      <c r="D41" s="3639">
        <v>1116557.19</v>
      </c>
      <c r="E41" s="931"/>
    </row>
    <row r="42" spans="1:5">
      <c r="A42" s="3638" t="s">
        <v>1384</v>
      </c>
      <c r="B42" s="3639">
        <v>4230000</v>
      </c>
      <c r="C42" s="3639">
        <v>0</v>
      </c>
      <c r="D42" s="3639">
        <v>0</v>
      </c>
      <c r="E42" s="931"/>
    </row>
    <row r="43" spans="1:5">
      <c r="A43" s="3638" t="s">
        <v>1385</v>
      </c>
      <c r="B43" s="3639">
        <v>8460000</v>
      </c>
      <c r="C43" s="3639">
        <v>0</v>
      </c>
      <c r="D43" s="3639">
        <v>0</v>
      </c>
      <c r="E43" s="931"/>
    </row>
    <row r="44" spans="1:5">
      <c r="A44" s="3638" t="s">
        <v>1386</v>
      </c>
      <c r="B44" s="3639">
        <v>489526059.02999997</v>
      </c>
      <c r="C44" s="3639">
        <v>0</v>
      </c>
      <c r="D44" s="3639">
        <v>0</v>
      </c>
      <c r="E44" s="931"/>
    </row>
    <row r="45" spans="1:5">
      <c r="A45" s="3221" t="s">
        <v>509</v>
      </c>
      <c r="B45" s="3626">
        <v>28338830000</v>
      </c>
      <c r="C45" s="3626">
        <v>418825663.60000002</v>
      </c>
      <c r="D45" s="3626">
        <v>1507783395.1199999</v>
      </c>
      <c r="E45" s="931"/>
    </row>
    <row r="46" spans="1:5">
      <c r="A46" s="3638" t="s">
        <v>1387</v>
      </c>
      <c r="B46" s="3639">
        <v>300000000</v>
      </c>
      <c r="C46" s="3639">
        <v>0</v>
      </c>
      <c r="D46" s="3639">
        <v>0</v>
      </c>
      <c r="E46" s="931"/>
    </row>
    <row r="47" spans="1:5">
      <c r="A47" s="3638" t="s">
        <v>1388</v>
      </c>
      <c r="B47" s="3639">
        <v>5349000000</v>
      </c>
      <c r="C47" s="3639">
        <v>88825663.599999994</v>
      </c>
      <c r="D47" s="3639">
        <v>277783395.12</v>
      </c>
      <c r="E47" s="931"/>
    </row>
    <row r="48" spans="1:5">
      <c r="A48" s="3638" t="s">
        <v>1389</v>
      </c>
      <c r="B48" s="3639">
        <v>21806630000</v>
      </c>
      <c r="C48" s="3639">
        <v>330000000</v>
      </c>
      <c r="D48" s="3639">
        <v>1230000000</v>
      </c>
      <c r="E48" s="931"/>
    </row>
    <row r="49" spans="1:5">
      <c r="A49" s="3638" t="s">
        <v>1390</v>
      </c>
      <c r="B49" s="3639">
        <v>816000000</v>
      </c>
      <c r="C49" s="3639">
        <v>0</v>
      </c>
      <c r="D49" s="3639">
        <v>0</v>
      </c>
      <c r="E49" s="931"/>
    </row>
    <row r="50" spans="1:5">
      <c r="A50" s="3638" t="s">
        <v>1391</v>
      </c>
      <c r="B50" s="3639">
        <v>67200000</v>
      </c>
      <c r="C50" s="3639">
        <v>0</v>
      </c>
      <c r="D50" s="3639">
        <v>0</v>
      </c>
      <c r="E50" s="931"/>
    </row>
    <row r="51" spans="1:5">
      <c r="A51" s="3221" t="s">
        <v>1426</v>
      </c>
      <c r="B51" s="3626">
        <v>53398000</v>
      </c>
      <c r="C51" s="3626">
        <f>C52</f>
        <v>1397124.28</v>
      </c>
      <c r="D51" s="3626">
        <f>D52</f>
        <v>5944976.8600000003</v>
      </c>
      <c r="E51" s="931"/>
    </row>
    <row r="52" spans="1:5">
      <c r="A52" s="3638" t="s">
        <v>1427</v>
      </c>
      <c r="B52" s="3639">
        <v>53398000</v>
      </c>
      <c r="C52" s="3639">
        <f>1397002.82+121.46</f>
        <v>1397124.28</v>
      </c>
      <c r="D52" s="3639">
        <f>5944855.4+121.46</f>
        <v>5944976.8600000003</v>
      </c>
      <c r="E52" s="931"/>
    </row>
    <row r="53" spans="1:5">
      <c r="A53" s="3221" t="s">
        <v>510</v>
      </c>
      <c r="B53" s="3626">
        <v>1834000</v>
      </c>
      <c r="C53" s="3626">
        <v>0</v>
      </c>
      <c r="D53" s="3626">
        <v>0</v>
      </c>
      <c r="E53" s="931"/>
    </row>
    <row r="54" spans="1:5">
      <c r="A54" s="3638" t="s">
        <v>1392</v>
      </c>
      <c r="B54" s="3639">
        <v>1834000</v>
      </c>
      <c r="C54" s="3639">
        <v>0</v>
      </c>
      <c r="D54" s="3639">
        <v>0</v>
      </c>
      <c r="E54" s="931"/>
    </row>
    <row r="55" spans="1:5">
      <c r="A55" s="3221" t="s">
        <v>511</v>
      </c>
      <c r="B55" s="3626">
        <v>60490924.850000001</v>
      </c>
      <c r="C55" s="3626">
        <v>718401.3</v>
      </c>
      <c r="D55" s="3626">
        <v>4208687.82</v>
      </c>
      <c r="E55" s="931"/>
    </row>
    <row r="56" spans="1:5">
      <c r="A56" s="3638" t="s">
        <v>1393</v>
      </c>
      <c r="B56" s="3639">
        <v>60490924.850000001</v>
      </c>
      <c r="C56" s="3639">
        <v>718401.3</v>
      </c>
      <c r="D56" s="3639">
        <v>4208687.82</v>
      </c>
      <c r="E56" s="931"/>
    </row>
    <row r="57" spans="1:5">
      <c r="A57" s="3221" t="s">
        <v>512</v>
      </c>
      <c r="B57" s="3626">
        <v>2477800</v>
      </c>
      <c r="C57" s="3626">
        <v>0</v>
      </c>
      <c r="D57" s="3626">
        <v>0</v>
      </c>
      <c r="E57" s="931"/>
    </row>
    <row r="58" spans="1:5">
      <c r="A58" s="3638" t="s">
        <v>1394</v>
      </c>
      <c r="B58" s="3639">
        <v>2477800</v>
      </c>
      <c r="C58" s="3639">
        <v>0</v>
      </c>
      <c r="D58" s="3639">
        <v>0</v>
      </c>
      <c r="E58" s="931"/>
    </row>
    <row r="59" spans="1:5">
      <c r="A59" s="3221" t="s">
        <v>1274</v>
      </c>
      <c r="B59" s="3626">
        <v>8190000</v>
      </c>
      <c r="C59" s="3626">
        <v>1011686.28</v>
      </c>
      <c r="D59" s="3626">
        <v>1689153.0899999999</v>
      </c>
      <c r="E59" s="931"/>
    </row>
    <row r="60" spans="1:5">
      <c r="A60" s="3778" t="s">
        <v>1274</v>
      </c>
      <c r="B60" s="3737">
        <v>8190000</v>
      </c>
      <c r="C60" s="3737">
        <v>1011686.28</v>
      </c>
      <c r="D60" s="3737">
        <v>1689153.0899999999</v>
      </c>
      <c r="E60" s="931"/>
    </row>
    <row r="61" spans="1:5">
      <c r="A61" s="3774" t="s">
        <v>553</v>
      </c>
      <c r="B61" s="3767">
        <f>SUM(B9:B60)/2</f>
        <v>32539724841.399998</v>
      </c>
      <c r="C61" s="3767">
        <f>SUM(C9:C60)/2</f>
        <v>466039024.69999993</v>
      </c>
      <c r="D61" s="3767">
        <f>SUM(D9:D60)/2</f>
        <v>1762635221.0100005</v>
      </c>
      <c r="E61" s="931"/>
    </row>
    <row r="62" spans="1:5">
      <c r="A62" s="1595" t="s">
        <v>513</v>
      </c>
      <c r="B62" s="3777"/>
      <c r="C62" s="3567">
        <v>0</v>
      </c>
      <c r="D62" s="3567">
        <v>-2816138.41</v>
      </c>
      <c r="E62" s="931"/>
    </row>
    <row r="63" spans="1:5">
      <c r="A63" s="1595" t="s">
        <v>1330</v>
      </c>
      <c r="B63" s="3777"/>
      <c r="C63" s="3218">
        <v>0</v>
      </c>
      <c r="D63" s="3218">
        <v>0</v>
      </c>
      <c r="E63" s="931"/>
    </row>
    <row r="64" spans="1:5" ht="25.5">
      <c r="A64" s="1595" t="s">
        <v>1331</v>
      </c>
      <c r="B64" s="3218"/>
      <c r="C64" s="3218">
        <v>0</v>
      </c>
      <c r="D64" s="3218">
        <v>0</v>
      </c>
      <c r="E64" s="3184"/>
    </row>
    <row r="65" spans="1:5">
      <c r="A65" s="1595" t="s">
        <v>514</v>
      </c>
      <c r="B65" s="3219"/>
      <c r="C65" s="3219">
        <v>32650.6</v>
      </c>
      <c r="D65" s="3219">
        <v>-635.75</v>
      </c>
      <c r="E65" s="931"/>
    </row>
    <row r="66" spans="1:5" ht="13.5" thickBot="1">
      <c r="A66" s="1594" t="s">
        <v>1395</v>
      </c>
      <c r="B66" s="3566">
        <f>SUM(B61:B65)</f>
        <v>32539724841.399998</v>
      </c>
      <c r="C66" s="3566">
        <f>SUM(C61:C65)</f>
        <v>466071675.29999995</v>
      </c>
      <c r="D66" s="3566">
        <f>SUM(D61:D65)</f>
        <v>1759818446.8500004</v>
      </c>
      <c r="E66" s="931"/>
    </row>
    <row r="67" spans="1:5" ht="13.5" thickTop="1">
      <c r="A67" s="1638"/>
      <c r="B67" s="3218"/>
      <c r="C67" s="3218"/>
      <c r="D67" s="3218"/>
      <c r="E67" s="931"/>
    </row>
    <row r="68" spans="1:5">
      <c r="A68" s="1596" t="s">
        <v>1428</v>
      </c>
      <c r="B68" s="1638"/>
      <c r="C68" s="1638"/>
      <c r="D68" s="1638"/>
      <c r="E68" s="931"/>
    </row>
    <row r="69" spans="1:5">
      <c r="A69" s="1596" t="s">
        <v>979</v>
      </c>
      <c r="B69" s="1638"/>
      <c r="C69" s="1638"/>
      <c r="D69" s="1638"/>
      <c r="E69" s="931"/>
    </row>
    <row r="70" spans="1:5" ht="12.95" customHeight="1">
      <c r="A70" s="1597" t="s">
        <v>948</v>
      </c>
      <c r="B70" s="1638"/>
      <c r="C70" s="1638"/>
      <c r="D70" s="1638"/>
    </row>
    <row r="71" spans="1:5" ht="12.75" customHeight="1">
      <c r="A71" s="1705" t="s">
        <v>949</v>
      </c>
      <c r="B71" s="1638"/>
      <c r="C71" s="1638"/>
      <c r="D71" s="3220"/>
    </row>
    <row r="72" spans="1:5">
      <c r="A72" s="1705" t="s">
        <v>950</v>
      </c>
      <c r="B72" s="1638"/>
      <c r="C72" s="1638"/>
      <c r="D72" s="3218"/>
    </row>
    <row r="73" spans="1:5">
      <c r="B73" s="938"/>
      <c r="C73" s="1643"/>
      <c r="D73" s="935"/>
    </row>
    <row r="74" spans="1:5">
      <c r="A74" s="933"/>
      <c r="B74" s="934"/>
      <c r="C74" s="934"/>
    </row>
    <row r="75" spans="1:5">
      <c r="A75" s="933"/>
      <c r="B75" s="934"/>
      <c r="C75" s="934"/>
    </row>
    <row r="77" spans="1:5">
      <c r="A77" s="934"/>
      <c r="B77" s="936"/>
      <c r="C77" s="936"/>
      <c r="D77" s="936"/>
    </row>
    <row r="78" spans="1:5" ht="12.75" customHeight="1">
      <c r="A78" s="934"/>
      <c r="B78" s="936"/>
      <c r="C78" s="936"/>
      <c r="D78" s="936"/>
    </row>
    <row r="79" spans="1:5" ht="12.75" customHeight="1">
      <c r="A79" s="934"/>
      <c r="B79" s="936"/>
      <c r="C79" s="936"/>
      <c r="D79" s="936"/>
    </row>
    <row r="80" spans="1:5" ht="12.75" customHeight="1">
      <c r="A80" s="934"/>
      <c r="B80" s="936"/>
      <c r="C80" s="936"/>
      <c r="D80" s="936"/>
    </row>
    <row r="81" spans="1:3">
      <c r="A81" s="934"/>
      <c r="B81" s="936"/>
      <c r="C81" s="936"/>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55"/>
  <sheetViews>
    <sheetView showGridLines="0" zoomScale="90" workbookViewId="0"/>
  </sheetViews>
  <sheetFormatPr defaultColWidth="8.77734375" defaultRowHeight="15" customHeight="1"/>
  <cols>
    <col min="1" max="1" width="55.109375" style="1295" customWidth="1"/>
    <col min="2" max="2" width="4.77734375" style="1295" customWidth="1"/>
    <col min="3" max="3" width="20.109375" style="1296" customWidth="1"/>
    <col min="4" max="4" width="2.21875" style="1295" customWidth="1"/>
    <col min="5" max="5" width="20.109375" style="1296" customWidth="1"/>
    <col min="6" max="6" width="2.21875" style="1296" customWidth="1"/>
    <col min="7" max="7" width="1.77734375" style="1297" customWidth="1"/>
    <col min="8" max="8" width="20.109375" style="1297" customWidth="1"/>
    <col min="9" max="10" width="8.77734375" style="1296"/>
    <col min="11" max="16384" width="8.77734375" style="1295"/>
  </cols>
  <sheetData>
    <row r="1" spans="1:10" ht="15" customHeight="1">
      <c r="A1" s="657" t="s">
        <v>980</v>
      </c>
    </row>
    <row r="2" spans="1:10" ht="15" customHeight="1">
      <c r="A2" s="1298"/>
    </row>
    <row r="3" spans="1:10" ht="15" customHeight="1">
      <c r="H3" s="1390" t="s">
        <v>515</v>
      </c>
    </row>
    <row r="4" spans="1:10" ht="18" customHeight="1">
      <c r="A4" s="2017" t="s">
        <v>500</v>
      </c>
      <c r="B4" s="1299"/>
      <c r="C4" s="1299"/>
      <c r="D4" s="1299"/>
      <c r="E4" s="1299"/>
      <c r="F4" s="1299"/>
      <c r="G4" s="1392"/>
      <c r="H4" s="1392"/>
    </row>
    <row r="5" spans="1:10" ht="18" customHeight="1">
      <c r="A5" s="2017" t="s">
        <v>888</v>
      </c>
      <c r="B5" s="2017"/>
      <c r="C5" s="2017"/>
      <c r="D5" s="2017"/>
      <c r="E5" s="2017"/>
      <c r="F5" s="2017"/>
      <c r="G5" s="1391"/>
      <c r="H5" s="2017"/>
    </row>
    <row r="6" spans="1:10" ht="18" customHeight="1">
      <c r="A6" s="2017" t="s">
        <v>1424</v>
      </c>
      <c r="B6" s="2018"/>
      <c r="C6" s="2018"/>
      <c r="D6" s="2018"/>
      <c r="E6" s="2018"/>
      <c r="F6" s="2018"/>
      <c r="G6" s="1391"/>
      <c r="H6" s="2017"/>
    </row>
    <row r="7" spans="1:10" ht="15" customHeight="1">
      <c r="A7" s="2019"/>
      <c r="B7" s="2019"/>
      <c r="C7" s="2019"/>
      <c r="D7" s="2019"/>
      <c r="E7" s="2019"/>
      <c r="F7" s="2019"/>
      <c r="G7" s="1393"/>
      <c r="H7" s="1393"/>
    </row>
    <row r="8" spans="1:10" ht="15" customHeight="1">
      <c r="A8" s="1301"/>
      <c r="B8" s="1302"/>
      <c r="C8" s="1303"/>
      <c r="D8" s="1302"/>
      <c r="E8" s="1303"/>
      <c r="F8" s="1303"/>
      <c r="G8" s="1394"/>
      <c r="H8" s="1304"/>
    </row>
    <row r="9" spans="1:10" s="1307" customFormat="1" ht="15" customHeight="1">
      <c r="A9" s="1305"/>
      <c r="B9" s="1305"/>
      <c r="C9" s="1694" t="s">
        <v>1486</v>
      </c>
      <c r="D9" s="1305"/>
      <c r="E9" s="1694">
        <v>2019</v>
      </c>
      <c r="G9" s="1306"/>
      <c r="H9" s="1306"/>
      <c r="I9" s="1294"/>
      <c r="J9" s="1294"/>
    </row>
    <row r="10" spans="1:10" ht="15" customHeight="1">
      <c r="A10" s="1308"/>
      <c r="B10" s="1308"/>
      <c r="C10" s="2306" t="s">
        <v>1487</v>
      </c>
      <c r="D10" s="1308"/>
      <c r="E10" s="2306" t="s">
        <v>128</v>
      </c>
      <c r="G10" s="1300"/>
      <c r="H10" s="1309" t="s">
        <v>1425</v>
      </c>
    </row>
    <row r="11" spans="1:10" ht="15" customHeight="1">
      <c r="A11" s="1308"/>
      <c r="B11" s="1308"/>
      <c r="C11" s="1300"/>
      <c r="D11" s="1308"/>
      <c r="E11" s="1300"/>
      <c r="F11" s="1300"/>
      <c r="G11" s="1300"/>
      <c r="H11" s="1957"/>
    </row>
    <row r="12" spans="1:10" s="1307" customFormat="1" ht="15" customHeight="1">
      <c r="A12" s="1311" t="s">
        <v>475</v>
      </c>
      <c r="B12" s="1311"/>
      <c r="C12" s="1312">
        <v>284899772.69999999</v>
      </c>
      <c r="D12" s="1311"/>
      <c r="E12" s="1312">
        <f>C52</f>
        <v>217136341.69999999</v>
      </c>
      <c r="F12" s="1312"/>
      <c r="G12" s="1313"/>
      <c r="H12" s="1395">
        <f>C12</f>
        <v>284899772.69999999</v>
      </c>
      <c r="I12" s="1294"/>
      <c r="J12" s="1294"/>
    </row>
    <row r="13" spans="1:10" ht="15" customHeight="1">
      <c r="A13" s="1311"/>
      <c r="B13" s="1308"/>
      <c r="C13" s="1310"/>
      <c r="D13" s="1308"/>
      <c r="E13" s="1310"/>
      <c r="F13" s="1310"/>
      <c r="G13" s="1314"/>
      <c r="H13" s="1317"/>
    </row>
    <row r="14" spans="1:10" ht="15" customHeight="1">
      <c r="A14" s="1311" t="s">
        <v>14</v>
      </c>
      <c r="B14" s="1308"/>
      <c r="C14" s="1315"/>
      <c r="D14" s="1308"/>
      <c r="E14" s="1315"/>
      <c r="F14" s="1315"/>
      <c r="G14" s="1316"/>
      <c r="H14" s="1317"/>
    </row>
    <row r="15" spans="1:10" ht="15" customHeight="1">
      <c r="A15" s="1308" t="s">
        <v>517</v>
      </c>
      <c r="B15" s="1308"/>
      <c r="C15" s="1283">
        <v>901482254.93999994</v>
      </c>
      <c r="D15" s="1308"/>
      <c r="E15" s="1283">
        <v>458951302.74000001</v>
      </c>
      <c r="F15" s="1283"/>
      <c r="G15" s="1316"/>
      <c r="H15" s="1317">
        <f>SUM(C15:F15)</f>
        <v>1360433557.6799998</v>
      </c>
    </row>
    <row r="16" spans="1:10" ht="15" customHeight="1">
      <c r="A16" s="1308" t="s">
        <v>518</v>
      </c>
      <c r="B16" s="1308"/>
      <c r="C16" s="1283">
        <v>257819074.40000001</v>
      </c>
      <c r="D16" s="1308"/>
      <c r="E16" s="1283">
        <v>131091471.59</v>
      </c>
      <c r="F16" s="1283"/>
      <c r="G16" s="1316"/>
      <c r="H16" s="1317">
        <f t="shared" ref="H16:H21" si="0">SUM(C16:F16)</f>
        <v>388910545.99000001</v>
      </c>
    </row>
    <row r="17" spans="1:15" ht="15" customHeight="1">
      <c r="A17" s="1308" t="s">
        <v>519</v>
      </c>
      <c r="B17" s="1308"/>
      <c r="C17" s="1283">
        <v>33710660.469999999</v>
      </c>
      <c r="D17" s="1308"/>
      <c r="E17" s="1283">
        <v>17137482.84</v>
      </c>
      <c r="F17" s="1283"/>
      <c r="G17" s="1316"/>
      <c r="H17" s="1317">
        <f t="shared" si="0"/>
        <v>50848143.310000002</v>
      </c>
    </row>
    <row r="18" spans="1:15" ht="15" customHeight="1">
      <c r="A18" s="1308" t="s">
        <v>520</v>
      </c>
      <c r="B18" s="1308"/>
      <c r="C18" s="1283">
        <v>101375334</v>
      </c>
      <c r="D18" s="1308"/>
      <c r="E18" s="1283">
        <v>38085459</v>
      </c>
      <c r="F18" s="1283"/>
      <c r="G18" s="1316"/>
      <c r="H18" s="1317">
        <f t="shared" si="0"/>
        <v>139460793</v>
      </c>
    </row>
    <row r="19" spans="1:15" s="1524" customFormat="1" ht="18" customHeight="1">
      <c r="A19" s="1525" t="s">
        <v>521</v>
      </c>
      <c r="B19" s="1308"/>
      <c r="C19" s="808">
        <v>0</v>
      </c>
      <c r="D19" s="1308"/>
      <c r="E19" s="808">
        <v>0</v>
      </c>
      <c r="F19" s="808"/>
      <c r="G19" s="1316"/>
      <c r="H19" s="1317">
        <f t="shared" si="0"/>
        <v>0</v>
      </c>
      <c r="I19" s="1310"/>
      <c r="J19" s="1310"/>
    </row>
    <row r="20" spans="1:15" ht="15" customHeight="1">
      <c r="A20" s="1308" t="s">
        <v>522</v>
      </c>
      <c r="B20" s="1308"/>
      <c r="C20" s="1283">
        <v>214148.16</v>
      </c>
      <c r="D20" s="1308"/>
      <c r="E20" s="1283">
        <v>97184.05</v>
      </c>
      <c r="F20" s="1283"/>
      <c r="G20" s="1316"/>
      <c r="H20" s="1317">
        <f t="shared" si="0"/>
        <v>311332.21000000002</v>
      </c>
    </row>
    <row r="21" spans="1:15" ht="15" customHeight="1">
      <c r="A21" s="1308" t="s">
        <v>523</v>
      </c>
      <c r="B21" s="1308"/>
      <c r="C21" s="2024">
        <v>25420354</v>
      </c>
      <c r="D21" s="1308"/>
      <c r="E21" s="2024">
        <v>-25448353</v>
      </c>
      <c r="F21" s="1286"/>
      <c r="G21" s="1318"/>
      <c r="H21" s="1317">
        <f t="shared" si="0"/>
        <v>-27999</v>
      </c>
      <c r="I21" s="1297"/>
    </row>
    <row r="22" spans="1:15" s="1307" customFormat="1" ht="15.75">
      <c r="A22" s="1311" t="s">
        <v>151</v>
      </c>
      <c r="B22" s="1311"/>
      <c r="C22" s="2025">
        <f>ROUND(SUM(C15:C21),2)</f>
        <v>1320021825.97</v>
      </c>
      <c r="D22" s="1311"/>
      <c r="E22" s="2025">
        <f>ROUND(SUM(E15:E21),2)</f>
        <v>619914547.22000003</v>
      </c>
      <c r="F22" s="2025"/>
      <c r="G22" s="1319"/>
      <c r="H22" s="1958">
        <f>ROUND(SUM(H15:H21),2)</f>
        <v>1939936373.1900001</v>
      </c>
      <c r="I22" s="1321"/>
      <c r="J22" s="1294"/>
    </row>
    <row r="23" spans="1:15" ht="15" customHeight="1">
      <c r="A23" s="1308"/>
      <c r="B23" s="1308"/>
      <c r="C23" s="1315"/>
      <c r="D23" s="1308"/>
      <c r="E23" s="1315"/>
      <c r="F23" s="1317"/>
      <c r="G23" s="1316"/>
      <c r="H23" s="1317"/>
    </row>
    <row r="24" spans="1:15" ht="15" customHeight="1">
      <c r="A24" s="1311" t="s">
        <v>943</v>
      </c>
      <c r="B24" s="1308"/>
      <c r="C24" s="1322"/>
      <c r="D24" s="1308"/>
      <c r="E24" s="1322"/>
      <c r="F24" s="1322"/>
      <c r="G24" s="1316"/>
      <c r="H24" s="1317"/>
    </row>
    <row r="25" spans="1:15" ht="15" customHeight="1">
      <c r="A25" s="1323" t="s">
        <v>524</v>
      </c>
      <c r="B25" s="1308"/>
      <c r="C25" s="1315">
        <v>0</v>
      </c>
      <c r="D25" s="1308"/>
      <c r="E25" s="1315">
        <v>0</v>
      </c>
      <c r="F25" s="1315"/>
      <c r="G25" s="1316"/>
      <c r="H25" s="1317">
        <f>SUM(C25:F25)</f>
        <v>0</v>
      </c>
    </row>
    <row r="26" spans="1:15" ht="15" customHeight="1">
      <c r="A26" s="1323" t="s">
        <v>525</v>
      </c>
      <c r="B26" s="1308"/>
      <c r="C26" s="1315">
        <v>0</v>
      </c>
      <c r="D26" s="1308"/>
      <c r="E26" s="1315">
        <v>0</v>
      </c>
      <c r="F26" s="1315"/>
      <c r="G26" s="1316"/>
      <c r="H26" s="1317">
        <f>SUM(C26:F26)</f>
        <v>0</v>
      </c>
    </row>
    <row r="27" spans="1:15" ht="15" customHeight="1">
      <c r="A27" s="1323" t="s">
        <v>526</v>
      </c>
      <c r="B27" s="1308"/>
      <c r="C27" s="1315">
        <v>0</v>
      </c>
      <c r="D27" s="1308"/>
      <c r="E27" s="1315">
        <v>0</v>
      </c>
      <c r="F27" s="1315"/>
      <c r="G27" s="1318"/>
      <c r="H27" s="1317">
        <f>SUM(C27:F27)</f>
        <v>0</v>
      </c>
    </row>
    <row r="28" spans="1:15" ht="15.75">
      <c r="A28" s="1299" t="s">
        <v>986</v>
      </c>
      <c r="B28" s="1311"/>
      <c r="C28" s="1958">
        <f>ROUND(SUM(C25:C27),2)</f>
        <v>0</v>
      </c>
      <c r="D28" s="1311"/>
      <c r="E28" s="1958">
        <f>ROUND(SUM(E25:E27),2)</f>
        <v>0</v>
      </c>
      <c r="F28" s="1320"/>
      <c r="G28" s="1319"/>
      <c r="H28" s="1958">
        <f>ROUND(SUM(H25:H27),2)</f>
        <v>0</v>
      </c>
    </row>
    <row r="29" spans="1:15" ht="15" customHeight="1">
      <c r="A29" s="1308"/>
      <c r="B29" s="1308"/>
      <c r="C29" s="1315"/>
      <c r="D29" s="1308"/>
      <c r="E29" s="1315"/>
      <c r="F29" s="1315"/>
      <c r="G29" s="1316"/>
      <c r="H29" s="1317"/>
    </row>
    <row r="30" spans="1:15" ht="15" customHeight="1">
      <c r="A30" s="1311" t="s">
        <v>527</v>
      </c>
      <c r="B30" s="1311"/>
      <c r="C30" s="2308">
        <f>ROUND(+C22+C28,2)</f>
        <v>1320021825.97</v>
      </c>
      <c r="D30" s="1311"/>
      <c r="E30" s="2308">
        <f>ROUND(+E22+E28,2)</f>
        <v>619914547.22000003</v>
      </c>
      <c r="F30" s="1320"/>
      <c r="G30" s="1324"/>
      <c r="H30" s="1320">
        <f>ROUND(+H22+H28,2)</f>
        <v>1939936373.1900001</v>
      </c>
    </row>
    <row r="31" spans="1:15" ht="15" customHeight="1">
      <c r="A31" s="1308"/>
      <c r="B31" s="1308"/>
      <c r="C31" s="1317"/>
      <c r="D31" s="1308"/>
      <c r="E31" s="1317"/>
      <c r="F31" s="1317"/>
      <c r="G31" s="1316"/>
      <c r="H31" s="1959"/>
      <c r="I31" s="1297"/>
      <c r="J31" s="1297"/>
      <c r="K31" s="1325"/>
      <c r="L31" s="1325"/>
      <c r="M31" s="1325"/>
      <c r="N31" s="1325"/>
      <c r="O31" s="1325"/>
    </row>
    <row r="32" spans="1:15" ht="15" customHeight="1">
      <c r="A32" s="1311" t="s">
        <v>46</v>
      </c>
      <c r="B32" s="1308"/>
      <c r="C32" s="1317"/>
      <c r="D32" s="1308"/>
      <c r="E32" s="1317"/>
      <c r="F32" s="1317"/>
      <c r="G32" s="1316"/>
      <c r="H32" s="1317"/>
      <c r="I32" s="1297"/>
      <c r="J32" s="1297"/>
      <c r="K32" s="1325"/>
      <c r="L32" s="1325"/>
      <c r="M32" s="1325"/>
      <c r="N32" s="1325"/>
      <c r="O32" s="1325"/>
    </row>
    <row r="33" spans="1:15" ht="15" customHeight="1">
      <c r="A33" s="1311" t="s">
        <v>889</v>
      </c>
      <c r="B33" s="1308"/>
      <c r="C33" s="1317"/>
      <c r="D33" s="1308"/>
      <c r="E33" s="1317"/>
      <c r="F33" s="1317"/>
      <c r="G33" s="1316"/>
      <c r="H33" s="1317"/>
      <c r="I33" s="1297"/>
      <c r="J33" s="1297"/>
      <c r="K33" s="1325"/>
      <c r="L33" s="1325"/>
      <c r="M33" s="1325"/>
      <c r="N33" s="1325"/>
      <c r="O33" s="1325"/>
    </row>
    <row r="34" spans="1:15" ht="15" customHeight="1">
      <c r="A34" s="1308" t="s">
        <v>528</v>
      </c>
      <c r="B34" s="1308"/>
      <c r="C34" s="1283">
        <v>0</v>
      </c>
      <c r="D34" s="1308"/>
      <c r="E34" s="1283">
        <v>0</v>
      </c>
      <c r="F34" s="1283"/>
      <c r="G34" s="1316"/>
      <c r="H34" s="1317">
        <f>SUM(C34:F34)</f>
        <v>0</v>
      </c>
      <c r="I34" s="1297"/>
      <c r="J34" s="1297"/>
      <c r="K34" s="1325"/>
      <c r="L34" s="1325"/>
      <c r="M34" s="1325"/>
      <c r="N34" s="1325"/>
      <c r="O34" s="1325"/>
    </row>
    <row r="35" spans="1:15" ht="15" customHeight="1">
      <c r="A35" s="1323" t="s">
        <v>529</v>
      </c>
      <c r="B35" s="1308"/>
      <c r="C35" s="1283">
        <v>12273811</v>
      </c>
      <c r="D35" s="1308"/>
      <c r="E35" s="1283">
        <v>3913470</v>
      </c>
      <c r="F35" s="1283"/>
      <c r="G35" s="1316"/>
      <c r="H35" s="1317">
        <f>SUM(C35:F35)</f>
        <v>16187281</v>
      </c>
      <c r="I35" s="1297"/>
      <c r="J35" s="1297"/>
      <c r="K35" s="1325"/>
      <c r="L35" s="1325"/>
      <c r="M35" s="1325"/>
      <c r="N35" s="1325"/>
      <c r="O35" s="1325"/>
    </row>
    <row r="36" spans="1:15" ht="15" customHeight="1">
      <c r="A36" s="1311" t="s">
        <v>530</v>
      </c>
      <c r="B36" s="1308"/>
      <c r="C36" s="1317"/>
      <c r="D36" s="1308"/>
      <c r="E36" s="1317"/>
      <c r="F36" s="1317"/>
      <c r="G36" s="1316"/>
      <c r="H36" s="1317"/>
      <c r="I36" s="1297"/>
      <c r="J36" s="1297"/>
      <c r="K36" s="1325"/>
      <c r="L36" s="1325"/>
      <c r="M36" s="1325"/>
      <c r="N36" s="1325"/>
      <c r="O36" s="1325"/>
    </row>
    <row r="37" spans="1:15" ht="15" customHeight="1">
      <c r="A37" s="1275" t="s">
        <v>531</v>
      </c>
      <c r="B37" s="1308"/>
      <c r="C37" s="1326">
        <v>0</v>
      </c>
      <c r="D37" s="1308"/>
      <c r="E37" s="1326">
        <v>0</v>
      </c>
      <c r="F37" s="1326"/>
      <c r="G37" s="1316"/>
      <c r="H37" s="1317">
        <f>SUM(C37:F37)</f>
        <v>0</v>
      </c>
      <c r="I37" s="1297"/>
      <c r="J37" s="1297"/>
      <c r="K37" s="1325"/>
      <c r="L37" s="1325"/>
      <c r="M37" s="1325"/>
      <c r="N37" s="1325"/>
      <c r="O37" s="1325"/>
    </row>
    <row r="38" spans="1:15" s="1307" customFormat="1" ht="15.75">
      <c r="A38" s="1311" t="s">
        <v>532</v>
      </c>
      <c r="B38" s="1311"/>
      <c r="C38" s="1958">
        <f>ROUND(SUM(C34:C37),2)</f>
        <v>12273811</v>
      </c>
      <c r="D38" s="1311"/>
      <c r="E38" s="1958">
        <f>ROUND(SUM(E34:E37),2)</f>
        <v>3913470</v>
      </c>
      <c r="F38" s="1320"/>
      <c r="G38" s="1319"/>
      <c r="H38" s="1958">
        <f>ROUND(SUM(H34:H37),2)</f>
        <v>16187281</v>
      </c>
      <c r="I38" s="1321"/>
      <c r="J38" s="1321"/>
      <c r="K38" s="1327"/>
      <c r="L38" s="1327"/>
      <c r="M38" s="1327"/>
      <c r="N38" s="1327"/>
      <c r="O38" s="1327"/>
    </row>
    <row r="39" spans="1:15" ht="15" customHeight="1">
      <c r="A39" s="1308"/>
      <c r="B39" s="1308"/>
      <c r="C39" s="1315"/>
      <c r="D39" s="1308"/>
      <c r="E39" s="1315"/>
      <c r="F39" s="1315"/>
      <c r="G39" s="1316"/>
      <c r="H39" s="1317"/>
      <c r="I39" s="1297"/>
      <c r="J39" s="1297"/>
      <c r="K39" s="1325"/>
      <c r="L39" s="1325"/>
      <c r="M39" s="1325"/>
      <c r="N39" s="1325"/>
      <c r="O39" s="1325"/>
    </row>
    <row r="40" spans="1:15" ht="15" customHeight="1">
      <c r="A40" s="1311" t="s">
        <v>944</v>
      </c>
      <c r="B40" s="1308"/>
      <c r="C40" s="1315"/>
      <c r="D40" s="1308"/>
      <c r="E40" s="1315"/>
      <c r="F40" s="1315"/>
      <c r="G40" s="1316"/>
      <c r="H40" s="1317"/>
      <c r="I40" s="1297"/>
      <c r="J40" s="1297"/>
      <c r="K40" s="1325"/>
      <c r="L40" s="1325"/>
      <c r="M40" s="1325"/>
      <c r="N40" s="1325"/>
      <c r="O40" s="1325"/>
    </row>
    <row r="41" spans="1:15" ht="15" customHeight="1">
      <c r="A41" s="1308" t="s">
        <v>528</v>
      </c>
      <c r="B41" s="1308"/>
      <c r="C41" s="1276">
        <v>0</v>
      </c>
      <c r="D41" s="1308"/>
      <c r="E41" s="1276">
        <v>0</v>
      </c>
      <c r="F41" s="1276"/>
      <c r="G41" s="1316"/>
      <c r="H41" s="1317">
        <f>SUM(C41:F41)</f>
        <v>0</v>
      </c>
      <c r="I41" s="1297"/>
      <c r="J41" s="1297"/>
      <c r="K41" s="1325"/>
      <c r="L41" s="1325"/>
      <c r="M41" s="1325"/>
      <c r="N41" s="1325"/>
      <c r="O41" s="1325"/>
    </row>
    <row r="42" spans="1:15" ht="15" customHeight="1">
      <c r="A42" s="1308" t="s">
        <v>533</v>
      </c>
      <c r="B42" s="1308"/>
      <c r="C42" s="1315">
        <v>0</v>
      </c>
      <c r="D42" s="1308"/>
      <c r="E42" s="1315">
        <v>0</v>
      </c>
      <c r="F42" s="1315"/>
      <c r="G42" s="1316"/>
      <c r="H42" s="1317">
        <f>SUM(C42:F42)</f>
        <v>0</v>
      </c>
      <c r="I42" s="1297"/>
      <c r="J42" s="1297"/>
      <c r="K42" s="1325"/>
      <c r="L42" s="1325"/>
      <c r="M42" s="1325"/>
      <c r="N42" s="1325"/>
      <c r="O42" s="1325"/>
    </row>
    <row r="43" spans="1:15" ht="15" customHeight="1">
      <c r="A43" s="1311" t="s">
        <v>945</v>
      </c>
      <c r="B43" s="1308"/>
      <c r="C43" s="1315"/>
      <c r="D43" s="1308"/>
      <c r="E43" s="1315"/>
      <c r="F43" s="1315"/>
      <c r="G43" s="1316"/>
      <c r="H43" s="1317"/>
      <c r="I43" s="1297"/>
      <c r="J43" s="1297"/>
      <c r="K43" s="1325"/>
      <c r="L43" s="1325"/>
      <c r="M43" s="1325"/>
      <c r="N43" s="1325"/>
      <c r="O43" s="1325"/>
    </row>
    <row r="44" spans="1:15" ht="15" customHeight="1">
      <c r="A44" s="1323" t="s">
        <v>531</v>
      </c>
      <c r="B44" s="1308"/>
      <c r="C44" s="1283">
        <v>-1211212716.7199998</v>
      </c>
      <c r="D44" s="1308"/>
      <c r="E44" s="1283">
        <v>-405379450.19</v>
      </c>
      <c r="F44" s="1283"/>
      <c r="G44" s="1316"/>
      <c r="H44" s="1317">
        <f>SUM(C44:F44)</f>
        <v>-1616592166.9099998</v>
      </c>
      <c r="I44" s="1297"/>
      <c r="J44" s="1297"/>
      <c r="K44" s="1325"/>
      <c r="L44" s="1325"/>
      <c r="M44" s="1325"/>
      <c r="N44" s="1325"/>
      <c r="O44" s="1325"/>
    </row>
    <row r="45" spans="1:15" ht="15" customHeight="1">
      <c r="A45" s="1308" t="s">
        <v>1319</v>
      </c>
      <c r="B45" s="1308"/>
      <c r="C45" s="1283">
        <v>-189777239.46000004</v>
      </c>
      <c r="D45" s="1308"/>
      <c r="E45" s="1283">
        <v>-44643082.369999997</v>
      </c>
      <c r="F45" s="1283"/>
      <c r="G45" s="1316"/>
      <c r="H45" s="1317">
        <f>SUM(C45:F45)</f>
        <v>-234420321.83000004</v>
      </c>
      <c r="I45" s="1297"/>
      <c r="J45" s="1297"/>
      <c r="K45" s="1325"/>
      <c r="L45" s="1325"/>
      <c r="M45" s="1325"/>
      <c r="N45" s="1325"/>
      <c r="O45" s="1325"/>
    </row>
    <row r="46" spans="1:15" ht="15" customHeight="1">
      <c r="A46" s="1308" t="s">
        <v>1320</v>
      </c>
      <c r="B46" s="1308"/>
      <c r="C46" s="2026">
        <v>930888.21</v>
      </c>
      <c r="D46" s="1308"/>
      <c r="E46" s="2026">
        <v>-44256297.880000003</v>
      </c>
      <c r="F46" s="1317"/>
      <c r="G46" s="1316"/>
      <c r="H46" s="1317">
        <f>SUM(C46:F46)</f>
        <v>-43325409.670000002</v>
      </c>
      <c r="I46" s="1297"/>
      <c r="J46" s="1297"/>
      <c r="K46" s="1325"/>
      <c r="L46" s="1325"/>
      <c r="M46" s="1325"/>
      <c r="N46" s="1325"/>
      <c r="O46" s="1325"/>
    </row>
    <row r="47" spans="1:15" ht="15.75">
      <c r="A47" s="1311" t="s">
        <v>534</v>
      </c>
      <c r="B47" s="1311"/>
      <c r="C47" s="1958">
        <f>ROUND(SUM(C41:C46),2)</f>
        <v>-1400059067.97</v>
      </c>
      <c r="D47" s="1311"/>
      <c r="E47" s="1958">
        <f>ROUND(SUM(E41:E46),2)</f>
        <v>-494278830.44</v>
      </c>
      <c r="F47" s="1320"/>
      <c r="G47" s="1319"/>
      <c r="H47" s="1958">
        <f>ROUND(SUM(H41:H46),2)</f>
        <v>-1894337898.4100001</v>
      </c>
      <c r="I47" s="1297"/>
      <c r="J47" s="1297"/>
      <c r="K47" s="1325"/>
      <c r="L47" s="1325"/>
      <c r="M47" s="1325"/>
      <c r="N47" s="1325"/>
      <c r="O47" s="1325"/>
    </row>
    <row r="48" spans="1:15" ht="15" customHeight="1">
      <c r="A48" s="1308"/>
      <c r="B48" s="1308"/>
      <c r="C48" s="1315"/>
      <c r="D48" s="1308"/>
      <c r="E48" s="1315"/>
      <c r="F48" s="1315"/>
      <c r="G48" s="1316"/>
      <c r="H48" s="1317"/>
      <c r="I48" s="1297"/>
      <c r="J48" s="1297"/>
      <c r="K48" s="1325"/>
      <c r="L48" s="1325"/>
      <c r="M48" s="1325"/>
      <c r="N48" s="1325"/>
      <c r="O48" s="1325"/>
    </row>
    <row r="49" spans="1:15" ht="15" customHeight="1">
      <c r="A49" s="1311" t="s">
        <v>535</v>
      </c>
      <c r="B49" s="1308"/>
      <c r="C49" s="1315"/>
      <c r="D49" s="1308"/>
      <c r="E49" s="1315"/>
      <c r="F49" s="1315"/>
      <c r="G49" s="1316"/>
      <c r="H49" s="1317"/>
      <c r="I49" s="1297"/>
      <c r="J49" s="1297"/>
      <c r="K49" s="1325"/>
      <c r="L49" s="1325"/>
      <c r="M49" s="1325"/>
      <c r="N49" s="1325"/>
      <c r="O49" s="1325"/>
    </row>
    <row r="50" spans="1:15" ht="15" customHeight="1">
      <c r="A50" s="1311" t="s">
        <v>536</v>
      </c>
      <c r="B50" s="1308"/>
      <c r="C50" s="2025">
        <f>ROUND(+C30+C38+C47,2)</f>
        <v>-67763431</v>
      </c>
      <c r="D50" s="1308"/>
      <c r="E50" s="2025">
        <f>ROUND(+E30+E38+E47,2)</f>
        <v>129549186.78</v>
      </c>
      <c r="F50" s="1320"/>
      <c r="G50" s="1324"/>
      <c r="H50" s="2025">
        <f>ROUND(+H30+H38+H47,2)</f>
        <v>61785755.780000001</v>
      </c>
      <c r="I50" s="1297"/>
      <c r="J50" s="1297"/>
      <c r="K50" s="1325"/>
      <c r="L50" s="1325"/>
      <c r="M50" s="1325"/>
      <c r="N50" s="1325"/>
      <c r="O50" s="1325"/>
    </row>
    <row r="51" spans="1:15" ht="15" customHeight="1">
      <c r="A51" s="1308"/>
      <c r="B51" s="1308"/>
      <c r="C51" s="1310"/>
      <c r="D51" s="1308"/>
      <c r="E51" s="1310"/>
      <c r="F51" s="1310"/>
      <c r="G51" s="1328"/>
      <c r="H51" s="1317"/>
      <c r="I51" s="1297"/>
      <c r="J51" s="1297"/>
      <c r="K51" s="1325"/>
      <c r="L51" s="1325"/>
      <c r="M51" s="1325"/>
      <c r="N51" s="1325"/>
      <c r="O51" s="1325"/>
    </row>
    <row r="52" spans="1:15" s="1307" customFormat="1" ht="21" customHeight="1" thickBot="1">
      <c r="A52" s="1311" t="s">
        <v>537</v>
      </c>
      <c r="B52" s="1311"/>
      <c r="C52" s="2307">
        <f>ROUND(C12+C50,2)</f>
        <v>217136341.69999999</v>
      </c>
      <c r="D52" s="1311"/>
      <c r="E52" s="2307">
        <f>ROUND(E12+E50,2)</f>
        <v>346685528.48000002</v>
      </c>
      <c r="F52" s="1395"/>
      <c r="G52" s="1329"/>
      <c r="H52" s="1395">
        <f>ROUND(H12+H50,2)</f>
        <v>346685528.48000002</v>
      </c>
      <c r="I52" s="1294"/>
      <c r="J52" s="1294"/>
    </row>
    <row r="53" spans="1:15" ht="15" customHeight="1" thickTop="1">
      <c r="A53" s="1308" t="s">
        <v>15</v>
      </c>
      <c r="B53" s="1308"/>
      <c r="C53" s="1300"/>
      <c r="D53" s="1308"/>
      <c r="E53" s="1300"/>
      <c r="F53" s="1300"/>
      <c r="G53" s="1300"/>
      <c r="H53" s="1330"/>
    </row>
    <row r="54" spans="1:15" ht="15" customHeight="1">
      <c r="A54" s="1291" t="s">
        <v>538</v>
      </c>
    </row>
    <row r="55" spans="1:15" ht="15" customHeight="1">
      <c r="A55" s="1331"/>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Q61"/>
  <sheetViews>
    <sheetView showGridLines="0" zoomScale="90" workbookViewId="0"/>
  </sheetViews>
  <sheetFormatPr defaultColWidth="8.77734375" defaultRowHeight="15"/>
  <cols>
    <col min="1" max="1" width="1.77734375" style="1251" customWidth="1"/>
    <col min="2" max="2" width="48" style="1251" customWidth="1"/>
    <col min="3" max="3" width="4.5546875" style="1252" customWidth="1"/>
    <col min="4" max="4" width="19" style="1253" customWidth="1"/>
    <col min="5" max="5" width="2.44140625" style="1253" customWidth="1"/>
    <col min="6" max="6" width="19" style="1253" customWidth="1"/>
    <col min="7" max="8" width="2.44140625" style="1253" customWidth="1"/>
    <col min="9" max="9" width="19" style="1253" customWidth="1"/>
    <col min="10" max="10" width="8.77734375" style="1252"/>
    <col min="11" max="11" width="24.21875" style="1252" customWidth="1"/>
    <col min="12" max="13" width="8.77734375" style="1252"/>
    <col min="14" max="16384" width="8.77734375" style="1251"/>
  </cols>
  <sheetData>
    <row r="1" spans="1:38">
      <c r="B1" s="657" t="s">
        <v>980</v>
      </c>
    </row>
    <row r="3" spans="1:38" ht="18">
      <c r="I3" s="1396" t="s">
        <v>516</v>
      </c>
    </row>
    <row r="4" spans="1:38" s="1256" customFormat="1" ht="18" customHeight="1">
      <c r="A4" s="1254"/>
      <c r="B4" s="2020" t="s">
        <v>500</v>
      </c>
      <c r="C4" s="1397"/>
      <c r="D4" s="1397"/>
      <c r="E4" s="3750"/>
      <c r="F4" s="1397"/>
      <c r="G4" s="1397"/>
      <c r="H4" s="1397"/>
      <c r="I4" s="1397"/>
      <c r="J4" s="1255"/>
      <c r="K4" s="1255"/>
      <c r="L4" s="1255"/>
      <c r="M4" s="1255"/>
    </row>
    <row r="5" spans="1:38" s="1256" customFormat="1" ht="18" customHeight="1">
      <c r="A5" s="1254"/>
      <c r="B5" s="2020" t="s">
        <v>1001</v>
      </c>
      <c r="C5" s="1257"/>
      <c r="D5" s="1257"/>
      <c r="E5" s="1257"/>
      <c r="F5" s="1257"/>
      <c r="G5" s="1257"/>
      <c r="H5" s="1257"/>
      <c r="I5" s="1275"/>
      <c r="J5" s="1255"/>
      <c r="K5" s="1255"/>
      <c r="L5" s="1255"/>
      <c r="M5" s="1255"/>
    </row>
    <row r="6" spans="1:38" s="1256" customFormat="1" ht="18" customHeight="1">
      <c r="A6" s="1254"/>
      <c r="B6" s="2020" t="s">
        <v>1424</v>
      </c>
      <c r="C6" s="2021"/>
      <c r="D6" s="2021"/>
      <c r="E6" s="2021"/>
      <c r="F6" s="2021"/>
      <c r="G6" s="2021"/>
      <c r="H6" s="2021"/>
      <c r="I6" s="1397"/>
      <c r="J6" s="1255"/>
      <c r="K6" s="1255"/>
      <c r="L6" s="1255"/>
      <c r="M6" s="1255"/>
    </row>
    <row r="7" spans="1:38" s="1256" customFormat="1" ht="18" customHeight="1">
      <c r="A7" s="1254"/>
      <c r="B7" s="2022"/>
      <c r="C7" s="2023"/>
      <c r="D7" s="2023"/>
      <c r="E7" s="2023"/>
      <c r="F7" s="2023"/>
      <c r="G7" s="2023"/>
      <c r="H7" s="2023"/>
      <c r="I7" s="1398"/>
      <c r="J7" s="1258"/>
      <c r="K7" s="1255"/>
      <c r="L7" s="1255"/>
      <c r="M7" s="1255"/>
    </row>
    <row r="8" spans="1:38" s="1256" customFormat="1" ht="18" customHeight="1">
      <c r="A8" s="1254"/>
      <c r="B8" s="2022"/>
      <c r="C8" s="1259"/>
      <c r="D8" s="1259"/>
      <c r="E8" s="1259"/>
      <c r="F8" s="1259"/>
      <c r="G8" s="1259"/>
      <c r="H8" s="1259"/>
      <c r="I8" s="1259"/>
      <c r="J8" s="1258"/>
      <c r="K8" s="1255"/>
      <c r="L8" s="1255"/>
      <c r="M8" s="1255"/>
    </row>
    <row r="9" spans="1:38" s="1265" customFormat="1" ht="15.75">
      <c r="A9" s="1260"/>
      <c r="B9" s="1260"/>
      <c r="C9" s="1261"/>
      <c r="D9" s="1694" t="s">
        <v>1486</v>
      </c>
      <c r="E9" s="3751"/>
      <c r="F9" s="1694">
        <v>2019</v>
      </c>
      <c r="G9" s="1262"/>
      <c r="H9" s="1262"/>
      <c r="I9" s="1263"/>
      <c r="J9" s="1264"/>
      <c r="K9" s="1264"/>
      <c r="L9" s="1264"/>
      <c r="M9" s="1264"/>
    </row>
    <row r="10" spans="1:38" ht="15.75">
      <c r="A10" s="1266"/>
      <c r="B10" s="1266"/>
      <c r="C10" s="1267"/>
      <c r="D10" s="2027" t="s">
        <v>1487</v>
      </c>
      <c r="E10" s="1606"/>
      <c r="F10" s="2027" t="s">
        <v>128</v>
      </c>
      <c r="G10" s="1606"/>
      <c r="H10" s="1606"/>
      <c r="I10" s="1268" t="s">
        <v>1425</v>
      </c>
    </row>
    <row r="11" spans="1:38">
      <c r="A11" s="1266"/>
      <c r="B11" s="1266"/>
      <c r="C11" s="1267"/>
      <c r="D11" s="1267"/>
      <c r="E11" s="1269"/>
      <c r="F11" s="1267"/>
      <c r="G11" s="1269"/>
      <c r="H11" s="1267"/>
      <c r="I11" s="1951"/>
    </row>
    <row r="12" spans="1:38" s="1265" customFormat="1" ht="15.75">
      <c r="A12" s="1270"/>
      <c r="B12" s="1270" t="s">
        <v>475</v>
      </c>
      <c r="C12" s="1261"/>
      <c r="D12" s="1271">
        <v>2224.4899999999998</v>
      </c>
      <c r="E12" s="1272"/>
      <c r="F12" s="1271">
        <f>D48</f>
        <v>1198.3900000000001</v>
      </c>
      <c r="G12" s="2028"/>
      <c r="H12" s="1271"/>
      <c r="I12" s="1272">
        <f>D12</f>
        <v>2224.4899999999998</v>
      </c>
      <c r="J12" s="1264"/>
      <c r="K12" s="1264"/>
      <c r="L12" s="1264"/>
      <c r="M12" s="1264"/>
      <c r="N12" s="1273"/>
      <c r="O12" s="1273"/>
      <c r="P12" s="1273"/>
      <c r="Q12" s="1273"/>
      <c r="R12" s="1273"/>
      <c r="S12" s="1273"/>
      <c r="T12" s="1273"/>
      <c r="U12" s="1273"/>
      <c r="V12" s="1273"/>
      <c r="W12" s="1273"/>
      <c r="X12" s="1273"/>
      <c r="Y12" s="1274"/>
      <c r="Z12" s="1274"/>
      <c r="AA12" s="1274"/>
      <c r="AB12" s="1274"/>
      <c r="AC12" s="1274"/>
      <c r="AD12" s="1274"/>
      <c r="AE12" s="1274"/>
      <c r="AF12" s="1274"/>
      <c r="AG12" s="1274"/>
      <c r="AH12" s="1274"/>
      <c r="AI12" s="1274"/>
      <c r="AJ12" s="1274"/>
      <c r="AK12" s="1274"/>
      <c r="AL12" s="1274"/>
    </row>
    <row r="13" spans="1:38" s="1265" customFormat="1" ht="15.75">
      <c r="A13" s="1270"/>
      <c r="B13" s="1270"/>
      <c r="C13" s="1261"/>
      <c r="D13" s="1271"/>
      <c r="E13" s="1272"/>
      <c r="F13" s="1271"/>
      <c r="G13" s="2028"/>
      <c r="H13" s="1271"/>
      <c r="I13" s="1272"/>
      <c r="J13" s="1264"/>
      <c r="K13" s="1264"/>
      <c r="L13" s="1264"/>
      <c r="M13" s="1264"/>
      <c r="N13" s="1273"/>
      <c r="O13" s="1273"/>
      <c r="P13" s="1273"/>
      <c r="Q13" s="1273"/>
      <c r="R13" s="1273"/>
      <c r="S13" s="1273"/>
      <c r="T13" s="1273"/>
      <c r="U13" s="1273"/>
      <c r="V13" s="1273"/>
      <c r="W13" s="1273"/>
      <c r="X13" s="1273"/>
      <c r="Y13" s="1274"/>
      <c r="Z13" s="1274"/>
      <c r="AA13" s="1274"/>
      <c r="AB13" s="1274"/>
      <c r="AC13" s="1274"/>
      <c r="AD13" s="1274"/>
      <c r="AE13" s="1274"/>
      <c r="AF13" s="1274"/>
      <c r="AG13" s="1274"/>
      <c r="AH13" s="1274"/>
      <c r="AI13" s="1274"/>
      <c r="AJ13" s="1274"/>
      <c r="AK13" s="1274"/>
      <c r="AL13" s="1274"/>
    </row>
    <row r="14" spans="1:38" ht="15.75">
      <c r="A14" s="1266"/>
      <c r="B14" s="1270" t="s">
        <v>14</v>
      </c>
      <c r="C14" s="1267"/>
      <c r="D14" s="1267"/>
      <c r="E14" s="1269"/>
      <c r="F14" s="1267"/>
      <c r="G14" s="2029"/>
      <c r="H14" s="1267"/>
      <c r="I14" s="1269"/>
    </row>
    <row r="15" spans="1:38">
      <c r="A15" s="1266"/>
      <c r="B15" s="1275" t="s">
        <v>522</v>
      </c>
      <c r="C15" s="1267"/>
      <c r="D15" s="1276">
        <v>4789.67</v>
      </c>
      <c r="E15" s="1277"/>
      <c r="F15" s="1276">
        <v>1657.22</v>
      </c>
      <c r="G15" s="2030"/>
      <c r="H15" s="1276"/>
      <c r="I15" s="1277">
        <f>ROUND(SUM(D15:H15),2)</f>
        <v>6446.89</v>
      </c>
    </row>
    <row r="16" spans="1:38" s="1265" customFormat="1" ht="15.75">
      <c r="A16" s="1270"/>
      <c r="B16" s="1270" t="s">
        <v>151</v>
      </c>
      <c r="C16" s="1261"/>
      <c r="D16" s="1952">
        <f>ROUND(SUM(D15:D15),2)</f>
        <v>4789.67</v>
      </c>
      <c r="E16" s="1278"/>
      <c r="F16" s="1952">
        <f>ROUND(SUM(F15:F15),2)</f>
        <v>1657.22</v>
      </c>
      <c r="G16" s="2031"/>
      <c r="H16" s="1278"/>
      <c r="I16" s="1952">
        <f>ROUND(SUM(I15:I15),2)</f>
        <v>6446.89</v>
      </c>
      <c r="J16" s="1264"/>
      <c r="K16" s="1264"/>
      <c r="L16" s="1264"/>
      <c r="M16" s="1264"/>
    </row>
    <row r="17" spans="1:18">
      <c r="A17" s="1266"/>
      <c r="B17" s="1266"/>
      <c r="C17" s="1267"/>
      <c r="D17" s="1276"/>
      <c r="E17" s="1277"/>
      <c r="F17" s="1276"/>
      <c r="G17" s="2030"/>
      <c r="H17" s="1276"/>
      <c r="I17" s="1953"/>
    </row>
    <row r="18" spans="1:18" ht="15.75">
      <c r="A18" s="1266"/>
      <c r="B18" s="1270" t="s">
        <v>946</v>
      </c>
      <c r="C18" s="1267"/>
      <c r="D18" s="1276"/>
      <c r="E18" s="1277"/>
      <c r="F18" s="1276"/>
      <c r="G18" s="2030"/>
      <c r="H18" s="1276"/>
      <c r="I18" s="1277"/>
    </row>
    <row r="19" spans="1:18">
      <c r="A19" s="1266"/>
      <c r="B19" s="1275" t="s">
        <v>540</v>
      </c>
      <c r="C19" s="1267"/>
      <c r="D19" s="1276">
        <v>-189777239.46000001</v>
      </c>
      <c r="E19" s="1277"/>
      <c r="F19" s="1276">
        <v>-64004935.310000002</v>
      </c>
      <c r="G19" s="2030"/>
      <c r="H19" s="1276"/>
      <c r="I19" s="1277">
        <f>ROUND(SUM(D19:H19),2)</f>
        <v>-253782174.77000001</v>
      </c>
    </row>
    <row r="20" spans="1:18">
      <c r="A20" s="1266"/>
      <c r="B20" s="1275" t="s">
        <v>541</v>
      </c>
      <c r="C20" s="1267"/>
      <c r="D20" s="1276">
        <v>0</v>
      </c>
      <c r="E20" s="1277"/>
      <c r="F20" s="1276">
        <v>0</v>
      </c>
      <c r="G20" s="2030"/>
      <c r="H20" s="1276"/>
      <c r="I20" s="1277">
        <f>ROUND(SUM(D20:H20),2)</f>
        <v>0</v>
      </c>
    </row>
    <row r="21" spans="1:18">
      <c r="A21" s="1266"/>
      <c r="B21" s="1275" t="s">
        <v>542</v>
      </c>
      <c r="C21" s="1267"/>
      <c r="D21" s="1276">
        <v>945583.86</v>
      </c>
      <c r="E21" s="1277"/>
      <c r="F21" s="1276">
        <v>-22172912.469999999</v>
      </c>
      <c r="G21" s="2030"/>
      <c r="H21" s="1276"/>
      <c r="I21" s="1277">
        <f>ROUND(SUM(D21:H21),2)</f>
        <v>-21227328.609999999</v>
      </c>
    </row>
    <row r="22" spans="1:18" s="1265" customFormat="1" ht="15.75">
      <c r="A22" s="1270"/>
      <c r="B22" s="1279" t="s">
        <v>965</v>
      </c>
      <c r="C22" s="1261"/>
      <c r="D22" s="1954">
        <f>ROUND(SUM(D18:D21),2)</f>
        <v>-188831655.59999999</v>
      </c>
      <c r="E22" s="1278"/>
      <c r="F22" s="1954">
        <f>ROUND(SUM(F18:F21),2)</f>
        <v>-86177847.780000001</v>
      </c>
      <c r="G22" s="2031"/>
      <c r="H22" s="1278"/>
      <c r="I22" s="1954">
        <f>ROUND(SUM(I18:I21),2)</f>
        <v>-275009503.38</v>
      </c>
      <c r="J22" s="1264"/>
      <c r="K22" s="1264"/>
      <c r="L22" s="1264"/>
      <c r="M22" s="1264"/>
    </row>
    <row r="23" spans="1:18">
      <c r="A23" s="1266"/>
      <c r="B23" s="1280"/>
      <c r="C23" s="1267"/>
      <c r="D23" s="1953"/>
      <c r="E23" s="1277"/>
      <c r="F23" s="1953"/>
      <c r="G23" s="2030"/>
      <c r="H23" s="1277"/>
      <c r="I23" s="1953"/>
    </row>
    <row r="24" spans="1:18" s="1265" customFormat="1" ht="15.75">
      <c r="A24" s="1270"/>
      <c r="B24" s="1270" t="s">
        <v>1229</v>
      </c>
      <c r="C24" s="1261"/>
      <c r="D24" s="1281">
        <f>ROUND(+D16+D22,2)</f>
        <v>-188826865.93000001</v>
      </c>
      <c r="E24" s="1281"/>
      <c r="F24" s="1281">
        <f>ROUND(+F16+F22,2)</f>
        <v>-86176190.560000002</v>
      </c>
      <c r="G24" s="2033"/>
      <c r="H24" s="1281"/>
      <c r="I24" s="1281">
        <f>ROUND(+I16+I22,2)</f>
        <v>-275003056.49000001</v>
      </c>
      <c r="J24" s="1264"/>
      <c r="K24" s="1264"/>
      <c r="L24" s="1264"/>
      <c r="M24" s="1264"/>
    </row>
    <row r="25" spans="1:18">
      <c r="A25" s="1266"/>
      <c r="B25" s="1266"/>
      <c r="C25" s="1267"/>
      <c r="D25" s="1953"/>
      <c r="E25" s="1277"/>
      <c r="F25" s="1953"/>
      <c r="G25" s="2030"/>
      <c r="H25" s="1277"/>
      <c r="I25" s="1953"/>
      <c r="J25" s="1253"/>
      <c r="K25" s="1253"/>
      <c r="L25" s="1253"/>
      <c r="M25" s="1253"/>
      <c r="N25" s="1282"/>
      <c r="O25" s="1282"/>
      <c r="P25" s="1282"/>
      <c r="Q25" s="1282"/>
      <c r="R25" s="1282"/>
    </row>
    <row r="26" spans="1:18" ht="15.75">
      <c r="A26" s="1266"/>
      <c r="B26" s="1270" t="s">
        <v>46</v>
      </c>
      <c r="C26" s="1267"/>
      <c r="D26" s="1276"/>
      <c r="E26" s="1277"/>
      <c r="F26" s="1276"/>
      <c r="G26" s="2030"/>
      <c r="H26" s="1276"/>
      <c r="I26" s="1277"/>
      <c r="J26" s="1253"/>
      <c r="K26" s="1253"/>
      <c r="L26" s="1253"/>
      <c r="M26" s="1253"/>
      <c r="N26" s="1282"/>
      <c r="O26" s="1282"/>
      <c r="P26" s="1282"/>
      <c r="Q26" s="1282"/>
      <c r="R26" s="1282"/>
    </row>
    <row r="27" spans="1:18" ht="15.75">
      <c r="A27" s="1266"/>
      <c r="B27" s="1270" t="s">
        <v>889</v>
      </c>
      <c r="C27" s="1267"/>
      <c r="D27" s="1276"/>
      <c r="E27" s="1277"/>
      <c r="F27" s="1276"/>
      <c r="G27" s="2030"/>
      <c r="H27" s="1276"/>
      <c r="I27" s="1277"/>
      <c r="J27" s="1253"/>
      <c r="K27" s="1253"/>
      <c r="L27" s="1253"/>
      <c r="M27" s="1253"/>
      <c r="N27" s="1282"/>
      <c r="O27" s="1282"/>
      <c r="P27" s="1282"/>
      <c r="Q27" s="1282"/>
      <c r="R27" s="1282"/>
    </row>
    <row r="28" spans="1:18">
      <c r="A28" s="1266"/>
      <c r="B28" s="1275" t="s">
        <v>543</v>
      </c>
      <c r="C28" s="1267"/>
      <c r="D28" s="1276">
        <v>0</v>
      </c>
      <c r="E28" s="1277"/>
      <c r="F28" s="1276">
        <v>0</v>
      </c>
      <c r="G28" s="2030"/>
      <c r="H28" s="1276"/>
      <c r="I28" s="1277">
        <f>ROUND(SUM(D28:H28),2)</f>
        <v>0</v>
      </c>
      <c r="J28" s="1253"/>
      <c r="K28" s="1253"/>
      <c r="L28" s="1253"/>
      <c r="M28" s="1253"/>
      <c r="N28" s="1282"/>
      <c r="O28" s="1282"/>
      <c r="P28" s="1282"/>
      <c r="Q28" s="1282"/>
      <c r="R28" s="1282"/>
    </row>
    <row r="29" spans="1:18">
      <c r="A29" s="1266"/>
      <c r="B29" s="1275" t="s">
        <v>533</v>
      </c>
      <c r="C29" s="1267"/>
      <c r="D29" s="1276">
        <v>0</v>
      </c>
      <c r="E29" s="1277"/>
      <c r="F29" s="1276">
        <v>0</v>
      </c>
      <c r="G29" s="2030"/>
      <c r="H29" s="1276"/>
      <c r="I29" s="1277">
        <f>ROUND(SUM(D29:H29),2)</f>
        <v>0</v>
      </c>
      <c r="J29" s="1253"/>
      <c r="K29" s="1253"/>
      <c r="L29" s="1253"/>
      <c r="M29" s="1253"/>
      <c r="N29" s="1282"/>
      <c r="O29" s="1282"/>
      <c r="P29" s="1282"/>
      <c r="Q29" s="1282"/>
      <c r="R29" s="1282"/>
    </row>
    <row r="30" spans="1:18" ht="15.75">
      <c r="A30" s="1266"/>
      <c r="B30" s="1270" t="s">
        <v>530</v>
      </c>
      <c r="C30" s="1267"/>
      <c r="D30" s="1276"/>
      <c r="E30" s="1277"/>
      <c r="F30" s="1276"/>
      <c r="G30" s="2030"/>
      <c r="H30" s="1276"/>
      <c r="I30" s="1277"/>
      <c r="J30" s="1253"/>
      <c r="K30" s="1253"/>
      <c r="L30" s="1253"/>
      <c r="M30" s="1253"/>
      <c r="N30" s="1282"/>
      <c r="O30" s="1282"/>
      <c r="P30" s="1282"/>
      <c r="Q30" s="1282"/>
      <c r="R30" s="1282"/>
    </row>
    <row r="31" spans="1:18">
      <c r="A31" s="1266"/>
      <c r="B31" s="1275" t="s">
        <v>544</v>
      </c>
      <c r="C31" s="1267"/>
      <c r="D31" s="1283">
        <v>94888619.730000004</v>
      </c>
      <c r="E31" s="1283"/>
      <c r="F31" s="1283">
        <v>22321541.190000001</v>
      </c>
      <c r="G31" s="2034"/>
      <c r="H31" s="1276"/>
      <c r="I31" s="1277">
        <f t="shared" ref="I31:I35" si="0">ROUND(SUM(D31:H31),2)</f>
        <v>117210160.92</v>
      </c>
      <c r="J31" s="1253"/>
      <c r="K31" s="1253"/>
      <c r="L31" s="1253"/>
      <c r="M31" s="1253"/>
      <c r="N31" s="1282"/>
      <c r="O31" s="1282"/>
      <c r="P31" s="1282"/>
      <c r="Q31" s="1282"/>
      <c r="R31" s="1282"/>
    </row>
    <row r="32" spans="1:18">
      <c r="A32" s="1266"/>
      <c r="B32" s="1275" t="s">
        <v>545</v>
      </c>
      <c r="C32" s="1267"/>
      <c r="D32" s="1283">
        <v>-930888.21</v>
      </c>
      <c r="E32" s="1283"/>
      <c r="F32" s="1283">
        <v>42304122.409999996</v>
      </c>
      <c r="G32" s="2034"/>
      <c r="H32" s="1276"/>
      <c r="I32" s="1277">
        <f t="shared" si="0"/>
        <v>41373234.200000003</v>
      </c>
      <c r="J32" s="1253"/>
      <c r="K32" s="1253"/>
      <c r="L32" s="1253"/>
      <c r="M32" s="1253"/>
      <c r="N32" s="1282"/>
      <c r="O32" s="1282"/>
      <c r="P32" s="1282"/>
      <c r="Q32" s="1282"/>
      <c r="R32" s="1282"/>
    </row>
    <row r="33" spans="1:43">
      <c r="A33" s="1266"/>
      <c r="B33" s="1275" t="s">
        <v>546</v>
      </c>
      <c r="C33" s="1267"/>
      <c r="D33" s="1283">
        <v>0</v>
      </c>
      <c r="E33" s="1283"/>
      <c r="F33" s="1283">
        <v>0</v>
      </c>
      <c r="G33" s="2034"/>
      <c r="H33" s="1276"/>
      <c r="I33" s="1277">
        <f t="shared" si="0"/>
        <v>0</v>
      </c>
      <c r="J33" s="1253"/>
      <c r="K33" s="1253"/>
      <c r="L33" s="1253"/>
      <c r="M33" s="1253"/>
      <c r="N33" s="1282"/>
      <c r="O33" s="1282"/>
      <c r="P33" s="1282"/>
      <c r="Q33" s="1282"/>
      <c r="R33" s="1282"/>
    </row>
    <row r="34" spans="1:43">
      <c r="A34" s="1266"/>
      <c r="B34" s="1275" t="s">
        <v>547</v>
      </c>
      <c r="C34" s="1267"/>
      <c r="D34" s="1283">
        <v>94888619.730000004</v>
      </c>
      <c r="E34" s="1283"/>
      <c r="F34" s="1283">
        <v>22321541.18</v>
      </c>
      <c r="G34" s="2034"/>
      <c r="H34" s="1276"/>
      <c r="I34" s="1277">
        <f t="shared" si="0"/>
        <v>117210160.91</v>
      </c>
      <c r="J34" s="1253"/>
      <c r="K34" s="1253"/>
      <c r="L34" s="1253"/>
      <c r="M34" s="1253"/>
      <c r="N34" s="1282"/>
      <c r="O34" s="1282"/>
      <c r="P34" s="1282"/>
      <c r="Q34" s="1282"/>
      <c r="R34" s="1282"/>
    </row>
    <row r="35" spans="1:43">
      <c r="A35" s="1266"/>
      <c r="B35" s="1275" t="s">
        <v>542</v>
      </c>
      <c r="C35" s="1267"/>
      <c r="D35" s="2035">
        <v>0</v>
      </c>
      <c r="E35" s="1283"/>
      <c r="F35" s="2035">
        <v>0</v>
      </c>
      <c r="G35" s="2034"/>
      <c r="H35" s="1283"/>
      <c r="I35" s="1277">
        <f t="shared" si="0"/>
        <v>0</v>
      </c>
      <c r="J35" s="1253"/>
      <c r="K35" s="1253"/>
      <c r="L35" s="1253"/>
      <c r="M35" s="1253"/>
      <c r="N35" s="1282"/>
      <c r="O35" s="1282"/>
      <c r="P35" s="1282"/>
      <c r="Q35" s="1282"/>
      <c r="R35" s="1282"/>
    </row>
    <row r="36" spans="1:43" s="1265" customFormat="1" ht="15.75">
      <c r="A36" s="1270"/>
      <c r="B36" s="1270" t="s">
        <v>532</v>
      </c>
      <c r="C36" s="1261"/>
      <c r="D36" s="1955">
        <f>ROUND(SUM(D28:D35),2)</f>
        <v>188846351.25</v>
      </c>
      <c r="E36" s="1278"/>
      <c r="F36" s="1955">
        <f>ROUND(SUM(F28:F35),2)</f>
        <v>86947204.780000001</v>
      </c>
      <c r="G36" s="2031"/>
      <c r="H36" s="1278"/>
      <c r="I36" s="1955">
        <f>ROUND(SUM(I28:I35),2)</f>
        <v>275793556.02999997</v>
      </c>
      <c r="J36" s="1284"/>
      <c r="K36" s="1284"/>
      <c r="L36" s="1284"/>
      <c r="M36" s="1284"/>
      <c r="N36" s="1285"/>
      <c r="O36" s="1285"/>
      <c r="P36" s="1285"/>
      <c r="Q36" s="1285"/>
      <c r="R36" s="1285"/>
    </row>
    <row r="37" spans="1:43">
      <c r="A37" s="1266"/>
      <c r="B37" s="1266"/>
      <c r="C37" s="1267"/>
      <c r="D37" s="1276"/>
      <c r="E37" s="1277"/>
      <c r="F37" s="1276"/>
      <c r="G37" s="2030"/>
      <c r="H37" s="1276"/>
      <c r="I37" s="1277"/>
      <c r="J37" s="1253"/>
      <c r="K37" s="1253"/>
      <c r="L37" s="1253"/>
      <c r="M37" s="1253"/>
      <c r="N37" s="1282"/>
      <c r="O37" s="1282"/>
      <c r="P37" s="1282"/>
      <c r="Q37" s="1282"/>
      <c r="R37" s="1282"/>
    </row>
    <row r="38" spans="1:43" ht="15.75">
      <c r="A38" s="1266"/>
      <c r="B38" s="1270" t="s">
        <v>944</v>
      </c>
      <c r="C38" s="1267"/>
      <c r="D38" s="1276"/>
      <c r="E38" s="1277"/>
      <c r="F38" s="1276"/>
      <c r="G38" s="2030"/>
      <c r="H38" s="1276"/>
      <c r="I38" s="1277"/>
      <c r="J38" s="1253"/>
      <c r="K38" s="1253"/>
      <c r="L38" s="1253"/>
      <c r="M38" s="1253"/>
      <c r="N38" s="1282"/>
      <c r="O38" s="1282"/>
      <c r="P38" s="1282"/>
      <c r="Q38" s="1282"/>
      <c r="R38" s="1282"/>
    </row>
    <row r="39" spans="1:43">
      <c r="A39" s="1266"/>
      <c r="B39" s="1266" t="s">
        <v>543</v>
      </c>
      <c r="C39" s="1267"/>
      <c r="D39" s="1286">
        <v>0</v>
      </c>
      <c r="E39" s="1286"/>
      <c r="F39" s="1286">
        <v>0</v>
      </c>
      <c r="G39" s="2036"/>
      <c r="H39" s="1286"/>
      <c r="I39" s="1277">
        <f>ROUND(SUM(D39:H39),2)</f>
        <v>0</v>
      </c>
      <c r="J39" s="1253"/>
      <c r="K39" s="1253"/>
      <c r="L39" s="1253"/>
      <c r="M39" s="1253"/>
      <c r="N39" s="1282"/>
      <c r="O39" s="1282"/>
      <c r="P39" s="1282"/>
      <c r="Q39" s="1282"/>
      <c r="R39" s="1282"/>
    </row>
    <row r="40" spans="1:43">
      <c r="A40" s="1266"/>
      <c r="B40" s="1266" t="s">
        <v>533</v>
      </c>
      <c r="C40" s="1267"/>
      <c r="D40" s="1277">
        <v>0</v>
      </c>
      <c r="E40" s="1277"/>
      <c r="F40" s="1277">
        <v>0</v>
      </c>
      <c r="G40" s="2030"/>
      <c r="H40" s="1277"/>
      <c r="I40" s="1277">
        <f>ROUND(SUM(D40:H40),2)</f>
        <v>0</v>
      </c>
      <c r="J40" s="1253"/>
      <c r="K40" s="1253"/>
      <c r="L40" s="1253"/>
      <c r="M40" s="1253"/>
      <c r="N40" s="1282"/>
      <c r="O40" s="1282"/>
      <c r="P40" s="1282"/>
      <c r="Q40" s="1282"/>
      <c r="R40" s="1282"/>
    </row>
    <row r="41" spans="1:43" ht="15.75">
      <c r="A41" s="1266"/>
      <c r="B41" s="1270" t="s">
        <v>945</v>
      </c>
      <c r="C41" s="1267"/>
      <c r="D41" s="1276"/>
      <c r="E41" s="1277"/>
      <c r="F41" s="1276"/>
      <c r="G41" s="2030"/>
      <c r="H41" s="1276"/>
      <c r="I41" s="1277"/>
      <c r="J41" s="1253"/>
      <c r="K41" s="1253"/>
      <c r="L41" s="1253"/>
      <c r="M41" s="1253"/>
      <c r="N41" s="1282"/>
      <c r="O41" s="1282"/>
      <c r="P41" s="1282"/>
      <c r="Q41" s="1282"/>
      <c r="R41" s="1282"/>
    </row>
    <row r="42" spans="1:43">
      <c r="A42" s="1266"/>
      <c r="B42" s="1275" t="s">
        <v>548</v>
      </c>
      <c r="C42" s="1267"/>
      <c r="D42" s="2037">
        <v>-20511.419999999998</v>
      </c>
      <c r="E42" s="1277"/>
      <c r="F42" s="2037">
        <v>-770555.39</v>
      </c>
      <c r="G42" s="2030"/>
      <c r="H42" s="1276"/>
      <c r="I42" s="1277">
        <f>ROUND(SUM(D42:H42),2)</f>
        <v>-791066.81</v>
      </c>
      <c r="J42" s="1253"/>
      <c r="K42" s="1253"/>
      <c r="L42" s="1253"/>
      <c r="M42" s="1253"/>
      <c r="N42" s="1282"/>
      <c r="O42" s="1282"/>
      <c r="P42" s="1282"/>
      <c r="Q42" s="1282"/>
      <c r="R42" s="1282"/>
    </row>
    <row r="43" spans="1:43" s="1265" customFormat="1" ht="15.75">
      <c r="A43" s="1270"/>
      <c r="B43" s="1270" t="s">
        <v>534</v>
      </c>
      <c r="C43" s="1261"/>
      <c r="D43" s="1955">
        <f>ROUND(SUM(D39:D42),2)</f>
        <v>-20511.419999999998</v>
      </c>
      <c r="E43" s="1278"/>
      <c r="F43" s="1955">
        <f>ROUND(SUM(F39:F42),2)</f>
        <v>-770555.39</v>
      </c>
      <c r="G43" s="2031"/>
      <c r="H43" s="1278"/>
      <c r="I43" s="1955">
        <f>ROUND(SUM(I39:I42),2)</f>
        <v>-791066.81</v>
      </c>
      <c r="J43" s="1284"/>
      <c r="K43" s="1284"/>
      <c r="L43" s="1284"/>
      <c r="M43" s="1284"/>
      <c r="N43" s="1285"/>
      <c r="O43" s="1285"/>
      <c r="P43" s="1285"/>
      <c r="Q43" s="1285"/>
      <c r="R43" s="1285"/>
    </row>
    <row r="44" spans="1:43">
      <c r="A44" s="1266"/>
      <c r="B44" s="1266"/>
      <c r="C44" s="1267"/>
      <c r="D44" s="1276"/>
      <c r="E44" s="1277"/>
      <c r="F44" s="1276"/>
      <c r="G44" s="2030"/>
      <c r="H44" s="1276"/>
      <c r="I44" s="1277"/>
      <c r="J44" s="1253"/>
      <c r="K44" s="1253"/>
      <c r="L44" s="1253"/>
      <c r="M44" s="1253"/>
      <c r="N44" s="1282"/>
      <c r="O44" s="1282"/>
      <c r="P44" s="1282"/>
      <c r="Q44" s="1282"/>
      <c r="R44" s="1282"/>
    </row>
    <row r="45" spans="1:43" ht="15.75">
      <c r="A45" s="1266"/>
      <c r="B45" s="1270" t="s">
        <v>549</v>
      </c>
      <c r="C45" s="1267"/>
      <c r="D45" s="1276"/>
      <c r="E45" s="1277"/>
      <c r="F45" s="1276"/>
      <c r="G45" s="2030"/>
      <c r="H45" s="1276"/>
      <c r="I45" s="1277"/>
      <c r="J45" s="1253"/>
      <c r="K45" s="1253"/>
      <c r="L45" s="1253"/>
      <c r="M45" s="1253"/>
      <c r="N45" s="1282"/>
      <c r="O45" s="1282"/>
      <c r="P45" s="1282"/>
      <c r="Q45" s="1282"/>
      <c r="R45" s="1282"/>
    </row>
    <row r="46" spans="1:43" ht="15.75">
      <c r="A46" s="1266"/>
      <c r="B46" s="1270" t="s">
        <v>550</v>
      </c>
      <c r="C46" s="1267"/>
      <c r="D46" s="2032">
        <f>ROUND(+D24+D36+D43,2)</f>
        <v>-1026.0999999999999</v>
      </c>
      <c r="E46" s="1281"/>
      <c r="F46" s="2032">
        <f>ROUND(+F24+F36+F43,2)</f>
        <v>458.83</v>
      </c>
      <c r="G46" s="2033"/>
      <c r="H46" s="1281"/>
      <c r="I46" s="2032">
        <f>ROUND(+I24+I36+I43,2)</f>
        <v>-567.27</v>
      </c>
      <c r="J46" s="1253"/>
      <c r="K46" s="1253"/>
      <c r="L46" s="1253"/>
      <c r="M46" s="1253"/>
      <c r="N46" s="1282"/>
      <c r="O46" s="1282"/>
      <c r="P46" s="1282"/>
      <c r="Q46" s="1282"/>
      <c r="R46" s="1282"/>
    </row>
    <row r="47" spans="1:43">
      <c r="A47" s="1266"/>
      <c r="B47" s="1266"/>
      <c r="C47" s="1267"/>
      <c r="D47" s="1267"/>
      <c r="E47" s="1269"/>
      <c r="F47" s="1267"/>
      <c r="G47" s="2029"/>
      <c r="H47" s="1267"/>
      <c r="I47" s="1287"/>
      <c r="J47" s="1253"/>
      <c r="K47" s="1253"/>
      <c r="L47" s="1253"/>
      <c r="M47" s="1253"/>
      <c r="N47" s="1282"/>
      <c r="O47" s="1282"/>
      <c r="P47" s="1282"/>
      <c r="Q47" s="1282"/>
      <c r="R47" s="1282"/>
    </row>
    <row r="48" spans="1:43" s="1265" customFormat="1" ht="16.5" thickBot="1">
      <c r="A48" s="1270"/>
      <c r="B48" s="1270" t="s">
        <v>537</v>
      </c>
      <c r="C48" s="1288"/>
      <c r="D48" s="1956">
        <f>ROUND(D12+D46,2)</f>
        <v>1198.3900000000001</v>
      </c>
      <c r="E48" s="1289"/>
      <c r="F48" s="1956">
        <f>ROUND(F12+F46,2)</f>
        <v>1657.22</v>
      </c>
      <c r="G48" s="2038"/>
      <c r="H48" s="1289"/>
      <c r="I48" s="1956">
        <f>ROUND(I12+I46,2)</f>
        <v>1657.22</v>
      </c>
      <c r="J48" s="1264"/>
      <c r="K48" s="1264"/>
      <c r="L48" s="1264"/>
      <c r="M48" s="1264"/>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row>
    <row r="49" spans="1:9" ht="15.75" thickTop="1">
      <c r="A49" s="1266"/>
      <c r="B49" s="1266" t="s">
        <v>15</v>
      </c>
      <c r="C49" s="1267"/>
      <c r="D49" s="1267"/>
      <c r="E49" s="1269"/>
      <c r="F49" s="1267"/>
      <c r="G49" s="1267"/>
      <c r="H49" s="1267"/>
      <c r="I49" s="1267"/>
    </row>
    <row r="50" spans="1:9">
      <c r="B50" s="1291" t="s">
        <v>538</v>
      </c>
    </row>
    <row r="51" spans="1:9">
      <c r="B51" s="1292"/>
    </row>
    <row r="59" spans="1:9" ht="15.75">
      <c r="B59" s="1293"/>
      <c r="C59" s="1294"/>
      <c r="D59" s="1294"/>
      <c r="E59" s="1321"/>
      <c r="F59" s="1294"/>
      <c r="G59" s="1294"/>
      <c r="H59" s="1294"/>
    </row>
    <row r="61" spans="1:9" ht="15.75">
      <c r="B61" s="1295"/>
      <c r="C61" s="1264"/>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7" t="s">
        <v>980</v>
      </c>
    </row>
    <row r="2" spans="1:29" ht="20.25">
      <c r="A2" s="417"/>
      <c r="B2" s="1244"/>
      <c r="C2" s="1244"/>
      <c r="D2" s="1244"/>
      <c r="E2" s="1244"/>
      <c r="F2" s="1244"/>
      <c r="G2" s="1244"/>
      <c r="H2" s="1244"/>
      <c r="I2" s="1244"/>
      <c r="J2" s="1244"/>
      <c r="K2" s="1244"/>
      <c r="L2" s="418"/>
      <c r="M2" s="418"/>
      <c r="N2" s="1244"/>
      <c r="O2" s="1244"/>
      <c r="P2" s="1244"/>
      <c r="Q2" s="1244"/>
      <c r="R2" s="1244"/>
      <c r="S2" s="1244"/>
      <c r="T2" s="1244"/>
      <c r="U2" s="1244"/>
      <c r="V2" s="1244"/>
      <c r="W2" s="1244"/>
      <c r="X2" s="1244"/>
      <c r="Y2" s="1244"/>
      <c r="Z2" s="1244"/>
      <c r="AA2" s="1245"/>
      <c r="AB2" s="1244"/>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4"/>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6" t="s">
        <v>539</v>
      </c>
      <c r="AB4" s="1244"/>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4"/>
    </row>
    <row r="6" spans="1:29" s="419" customFormat="1" ht="18">
      <c r="A6" s="227" t="s">
        <v>1413</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4"/>
    </row>
    <row r="7" spans="1:29" s="419" customFormat="1" ht="18">
      <c r="A7" s="664" t="s">
        <v>1439</v>
      </c>
      <c r="B7" s="660"/>
      <c r="C7" s="660"/>
      <c r="D7" s="660"/>
      <c r="E7" s="660"/>
      <c r="F7" s="660"/>
      <c r="G7" s="660"/>
      <c r="H7" s="660"/>
      <c r="I7" s="660"/>
      <c r="J7"/>
      <c r="K7"/>
      <c r="L7"/>
      <c r="M7"/>
      <c r="N7"/>
      <c r="O7"/>
      <c r="P7"/>
      <c r="Q7"/>
      <c r="R7" s="658"/>
      <c r="S7" s="658"/>
      <c r="T7" s="658"/>
      <c r="U7" s="658"/>
      <c r="V7" s="658"/>
      <c r="W7" s="658"/>
      <c r="X7" s="658"/>
      <c r="Y7" s="658"/>
      <c r="Z7" s="658"/>
      <c r="AA7"/>
      <c r="AB7" s="1244"/>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4"/>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4"/>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1423</v>
      </c>
      <c r="AB10" s="1247"/>
    </row>
    <row r="11" spans="1:29" s="419" customFormat="1" ht="18">
      <c r="A11" s="658"/>
      <c r="B11" s="679"/>
      <c r="C11" s="2223" t="s">
        <v>125</v>
      </c>
      <c r="D11" s="785"/>
      <c r="E11" s="2223" t="s">
        <v>126</v>
      </c>
      <c r="F11" s="785"/>
      <c r="G11" s="2223" t="s">
        <v>127</v>
      </c>
      <c r="H11" s="785"/>
      <c r="I11" s="2223" t="s">
        <v>128</v>
      </c>
      <c r="J11" s="785"/>
      <c r="K11" s="2223" t="s">
        <v>129</v>
      </c>
      <c r="L11" s="785"/>
      <c r="M11" s="2223" t="s">
        <v>144</v>
      </c>
      <c r="N11" s="785"/>
      <c r="O11" s="2223" t="s">
        <v>145</v>
      </c>
      <c r="P11" s="785"/>
      <c r="Q11" s="2223" t="s">
        <v>132</v>
      </c>
      <c r="R11" s="785"/>
      <c r="S11" s="2223" t="s">
        <v>133</v>
      </c>
      <c r="T11" s="785"/>
      <c r="U11" s="2223" t="s">
        <v>134</v>
      </c>
      <c r="V11" s="785"/>
      <c r="W11" s="2223" t="s">
        <v>135</v>
      </c>
      <c r="X11" s="785"/>
      <c r="Y11" s="2223" t="s">
        <v>186</v>
      </c>
      <c r="Z11" s="664"/>
      <c r="AA11" s="2223" t="s">
        <v>553</v>
      </c>
      <c r="AB11" s="1244"/>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45"/>
      <c r="AC12" s="1946"/>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45"/>
      <c r="AC13" s="1947"/>
    </row>
    <row r="14" spans="1:29" s="421" customFormat="1" ht="18">
      <c r="A14" s="658" t="s">
        <v>555</v>
      </c>
      <c r="B14" s="679"/>
      <c r="C14" s="809">
        <v>0</v>
      </c>
      <c r="D14" s="809"/>
      <c r="E14" s="809">
        <v>21</v>
      </c>
      <c r="F14" s="809"/>
      <c r="G14" s="2240">
        <v>0</v>
      </c>
      <c r="H14" s="809"/>
      <c r="I14" s="2240">
        <v>25</v>
      </c>
      <c r="J14" s="810"/>
      <c r="K14" s="2240"/>
      <c r="L14" s="809"/>
      <c r="M14" s="2240"/>
      <c r="N14" s="810"/>
      <c r="O14" s="2240"/>
      <c r="P14" s="810"/>
      <c r="Q14" s="2240"/>
      <c r="R14" s="810"/>
      <c r="S14" s="2240"/>
      <c r="T14" s="810"/>
      <c r="U14" s="2240"/>
      <c r="V14" s="810"/>
      <c r="W14" s="2240"/>
      <c r="X14" s="810"/>
      <c r="Y14" s="2240"/>
      <c r="Z14" s="679"/>
      <c r="AA14" s="3151">
        <f>ROUND(SUM(C14:Z14),0)</f>
        <v>46</v>
      </c>
      <c r="AB14" s="1945"/>
      <c r="AC14" s="1947"/>
    </row>
    <row r="15" spans="1:29" s="421" customFormat="1" ht="18">
      <c r="A15" s="658" t="s">
        <v>556</v>
      </c>
      <c r="B15" s="679"/>
      <c r="C15" s="811">
        <v>0</v>
      </c>
      <c r="D15" s="812"/>
      <c r="E15" s="812">
        <v>2109</v>
      </c>
      <c r="F15" s="812"/>
      <c r="G15" s="815">
        <v>221</v>
      </c>
      <c r="H15" s="812"/>
      <c r="I15" s="815">
        <v>2703</v>
      </c>
      <c r="J15" s="813"/>
      <c r="K15" s="815"/>
      <c r="L15" s="812"/>
      <c r="M15" s="815"/>
      <c r="N15" s="813"/>
      <c r="O15" s="815"/>
      <c r="P15" s="813"/>
      <c r="Q15" s="815"/>
      <c r="R15" s="813"/>
      <c r="S15" s="815"/>
      <c r="T15" s="813"/>
      <c r="U15" s="815"/>
      <c r="V15" s="813"/>
      <c r="W15" s="815"/>
      <c r="X15" s="813"/>
      <c r="Y15" s="815"/>
      <c r="Z15" s="679"/>
      <c r="AA15" s="1517">
        <f t="shared" ref="AA15:AA29" si="0">ROUND(SUM(C15:Z15),0)</f>
        <v>5033</v>
      </c>
      <c r="AB15" s="1945"/>
      <c r="AC15" s="1947"/>
    </row>
    <row r="16" spans="1:29" s="421" customFormat="1" ht="18">
      <c r="A16" s="658" t="s">
        <v>557</v>
      </c>
      <c r="B16" s="679"/>
      <c r="C16" s="811">
        <v>0</v>
      </c>
      <c r="D16" s="812"/>
      <c r="E16" s="812">
        <v>0</v>
      </c>
      <c r="F16" s="812"/>
      <c r="G16" s="815">
        <v>0</v>
      </c>
      <c r="H16" s="812"/>
      <c r="I16" s="815">
        <v>0</v>
      </c>
      <c r="J16" s="813"/>
      <c r="K16" s="815"/>
      <c r="L16" s="812"/>
      <c r="M16" s="815"/>
      <c r="N16" s="813"/>
      <c r="O16" s="815"/>
      <c r="P16" s="813"/>
      <c r="Q16" s="815"/>
      <c r="R16" s="813"/>
      <c r="S16" s="815"/>
      <c r="T16" s="813"/>
      <c r="U16" s="815"/>
      <c r="V16" s="813"/>
      <c r="W16" s="815"/>
      <c r="X16" s="813"/>
      <c r="Y16" s="815"/>
      <c r="Z16" s="679"/>
      <c r="AA16" s="1517">
        <f t="shared" si="0"/>
        <v>0</v>
      </c>
      <c r="AB16" s="1248"/>
      <c r="AC16" s="1947"/>
    </row>
    <row r="17" spans="1:29" s="421" customFormat="1" ht="18">
      <c r="A17" s="658" t="s">
        <v>1006</v>
      </c>
      <c r="B17" s="679"/>
      <c r="C17" s="815">
        <v>0</v>
      </c>
      <c r="D17" s="812"/>
      <c r="E17" s="814">
        <v>0</v>
      </c>
      <c r="F17" s="812"/>
      <c r="G17" s="814">
        <v>0</v>
      </c>
      <c r="H17" s="812"/>
      <c r="I17" s="814">
        <v>0</v>
      </c>
      <c r="J17" s="813"/>
      <c r="K17" s="814"/>
      <c r="L17" s="812"/>
      <c r="M17" s="814"/>
      <c r="N17" s="813"/>
      <c r="O17" s="814"/>
      <c r="P17" s="813"/>
      <c r="Q17" s="814"/>
      <c r="R17" s="813"/>
      <c r="S17" s="814"/>
      <c r="T17" s="813"/>
      <c r="U17" s="814"/>
      <c r="V17" s="813"/>
      <c r="W17" s="814"/>
      <c r="X17" s="813"/>
      <c r="Y17" s="814"/>
      <c r="Z17" s="679"/>
      <c r="AA17" s="1517">
        <f t="shared" si="0"/>
        <v>0</v>
      </c>
      <c r="AB17" s="1248"/>
      <c r="AC17" s="1947"/>
    </row>
    <row r="18" spans="1:29" s="421" customFormat="1" ht="18">
      <c r="A18" s="658" t="s">
        <v>558</v>
      </c>
      <c r="B18" s="679"/>
      <c r="C18" s="812"/>
      <c r="D18" s="812"/>
      <c r="E18" s="816"/>
      <c r="F18" s="812"/>
      <c r="G18" s="816"/>
      <c r="H18" s="812"/>
      <c r="I18" s="816"/>
      <c r="J18" s="813"/>
      <c r="K18" s="816"/>
      <c r="L18" s="812"/>
      <c r="M18" s="816"/>
      <c r="N18" s="813"/>
      <c r="O18" s="816"/>
      <c r="P18" s="813"/>
      <c r="Q18" s="816"/>
      <c r="R18" s="813"/>
      <c r="S18" s="816"/>
      <c r="T18" s="813"/>
      <c r="U18" s="816"/>
      <c r="V18" s="813"/>
      <c r="W18" s="816"/>
      <c r="X18" s="813"/>
      <c r="Y18" s="816"/>
      <c r="Z18" s="679"/>
      <c r="AA18" s="1517"/>
      <c r="AB18" s="1248"/>
      <c r="AC18" s="1947"/>
    </row>
    <row r="19" spans="1:29" s="421" customFormat="1" ht="18">
      <c r="A19" s="658" t="s">
        <v>1012</v>
      </c>
      <c r="B19" s="679"/>
      <c r="C19" s="811">
        <v>647</v>
      </c>
      <c r="D19" s="812"/>
      <c r="E19" s="812">
        <v>1183</v>
      </c>
      <c r="F19" s="812"/>
      <c r="G19" s="815">
        <v>11</v>
      </c>
      <c r="H19" s="812"/>
      <c r="I19" s="815">
        <v>788</v>
      </c>
      <c r="J19" s="813"/>
      <c r="K19" s="815"/>
      <c r="L19" s="812"/>
      <c r="M19" s="815"/>
      <c r="N19" s="813"/>
      <c r="O19" s="815"/>
      <c r="P19" s="813"/>
      <c r="Q19" s="815"/>
      <c r="R19" s="813"/>
      <c r="S19" s="815"/>
      <c r="T19" s="813"/>
      <c r="U19" s="815"/>
      <c r="V19" s="813"/>
      <c r="W19" s="815"/>
      <c r="X19" s="813"/>
      <c r="Y19" s="815"/>
      <c r="Z19" s="679"/>
      <c r="AA19" s="1517">
        <f t="shared" si="0"/>
        <v>2629</v>
      </c>
      <c r="AB19" s="1248"/>
      <c r="AC19" s="1947"/>
    </row>
    <row r="20" spans="1:29" s="421" customFormat="1" ht="18">
      <c r="A20" s="658" t="s">
        <v>559</v>
      </c>
      <c r="B20" s="679"/>
      <c r="C20" s="811">
        <v>37</v>
      </c>
      <c r="D20" s="812"/>
      <c r="E20" s="812">
        <v>0</v>
      </c>
      <c r="F20" s="812"/>
      <c r="G20" s="815">
        <v>0</v>
      </c>
      <c r="H20" s="812"/>
      <c r="I20" s="815">
        <v>0</v>
      </c>
      <c r="J20" s="813"/>
      <c r="K20" s="815"/>
      <c r="L20" s="812"/>
      <c r="M20" s="815"/>
      <c r="N20" s="813"/>
      <c r="O20" s="815"/>
      <c r="P20" s="813"/>
      <c r="Q20" s="815"/>
      <c r="R20" s="813"/>
      <c r="S20" s="815"/>
      <c r="T20" s="813"/>
      <c r="U20" s="815"/>
      <c r="V20" s="813"/>
      <c r="W20" s="815"/>
      <c r="X20" s="813"/>
      <c r="Y20" s="815"/>
      <c r="Z20" s="679"/>
      <c r="AA20" s="1517">
        <f t="shared" si="0"/>
        <v>37</v>
      </c>
      <c r="AB20" s="1248"/>
      <c r="AC20" s="1947"/>
    </row>
    <row r="21" spans="1:29" s="421" customFormat="1" ht="18">
      <c r="A21" s="658" t="s">
        <v>560</v>
      </c>
      <c r="B21" s="679"/>
      <c r="C21" s="811">
        <v>0</v>
      </c>
      <c r="D21" s="812"/>
      <c r="E21" s="812">
        <v>0</v>
      </c>
      <c r="F21" s="812"/>
      <c r="G21" s="815">
        <v>0</v>
      </c>
      <c r="H21" s="812"/>
      <c r="I21" s="815">
        <v>0</v>
      </c>
      <c r="J21" s="813"/>
      <c r="K21" s="815"/>
      <c r="L21" s="812"/>
      <c r="M21" s="815"/>
      <c r="N21" s="813"/>
      <c r="O21" s="815"/>
      <c r="P21" s="813"/>
      <c r="Q21" s="815"/>
      <c r="R21" s="813"/>
      <c r="S21" s="815"/>
      <c r="T21" s="813"/>
      <c r="U21" s="815"/>
      <c r="V21" s="813"/>
      <c r="W21" s="815"/>
      <c r="X21" s="813"/>
      <c r="Y21" s="815"/>
      <c r="Z21" s="679"/>
      <c r="AA21" s="1517">
        <f t="shared" si="0"/>
        <v>0</v>
      </c>
      <c r="AB21" s="1248"/>
      <c r="AC21" s="1947"/>
    </row>
    <row r="22" spans="1:29" s="421" customFormat="1" ht="18">
      <c r="A22" s="658" t="s">
        <v>561</v>
      </c>
      <c r="B22" s="679"/>
      <c r="C22" s="811">
        <v>19134</v>
      </c>
      <c r="D22" s="812"/>
      <c r="E22" s="812">
        <v>18022</v>
      </c>
      <c r="F22" s="812"/>
      <c r="G22" s="815">
        <v>14341</v>
      </c>
      <c r="H22" s="812"/>
      <c r="I22" s="815">
        <v>23762</v>
      </c>
      <c r="J22" s="813"/>
      <c r="K22" s="815"/>
      <c r="L22" s="812"/>
      <c r="M22" s="815"/>
      <c r="N22" s="813"/>
      <c r="O22" s="815"/>
      <c r="P22" s="813"/>
      <c r="Q22" s="815"/>
      <c r="R22" s="813"/>
      <c r="S22" s="815"/>
      <c r="T22" s="813"/>
      <c r="U22" s="815"/>
      <c r="V22" s="813"/>
      <c r="W22" s="815"/>
      <c r="X22" s="813"/>
      <c r="Y22" s="815"/>
      <c r="Z22" s="679"/>
      <c r="AA22" s="1517">
        <f t="shared" si="0"/>
        <v>75259</v>
      </c>
      <c r="AB22" s="1248"/>
      <c r="AC22" s="1947"/>
    </row>
    <row r="23" spans="1:29" s="421" customFormat="1" ht="18">
      <c r="A23" s="658" t="s">
        <v>562</v>
      </c>
      <c r="B23" s="679"/>
      <c r="C23" s="811">
        <v>2965</v>
      </c>
      <c r="D23" s="812"/>
      <c r="E23" s="812">
        <v>2554</v>
      </c>
      <c r="F23" s="812"/>
      <c r="G23" s="815">
        <v>975</v>
      </c>
      <c r="H23" s="812"/>
      <c r="I23" s="815">
        <v>5101</v>
      </c>
      <c r="J23" s="813"/>
      <c r="K23" s="815"/>
      <c r="L23" s="812"/>
      <c r="M23" s="815"/>
      <c r="N23" s="813"/>
      <c r="O23" s="815"/>
      <c r="P23" s="813"/>
      <c r="Q23" s="815"/>
      <c r="R23" s="813"/>
      <c r="S23" s="815"/>
      <c r="T23" s="813"/>
      <c r="U23" s="815"/>
      <c r="V23" s="813"/>
      <c r="W23" s="815"/>
      <c r="X23" s="813"/>
      <c r="Y23" s="815"/>
      <c r="Z23" s="679"/>
      <c r="AA23" s="1517">
        <f>ROUND(SUM(C23:Z23),0)</f>
        <v>11595</v>
      </c>
      <c r="AB23" s="1248"/>
      <c r="AC23" s="1947"/>
    </row>
    <row r="24" spans="1:29" s="421" customFormat="1" ht="18">
      <c r="A24" s="658" t="s">
        <v>563</v>
      </c>
      <c r="B24" s="679"/>
      <c r="C24" s="817">
        <v>0</v>
      </c>
      <c r="D24" s="812"/>
      <c r="E24" s="812">
        <v>0</v>
      </c>
      <c r="F24" s="812"/>
      <c r="G24" s="815">
        <v>0</v>
      </c>
      <c r="H24" s="812"/>
      <c r="I24" s="815">
        <v>0</v>
      </c>
      <c r="J24" s="813"/>
      <c r="K24" s="815"/>
      <c r="L24" s="812"/>
      <c r="M24" s="815"/>
      <c r="N24" s="813"/>
      <c r="O24" s="815"/>
      <c r="P24" s="813"/>
      <c r="Q24" s="815"/>
      <c r="R24" s="813"/>
      <c r="S24" s="815"/>
      <c r="T24" s="813"/>
      <c r="U24" s="815"/>
      <c r="V24" s="813"/>
      <c r="W24" s="815"/>
      <c r="X24" s="813"/>
      <c r="Y24" s="815"/>
      <c r="Z24" s="679"/>
      <c r="AA24" s="1517">
        <f t="shared" si="0"/>
        <v>0</v>
      </c>
      <c r="AB24" s="1248"/>
      <c r="AC24" s="1947"/>
    </row>
    <row r="25" spans="1:29" s="421" customFormat="1" ht="18">
      <c r="A25" s="658" t="s">
        <v>564</v>
      </c>
      <c r="B25" s="679"/>
      <c r="C25" s="812">
        <v>0</v>
      </c>
      <c r="D25" s="812"/>
      <c r="E25" s="812">
        <v>0</v>
      </c>
      <c r="F25" s="812"/>
      <c r="G25" s="815">
        <v>0</v>
      </c>
      <c r="H25" s="812"/>
      <c r="I25" s="815">
        <v>0</v>
      </c>
      <c r="J25" s="813"/>
      <c r="K25" s="815"/>
      <c r="L25" s="812"/>
      <c r="M25" s="815"/>
      <c r="N25" s="813"/>
      <c r="O25" s="815"/>
      <c r="P25" s="813"/>
      <c r="Q25" s="815"/>
      <c r="R25" s="813"/>
      <c r="S25" s="815"/>
      <c r="T25" s="813"/>
      <c r="U25" s="815"/>
      <c r="V25" s="813"/>
      <c r="W25" s="815"/>
      <c r="X25" s="813"/>
      <c r="Y25" s="815"/>
      <c r="Z25" s="679"/>
      <c r="AA25" s="1517">
        <f t="shared" si="0"/>
        <v>0</v>
      </c>
      <c r="AB25" s="1248"/>
      <c r="AC25" s="1947"/>
    </row>
    <row r="26" spans="1:29" s="421" customFormat="1" ht="18">
      <c r="A26" s="658" t="s">
        <v>565</v>
      </c>
      <c r="B26" s="679"/>
      <c r="C26" s="811">
        <v>9238</v>
      </c>
      <c r="D26" s="812"/>
      <c r="E26" s="812">
        <v>13563</v>
      </c>
      <c r="F26" s="812"/>
      <c r="G26" s="815">
        <v>4697</v>
      </c>
      <c r="H26" s="812"/>
      <c r="I26" s="815">
        <v>25605</v>
      </c>
      <c r="J26" s="813"/>
      <c r="K26" s="815"/>
      <c r="L26" s="812"/>
      <c r="M26" s="815"/>
      <c r="N26" s="813"/>
      <c r="O26" s="815"/>
      <c r="P26" s="813"/>
      <c r="Q26" s="815"/>
      <c r="R26" s="813"/>
      <c r="S26" s="815"/>
      <c r="T26" s="813"/>
      <c r="U26" s="815"/>
      <c r="V26" s="813"/>
      <c r="W26" s="815"/>
      <c r="X26" s="813"/>
      <c r="Y26" s="815"/>
      <c r="Z26" s="679"/>
      <c r="AA26" s="1517">
        <f t="shared" si="0"/>
        <v>53103</v>
      </c>
      <c r="AB26" s="1248"/>
      <c r="AC26" s="1947"/>
    </row>
    <row r="27" spans="1:29" s="421" customFormat="1" ht="18">
      <c r="A27" s="658" t="s">
        <v>566</v>
      </c>
      <c r="B27" s="679"/>
      <c r="C27" s="817">
        <v>1109</v>
      </c>
      <c r="D27" s="812"/>
      <c r="E27" s="812">
        <v>1614</v>
      </c>
      <c r="F27" s="812"/>
      <c r="G27" s="815">
        <v>462</v>
      </c>
      <c r="H27" s="812"/>
      <c r="I27" s="815">
        <v>2044</v>
      </c>
      <c r="J27" s="813"/>
      <c r="K27" s="815"/>
      <c r="L27" s="812"/>
      <c r="M27" s="815"/>
      <c r="N27" s="813"/>
      <c r="O27" s="815"/>
      <c r="P27" s="813"/>
      <c r="Q27" s="815"/>
      <c r="R27" s="813"/>
      <c r="S27" s="815"/>
      <c r="T27" s="813"/>
      <c r="U27" s="815"/>
      <c r="V27" s="813"/>
      <c r="W27" s="815"/>
      <c r="X27" s="813"/>
      <c r="Y27" s="815"/>
      <c r="Z27" s="679"/>
      <c r="AA27" s="1517">
        <f t="shared" si="0"/>
        <v>5229</v>
      </c>
      <c r="AB27" s="1248"/>
      <c r="AC27" s="1947"/>
    </row>
    <row r="28" spans="1:29" s="421" customFormat="1" ht="18">
      <c r="A28" s="658" t="s">
        <v>893</v>
      </c>
      <c r="B28" s="679"/>
      <c r="C28" s="815">
        <v>158</v>
      </c>
      <c r="D28" s="812"/>
      <c r="E28" s="815">
        <v>274</v>
      </c>
      <c r="F28" s="812"/>
      <c r="G28" s="815">
        <v>190</v>
      </c>
      <c r="H28" s="812"/>
      <c r="I28" s="815">
        <v>302</v>
      </c>
      <c r="J28" s="813"/>
      <c r="K28" s="815"/>
      <c r="L28" s="812"/>
      <c r="M28" s="815"/>
      <c r="N28" s="813"/>
      <c r="O28" s="815"/>
      <c r="P28" s="813"/>
      <c r="Q28" s="815"/>
      <c r="R28" s="813"/>
      <c r="S28" s="815"/>
      <c r="T28" s="813"/>
      <c r="U28" s="815"/>
      <c r="V28" s="813"/>
      <c r="W28" s="815"/>
      <c r="X28" s="813"/>
      <c r="Y28" s="815"/>
      <c r="Z28" s="679"/>
      <c r="AA28" s="1517">
        <f>ROUND(SUM(C28:Z28),0)</f>
        <v>924</v>
      </c>
      <c r="AB28" s="1248"/>
      <c r="AC28" s="1947"/>
    </row>
    <row r="29" spans="1:29" s="421" customFormat="1" ht="18">
      <c r="A29" s="658" t="s">
        <v>567</v>
      </c>
      <c r="B29" s="679"/>
      <c r="C29" s="812">
        <v>23</v>
      </c>
      <c r="D29" s="812"/>
      <c r="E29" s="812">
        <v>36</v>
      </c>
      <c r="F29" s="812"/>
      <c r="G29" s="815">
        <v>0</v>
      </c>
      <c r="H29" s="812"/>
      <c r="I29" s="815">
        <v>192</v>
      </c>
      <c r="J29" s="813"/>
      <c r="K29" s="815"/>
      <c r="L29" s="812"/>
      <c r="M29" s="815"/>
      <c r="N29" s="813"/>
      <c r="O29" s="815"/>
      <c r="P29" s="813"/>
      <c r="Q29" s="815"/>
      <c r="R29" s="813"/>
      <c r="S29" s="815"/>
      <c r="T29" s="813"/>
      <c r="U29" s="815"/>
      <c r="V29" s="813"/>
      <c r="W29" s="815"/>
      <c r="X29" s="813"/>
      <c r="Y29" s="815"/>
      <c r="Z29" s="679"/>
      <c r="AA29" s="1517">
        <f t="shared" si="0"/>
        <v>251</v>
      </c>
      <c r="AB29" s="1248"/>
      <c r="AC29" s="1947"/>
    </row>
    <row r="30" spans="1:29" s="421" customFormat="1" ht="18">
      <c r="A30" s="680" t="s">
        <v>892</v>
      </c>
      <c r="B30" s="679"/>
      <c r="C30" s="2225">
        <f>ROUND(SUM(C14:C29),0)</f>
        <v>33311</v>
      </c>
      <c r="D30" s="658"/>
      <c r="E30" s="2225">
        <v>39376</v>
      </c>
      <c r="F30" s="658"/>
      <c r="G30" s="2225">
        <f>ROUND(SUM(G14:G29),0)</f>
        <v>20897</v>
      </c>
      <c r="H30" s="658"/>
      <c r="I30" s="2225">
        <f>ROUND(SUM(I14:I29),0)</f>
        <v>60522</v>
      </c>
      <c r="J30" s="658"/>
      <c r="K30" s="2225">
        <f>ROUND(SUM(K14:K29),0)</f>
        <v>0</v>
      </c>
      <c r="L30" s="658"/>
      <c r="M30" s="2225">
        <f>ROUND(SUM(M14:M29),0)</f>
        <v>0</v>
      </c>
      <c r="N30" s="658"/>
      <c r="O30" s="2225">
        <f>ROUND(SUM(O14:O29),0)</f>
        <v>0</v>
      </c>
      <c r="P30" s="658"/>
      <c r="Q30" s="2225">
        <f>ROUND(SUM(Q14:Q29),0)</f>
        <v>0</v>
      </c>
      <c r="R30" s="658"/>
      <c r="S30" s="2225">
        <f>ROUND(SUM(S14:S29),0)</f>
        <v>0</v>
      </c>
      <c r="T30" s="658"/>
      <c r="U30" s="2225">
        <f>ROUND(SUM(U14:U29),0)</f>
        <v>0</v>
      </c>
      <c r="V30" s="658"/>
      <c r="W30" s="2225">
        <f>ROUND(SUM(W14:W29),0)</f>
        <v>0</v>
      </c>
      <c r="X30" s="658"/>
      <c r="Y30" s="2225">
        <f>ROUND(SUM(Y14:Y29),0)</f>
        <v>0</v>
      </c>
      <c r="Z30" s="658"/>
      <c r="AA30" s="3152">
        <f>ROUND(SUM(AA14:AA29),0)</f>
        <v>154106</v>
      </c>
      <c r="AB30" s="1248"/>
      <c r="AC30" s="1947"/>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7"/>
      <c r="AB31" s="1248"/>
      <c r="AC31" s="1947"/>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7"/>
      <c r="AB32" s="1248"/>
      <c r="AC32" s="1947"/>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7"/>
      <c r="AB33" s="1248"/>
      <c r="AC33" s="1947"/>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7"/>
      <c r="AB34" s="1248"/>
      <c r="AC34" s="1947"/>
    </row>
    <row r="35" spans="1:29" s="421" customFormat="1" ht="18">
      <c r="A35" s="658" t="s">
        <v>569</v>
      </c>
      <c r="B35" s="679"/>
      <c r="C35" s="814">
        <v>0</v>
      </c>
      <c r="D35" s="812"/>
      <c r="E35" s="814">
        <v>0</v>
      </c>
      <c r="F35" s="812"/>
      <c r="G35" s="814">
        <v>0</v>
      </c>
      <c r="H35" s="812"/>
      <c r="I35" s="814">
        <v>0</v>
      </c>
      <c r="J35" s="813"/>
      <c r="K35" s="814"/>
      <c r="L35" s="812"/>
      <c r="M35" s="814"/>
      <c r="N35" s="813"/>
      <c r="O35" s="814"/>
      <c r="P35" s="813"/>
      <c r="Q35" s="814"/>
      <c r="R35" s="813"/>
      <c r="S35" s="814"/>
      <c r="T35" s="813"/>
      <c r="U35" s="814"/>
      <c r="V35" s="813"/>
      <c r="W35" s="814"/>
      <c r="X35" s="813"/>
      <c r="Y35" s="814"/>
      <c r="Z35" s="679"/>
      <c r="AA35" s="1517">
        <f>ROUND(SUM(C35:Z35),0)</f>
        <v>0</v>
      </c>
      <c r="AB35" s="1248"/>
      <c r="AC35" s="1947"/>
    </row>
    <row r="36" spans="1:29" s="421" customFormat="1" ht="18">
      <c r="A36" s="658" t="s">
        <v>1218</v>
      </c>
      <c r="B36" s="679"/>
      <c r="C36" s="812">
        <v>0</v>
      </c>
      <c r="D36" s="812"/>
      <c r="E36" s="814">
        <v>0</v>
      </c>
      <c r="F36" s="812"/>
      <c r="G36" s="814">
        <v>0</v>
      </c>
      <c r="H36" s="812"/>
      <c r="I36" s="814">
        <v>0</v>
      </c>
      <c r="J36" s="813"/>
      <c r="K36" s="814"/>
      <c r="L36" s="812"/>
      <c r="M36" s="814"/>
      <c r="N36" s="813"/>
      <c r="O36" s="814"/>
      <c r="P36" s="813"/>
      <c r="Q36" s="814"/>
      <c r="R36" s="813"/>
      <c r="S36" s="814"/>
      <c r="T36" s="813"/>
      <c r="U36" s="814"/>
      <c r="V36" s="813"/>
      <c r="W36" s="814"/>
      <c r="X36" s="813"/>
      <c r="Y36" s="814"/>
      <c r="Z36" s="679"/>
      <c r="AA36" s="1517">
        <f>ROUND(SUM(C36:Z36),0)</f>
        <v>0</v>
      </c>
      <c r="AB36" s="1248"/>
      <c r="AC36" s="1947"/>
    </row>
    <row r="37" spans="1:29" s="421" customFormat="1" ht="18">
      <c r="A37" s="658" t="s">
        <v>570</v>
      </c>
      <c r="B37" s="679"/>
      <c r="C37" s="814">
        <v>0</v>
      </c>
      <c r="D37" s="812"/>
      <c r="E37" s="814">
        <v>0</v>
      </c>
      <c r="F37" s="812"/>
      <c r="G37" s="814">
        <v>0</v>
      </c>
      <c r="H37" s="812"/>
      <c r="I37" s="814">
        <v>0</v>
      </c>
      <c r="J37" s="813"/>
      <c r="K37" s="814"/>
      <c r="L37" s="812"/>
      <c r="M37" s="814"/>
      <c r="N37" s="813"/>
      <c r="O37" s="814"/>
      <c r="P37" s="813"/>
      <c r="Q37" s="814"/>
      <c r="R37" s="813"/>
      <c r="S37" s="814"/>
      <c r="T37" s="813"/>
      <c r="U37" s="814"/>
      <c r="V37" s="813"/>
      <c r="W37" s="814"/>
      <c r="X37" s="813"/>
      <c r="Y37" s="814"/>
      <c r="Z37" s="679"/>
      <c r="AA37" s="1517">
        <f>ROUND(SUM(C37:Z37),0)</f>
        <v>0</v>
      </c>
      <c r="AB37" s="1248"/>
      <c r="AC37" s="1947"/>
    </row>
    <row r="38" spans="1:29" s="421" customFormat="1" ht="18">
      <c r="A38" s="658" t="s">
        <v>1006</v>
      </c>
      <c r="B38" s="679"/>
      <c r="C38" s="814">
        <v>0</v>
      </c>
      <c r="D38" s="812"/>
      <c r="E38" s="814">
        <v>0</v>
      </c>
      <c r="F38" s="817"/>
      <c r="G38" s="814">
        <v>0</v>
      </c>
      <c r="H38" s="817"/>
      <c r="I38" s="814">
        <v>0</v>
      </c>
      <c r="J38" s="818"/>
      <c r="K38" s="814"/>
      <c r="L38" s="817"/>
      <c r="M38" s="814"/>
      <c r="N38" s="818"/>
      <c r="O38" s="814"/>
      <c r="P38" s="818"/>
      <c r="Q38" s="814"/>
      <c r="R38" s="818"/>
      <c r="S38" s="814"/>
      <c r="T38" s="818"/>
      <c r="U38" s="814"/>
      <c r="V38" s="818"/>
      <c r="W38" s="814"/>
      <c r="X38" s="818"/>
      <c r="Y38" s="814"/>
      <c r="Z38" s="679"/>
      <c r="AA38" s="1517">
        <f>ROUND(SUM(C38:Z38),0)</f>
        <v>0</v>
      </c>
      <c r="AB38" s="1248"/>
      <c r="AC38" s="1947"/>
    </row>
    <row r="39" spans="1:29" s="419" customFormat="1" ht="18">
      <c r="A39" s="658" t="s">
        <v>571</v>
      </c>
      <c r="B39" s="679"/>
      <c r="C39" s="2224">
        <v>0</v>
      </c>
      <c r="D39" s="812"/>
      <c r="E39" s="2224">
        <v>0</v>
      </c>
      <c r="F39" s="812"/>
      <c r="G39" s="2224">
        <v>0</v>
      </c>
      <c r="H39" s="812"/>
      <c r="I39" s="2224">
        <v>0</v>
      </c>
      <c r="J39" s="813"/>
      <c r="K39" s="2224"/>
      <c r="L39" s="812"/>
      <c r="M39" s="2224"/>
      <c r="N39" s="813"/>
      <c r="O39" s="2224"/>
      <c r="P39" s="813"/>
      <c r="Q39" s="2224"/>
      <c r="R39" s="813"/>
      <c r="S39" s="2224"/>
      <c r="T39" s="813"/>
      <c r="U39" s="2224"/>
      <c r="V39" s="813"/>
      <c r="W39" s="2224"/>
      <c r="X39" s="813"/>
      <c r="Y39" s="2224"/>
      <c r="Z39" s="679"/>
      <c r="AA39" s="1517">
        <f>ROUND(SUM(C39:Z39),0)</f>
        <v>0</v>
      </c>
      <c r="AB39" s="1249"/>
      <c r="AC39" s="1948"/>
    </row>
    <row r="40" spans="1:29" s="419" customFormat="1" ht="18">
      <c r="A40" s="680" t="s">
        <v>891</v>
      </c>
      <c r="B40" s="679"/>
      <c r="C40" s="2225">
        <f>ROUND(SUM(C35:C39),0)</f>
        <v>0</v>
      </c>
      <c r="D40" s="658"/>
      <c r="E40" s="2225">
        <f>ROUND(SUM(E35:E39),0)</f>
        <v>0</v>
      </c>
      <c r="F40" s="658"/>
      <c r="G40" s="2225">
        <f>ROUND(SUM(G35:G39),0)</f>
        <v>0</v>
      </c>
      <c r="H40" s="658"/>
      <c r="I40" s="2225">
        <f>ROUND(SUM(I35:I39),0)</f>
        <v>0</v>
      </c>
      <c r="J40" s="658"/>
      <c r="K40" s="2225">
        <f>ROUND(SUM(K35:K39),0)</f>
        <v>0</v>
      </c>
      <c r="L40" s="658"/>
      <c r="M40" s="2225">
        <f>ROUND(SUM(M35:M39),0)</f>
        <v>0</v>
      </c>
      <c r="N40" s="658"/>
      <c r="O40" s="2225">
        <f>ROUND(SUM(O35:O39),0)</f>
        <v>0</v>
      </c>
      <c r="P40" s="658"/>
      <c r="Q40" s="2225">
        <f>ROUND(SUM(Q35:Q39),0)</f>
        <v>0</v>
      </c>
      <c r="R40" s="658"/>
      <c r="S40" s="2225">
        <f>ROUND(SUM(S35:S39),0)</f>
        <v>0</v>
      </c>
      <c r="T40" s="658"/>
      <c r="U40" s="2225">
        <f>ROUND(SUM(U35:U39),0)</f>
        <v>0</v>
      </c>
      <c r="V40" s="658"/>
      <c r="W40" s="2225">
        <f>ROUND(SUM(W35:W39),0)</f>
        <v>0</v>
      </c>
      <c r="X40" s="658"/>
      <c r="Y40" s="2225">
        <f>ROUND(SUM(Y35:Y39),0)</f>
        <v>0</v>
      </c>
      <c r="Z40" s="658"/>
      <c r="AA40" s="2225">
        <f>ROUND(SUM(AA35:AA39),0)</f>
        <v>0</v>
      </c>
      <c r="AB40" s="1249"/>
      <c r="AC40" s="1948"/>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9"/>
      <c r="AC41" s="1949"/>
    </row>
    <row r="42" spans="1:29" ht="18">
      <c r="A42" s="658"/>
      <c r="B42" s="679"/>
      <c r="C42" s="679"/>
      <c r="D42" s="679"/>
      <c r="E42" s="679"/>
      <c r="F42" s="679"/>
      <c r="G42" s="679"/>
      <c r="H42" s="679"/>
      <c r="I42" s="679"/>
      <c r="J42" s="679"/>
      <c r="K42" s="679"/>
      <c r="L42" s="679"/>
      <c r="M42" s="679"/>
      <c r="N42" s="679"/>
      <c r="O42" s="679"/>
      <c r="P42" s="679"/>
      <c r="Q42" s="679"/>
      <c r="R42" s="679"/>
      <c r="S42" s="2241"/>
      <c r="T42" s="679"/>
      <c r="U42" s="679"/>
      <c r="V42" s="679"/>
      <c r="W42" s="679"/>
      <c r="X42" s="679"/>
      <c r="Y42" s="679"/>
      <c r="Z42" s="679"/>
      <c r="AA42" s="658"/>
    </row>
    <row r="43" spans="1:29" s="423" customFormat="1" ht="18.75" thickBot="1">
      <c r="A43" s="680" t="s">
        <v>890</v>
      </c>
      <c r="B43" s="679"/>
      <c r="C43" s="1950">
        <f>ROUND(C30+C40,0)</f>
        <v>33311</v>
      </c>
      <c r="D43" s="658"/>
      <c r="E43" s="1950">
        <f>ROUND(E30+E40,0)</f>
        <v>39376</v>
      </c>
      <c r="F43" s="658"/>
      <c r="G43" s="1950">
        <f>ROUND(G30+G40,0)</f>
        <v>20897</v>
      </c>
      <c r="H43" s="658"/>
      <c r="I43" s="1950">
        <f>ROUND(I30+I40,0)</f>
        <v>60522</v>
      </c>
      <c r="J43" s="658"/>
      <c r="K43" s="1950">
        <f>ROUND(K30+K40,0)</f>
        <v>0</v>
      </c>
      <c r="L43" s="658"/>
      <c r="M43" s="1950">
        <f>ROUND(M30+M40,0)</f>
        <v>0</v>
      </c>
      <c r="N43" s="658"/>
      <c r="O43" s="1950">
        <f>ROUND(O30+O40,0)</f>
        <v>0</v>
      </c>
      <c r="P43" s="658"/>
      <c r="Q43" s="1950">
        <f>ROUND(Q30+Q40,0)</f>
        <v>0</v>
      </c>
      <c r="R43" s="658"/>
      <c r="S43" s="1950">
        <f>ROUND(S30+S40,0)</f>
        <v>0</v>
      </c>
      <c r="T43" s="658"/>
      <c r="U43" s="1950">
        <f>ROUND(U30+U40,0)</f>
        <v>0</v>
      </c>
      <c r="V43" s="658"/>
      <c r="W43" s="1950">
        <f>ROUND(W30+W40,0)</f>
        <v>0</v>
      </c>
      <c r="X43" s="658"/>
      <c r="Y43" s="1950">
        <f>ROUND(Y30+Y40,0)</f>
        <v>0</v>
      </c>
      <c r="Z43" s="658"/>
      <c r="AA43" s="1950">
        <f>ROUND(AA30+AA40,0)</f>
        <v>154106</v>
      </c>
    </row>
    <row r="44" spans="1:29" ht="15.75" thickTop="1">
      <c r="A44" s="125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30" t="s">
        <v>572</v>
      </c>
      <c r="B46" s="3831"/>
      <c r="C46" s="3831"/>
      <c r="D46" s="3831"/>
      <c r="E46" s="3831"/>
      <c r="F46" s="3831"/>
      <c r="G46" s="3831"/>
      <c r="H46" s="3831"/>
      <c r="I46" s="3831"/>
      <c r="J46" s="3831"/>
      <c r="K46" s="3831"/>
      <c r="L46" s="3831"/>
      <c r="M46" s="3831"/>
      <c r="N46" s="3831"/>
      <c r="O46" s="3831"/>
      <c r="P46" s="3831"/>
      <c r="Q46" s="3831"/>
      <c r="R46" s="3831"/>
      <c r="S46" s="3831"/>
      <c r="T46" s="3831"/>
      <c r="U46" s="3831"/>
      <c r="V46" s="3831"/>
      <c r="W46" s="3831"/>
      <c r="X46" s="3831"/>
      <c r="Y46" s="3831"/>
      <c r="Z46" s="3831"/>
      <c r="AA46" s="3832"/>
    </row>
    <row r="47" spans="1:29" ht="20.100000000000001" customHeight="1">
      <c r="A47" s="3833"/>
      <c r="B47" s="3834"/>
      <c r="C47" s="3834"/>
      <c r="D47" s="3834"/>
      <c r="E47" s="3834"/>
      <c r="F47" s="3834"/>
      <c r="G47" s="3834"/>
      <c r="H47" s="3834"/>
      <c r="I47" s="3834"/>
      <c r="J47" s="3834"/>
      <c r="K47" s="3834"/>
      <c r="L47" s="3834"/>
      <c r="M47" s="3834"/>
      <c r="N47" s="3834"/>
      <c r="O47" s="3834"/>
      <c r="P47" s="3834"/>
      <c r="Q47" s="3834"/>
      <c r="R47" s="3834"/>
      <c r="S47" s="3834"/>
      <c r="T47" s="3834"/>
      <c r="U47" s="3834"/>
      <c r="V47" s="3834"/>
      <c r="W47" s="3834"/>
      <c r="X47" s="3834"/>
      <c r="Y47" s="3834"/>
      <c r="Z47" s="3834"/>
      <c r="AA47" s="3835"/>
    </row>
    <row r="48" spans="1:29" ht="20.100000000000001" customHeight="1">
      <c r="A48" s="3833"/>
      <c r="B48" s="3834"/>
      <c r="C48" s="3834"/>
      <c r="D48" s="3834"/>
      <c r="E48" s="3834"/>
      <c r="F48" s="3834"/>
      <c r="G48" s="3834"/>
      <c r="H48" s="3834"/>
      <c r="I48" s="3834"/>
      <c r="J48" s="3834"/>
      <c r="K48" s="3834"/>
      <c r="L48" s="3834"/>
      <c r="M48" s="3834"/>
      <c r="N48" s="3834"/>
      <c r="O48" s="3834"/>
      <c r="P48" s="3834"/>
      <c r="Q48" s="3834"/>
      <c r="R48" s="3834"/>
      <c r="S48" s="3834"/>
      <c r="T48" s="3834"/>
      <c r="U48" s="3834"/>
      <c r="V48" s="3834"/>
      <c r="W48" s="3834"/>
      <c r="X48" s="3834"/>
      <c r="Y48" s="3834"/>
      <c r="Z48" s="3834"/>
      <c r="AA48" s="3835"/>
    </row>
    <row r="49" spans="1:27" ht="22.5" customHeight="1" thickBot="1">
      <c r="A49" s="3836"/>
      <c r="B49" s="3837"/>
      <c r="C49" s="3837"/>
      <c r="D49" s="3837"/>
      <c r="E49" s="3837"/>
      <c r="F49" s="3837"/>
      <c r="G49" s="3837"/>
      <c r="H49" s="3837"/>
      <c r="I49" s="3837"/>
      <c r="J49" s="3837"/>
      <c r="K49" s="3837"/>
      <c r="L49" s="3837"/>
      <c r="M49" s="3837"/>
      <c r="N49" s="3837"/>
      <c r="O49" s="3837"/>
      <c r="P49" s="3837"/>
      <c r="Q49" s="3837"/>
      <c r="R49" s="3837"/>
      <c r="S49" s="3837"/>
      <c r="T49" s="3837"/>
      <c r="U49" s="3837"/>
      <c r="V49" s="3837"/>
      <c r="W49" s="3837"/>
      <c r="X49" s="3837"/>
      <c r="Y49" s="3837"/>
      <c r="Z49" s="3837"/>
      <c r="AA49" s="3838"/>
    </row>
    <row r="51" spans="1:27" ht="14.65" customHeight="1"/>
    <row r="54" spans="1:27" ht="14.1" customHeight="1"/>
  </sheetData>
  <mergeCells count="1">
    <mergeCell ref="A46:AA49"/>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6"/>
  <sheetViews>
    <sheetView showGridLines="0" zoomScale="80" workbookViewId="0"/>
  </sheetViews>
  <sheetFormatPr defaultRowHeight="15"/>
  <cols>
    <col min="1" max="1" width="2.33203125" style="3008" customWidth="1"/>
    <col min="2" max="2" width="10.21875" style="3008" customWidth="1"/>
    <col min="3" max="3" width="2.21875" style="3146" customWidth="1"/>
    <col min="4" max="4" width="50.44140625" style="3008" customWidth="1"/>
    <col min="5" max="5" width="8.77734375" style="3146" customWidth="1"/>
    <col min="6" max="6" width="2.109375" style="3147" customWidth="1"/>
    <col min="7" max="7" width="20.21875" style="3148" customWidth="1"/>
    <col min="8" max="8" width="2.109375" style="3146" customWidth="1"/>
    <col min="9" max="9" width="20.21875" style="3008" customWidth="1"/>
    <col min="10" max="10" width="2.109375" style="3146" customWidth="1"/>
    <col min="11" max="11" width="20.21875" style="3008" customWidth="1"/>
    <col min="12" max="12" width="2.109375" style="3146" customWidth="1"/>
    <col min="13" max="13" width="20.21875" style="3008" customWidth="1"/>
    <col min="14" max="14" width="2.109375" style="3146" customWidth="1"/>
    <col min="15" max="15" width="20.21875" style="3008" customWidth="1"/>
    <col min="16" max="16" width="6.109375" style="3008" bestFit="1" customWidth="1"/>
    <col min="17" max="17" width="13.109375" style="3008" bestFit="1" customWidth="1"/>
    <col min="18" max="255" width="8.77734375" style="3008"/>
    <col min="256" max="257" width="8.77734375" style="3008" customWidth="1"/>
    <col min="258" max="258" width="10.21875" style="3008" customWidth="1"/>
    <col min="259" max="259" width="2.21875" style="3008" customWidth="1"/>
    <col min="260" max="260" width="50.44140625" style="3008" customWidth="1"/>
    <col min="261" max="261" width="8.77734375" style="3008"/>
    <col min="262" max="262" width="2.109375" style="3008" customWidth="1"/>
    <col min="263" max="263" width="23.77734375" style="3008" customWidth="1"/>
    <col min="264" max="264" width="2.109375" style="3008" customWidth="1"/>
    <col min="265" max="265" width="23.77734375" style="3008" customWidth="1"/>
    <col min="266" max="266" width="2.109375" style="3008" customWidth="1"/>
    <col min="267" max="267" width="23.77734375" style="3008" customWidth="1"/>
    <col min="268" max="268" width="2.109375" style="3008" customWidth="1"/>
    <col min="269" max="269" width="23.77734375" style="3008" customWidth="1"/>
    <col min="270" max="270" width="2.109375" style="3008" customWidth="1"/>
    <col min="271" max="271" width="23.77734375" style="3008" customWidth="1"/>
    <col min="272" max="272" width="2.77734375" style="3008" bestFit="1" customWidth="1"/>
    <col min="273" max="511" width="8.77734375" style="3008"/>
    <col min="512" max="513" width="8.77734375" style="3008" customWidth="1"/>
    <col min="514" max="514" width="10.21875" style="3008" customWidth="1"/>
    <col min="515" max="515" width="2.21875" style="3008" customWidth="1"/>
    <col min="516" max="516" width="50.44140625" style="3008" customWidth="1"/>
    <col min="517" max="517" width="8.77734375" style="3008"/>
    <col min="518" max="518" width="2.109375" style="3008" customWidth="1"/>
    <col min="519" max="519" width="23.77734375" style="3008" customWidth="1"/>
    <col min="520" max="520" width="2.109375" style="3008" customWidth="1"/>
    <col min="521" max="521" width="23.77734375" style="3008" customWidth="1"/>
    <col min="522" max="522" width="2.109375" style="3008" customWidth="1"/>
    <col min="523" max="523" width="23.77734375" style="3008" customWidth="1"/>
    <col min="524" max="524" width="2.109375" style="3008" customWidth="1"/>
    <col min="525" max="525" width="23.77734375" style="3008" customWidth="1"/>
    <col min="526" max="526" width="2.109375" style="3008" customWidth="1"/>
    <col min="527" max="527" width="23.77734375" style="3008" customWidth="1"/>
    <col min="528" max="528" width="2.77734375" style="3008" bestFit="1" customWidth="1"/>
    <col min="529" max="767" width="8.77734375" style="3008"/>
    <col min="768" max="769" width="8.77734375" style="3008" customWidth="1"/>
    <col min="770" max="770" width="10.21875" style="3008" customWidth="1"/>
    <col min="771" max="771" width="2.21875" style="3008" customWidth="1"/>
    <col min="772" max="772" width="50.44140625" style="3008" customWidth="1"/>
    <col min="773" max="773" width="8.77734375" style="3008"/>
    <col min="774" max="774" width="2.109375" style="3008" customWidth="1"/>
    <col min="775" max="775" width="23.77734375" style="3008" customWidth="1"/>
    <col min="776" max="776" width="2.109375" style="3008" customWidth="1"/>
    <col min="777" max="777" width="23.77734375" style="3008" customWidth="1"/>
    <col min="778" max="778" width="2.109375" style="3008" customWidth="1"/>
    <col min="779" max="779" width="23.77734375" style="3008" customWidth="1"/>
    <col min="780" max="780" width="2.109375" style="3008" customWidth="1"/>
    <col min="781" max="781" width="23.77734375" style="3008" customWidth="1"/>
    <col min="782" max="782" width="2.109375" style="3008" customWidth="1"/>
    <col min="783" max="783" width="23.77734375" style="3008" customWidth="1"/>
    <col min="784" max="784" width="2.77734375" style="3008" bestFit="1" customWidth="1"/>
    <col min="785" max="1023" width="8.77734375" style="3008"/>
    <col min="1024" max="1025" width="8.77734375" style="3008" customWidth="1"/>
    <col min="1026" max="1026" width="10.21875" style="3008" customWidth="1"/>
    <col min="1027" max="1027" width="2.21875" style="3008" customWidth="1"/>
    <col min="1028" max="1028" width="50.44140625" style="3008" customWidth="1"/>
    <col min="1029" max="1029" width="8.77734375" style="3008"/>
    <col min="1030" max="1030" width="2.109375" style="3008" customWidth="1"/>
    <col min="1031" max="1031" width="23.77734375" style="3008" customWidth="1"/>
    <col min="1032" max="1032" width="2.109375" style="3008" customWidth="1"/>
    <col min="1033" max="1033" width="23.77734375" style="3008" customWidth="1"/>
    <col min="1034" max="1034" width="2.109375" style="3008" customWidth="1"/>
    <col min="1035" max="1035" width="23.77734375" style="3008" customWidth="1"/>
    <col min="1036" max="1036" width="2.109375" style="3008" customWidth="1"/>
    <col min="1037" max="1037" width="23.77734375" style="3008" customWidth="1"/>
    <col min="1038" max="1038" width="2.109375" style="3008" customWidth="1"/>
    <col min="1039" max="1039" width="23.77734375" style="3008" customWidth="1"/>
    <col min="1040" max="1040" width="2.77734375" style="3008" bestFit="1" customWidth="1"/>
    <col min="1041" max="1279" width="8.77734375" style="3008"/>
    <col min="1280" max="1281" width="8.77734375" style="3008" customWidth="1"/>
    <col min="1282" max="1282" width="10.21875" style="3008" customWidth="1"/>
    <col min="1283" max="1283" width="2.21875" style="3008" customWidth="1"/>
    <col min="1284" max="1284" width="50.44140625" style="3008" customWidth="1"/>
    <col min="1285" max="1285" width="8.77734375" style="3008"/>
    <col min="1286" max="1286" width="2.109375" style="3008" customWidth="1"/>
    <col min="1287" max="1287" width="23.77734375" style="3008" customWidth="1"/>
    <col min="1288" max="1288" width="2.109375" style="3008" customWidth="1"/>
    <col min="1289" max="1289" width="23.77734375" style="3008" customWidth="1"/>
    <col min="1290" max="1290" width="2.109375" style="3008" customWidth="1"/>
    <col min="1291" max="1291" width="23.77734375" style="3008" customWidth="1"/>
    <col min="1292" max="1292" width="2.109375" style="3008" customWidth="1"/>
    <col min="1293" max="1293" width="23.77734375" style="3008" customWidth="1"/>
    <col min="1294" max="1294" width="2.109375" style="3008" customWidth="1"/>
    <col min="1295" max="1295" width="23.77734375" style="3008" customWidth="1"/>
    <col min="1296" max="1296" width="2.77734375" style="3008" bestFit="1" customWidth="1"/>
    <col min="1297" max="1535" width="8.77734375" style="3008"/>
    <col min="1536" max="1537" width="8.77734375" style="3008" customWidth="1"/>
    <col min="1538" max="1538" width="10.21875" style="3008" customWidth="1"/>
    <col min="1539" max="1539" width="2.21875" style="3008" customWidth="1"/>
    <col min="1540" max="1540" width="50.44140625" style="3008" customWidth="1"/>
    <col min="1541" max="1541" width="8.77734375" style="3008"/>
    <col min="1542" max="1542" width="2.109375" style="3008" customWidth="1"/>
    <col min="1543" max="1543" width="23.77734375" style="3008" customWidth="1"/>
    <col min="1544" max="1544" width="2.109375" style="3008" customWidth="1"/>
    <col min="1545" max="1545" width="23.77734375" style="3008" customWidth="1"/>
    <col min="1546" max="1546" width="2.109375" style="3008" customWidth="1"/>
    <col min="1547" max="1547" width="23.77734375" style="3008" customWidth="1"/>
    <col min="1548" max="1548" width="2.109375" style="3008" customWidth="1"/>
    <col min="1549" max="1549" width="23.77734375" style="3008" customWidth="1"/>
    <col min="1550" max="1550" width="2.109375" style="3008" customWidth="1"/>
    <col min="1551" max="1551" width="23.77734375" style="3008" customWidth="1"/>
    <col min="1552" max="1552" width="2.77734375" style="3008" bestFit="1" customWidth="1"/>
    <col min="1553" max="1791" width="8.77734375" style="3008"/>
    <col min="1792" max="1793" width="8.77734375" style="3008" customWidth="1"/>
    <col min="1794" max="1794" width="10.21875" style="3008" customWidth="1"/>
    <col min="1795" max="1795" width="2.21875" style="3008" customWidth="1"/>
    <col min="1796" max="1796" width="50.44140625" style="3008" customWidth="1"/>
    <col min="1797" max="1797" width="8.77734375" style="3008"/>
    <col min="1798" max="1798" width="2.109375" style="3008" customWidth="1"/>
    <col min="1799" max="1799" width="23.77734375" style="3008" customWidth="1"/>
    <col min="1800" max="1800" width="2.109375" style="3008" customWidth="1"/>
    <col min="1801" max="1801" width="23.77734375" style="3008" customWidth="1"/>
    <col min="1802" max="1802" width="2.109375" style="3008" customWidth="1"/>
    <col min="1803" max="1803" width="23.77734375" style="3008" customWidth="1"/>
    <col min="1804" max="1804" width="2.109375" style="3008" customWidth="1"/>
    <col min="1805" max="1805" width="23.77734375" style="3008" customWidth="1"/>
    <col min="1806" max="1806" width="2.109375" style="3008" customWidth="1"/>
    <col min="1807" max="1807" width="23.77734375" style="3008" customWidth="1"/>
    <col min="1808" max="1808" width="2.77734375" style="3008" bestFit="1" customWidth="1"/>
    <col min="1809" max="2047" width="8.77734375" style="3008"/>
    <col min="2048" max="2049" width="8.77734375" style="3008" customWidth="1"/>
    <col min="2050" max="2050" width="10.21875" style="3008" customWidth="1"/>
    <col min="2051" max="2051" width="2.21875" style="3008" customWidth="1"/>
    <col min="2052" max="2052" width="50.44140625" style="3008" customWidth="1"/>
    <col min="2053" max="2053" width="8.77734375" style="3008"/>
    <col min="2054" max="2054" width="2.109375" style="3008" customWidth="1"/>
    <col min="2055" max="2055" width="23.77734375" style="3008" customWidth="1"/>
    <col min="2056" max="2056" width="2.109375" style="3008" customWidth="1"/>
    <col min="2057" max="2057" width="23.77734375" style="3008" customWidth="1"/>
    <col min="2058" max="2058" width="2.109375" style="3008" customWidth="1"/>
    <col min="2059" max="2059" width="23.77734375" style="3008" customWidth="1"/>
    <col min="2060" max="2060" width="2.109375" style="3008" customWidth="1"/>
    <col min="2061" max="2061" width="23.77734375" style="3008" customWidth="1"/>
    <col min="2062" max="2062" width="2.109375" style="3008" customWidth="1"/>
    <col min="2063" max="2063" width="23.77734375" style="3008" customWidth="1"/>
    <col min="2064" max="2064" width="2.77734375" style="3008" bestFit="1" customWidth="1"/>
    <col min="2065" max="2303" width="8.77734375" style="3008"/>
    <col min="2304" max="2305" width="8.77734375" style="3008" customWidth="1"/>
    <col min="2306" max="2306" width="10.21875" style="3008" customWidth="1"/>
    <col min="2307" max="2307" width="2.21875" style="3008" customWidth="1"/>
    <col min="2308" max="2308" width="50.44140625" style="3008" customWidth="1"/>
    <col min="2309" max="2309" width="8.77734375" style="3008"/>
    <col min="2310" max="2310" width="2.109375" style="3008" customWidth="1"/>
    <col min="2311" max="2311" width="23.77734375" style="3008" customWidth="1"/>
    <col min="2312" max="2312" width="2.109375" style="3008" customWidth="1"/>
    <col min="2313" max="2313" width="23.77734375" style="3008" customWidth="1"/>
    <col min="2314" max="2314" width="2.109375" style="3008" customWidth="1"/>
    <col min="2315" max="2315" width="23.77734375" style="3008" customWidth="1"/>
    <col min="2316" max="2316" width="2.109375" style="3008" customWidth="1"/>
    <col min="2317" max="2317" width="23.77734375" style="3008" customWidth="1"/>
    <col min="2318" max="2318" width="2.109375" style="3008" customWidth="1"/>
    <col min="2319" max="2319" width="23.77734375" style="3008" customWidth="1"/>
    <col min="2320" max="2320" width="2.77734375" style="3008" bestFit="1" customWidth="1"/>
    <col min="2321" max="2559" width="8.77734375" style="3008"/>
    <col min="2560" max="2561" width="8.77734375" style="3008" customWidth="1"/>
    <col min="2562" max="2562" width="10.21875" style="3008" customWidth="1"/>
    <col min="2563" max="2563" width="2.21875" style="3008" customWidth="1"/>
    <col min="2564" max="2564" width="50.44140625" style="3008" customWidth="1"/>
    <col min="2565" max="2565" width="8.77734375" style="3008"/>
    <col min="2566" max="2566" width="2.109375" style="3008" customWidth="1"/>
    <col min="2567" max="2567" width="23.77734375" style="3008" customWidth="1"/>
    <col min="2568" max="2568" width="2.109375" style="3008" customWidth="1"/>
    <col min="2569" max="2569" width="23.77734375" style="3008" customWidth="1"/>
    <col min="2570" max="2570" width="2.109375" style="3008" customWidth="1"/>
    <col min="2571" max="2571" width="23.77734375" style="3008" customWidth="1"/>
    <col min="2572" max="2572" width="2.109375" style="3008" customWidth="1"/>
    <col min="2573" max="2573" width="23.77734375" style="3008" customWidth="1"/>
    <col min="2574" max="2574" width="2.109375" style="3008" customWidth="1"/>
    <col min="2575" max="2575" width="23.77734375" style="3008" customWidth="1"/>
    <col min="2576" max="2576" width="2.77734375" style="3008" bestFit="1" customWidth="1"/>
    <col min="2577" max="2815" width="8.77734375" style="3008"/>
    <col min="2816" max="2817" width="8.77734375" style="3008" customWidth="1"/>
    <col min="2818" max="2818" width="10.21875" style="3008" customWidth="1"/>
    <col min="2819" max="2819" width="2.21875" style="3008" customWidth="1"/>
    <col min="2820" max="2820" width="50.44140625" style="3008" customWidth="1"/>
    <col min="2821" max="2821" width="8.77734375" style="3008"/>
    <col min="2822" max="2822" width="2.109375" style="3008" customWidth="1"/>
    <col min="2823" max="2823" width="23.77734375" style="3008" customWidth="1"/>
    <col min="2824" max="2824" width="2.109375" style="3008" customWidth="1"/>
    <col min="2825" max="2825" width="23.77734375" style="3008" customWidth="1"/>
    <col min="2826" max="2826" width="2.109375" style="3008" customWidth="1"/>
    <col min="2827" max="2827" width="23.77734375" style="3008" customWidth="1"/>
    <col min="2828" max="2828" width="2.109375" style="3008" customWidth="1"/>
    <col min="2829" max="2829" width="23.77734375" style="3008" customWidth="1"/>
    <col min="2830" max="2830" width="2.109375" style="3008" customWidth="1"/>
    <col min="2831" max="2831" width="23.77734375" style="3008" customWidth="1"/>
    <col min="2832" max="2832" width="2.77734375" style="3008" bestFit="1" customWidth="1"/>
    <col min="2833" max="3071" width="8.77734375" style="3008"/>
    <col min="3072" max="3073" width="8.77734375" style="3008" customWidth="1"/>
    <col min="3074" max="3074" width="10.21875" style="3008" customWidth="1"/>
    <col min="3075" max="3075" width="2.21875" style="3008" customWidth="1"/>
    <col min="3076" max="3076" width="50.44140625" style="3008" customWidth="1"/>
    <col min="3077" max="3077" width="8.77734375" style="3008"/>
    <col min="3078" max="3078" width="2.109375" style="3008" customWidth="1"/>
    <col min="3079" max="3079" width="23.77734375" style="3008" customWidth="1"/>
    <col min="3080" max="3080" width="2.109375" style="3008" customWidth="1"/>
    <col min="3081" max="3081" width="23.77734375" style="3008" customWidth="1"/>
    <col min="3082" max="3082" width="2.109375" style="3008" customWidth="1"/>
    <col min="3083" max="3083" width="23.77734375" style="3008" customWidth="1"/>
    <col min="3084" max="3084" width="2.109375" style="3008" customWidth="1"/>
    <col min="3085" max="3085" width="23.77734375" style="3008" customWidth="1"/>
    <col min="3086" max="3086" width="2.109375" style="3008" customWidth="1"/>
    <col min="3087" max="3087" width="23.77734375" style="3008" customWidth="1"/>
    <col min="3088" max="3088" width="2.77734375" style="3008" bestFit="1" customWidth="1"/>
    <col min="3089" max="3327" width="8.77734375" style="3008"/>
    <col min="3328" max="3329" width="8.77734375" style="3008" customWidth="1"/>
    <col min="3330" max="3330" width="10.21875" style="3008" customWidth="1"/>
    <col min="3331" max="3331" width="2.21875" style="3008" customWidth="1"/>
    <col min="3332" max="3332" width="50.44140625" style="3008" customWidth="1"/>
    <col min="3333" max="3333" width="8.77734375" style="3008"/>
    <col min="3334" max="3334" width="2.109375" style="3008" customWidth="1"/>
    <col min="3335" max="3335" width="23.77734375" style="3008" customWidth="1"/>
    <col min="3336" max="3336" width="2.109375" style="3008" customWidth="1"/>
    <col min="3337" max="3337" width="23.77734375" style="3008" customWidth="1"/>
    <col min="3338" max="3338" width="2.109375" style="3008" customWidth="1"/>
    <col min="3339" max="3339" width="23.77734375" style="3008" customWidth="1"/>
    <col min="3340" max="3340" width="2.109375" style="3008" customWidth="1"/>
    <col min="3341" max="3341" width="23.77734375" style="3008" customWidth="1"/>
    <col min="3342" max="3342" width="2.109375" style="3008" customWidth="1"/>
    <col min="3343" max="3343" width="23.77734375" style="3008" customWidth="1"/>
    <col min="3344" max="3344" width="2.77734375" style="3008" bestFit="1" customWidth="1"/>
    <col min="3345" max="3583" width="8.77734375" style="3008"/>
    <col min="3584" max="3585" width="8.77734375" style="3008" customWidth="1"/>
    <col min="3586" max="3586" width="10.21875" style="3008" customWidth="1"/>
    <col min="3587" max="3587" width="2.21875" style="3008" customWidth="1"/>
    <col min="3588" max="3588" width="50.44140625" style="3008" customWidth="1"/>
    <col min="3589" max="3589" width="8.77734375" style="3008"/>
    <col min="3590" max="3590" width="2.109375" style="3008" customWidth="1"/>
    <col min="3591" max="3591" width="23.77734375" style="3008" customWidth="1"/>
    <col min="3592" max="3592" width="2.109375" style="3008" customWidth="1"/>
    <col min="3593" max="3593" width="23.77734375" style="3008" customWidth="1"/>
    <col min="3594" max="3594" width="2.109375" style="3008" customWidth="1"/>
    <col min="3595" max="3595" width="23.77734375" style="3008" customWidth="1"/>
    <col min="3596" max="3596" width="2.109375" style="3008" customWidth="1"/>
    <col min="3597" max="3597" width="23.77734375" style="3008" customWidth="1"/>
    <col min="3598" max="3598" width="2.109375" style="3008" customWidth="1"/>
    <col min="3599" max="3599" width="23.77734375" style="3008" customWidth="1"/>
    <col min="3600" max="3600" width="2.77734375" style="3008" bestFit="1" customWidth="1"/>
    <col min="3601" max="3839" width="8.77734375" style="3008"/>
    <col min="3840" max="3841" width="8.77734375" style="3008" customWidth="1"/>
    <col min="3842" max="3842" width="10.21875" style="3008" customWidth="1"/>
    <col min="3843" max="3843" width="2.21875" style="3008" customWidth="1"/>
    <col min="3844" max="3844" width="50.44140625" style="3008" customWidth="1"/>
    <col min="3845" max="3845" width="8.77734375" style="3008"/>
    <col min="3846" max="3846" width="2.109375" style="3008" customWidth="1"/>
    <col min="3847" max="3847" width="23.77734375" style="3008" customWidth="1"/>
    <col min="3848" max="3848" width="2.109375" style="3008" customWidth="1"/>
    <col min="3849" max="3849" width="23.77734375" style="3008" customWidth="1"/>
    <col min="3850" max="3850" width="2.109375" style="3008" customWidth="1"/>
    <col min="3851" max="3851" width="23.77734375" style="3008" customWidth="1"/>
    <col min="3852" max="3852" width="2.109375" style="3008" customWidth="1"/>
    <col min="3853" max="3853" width="23.77734375" style="3008" customWidth="1"/>
    <col min="3854" max="3854" width="2.109375" style="3008" customWidth="1"/>
    <col min="3855" max="3855" width="23.77734375" style="3008" customWidth="1"/>
    <col min="3856" max="3856" width="2.77734375" style="3008" bestFit="1" customWidth="1"/>
    <col min="3857" max="4095" width="8.77734375" style="3008"/>
    <col min="4096" max="4097" width="8.77734375" style="3008" customWidth="1"/>
    <col min="4098" max="4098" width="10.21875" style="3008" customWidth="1"/>
    <col min="4099" max="4099" width="2.21875" style="3008" customWidth="1"/>
    <col min="4100" max="4100" width="50.44140625" style="3008" customWidth="1"/>
    <col min="4101" max="4101" width="8.77734375" style="3008"/>
    <col min="4102" max="4102" width="2.109375" style="3008" customWidth="1"/>
    <col min="4103" max="4103" width="23.77734375" style="3008" customWidth="1"/>
    <col min="4104" max="4104" width="2.109375" style="3008" customWidth="1"/>
    <col min="4105" max="4105" width="23.77734375" style="3008" customWidth="1"/>
    <col min="4106" max="4106" width="2.109375" style="3008" customWidth="1"/>
    <col min="4107" max="4107" width="23.77734375" style="3008" customWidth="1"/>
    <col min="4108" max="4108" width="2.109375" style="3008" customWidth="1"/>
    <col min="4109" max="4109" width="23.77734375" style="3008" customWidth="1"/>
    <col min="4110" max="4110" width="2.109375" style="3008" customWidth="1"/>
    <col min="4111" max="4111" width="23.77734375" style="3008" customWidth="1"/>
    <col min="4112" max="4112" width="2.77734375" style="3008" bestFit="1" customWidth="1"/>
    <col min="4113" max="4351" width="8.77734375" style="3008"/>
    <col min="4352" max="4353" width="8.77734375" style="3008" customWidth="1"/>
    <col min="4354" max="4354" width="10.21875" style="3008" customWidth="1"/>
    <col min="4355" max="4355" width="2.21875" style="3008" customWidth="1"/>
    <col min="4356" max="4356" width="50.44140625" style="3008" customWidth="1"/>
    <col min="4357" max="4357" width="8.77734375" style="3008"/>
    <col min="4358" max="4358" width="2.109375" style="3008" customWidth="1"/>
    <col min="4359" max="4359" width="23.77734375" style="3008" customWidth="1"/>
    <col min="4360" max="4360" width="2.109375" style="3008" customWidth="1"/>
    <col min="4361" max="4361" width="23.77734375" style="3008" customWidth="1"/>
    <col min="4362" max="4362" width="2.109375" style="3008" customWidth="1"/>
    <col min="4363" max="4363" width="23.77734375" style="3008" customWidth="1"/>
    <col min="4364" max="4364" width="2.109375" style="3008" customWidth="1"/>
    <col min="4365" max="4365" width="23.77734375" style="3008" customWidth="1"/>
    <col min="4366" max="4366" width="2.109375" style="3008" customWidth="1"/>
    <col min="4367" max="4367" width="23.77734375" style="3008" customWidth="1"/>
    <col min="4368" max="4368" width="2.77734375" style="3008" bestFit="1" customWidth="1"/>
    <col min="4369" max="4607" width="8.77734375" style="3008"/>
    <col min="4608" max="4609" width="8.77734375" style="3008" customWidth="1"/>
    <col min="4610" max="4610" width="10.21875" style="3008" customWidth="1"/>
    <col min="4611" max="4611" width="2.21875" style="3008" customWidth="1"/>
    <col min="4612" max="4612" width="50.44140625" style="3008" customWidth="1"/>
    <col min="4613" max="4613" width="8.77734375" style="3008"/>
    <col min="4614" max="4614" width="2.109375" style="3008" customWidth="1"/>
    <col min="4615" max="4615" width="23.77734375" style="3008" customWidth="1"/>
    <col min="4616" max="4616" width="2.109375" style="3008" customWidth="1"/>
    <col min="4617" max="4617" width="23.77734375" style="3008" customWidth="1"/>
    <col min="4618" max="4618" width="2.109375" style="3008" customWidth="1"/>
    <col min="4619" max="4619" width="23.77734375" style="3008" customWidth="1"/>
    <col min="4620" max="4620" width="2.109375" style="3008" customWidth="1"/>
    <col min="4621" max="4621" width="23.77734375" style="3008" customWidth="1"/>
    <col min="4622" max="4622" width="2.109375" style="3008" customWidth="1"/>
    <col min="4623" max="4623" width="23.77734375" style="3008" customWidth="1"/>
    <col min="4624" max="4624" width="2.77734375" style="3008" bestFit="1" customWidth="1"/>
    <col min="4625" max="4863" width="8.77734375" style="3008"/>
    <col min="4864" max="4865" width="8.77734375" style="3008" customWidth="1"/>
    <col min="4866" max="4866" width="10.21875" style="3008" customWidth="1"/>
    <col min="4867" max="4867" width="2.21875" style="3008" customWidth="1"/>
    <col min="4868" max="4868" width="50.44140625" style="3008" customWidth="1"/>
    <col min="4869" max="4869" width="8.77734375" style="3008"/>
    <col min="4870" max="4870" width="2.109375" style="3008" customWidth="1"/>
    <col min="4871" max="4871" width="23.77734375" style="3008" customWidth="1"/>
    <col min="4872" max="4872" width="2.109375" style="3008" customWidth="1"/>
    <col min="4873" max="4873" width="23.77734375" style="3008" customWidth="1"/>
    <col min="4874" max="4874" width="2.109375" style="3008" customWidth="1"/>
    <col min="4875" max="4875" width="23.77734375" style="3008" customWidth="1"/>
    <col min="4876" max="4876" width="2.109375" style="3008" customWidth="1"/>
    <col min="4877" max="4877" width="23.77734375" style="3008" customWidth="1"/>
    <col min="4878" max="4878" width="2.109375" style="3008" customWidth="1"/>
    <col min="4879" max="4879" width="23.77734375" style="3008" customWidth="1"/>
    <col min="4880" max="4880" width="2.77734375" style="3008" bestFit="1" customWidth="1"/>
    <col min="4881" max="5119" width="8.77734375" style="3008"/>
    <col min="5120" max="5121" width="8.77734375" style="3008" customWidth="1"/>
    <col min="5122" max="5122" width="10.21875" style="3008" customWidth="1"/>
    <col min="5123" max="5123" width="2.21875" style="3008" customWidth="1"/>
    <col min="5124" max="5124" width="50.44140625" style="3008" customWidth="1"/>
    <col min="5125" max="5125" width="8.77734375" style="3008"/>
    <col min="5126" max="5126" width="2.109375" style="3008" customWidth="1"/>
    <col min="5127" max="5127" width="23.77734375" style="3008" customWidth="1"/>
    <col min="5128" max="5128" width="2.109375" style="3008" customWidth="1"/>
    <col min="5129" max="5129" width="23.77734375" style="3008" customWidth="1"/>
    <col min="5130" max="5130" width="2.109375" style="3008" customWidth="1"/>
    <col min="5131" max="5131" width="23.77734375" style="3008" customWidth="1"/>
    <col min="5132" max="5132" width="2.109375" style="3008" customWidth="1"/>
    <col min="5133" max="5133" width="23.77734375" style="3008" customWidth="1"/>
    <col min="5134" max="5134" width="2.109375" style="3008" customWidth="1"/>
    <col min="5135" max="5135" width="23.77734375" style="3008" customWidth="1"/>
    <col min="5136" max="5136" width="2.77734375" style="3008" bestFit="1" customWidth="1"/>
    <col min="5137" max="5375" width="8.77734375" style="3008"/>
    <col min="5376" max="5377" width="8.77734375" style="3008" customWidth="1"/>
    <col min="5378" max="5378" width="10.21875" style="3008" customWidth="1"/>
    <col min="5379" max="5379" width="2.21875" style="3008" customWidth="1"/>
    <col min="5380" max="5380" width="50.44140625" style="3008" customWidth="1"/>
    <col min="5381" max="5381" width="8.77734375" style="3008"/>
    <col min="5382" max="5382" width="2.109375" style="3008" customWidth="1"/>
    <col min="5383" max="5383" width="23.77734375" style="3008" customWidth="1"/>
    <col min="5384" max="5384" width="2.109375" style="3008" customWidth="1"/>
    <col min="5385" max="5385" width="23.77734375" style="3008" customWidth="1"/>
    <col min="5386" max="5386" width="2.109375" style="3008" customWidth="1"/>
    <col min="5387" max="5387" width="23.77734375" style="3008" customWidth="1"/>
    <col min="5388" max="5388" width="2.109375" style="3008" customWidth="1"/>
    <col min="5389" max="5389" width="23.77734375" style="3008" customWidth="1"/>
    <col min="5390" max="5390" width="2.109375" style="3008" customWidth="1"/>
    <col min="5391" max="5391" width="23.77734375" style="3008" customWidth="1"/>
    <col min="5392" max="5392" width="2.77734375" style="3008" bestFit="1" customWidth="1"/>
    <col min="5393" max="5631" width="8.77734375" style="3008"/>
    <col min="5632" max="5633" width="8.77734375" style="3008" customWidth="1"/>
    <col min="5634" max="5634" width="10.21875" style="3008" customWidth="1"/>
    <col min="5635" max="5635" width="2.21875" style="3008" customWidth="1"/>
    <col min="5636" max="5636" width="50.44140625" style="3008" customWidth="1"/>
    <col min="5637" max="5637" width="8.77734375" style="3008"/>
    <col min="5638" max="5638" width="2.109375" style="3008" customWidth="1"/>
    <col min="5639" max="5639" width="23.77734375" style="3008" customWidth="1"/>
    <col min="5640" max="5640" width="2.109375" style="3008" customWidth="1"/>
    <col min="5641" max="5641" width="23.77734375" style="3008" customWidth="1"/>
    <col min="5642" max="5642" width="2.109375" style="3008" customWidth="1"/>
    <col min="5643" max="5643" width="23.77734375" style="3008" customWidth="1"/>
    <col min="5644" max="5644" width="2.109375" style="3008" customWidth="1"/>
    <col min="5645" max="5645" width="23.77734375" style="3008" customWidth="1"/>
    <col min="5646" max="5646" width="2.109375" style="3008" customWidth="1"/>
    <col min="5647" max="5647" width="23.77734375" style="3008" customWidth="1"/>
    <col min="5648" max="5648" width="2.77734375" style="3008" bestFit="1" customWidth="1"/>
    <col min="5649" max="5887" width="8.77734375" style="3008"/>
    <col min="5888" max="5889" width="8.77734375" style="3008" customWidth="1"/>
    <col min="5890" max="5890" width="10.21875" style="3008" customWidth="1"/>
    <col min="5891" max="5891" width="2.21875" style="3008" customWidth="1"/>
    <col min="5892" max="5892" width="50.44140625" style="3008" customWidth="1"/>
    <col min="5893" max="5893" width="8.77734375" style="3008"/>
    <col min="5894" max="5894" width="2.109375" style="3008" customWidth="1"/>
    <col min="5895" max="5895" width="23.77734375" style="3008" customWidth="1"/>
    <col min="5896" max="5896" width="2.109375" style="3008" customWidth="1"/>
    <col min="5897" max="5897" width="23.77734375" style="3008" customWidth="1"/>
    <col min="5898" max="5898" width="2.109375" style="3008" customWidth="1"/>
    <col min="5899" max="5899" width="23.77734375" style="3008" customWidth="1"/>
    <col min="5900" max="5900" width="2.109375" style="3008" customWidth="1"/>
    <col min="5901" max="5901" width="23.77734375" style="3008" customWidth="1"/>
    <col min="5902" max="5902" width="2.109375" style="3008" customWidth="1"/>
    <col min="5903" max="5903" width="23.77734375" style="3008" customWidth="1"/>
    <col min="5904" max="5904" width="2.77734375" style="3008" bestFit="1" customWidth="1"/>
    <col min="5905" max="6143" width="8.77734375" style="3008"/>
    <col min="6144" max="6145" width="8.77734375" style="3008" customWidth="1"/>
    <col min="6146" max="6146" width="10.21875" style="3008" customWidth="1"/>
    <col min="6147" max="6147" width="2.21875" style="3008" customWidth="1"/>
    <col min="6148" max="6148" width="50.44140625" style="3008" customWidth="1"/>
    <col min="6149" max="6149" width="8.77734375" style="3008"/>
    <col min="6150" max="6150" width="2.109375" style="3008" customWidth="1"/>
    <col min="6151" max="6151" width="23.77734375" style="3008" customWidth="1"/>
    <col min="6152" max="6152" width="2.109375" style="3008" customWidth="1"/>
    <col min="6153" max="6153" width="23.77734375" style="3008" customWidth="1"/>
    <col min="6154" max="6154" width="2.109375" style="3008" customWidth="1"/>
    <col min="6155" max="6155" width="23.77734375" style="3008" customWidth="1"/>
    <col min="6156" max="6156" width="2.109375" style="3008" customWidth="1"/>
    <col min="6157" max="6157" width="23.77734375" style="3008" customWidth="1"/>
    <col min="6158" max="6158" width="2.109375" style="3008" customWidth="1"/>
    <col min="6159" max="6159" width="23.77734375" style="3008" customWidth="1"/>
    <col min="6160" max="6160" width="2.77734375" style="3008" bestFit="1" customWidth="1"/>
    <col min="6161" max="6399" width="8.77734375" style="3008"/>
    <col min="6400" max="6401" width="8.77734375" style="3008" customWidth="1"/>
    <col min="6402" max="6402" width="10.21875" style="3008" customWidth="1"/>
    <col min="6403" max="6403" width="2.21875" style="3008" customWidth="1"/>
    <col min="6404" max="6404" width="50.44140625" style="3008" customWidth="1"/>
    <col min="6405" max="6405" width="8.77734375" style="3008"/>
    <col min="6406" max="6406" width="2.109375" style="3008" customWidth="1"/>
    <col min="6407" max="6407" width="23.77734375" style="3008" customWidth="1"/>
    <col min="6408" max="6408" width="2.109375" style="3008" customWidth="1"/>
    <col min="6409" max="6409" width="23.77734375" style="3008" customWidth="1"/>
    <col min="6410" max="6410" width="2.109375" style="3008" customWidth="1"/>
    <col min="6411" max="6411" width="23.77734375" style="3008" customWidth="1"/>
    <col min="6412" max="6412" width="2.109375" style="3008" customWidth="1"/>
    <col min="6413" max="6413" width="23.77734375" style="3008" customWidth="1"/>
    <col min="6414" max="6414" width="2.109375" style="3008" customWidth="1"/>
    <col min="6415" max="6415" width="23.77734375" style="3008" customWidth="1"/>
    <col min="6416" max="6416" width="2.77734375" style="3008" bestFit="1" customWidth="1"/>
    <col min="6417" max="6655" width="8.77734375" style="3008"/>
    <col min="6656" max="6657" width="8.77734375" style="3008" customWidth="1"/>
    <col min="6658" max="6658" width="10.21875" style="3008" customWidth="1"/>
    <col min="6659" max="6659" width="2.21875" style="3008" customWidth="1"/>
    <col min="6660" max="6660" width="50.44140625" style="3008" customWidth="1"/>
    <col min="6661" max="6661" width="8.77734375" style="3008"/>
    <col min="6662" max="6662" width="2.109375" style="3008" customWidth="1"/>
    <col min="6663" max="6663" width="23.77734375" style="3008" customWidth="1"/>
    <col min="6664" max="6664" width="2.109375" style="3008" customWidth="1"/>
    <col min="6665" max="6665" width="23.77734375" style="3008" customWidth="1"/>
    <col min="6666" max="6666" width="2.109375" style="3008" customWidth="1"/>
    <col min="6667" max="6667" width="23.77734375" style="3008" customWidth="1"/>
    <col min="6668" max="6668" width="2.109375" style="3008" customWidth="1"/>
    <col min="6669" max="6669" width="23.77734375" style="3008" customWidth="1"/>
    <col min="6670" max="6670" width="2.109375" style="3008" customWidth="1"/>
    <col min="6671" max="6671" width="23.77734375" style="3008" customWidth="1"/>
    <col min="6672" max="6672" width="2.77734375" style="3008" bestFit="1" customWidth="1"/>
    <col min="6673" max="6911" width="8.77734375" style="3008"/>
    <col min="6912" max="6913" width="8.77734375" style="3008" customWidth="1"/>
    <col min="6914" max="6914" width="10.21875" style="3008" customWidth="1"/>
    <col min="6915" max="6915" width="2.21875" style="3008" customWidth="1"/>
    <col min="6916" max="6916" width="50.44140625" style="3008" customWidth="1"/>
    <col min="6917" max="6917" width="8.77734375" style="3008"/>
    <col min="6918" max="6918" width="2.109375" style="3008" customWidth="1"/>
    <col min="6919" max="6919" width="23.77734375" style="3008" customWidth="1"/>
    <col min="6920" max="6920" width="2.109375" style="3008" customWidth="1"/>
    <col min="6921" max="6921" width="23.77734375" style="3008" customWidth="1"/>
    <col min="6922" max="6922" width="2.109375" style="3008" customWidth="1"/>
    <col min="6923" max="6923" width="23.77734375" style="3008" customWidth="1"/>
    <col min="6924" max="6924" width="2.109375" style="3008" customWidth="1"/>
    <col min="6925" max="6925" width="23.77734375" style="3008" customWidth="1"/>
    <col min="6926" max="6926" width="2.109375" style="3008" customWidth="1"/>
    <col min="6927" max="6927" width="23.77734375" style="3008" customWidth="1"/>
    <col min="6928" max="6928" width="2.77734375" style="3008" bestFit="1" customWidth="1"/>
    <col min="6929" max="7167" width="8.77734375" style="3008"/>
    <col min="7168" max="7169" width="8.77734375" style="3008" customWidth="1"/>
    <col min="7170" max="7170" width="10.21875" style="3008" customWidth="1"/>
    <col min="7171" max="7171" width="2.21875" style="3008" customWidth="1"/>
    <col min="7172" max="7172" width="50.44140625" style="3008" customWidth="1"/>
    <col min="7173" max="7173" width="8.77734375" style="3008"/>
    <col min="7174" max="7174" width="2.109375" style="3008" customWidth="1"/>
    <col min="7175" max="7175" width="23.77734375" style="3008" customWidth="1"/>
    <col min="7176" max="7176" width="2.109375" style="3008" customWidth="1"/>
    <col min="7177" max="7177" width="23.77734375" style="3008" customWidth="1"/>
    <col min="7178" max="7178" width="2.109375" style="3008" customWidth="1"/>
    <col min="7179" max="7179" width="23.77734375" style="3008" customWidth="1"/>
    <col min="7180" max="7180" width="2.109375" style="3008" customWidth="1"/>
    <col min="7181" max="7181" width="23.77734375" style="3008" customWidth="1"/>
    <col min="7182" max="7182" width="2.109375" style="3008" customWidth="1"/>
    <col min="7183" max="7183" width="23.77734375" style="3008" customWidth="1"/>
    <col min="7184" max="7184" width="2.77734375" style="3008" bestFit="1" customWidth="1"/>
    <col min="7185" max="7423" width="8.77734375" style="3008"/>
    <col min="7424" max="7425" width="8.77734375" style="3008" customWidth="1"/>
    <col min="7426" max="7426" width="10.21875" style="3008" customWidth="1"/>
    <col min="7427" max="7427" width="2.21875" style="3008" customWidth="1"/>
    <col min="7428" max="7428" width="50.44140625" style="3008" customWidth="1"/>
    <col min="7429" max="7429" width="8.77734375" style="3008"/>
    <col min="7430" max="7430" width="2.109375" style="3008" customWidth="1"/>
    <col min="7431" max="7431" width="23.77734375" style="3008" customWidth="1"/>
    <col min="7432" max="7432" width="2.109375" style="3008" customWidth="1"/>
    <col min="7433" max="7433" width="23.77734375" style="3008" customWidth="1"/>
    <col min="7434" max="7434" width="2.109375" style="3008" customWidth="1"/>
    <col min="7435" max="7435" width="23.77734375" style="3008" customWidth="1"/>
    <col min="7436" max="7436" width="2.109375" style="3008" customWidth="1"/>
    <col min="7437" max="7437" width="23.77734375" style="3008" customWidth="1"/>
    <col min="7438" max="7438" width="2.109375" style="3008" customWidth="1"/>
    <col min="7439" max="7439" width="23.77734375" style="3008" customWidth="1"/>
    <col min="7440" max="7440" width="2.77734375" style="3008" bestFit="1" customWidth="1"/>
    <col min="7441" max="7679" width="8.77734375" style="3008"/>
    <col min="7680" max="7681" width="8.77734375" style="3008" customWidth="1"/>
    <col min="7682" max="7682" width="10.21875" style="3008" customWidth="1"/>
    <col min="7683" max="7683" width="2.21875" style="3008" customWidth="1"/>
    <col min="7684" max="7684" width="50.44140625" style="3008" customWidth="1"/>
    <col min="7685" max="7685" width="8.77734375" style="3008"/>
    <col min="7686" max="7686" width="2.109375" style="3008" customWidth="1"/>
    <col min="7687" max="7687" width="23.77734375" style="3008" customWidth="1"/>
    <col min="7688" max="7688" width="2.109375" style="3008" customWidth="1"/>
    <col min="7689" max="7689" width="23.77734375" style="3008" customWidth="1"/>
    <col min="7690" max="7690" width="2.109375" style="3008" customWidth="1"/>
    <col min="7691" max="7691" width="23.77734375" style="3008" customWidth="1"/>
    <col min="7692" max="7692" width="2.109375" style="3008" customWidth="1"/>
    <col min="7693" max="7693" width="23.77734375" style="3008" customWidth="1"/>
    <col min="7694" max="7694" width="2.109375" style="3008" customWidth="1"/>
    <col min="7695" max="7695" width="23.77734375" style="3008" customWidth="1"/>
    <col min="7696" max="7696" width="2.77734375" style="3008" bestFit="1" customWidth="1"/>
    <col min="7697" max="7935" width="8.77734375" style="3008"/>
    <col min="7936" max="7937" width="8.77734375" style="3008" customWidth="1"/>
    <col min="7938" max="7938" width="10.21875" style="3008" customWidth="1"/>
    <col min="7939" max="7939" width="2.21875" style="3008" customWidth="1"/>
    <col min="7940" max="7940" width="50.44140625" style="3008" customWidth="1"/>
    <col min="7941" max="7941" width="8.77734375" style="3008"/>
    <col min="7942" max="7942" width="2.109375" style="3008" customWidth="1"/>
    <col min="7943" max="7943" width="23.77734375" style="3008" customWidth="1"/>
    <col min="7944" max="7944" width="2.109375" style="3008" customWidth="1"/>
    <col min="7945" max="7945" width="23.77734375" style="3008" customWidth="1"/>
    <col min="7946" max="7946" width="2.109375" style="3008" customWidth="1"/>
    <col min="7947" max="7947" width="23.77734375" style="3008" customWidth="1"/>
    <col min="7948" max="7948" width="2.109375" style="3008" customWidth="1"/>
    <col min="7949" max="7949" width="23.77734375" style="3008" customWidth="1"/>
    <col min="7950" max="7950" width="2.109375" style="3008" customWidth="1"/>
    <col min="7951" max="7951" width="23.77734375" style="3008" customWidth="1"/>
    <col min="7952" max="7952" width="2.77734375" style="3008" bestFit="1" customWidth="1"/>
    <col min="7953" max="8191" width="8.77734375" style="3008"/>
    <col min="8192" max="8193" width="8.77734375" style="3008" customWidth="1"/>
    <col min="8194" max="8194" width="10.21875" style="3008" customWidth="1"/>
    <col min="8195" max="8195" width="2.21875" style="3008" customWidth="1"/>
    <col min="8196" max="8196" width="50.44140625" style="3008" customWidth="1"/>
    <col min="8197" max="8197" width="8.77734375" style="3008"/>
    <col min="8198" max="8198" width="2.109375" style="3008" customWidth="1"/>
    <col min="8199" max="8199" width="23.77734375" style="3008" customWidth="1"/>
    <col min="8200" max="8200" width="2.109375" style="3008" customWidth="1"/>
    <col min="8201" max="8201" width="23.77734375" style="3008" customWidth="1"/>
    <col min="8202" max="8202" width="2.109375" style="3008" customWidth="1"/>
    <col min="8203" max="8203" width="23.77734375" style="3008" customWidth="1"/>
    <col min="8204" max="8204" width="2.109375" style="3008" customWidth="1"/>
    <col min="8205" max="8205" width="23.77734375" style="3008" customWidth="1"/>
    <col min="8206" max="8206" width="2.109375" style="3008" customWidth="1"/>
    <col min="8207" max="8207" width="23.77734375" style="3008" customWidth="1"/>
    <col min="8208" max="8208" width="2.77734375" style="3008" bestFit="1" customWidth="1"/>
    <col min="8209" max="8447" width="8.77734375" style="3008"/>
    <col min="8448" max="8449" width="8.77734375" style="3008" customWidth="1"/>
    <col min="8450" max="8450" width="10.21875" style="3008" customWidth="1"/>
    <col min="8451" max="8451" width="2.21875" style="3008" customWidth="1"/>
    <col min="8452" max="8452" width="50.44140625" style="3008" customWidth="1"/>
    <col min="8453" max="8453" width="8.77734375" style="3008"/>
    <col min="8454" max="8454" width="2.109375" style="3008" customWidth="1"/>
    <col min="8455" max="8455" width="23.77734375" style="3008" customWidth="1"/>
    <col min="8456" max="8456" width="2.109375" style="3008" customWidth="1"/>
    <col min="8457" max="8457" width="23.77734375" style="3008" customWidth="1"/>
    <col min="8458" max="8458" width="2.109375" style="3008" customWidth="1"/>
    <col min="8459" max="8459" width="23.77734375" style="3008" customWidth="1"/>
    <col min="8460" max="8460" width="2.109375" style="3008" customWidth="1"/>
    <col min="8461" max="8461" width="23.77734375" style="3008" customWidth="1"/>
    <col min="8462" max="8462" width="2.109375" style="3008" customWidth="1"/>
    <col min="8463" max="8463" width="23.77734375" style="3008" customWidth="1"/>
    <col min="8464" max="8464" width="2.77734375" style="3008" bestFit="1" customWidth="1"/>
    <col min="8465" max="8703" width="8.77734375" style="3008"/>
    <col min="8704" max="8705" width="8.77734375" style="3008" customWidth="1"/>
    <col min="8706" max="8706" width="10.21875" style="3008" customWidth="1"/>
    <col min="8707" max="8707" width="2.21875" style="3008" customWidth="1"/>
    <col min="8708" max="8708" width="50.44140625" style="3008" customWidth="1"/>
    <col min="8709" max="8709" width="8.77734375" style="3008"/>
    <col min="8710" max="8710" width="2.109375" style="3008" customWidth="1"/>
    <col min="8711" max="8711" width="23.77734375" style="3008" customWidth="1"/>
    <col min="8712" max="8712" width="2.109375" style="3008" customWidth="1"/>
    <col min="8713" max="8713" width="23.77734375" style="3008" customWidth="1"/>
    <col min="8714" max="8714" width="2.109375" style="3008" customWidth="1"/>
    <col min="8715" max="8715" width="23.77734375" style="3008" customWidth="1"/>
    <col min="8716" max="8716" width="2.109375" style="3008" customWidth="1"/>
    <col min="8717" max="8717" width="23.77734375" style="3008" customWidth="1"/>
    <col min="8718" max="8718" width="2.109375" style="3008" customWidth="1"/>
    <col min="8719" max="8719" width="23.77734375" style="3008" customWidth="1"/>
    <col min="8720" max="8720" width="2.77734375" style="3008" bestFit="1" customWidth="1"/>
    <col min="8721" max="8959" width="8.77734375" style="3008"/>
    <col min="8960" max="8961" width="8.77734375" style="3008" customWidth="1"/>
    <col min="8962" max="8962" width="10.21875" style="3008" customWidth="1"/>
    <col min="8963" max="8963" width="2.21875" style="3008" customWidth="1"/>
    <col min="8964" max="8964" width="50.44140625" style="3008" customWidth="1"/>
    <col min="8965" max="8965" width="8.77734375" style="3008"/>
    <col min="8966" max="8966" width="2.109375" style="3008" customWidth="1"/>
    <col min="8967" max="8967" width="23.77734375" style="3008" customWidth="1"/>
    <col min="8968" max="8968" width="2.109375" style="3008" customWidth="1"/>
    <col min="8969" max="8969" width="23.77734375" style="3008" customWidth="1"/>
    <col min="8970" max="8970" width="2.109375" style="3008" customWidth="1"/>
    <col min="8971" max="8971" width="23.77734375" style="3008" customWidth="1"/>
    <col min="8972" max="8972" width="2.109375" style="3008" customWidth="1"/>
    <col min="8973" max="8973" width="23.77734375" style="3008" customWidth="1"/>
    <col min="8974" max="8974" width="2.109375" style="3008" customWidth="1"/>
    <col min="8975" max="8975" width="23.77734375" style="3008" customWidth="1"/>
    <col min="8976" max="8976" width="2.77734375" style="3008" bestFit="1" customWidth="1"/>
    <col min="8977" max="9215" width="8.77734375" style="3008"/>
    <col min="9216" max="9217" width="8.77734375" style="3008" customWidth="1"/>
    <col min="9218" max="9218" width="10.21875" style="3008" customWidth="1"/>
    <col min="9219" max="9219" width="2.21875" style="3008" customWidth="1"/>
    <col min="9220" max="9220" width="50.44140625" style="3008" customWidth="1"/>
    <col min="9221" max="9221" width="8.77734375" style="3008"/>
    <col min="9222" max="9222" width="2.109375" style="3008" customWidth="1"/>
    <col min="9223" max="9223" width="23.77734375" style="3008" customWidth="1"/>
    <col min="9224" max="9224" width="2.109375" style="3008" customWidth="1"/>
    <col min="9225" max="9225" width="23.77734375" style="3008" customWidth="1"/>
    <col min="9226" max="9226" width="2.109375" style="3008" customWidth="1"/>
    <col min="9227" max="9227" width="23.77734375" style="3008" customWidth="1"/>
    <col min="9228" max="9228" width="2.109375" style="3008" customWidth="1"/>
    <col min="9229" max="9229" width="23.77734375" style="3008" customWidth="1"/>
    <col min="9230" max="9230" width="2.109375" style="3008" customWidth="1"/>
    <col min="9231" max="9231" width="23.77734375" style="3008" customWidth="1"/>
    <col min="9232" max="9232" width="2.77734375" style="3008" bestFit="1" customWidth="1"/>
    <col min="9233" max="9471" width="8.77734375" style="3008"/>
    <col min="9472" max="9473" width="8.77734375" style="3008" customWidth="1"/>
    <col min="9474" max="9474" width="10.21875" style="3008" customWidth="1"/>
    <col min="9475" max="9475" width="2.21875" style="3008" customWidth="1"/>
    <col min="9476" max="9476" width="50.44140625" style="3008" customWidth="1"/>
    <col min="9477" max="9477" width="8.77734375" style="3008"/>
    <col min="9478" max="9478" width="2.109375" style="3008" customWidth="1"/>
    <col min="9479" max="9479" width="23.77734375" style="3008" customWidth="1"/>
    <col min="9480" max="9480" width="2.109375" style="3008" customWidth="1"/>
    <col min="9481" max="9481" width="23.77734375" style="3008" customWidth="1"/>
    <col min="9482" max="9482" width="2.109375" style="3008" customWidth="1"/>
    <col min="9483" max="9483" width="23.77734375" style="3008" customWidth="1"/>
    <col min="9484" max="9484" width="2.109375" style="3008" customWidth="1"/>
    <col min="9485" max="9485" width="23.77734375" style="3008" customWidth="1"/>
    <col min="9486" max="9486" width="2.109375" style="3008" customWidth="1"/>
    <col min="9487" max="9487" width="23.77734375" style="3008" customWidth="1"/>
    <col min="9488" max="9488" width="2.77734375" style="3008" bestFit="1" customWidth="1"/>
    <col min="9489" max="9727" width="8.77734375" style="3008"/>
    <col min="9728" max="9729" width="8.77734375" style="3008" customWidth="1"/>
    <col min="9730" max="9730" width="10.21875" style="3008" customWidth="1"/>
    <col min="9731" max="9731" width="2.21875" style="3008" customWidth="1"/>
    <col min="9732" max="9732" width="50.44140625" style="3008" customWidth="1"/>
    <col min="9733" max="9733" width="8.77734375" style="3008"/>
    <col min="9734" max="9734" width="2.109375" style="3008" customWidth="1"/>
    <col min="9735" max="9735" width="23.77734375" style="3008" customWidth="1"/>
    <col min="9736" max="9736" width="2.109375" style="3008" customWidth="1"/>
    <col min="9737" max="9737" width="23.77734375" style="3008" customWidth="1"/>
    <col min="9738" max="9738" width="2.109375" style="3008" customWidth="1"/>
    <col min="9739" max="9739" width="23.77734375" style="3008" customWidth="1"/>
    <col min="9740" max="9740" width="2.109375" style="3008" customWidth="1"/>
    <col min="9741" max="9741" width="23.77734375" style="3008" customWidth="1"/>
    <col min="9742" max="9742" width="2.109375" style="3008" customWidth="1"/>
    <col min="9743" max="9743" width="23.77734375" style="3008" customWidth="1"/>
    <col min="9744" max="9744" width="2.77734375" style="3008" bestFit="1" customWidth="1"/>
    <col min="9745" max="9983" width="8.77734375" style="3008"/>
    <col min="9984" max="9985" width="8.77734375" style="3008" customWidth="1"/>
    <col min="9986" max="9986" width="10.21875" style="3008" customWidth="1"/>
    <col min="9987" max="9987" width="2.21875" style="3008" customWidth="1"/>
    <col min="9988" max="9988" width="50.44140625" style="3008" customWidth="1"/>
    <col min="9989" max="9989" width="8.77734375" style="3008"/>
    <col min="9990" max="9990" width="2.109375" style="3008" customWidth="1"/>
    <col min="9991" max="9991" width="23.77734375" style="3008" customWidth="1"/>
    <col min="9992" max="9992" width="2.109375" style="3008" customWidth="1"/>
    <col min="9993" max="9993" width="23.77734375" style="3008" customWidth="1"/>
    <col min="9994" max="9994" width="2.109375" style="3008" customWidth="1"/>
    <col min="9995" max="9995" width="23.77734375" style="3008" customWidth="1"/>
    <col min="9996" max="9996" width="2.109375" style="3008" customWidth="1"/>
    <col min="9997" max="9997" width="23.77734375" style="3008" customWidth="1"/>
    <col min="9998" max="9998" width="2.109375" style="3008" customWidth="1"/>
    <col min="9999" max="9999" width="23.77734375" style="3008" customWidth="1"/>
    <col min="10000" max="10000" width="2.77734375" style="3008" bestFit="1" customWidth="1"/>
    <col min="10001" max="10239" width="8.77734375" style="3008"/>
    <col min="10240" max="10241" width="8.77734375" style="3008" customWidth="1"/>
    <col min="10242" max="10242" width="10.21875" style="3008" customWidth="1"/>
    <col min="10243" max="10243" width="2.21875" style="3008" customWidth="1"/>
    <col min="10244" max="10244" width="50.44140625" style="3008" customWidth="1"/>
    <col min="10245" max="10245" width="8.77734375" style="3008"/>
    <col min="10246" max="10246" width="2.109375" style="3008" customWidth="1"/>
    <col min="10247" max="10247" width="23.77734375" style="3008" customWidth="1"/>
    <col min="10248" max="10248" width="2.109375" style="3008" customWidth="1"/>
    <col min="10249" max="10249" width="23.77734375" style="3008" customWidth="1"/>
    <col min="10250" max="10250" width="2.109375" style="3008" customWidth="1"/>
    <col min="10251" max="10251" width="23.77734375" style="3008" customWidth="1"/>
    <col min="10252" max="10252" width="2.109375" style="3008" customWidth="1"/>
    <col min="10253" max="10253" width="23.77734375" style="3008" customWidth="1"/>
    <col min="10254" max="10254" width="2.109375" style="3008" customWidth="1"/>
    <col min="10255" max="10255" width="23.77734375" style="3008" customWidth="1"/>
    <col min="10256" max="10256" width="2.77734375" style="3008" bestFit="1" customWidth="1"/>
    <col min="10257" max="10495" width="8.77734375" style="3008"/>
    <col min="10496" max="10497" width="8.77734375" style="3008" customWidth="1"/>
    <col min="10498" max="10498" width="10.21875" style="3008" customWidth="1"/>
    <col min="10499" max="10499" width="2.21875" style="3008" customWidth="1"/>
    <col min="10500" max="10500" width="50.44140625" style="3008" customWidth="1"/>
    <col min="10501" max="10501" width="8.77734375" style="3008"/>
    <col min="10502" max="10502" width="2.109375" style="3008" customWidth="1"/>
    <col min="10503" max="10503" width="23.77734375" style="3008" customWidth="1"/>
    <col min="10504" max="10504" width="2.109375" style="3008" customWidth="1"/>
    <col min="10505" max="10505" width="23.77734375" style="3008" customWidth="1"/>
    <col min="10506" max="10506" width="2.109375" style="3008" customWidth="1"/>
    <col min="10507" max="10507" width="23.77734375" style="3008" customWidth="1"/>
    <col min="10508" max="10508" width="2.109375" style="3008" customWidth="1"/>
    <col min="10509" max="10509" width="23.77734375" style="3008" customWidth="1"/>
    <col min="10510" max="10510" width="2.109375" style="3008" customWidth="1"/>
    <col min="10511" max="10511" width="23.77734375" style="3008" customWidth="1"/>
    <col min="10512" max="10512" width="2.77734375" style="3008" bestFit="1" customWidth="1"/>
    <col min="10513" max="10751" width="8.77734375" style="3008"/>
    <col min="10752" max="10753" width="8.77734375" style="3008" customWidth="1"/>
    <col min="10754" max="10754" width="10.21875" style="3008" customWidth="1"/>
    <col min="10755" max="10755" width="2.21875" style="3008" customWidth="1"/>
    <col min="10756" max="10756" width="50.44140625" style="3008" customWidth="1"/>
    <col min="10757" max="10757" width="8.77734375" style="3008"/>
    <col min="10758" max="10758" width="2.109375" style="3008" customWidth="1"/>
    <col min="10759" max="10759" width="23.77734375" style="3008" customWidth="1"/>
    <col min="10760" max="10760" width="2.109375" style="3008" customWidth="1"/>
    <col min="10761" max="10761" width="23.77734375" style="3008" customWidth="1"/>
    <col min="10762" max="10762" width="2.109375" style="3008" customWidth="1"/>
    <col min="10763" max="10763" width="23.77734375" style="3008" customWidth="1"/>
    <col min="10764" max="10764" width="2.109375" style="3008" customWidth="1"/>
    <col min="10765" max="10765" width="23.77734375" style="3008" customWidth="1"/>
    <col min="10766" max="10766" width="2.109375" style="3008" customWidth="1"/>
    <col min="10767" max="10767" width="23.77734375" style="3008" customWidth="1"/>
    <col min="10768" max="10768" width="2.77734375" style="3008" bestFit="1" customWidth="1"/>
    <col min="10769" max="11007" width="8.77734375" style="3008"/>
    <col min="11008" max="11009" width="8.77734375" style="3008" customWidth="1"/>
    <col min="11010" max="11010" width="10.21875" style="3008" customWidth="1"/>
    <col min="11011" max="11011" width="2.21875" style="3008" customWidth="1"/>
    <col min="11012" max="11012" width="50.44140625" style="3008" customWidth="1"/>
    <col min="11013" max="11013" width="8.77734375" style="3008"/>
    <col min="11014" max="11014" width="2.109375" style="3008" customWidth="1"/>
    <col min="11015" max="11015" width="23.77734375" style="3008" customWidth="1"/>
    <col min="11016" max="11016" width="2.109375" style="3008" customWidth="1"/>
    <col min="11017" max="11017" width="23.77734375" style="3008" customWidth="1"/>
    <col min="11018" max="11018" width="2.109375" style="3008" customWidth="1"/>
    <col min="11019" max="11019" width="23.77734375" style="3008" customWidth="1"/>
    <col min="11020" max="11020" width="2.109375" style="3008" customWidth="1"/>
    <col min="11021" max="11021" width="23.77734375" style="3008" customWidth="1"/>
    <col min="11022" max="11022" width="2.109375" style="3008" customWidth="1"/>
    <col min="11023" max="11023" width="23.77734375" style="3008" customWidth="1"/>
    <col min="11024" max="11024" width="2.77734375" style="3008" bestFit="1" customWidth="1"/>
    <col min="11025" max="11263" width="8.77734375" style="3008"/>
    <col min="11264" max="11265" width="8.77734375" style="3008" customWidth="1"/>
    <col min="11266" max="11266" width="10.21875" style="3008" customWidth="1"/>
    <col min="11267" max="11267" width="2.21875" style="3008" customWidth="1"/>
    <col min="11268" max="11268" width="50.44140625" style="3008" customWidth="1"/>
    <col min="11269" max="11269" width="8.77734375" style="3008"/>
    <col min="11270" max="11270" width="2.109375" style="3008" customWidth="1"/>
    <col min="11271" max="11271" width="23.77734375" style="3008" customWidth="1"/>
    <col min="11272" max="11272" width="2.109375" style="3008" customWidth="1"/>
    <col min="11273" max="11273" width="23.77734375" style="3008" customWidth="1"/>
    <col min="11274" max="11274" width="2.109375" style="3008" customWidth="1"/>
    <col min="11275" max="11275" width="23.77734375" style="3008" customWidth="1"/>
    <col min="11276" max="11276" width="2.109375" style="3008" customWidth="1"/>
    <col min="11277" max="11277" width="23.77734375" style="3008" customWidth="1"/>
    <col min="11278" max="11278" width="2.109375" style="3008" customWidth="1"/>
    <col min="11279" max="11279" width="23.77734375" style="3008" customWidth="1"/>
    <col min="11280" max="11280" width="2.77734375" style="3008" bestFit="1" customWidth="1"/>
    <col min="11281" max="11519" width="8.77734375" style="3008"/>
    <col min="11520" max="11521" width="8.77734375" style="3008" customWidth="1"/>
    <col min="11522" max="11522" width="10.21875" style="3008" customWidth="1"/>
    <col min="11523" max="11523" width="2.21875" style="3008" customWidth="1"/>
    <col min="11524" max="11524" width="50.44140625" style="3008" customWidth="1"/>
    <col min="11525" max="11525" width="8.77734375" style="3008"/>
    <col min="11526" max="11526" width="2.109375" style="3008" customWidth="1"/>
    <col min="11527" max="11527" width="23.77734375" style="3008" customWidth="1"/>
    <col min="11528" max="11528" width="2.109375" style="3008" customWidth="1"/>
    <col min="11529" max="11529" width="23.77734375" style="3008" customWidth="1"/>
    <col min="11530" max="11530" width="2.109375" style="3008" customWidth="1"/>
    <col min="11531" max="11531" width="23.77734375" style="3008" customWidth="1"/>
    <col min="11532" max="11532" width="2.109375" style="3008" customWidth="1"/>
    <col min="11533" max="11533" width="23.77734375" style="3008" customWidth="1"/>
    <col min="11534" max="11534" width="2.109375" style="3008" customWidth="1"/>
    <col min="11535" max="11535" width="23.77734375" style="3008" customWidth="1"/>
    <col min="11536" max="11536" width="2.77734375" style="3008" bestFit="1" customWidth="1"/>
    <col min="11537" max="11775" width="8.77734375" style="3008"/>
    <col min="11776" max="11777" width="8.77734375" style="3008" customWidth="1"/>
    <col min="11778" max="11778" width="10.21875" style="3008" customWidth="1"/>
    <col min="11779" max="11779" width="2.21875" style="3008" customWidth="1"/>
    <col min="11780" max="11780" width="50.44140625" style="3008" customWidth="1"/>
    <col min="11781" max="11781" width="8.77734375" style="3008"/>
    <col min="11782" max="11782" width="2.109375" style="3008" customWidth="1"/>
    <col min="11783" max="11783" width="23.77734375" style="3008" customWidth="1"/>
    <col min="11784" max="11784" width="2.109375" style="3008" customWidth="1"/>
    <col min="11785" max="11785" width="23.77734375" style="3008" customWidth="1"/>
    <col min="11786" max="11786" width="2.109375" style="3008" customWidth="1"/>
    <col min="11787" max="11787" width="23.77734375" style="3008" customWidth="1"/>
    <col min="11788" max="11788" width="2.109375" style="3008" customWidth="1"/>
    <col min="11789" max="11789" width="23.77734375" style="3008" customWidth="1"/>
    <col min="11790" max="11790" width="2.109375" style="3008" customWidth="1"/>
    <col min="11791" max="11791" width="23.77734375" style="3008" customWidth="1"/>
    <col min="11792" max="11792" width="2.77734375" style="3008" bestFit="1" customWidth="1"/>
    <col min="11793" max="12031" width="8.77734375" style="3008"/>
    <col min="12032" max="12033" width="8.77734375" style="3008" customWidth="1"/>
    <col min="12034" max="12034" width="10.21875" style="3008" customWidth="1"/>
    <col min="12035" max="12035" width="2.21875" style="3008" customWidth="1"/>
    <col min="12036" max="12036" width="50.44140625" style="3008" customWidth="1"/>
    <col min="12037" max="12037" width="8.77734375" style="3008"/>
    <col min="12038" max="12038" width="2.109375" style="3008" customWidth="1"/>
    <col min="12039" max="12039" width="23.77734375" style="3008" customWidth="1"/>
    <col min="12040" max="12040" width="2.109375" style="3008" customWidth="1"/>
    <col min="12041" max="12041" width="23.77734375" style="3008" customWidth="1"/>
    <col min="12042" max="12042" width="2.109375" style="3008" customWidth="1"/>
    <col min="12043" max="12043" width="23.77734375" style="3008" customWidth="1"/>
    <col min="12044" max="12044" width="2.109375" style="3008" customWidth="1"/>
    <col min="12045" max="12045" width="23.77734375" style="3008" customWidth="1"/>
    <col min="12046" max="12046" width="2.109375" style="3008" customWidth="1"/>
    <col min="12047" max="12047" width="23.77734375" style="3008" customWidth="1"/>
    <col min="12048" max="12048" width="2.77734375" style="3008" bestFit="1" customWidth="1"/>
    <col min="12049" max="12287" width="8.77734375" style="3008"/>
    <col min="12288" max="12289" width="8.77734375" style="3008" customWidth="1"/>
    <col min="12290" max="12290" width="10.21875" style="3008" customWidth="1"/>
    <col min="12291" max="12291" width="2.21875" style="3008" customWidth="1"/>
    <col min="12292" max="12292" width="50.44140625" style="3008" customWidth="1"/>
    <col min="12293" max="12293" width="8.77734375" style="3008"/>
    <col min="12294" max="12294" width="2.109375" style="3008" customWidth="1"/>
    <col min="12295" max="12295" width="23.77734375" style="3008" customWidth="1"/>
    <col min="12296" max="12296" width="2.109375" style="3008" customWidth="1"/>
    <col min="12297" max="12297" width="23.77734375" style="3008" customWidth="1"/>
    <col min="12298" max="12298" width="2.109375" style="3008" customWidth="1"/>
    <col min="12299" max="12299" width="23.77734375" style="3008" customWidth="1"/>
    <col min="12300" max="12300" width="2.109375" style="3008" customWidth="1"/>
    <col min="12301" max="12301" width="23.77734375" style="3008" customWidth="1"/>
    <col min="12302" max="12302" width="2.109375" style="3008" customWidth="1"/>
    <col min="12303" max="12303" width="23.77734375" style="3008" customWidth="1"/>
    <col min="12304" max="12304" width="2.77734375" style="3008" bestFit="1" customWidth="1"/>
    <col min="12305" max="12543" width="8.77734375" style="3008"/>
    <col min="12544" max="12545" width="8.77734375" style="3008" customWidth="1"/>
    <col min="12546" max="12546" width="10.21875" style="3008" customWidth="1"/>
    <col min="12547" max="12547" width="2.21875" style="3008" customWidth="1"/>
    <col min="12548" max="12548" width="50.44140625" style="3008" customWidth="1"/>
    <col min="12549" max="12549" width="8.77734375" style="3008"/>
    <col min="12550" max="12550" width="2.109375" style="3008" customWidth="1"/>
    <col min="12551" max="12551" width="23.77734375" style="3008" customWidth="1"/>
    <col min="12552" max="12552" width="2.109375" style="3008" customWidth="1"/>
    <col min="12553" max="12553" width="23.77734375" style="3008" customWidth="1"/>
    <col min="12554" max="12554" width="2.109375" style="3008" customWidth="1"/>
    <col min="12555" max="12555" width="23.77734375" style="3008" customWidth="1"/>
    <col min="12556" max="12556" width="2.109375" style="3008" customWidth="1"/>
    <col min="12557" max="12557" width="23.77734375" style="3008" customWidth="1"/>
    <col min="12558" max="12558" width="2.109375" style="3008" customWidth="1"/>
    <col min="12559" max="12559" width="23.77734375" style="3008" customWidth="1"/>
    <col min="12560" max="12560" width="2.77734375" style="3008" bestFit="1" customWidth="1"/>
    <col min="12561" max="12799" width="8.77734375" style="3008"/>
    <col min="12800" max="12801" width="8.77734375" style="3008" customWidth="1"/>
    <col min="12802" max="12802" width="10.21875" style="3008" customWidth="1"/>
    <col min="12803" max="12803" width="2.21875" style="3008" customWidth="1"/>
    <col min="12804" max="12804" width="50.44140625" style="3008" customWidth="1"/>
    <col min="12805" max="12805" width="8.77734375" style="3008"/>
    <col min="12806" max="12806" width="2.109375" style="3008" customWidth="1"/>
    <col min="12807" max="12807" width="23.77734375" style="3008" customWidth="1"/>
    <col min="12808" max="12808" width="2.109375" style="3008" customWidth="1"/>
    <col min="12809" max="12809" width="23.77734375" style="3008" customWidth="1"/>
    <col min="12810" max="12810" width="2.109375" style="3008" customWidth="1"/>
    <col min="12811" max="12811" width="23.77734375" style="3008" customWidth="1"/>
    <col min="12812" max="12812" width="2.109375" style="3008" customWidth="1"/>
    <col min="12813" max="12813" width="23.77734375" style="3008" customWidth="1"/>
    <col min="12814" max="12814" width="2.109375" style="3008" customWidth="1"/>
    <col min="12815" max="12815" width="23.77734375" style="3008" customWidth="1"/>
    <col min="12816" max="12816" width="2.77734375" style="3008" bestFit="1" customWidth="1"/>
    <col min="12817" max="13055" width="8.77734375" style="3008"/>
    <col min="13056" max="13057" width="8.77734375" style="3008" customWidth="1"/>
    <col min="13058" max="13058" width="10.21875" style="3008" customWidth="1"/>
    <col min="13059" max="13059" width="2.21875" style="3008" customWidth="1"/>
    <col min="13060" max="13060" width="50.44140625" style="3008" customWidth="1"/>
    <col min="13061" max="13061" width="8.77734375" style="3008"/>
    <col min="13062" max="13062" width="2.109375" style="3008" customWidth="1"/>
    <col min="13063" max="13063" width="23.77734375" style="3008" customWidth="1"/>
    <col min="13064" max="13064" width="2.109375" style="3008" customWidth="1"/>
    <col min="13065" max="13065" width="23.77734375" style="3008" customWidth="1"/>
    <col min="13066" max="13066" width="2.109375" style="3008" customWidth="1"/>
    <col min="13067" max="13067" width="23.77734375" style="3008" customWidth="1"/>
    <col min="13068" max="13068" width="2.109375" style="3008" customWidth="1"/>
    <col min="13069" max="13069" width="23.77734375" style="3008" customWidth="1"/>
    <col min="13070" max="13070" width="2.109375" style="3008" customWidth="1"/>
    <col min="13071" max="13071" width="23.77734375" style="3008" customWidth="1"/>
    <col min="13072" max="13072" width="2.77734375" style="3008" bestFit="1" customWidth="1"/>
    <col min="13073" max="13311" width="8.77734375" style="3008"/>
    <col min="13312" max="13313" width="8.77734375" style="3008" customWidth="1"/>
    <col min="13314" max="13314" width="10.21875" style="3008" customWidth="1"/>
    <col min="13315" max="13315" width="2.21875" style="3008" customWidth="1"/>
    <col min="13316" max="13316" width="50.44140625" style="3008" customWidth="1"/>
    <col min="13317" max="13317" width="8.77734375" style="3008"/>
    <col min="13318" max="13318" width="2.109375" style="3008" customWidth="1"/>
    <col min="13319" max="13319" width="23.77734375" style="3008" customWidth="1"/>
    <col min="13320" max="13320" width="2.109375" style="3008" customWidth="1"/>
    <col min="13321" max="13321" width="23.77734375" style="3008" customWidth="1"/>
    <col min="13322" max="13322" width="2.109375" style="3008" customWidth="1"/>
    <col min="13323" max="13323" width="23.77734375" style="3008" customWidth="1"/>
    <col min="13324" max="13324" width="2.109375" style="3008" customWidth="1"/>
    <col min="13325" max="13325" width="23.77734375" style="3008" customWidth="1"/>
    <col min="13326" max="13326" width="2.109375" style="3008" customWidth="1"/>
    <col min="13327" max="13327" width="23.77734375" style="3008" customWidth="1"/>
    <col min="13328" max="13328" width="2.77734375" style="3008" bestFit="1" customWidth="1"/>
    <col min="13329" max="13567" width="8.77734375" style="3008"/>
    <col min="13568" max="13569" width="8.77734375" style="3008" customWidth="1"/>
    <col min="13570" max="13570" width="10.21875" style="3008" customWidth="1"/>
    <col min="13571" max="13571" width="2.21875" style="3008" customWidth="1"/>
    <col min="13572" max="13572" width="50.44140625" style="3008" customWidth="1"/>
    <col min="13573" max="13573" width="8.77734375" style="3008"/>
    <col min="13574" max="13574" width="2.109375" style="3008" customWidth="1"/>
    <col min="13575" max="13575" width="23.77734375" style="3008" customWidth="1"/>
    <col min="13576" max="13576" width="2.109375" style="3008" customWidth="1"/>
    <col min="13577" max="13577" width="23.77734375" style="3008" customWidth="1"/>
    <col min="13578" max="13578" width="2.109375" style="3008" customWidth="1"/>
    <col min="13579" max="13579" width="23.77734375" style="3008" customWidth="1"/>
    <col min="13580" max="13580" width="2.109375" style="3008" customWidth="1"/>
    <col min="13581" max="13581" width="23.77734375" style="3008" customWidth="1"/>
    <col min="13582" max="13582" width="2.109375" style="3008" customWidth="1"/>
    <col min="13583" max="13583" width="23.77734375" style="3008" customWidth="1"/>
    <col min="13584" max="13584" width="2.77734375" style="3008" bestFit="1" customWidth="1"/>
    <col min="13585" max="13823" width="8.77734375" style="3008"/>
    <col min="13824" max="13825" width="8.77734375" style="3008" customWidth="1"/>
    <col min="13826" max="13826" width="10.21875" style="3008" customWidth="1"/>
    <col min="13827" max="13827" width="2.21875" style="3008" customWidth="1"/>
    <col min="13828" max="13828" width="50.44140625" style="3008" customWidth="1"/>
    <col min="13829" max="13829" width="8.77734375" style="3008"/>
    <col min="13830" max="13830" width="2.109375" style="3008" customWidth="1"/>
    <col min="13831" max="13831" width="23.77734375" style="3008" customWidth="1"/>
    <col min="13832" max="13832" width="2.109375" style="3008" customWidth="1"/>
    <col min="13833" max="13833" width="23.77734375" style="3008" customWidth="1"/>
    <col min="13834" max="13834" width="2.109375" style="3008" customWidth="1"/>
    <col min="13835" max="13835" width="23.77734375" style="3008" customWidth="1"/>
    <col min="13836" max="13836" width="2.109375" style="3008" customWidth="1"/>
    <col min="13837" max="13837" width="23.77734375" style="3008" customWidth="1"/>
    <col min="13838" max="13838" width="2.109375" style="3008" customWidth="1"/>
    <col min="13839" max="13839" width="23.77734375" style="3008" customWidth="1"/>
    <col min="13840" max="13840" width="2.77734375" style="3008" bestFit="1" customWidth="1"/>
    <col min="13841" max="14079" width="8.77734375" style="3008"/>
    <col min="14080" max="14081" width="8.77734375" style="3008" customWidth="1"/>
    <col min="14082" max="14082" width="10.21875" style="3008" customWidth="1"/>
    <col min="14083" max="14083" width="2.21875" style="3008" customWidth="1"/>
    <col min="14084" max="14084" width="50.44140625" style="3008" customWidth="1"/>
    <col min="14085" max="14085" width="8.77734375" style="3008"/>
    <col min="14086" max="14086" width="2.109375" style="3008" customWidth="1"/>
    <col min="14087" max="14087" width="23.77734375" style="3008" customWidth="1"/>
    <col min="14088" max="14088" width="2.109375" style="3008" customWidth="1"/>
    <col min="14089" max="14089" width="23.77734375" style="3008" customWidth="1"/>
    <col min="14090" max="14090" width="2.109375" style="3008" customWidth="1"/>
    <col min="14091" max="14091" width="23.77734375" style="3008" customWidth="1"/>
    <col min="14092" max="14092" width="2.109375" style="3008" customWidth="1"/>
    <col min="14093" max="14093" width="23.77734375" style="3008" customWidth="1"/>
    <col min="14094" max="14094" width="2.109375" style="3008" customWidth="1"/>
    <col min="14095" max="14095" width="23.77734375" style="3008" customWidth="1"/>
    <col min="14096" max="14096" width="2.77734375" style="3008" bestFit="1" customWidth="1"/>
    <col min="14097" max="14335" width="8.77734375" style="3008"/>
    <col min="14336" max="14337" width="8.77734375" style="3008" customWidth="1"/>
    <col min="14338" max="14338" width="10.21875" style="3008" customWidth="1"/>
    <col min="14339" max="14339" width="2.21875" style="3008" customWidth="1"/>
    <col min="14340" max="14340" width="50.44140625" style="3008" customWidth="1"/>
    <col min="14341" max="14341" width="8.77734375" style="3008"/>
    <col min="14342" max="14342" width="2.109375" style="3008" customWidth="1"/>
    <col min="14343" max="14343" width="23.77734375" style="3008" customWidth="1"/>
    <col min="14344" max="14344" width="2.109375" style="3008" customWidth="1"/>
    <col min="14345" max="14345" width="23.77734375" style="3008" customWidth="1"/>
    <col min="14346" max="14346" width="2.109375" style="3008" customWidth="1"/>
    <col min="14347" max="14347" width="23.77734375" style="3008" customWidth="1"/>
    <col min="14348" max="14348" width="2.109375" style="3008" customWidth="1"/>
    <col min="14349" max="14349" width="23.77734375" style="3008" customWidth="1"/>
    <col min="14350" max="14350" width="2.109375" style="3008" customWidth="1"/>
    <col min="14351" max="14351" width="23.77734375" style="3008" customWidth="1"/>
    <col min="14352" max="14352" width="2.77734375" style="3008" bestFit="1" customWidth="1"/>
    <col min="14353" max="14591" width="8.77734375" style="3008"/>
    <col min="14592" max="14593" width="8.77734375" style="3008" customWidth="1"/>
    <col min="14594" max="14594" width="10.21875" style="3008" customWidth="1"/>
    <col min="14595" max="14595" width="2.21875" style="3008" customWidth="1"/>
    <col min="14596" max="14596" width="50.44140625" style="3008" customWidth="1"/>
    <col min="14597" max="14597" width="8.77734375" style="3008"/>
    <col min="14598" max="14598" width="2.109375" style="3008" customWidth="1"/>
    <col min="14599" max="14599" width="23.77734375" style="3008" customWidth="1"/>
    <col min="14600" max="14600" width="2.109375" style="3008" customWidth="1"/>
    <col min="14601" max="14601" width="23.77734375" style="3008" customWidth="1"/>
    <col min="14602" max="14602" width="2.109375" style="3008" customWidth="1"/>
    <col min="14603" max="14603" width="23.77734375" style="3008" customWidth="1"/>
    <col min="14604" max="14604" width="2.109375" style="3008" customWidth="1"/>
    <col min="14605" max="14605" width="23.77734375" style="3008" customWidth="1"/>
    <col min="14606" max="14606" width="2.109375" style="3008" customWidth="1"/>
    <col min="14607" max="14607" width="23.77734375" style="3008" customWidth="1"/>
    <col min="14608" max="14608" width="2.77734375" style="3008" bestFit="1" customWidth="1"/>
    <col min="14609" max="14847" width="8.77734375" style="3008"/>
    <col min="14848" max="14849" width="8.77734375" style="3008" customWidth="1"/>
    <col min="14850" max="14850" width="10.21875" style="3008" customWidth="1"/>
    <col min="14851" max="14851" width="2.21875" style="3008" customWidth="1"/>
    <col min="14852" max="14852" width="50.44140625" style="3008" customWidth="1"/>
    <col min="14853" max="14853" width="8.77734375" style="3008"/>
    <col min="14854" max="14854" width="2.109375" style="3008" customWidth="1"/>
    <col min="14855" max="14855" width="23.77734375" style="3008" customWidth="1"/>
    <col min="14856" max="14856" width="2.109375" style="3008" customWidth="1"/>
    <col min="14857" max="14857" width="23.77734375" style="3008" customWidth="1"/>
    <col min="14858" max="14858" width="2.109375" style="3008" customWidth="1"/>
    <col min="14859" max="14859" width="23.77734375" style="3008" customWidth="1"/>
    <col min="14860" max="14860" width="2.109375" style="3008" customWidth="1"/>
    <col min="14861" max="14861" width="23.77734375" style="3008" customWidth="1"/>
    <col min="14862" max="14862" width="2.109375" style="3008" customWidth="1"/>
    <col min="14863" max="14863" width="23.77734375" style="3008" customWidth="1"/>
    <col min="14864" max="14864" width="2.77734375" style="3008" bestFit="1" customWidth="1"/>
    <col min="14865" max="15103" width="8.77734375" style="3008"/>
    <col min="15104" max="15105" width="8.77734375" style="3008" customWidth="1"/>
    <col min="15106" max="15106" width="10.21875" style="3008" customWidth="1"/>
    <col min="15107" max="15107" width="2.21875" style="3008" customWidth="1"/>
    <col min="15108" max="15108" width="50.44140625" style="3008" customWidth="1"/>
    <col min="15109" max="15109" width="8.77734375" style="3008"/>
    <col min="15110" max="15110" width="2.109375" style="3008" customWidth="1"/>
    <col min="15111" max="15111" width="23.77734375" style="3008" customWidth="1"/>
    <col min="15112" max="15112" width="2.109375" style="3008" customWidth="1"/>
    <col min="15113" max="15113" width="23.77734375" style="3008" customWidth="1"/>
    <col min="15114" max="15114" width="2.109375" style="3008" customWidth="1"/>
    <col min="15115" max="15115" width="23.77734375" style="3008" customWidth="1"/>
    <col min="15116" max="15116" width="2.109375" style="3008" customWidth="1"/>
    <col min="15117" max="15117" width="23.77734375" style="3008" customWidth="1"/>
    <col min="15118" max="15118" width="2.109375" style="3008" customWidth="1"/>
    <col min="15119" max="15119" width="23.77734375" style="3008" customWidth="1"/>
    <col min="15120" max="15120" width="2.77734375" style="3008" bestFit="1" customWidth="1"/>
    <col min="15121" max="15359" width="8.77734375" style="3008"/>
    <col min="15360" max="15361" width="8.77734375" style="3008" customWidth="1"/>
    <col min="15362" max="15362" width="10.21875" style="3008" customWidth="1"/>
    <col min="15363" max="15363" width="2.21875" style="3008" customWidth="1"/>
    <col min="15364" max="15364" width="50.44140625" style="3008" customWidth="1"/>
    <col min="15365" max="15365" width="8.77734375" style="3008"/>
    <col min="15366" max="15366" width="2.109375" style="3008" customWidth="1"/>
    <col min="15367" max="15367" width="23.77734375" style="3008" customWidth="1"/>
    <col min="15368" max="15368" width="2.109375" style="3008" customWidth="1"/>
    <col min="15369" max="15369" width="23.77734375" style="3008" customWidth="1"/>
    <col min="15370" max="15370" width="2.109375" style="3008" customWidth="1"/>
    <col min="15371" max="15371" width="23.77734375" style="3008" customWidth="1"/>
    <col min="15372" max="15372" width="2.109375" style="3008" customWidth="1"/>
    <col min="15373" max="15373" width="23.77734375" style="3008" customWidth="1"/>
    <col min="15374" max="15374" width="2.109375" style="3008" customWidth="1"/>
    <col min="15375" max="15375" width="23.77734375" style="3008" customWidth="1"/>
    <col min="15376" max="15376" width="2.77734375" style="3008" bestFit="1" customWidth="1"/>
    <col min="15377" max="15615" width="8.77734375" style="3008"/>
    <col min="15616" max="15617" width="8.77734375" style="3008" customWidth="1"/>
    <col min="15618" max="15618" width="10.21875" style="3008" customWidth="1"/>
    <col min="15619" max="15619" width="2.21875" style="3008" customWidth="1"/>
    <col min="15620" max="15620" width="50.44140625" style="3008" customWidth="1"/>
    <col min="15621" max="15621" width="8.77734375" style="3008"/>
    <col min="15622" max="15622" width="2.109375" style="3008" customWidth="1"/>
    <col min="15623" max="15623" width="23.77734375" style="3008" customWidth="1"/>
    <col min="15624" max="15624" width="2.109375" style="3008" customWidth="1"/>
    <col min="15625" max="15625" width="23.77734375" style="3008" customWidth="1"/>
    <col min="15626" max="15626" width="2.109375" style="3008" customWidth="1"/>
    <col min="15627" max="15627" width="23.77734375" style="3008" customWidth="1"/>
    <col min="15628" max="15628" width="2.109375" style="3008" customWidth="1"/>
    <col min="15629" max="15629" width="23.77734375" style="3008" customWidth="1"/>
    <col min="15630" max="15630" width="2.109375" style="3008" customWidth="1"/>
    <col min="15631" max="15631" width="23.77734375" style="3008" customWidth="1"/>
    <col min="15632" max="15632" width="2.77734375" style="3008" bestFit="1" customWidth="1"/>
    <col min="15633" max="15871" width="8.77734375" style="3008"/>
    <col min="15872" max="15873" width="8.77734375" style="3008" customWidth="1"/>
    <col min="15874" max="15874" width="10.21875" style="3008" customWidth="1"/>
    <col min="15875" max="15875" width="2.21875" style="3008" customWidth="1"/>
    <col min="15876" max="15876" width="50.44140625" style="3008" customWidth="1"/>
    <col min="15877" max="15877" width="8.77734375" style="3008"/>
    <col min="15878" max="15878" width="2.109375" style="3008" customWidth="1"/>
    <col min="15879" max="15879" width="23.77734375" style="3008" customWidth="1"/>
    <col min="15880" max="15880" width="2.109375" style="3008" customWidth="1"/>
    <col min="15881" max="15881" width="23.77734375" style="3008" customWidth="1"/>
    <col min="15882" max="15882" width="2.109375" style="3008" customWidth="1"/>
    <col min="15883" max="15883" width="23.77734375" style="3008" customWidth="1"/>
    <col min="15884" max="15884" width="2.109375" style="3008" customWidth="1"/>
    <col min="15885" max="15885" width="23.77734375" style="3008" customWidth="1"/>
    <col min="15886" max="15886" width="2.109375" style="3008" customWidth="1"/>
    <col min="15887" max="15887" width="23.77734375" style="3008" customWidth="1"/>
    <col min="15888" max="15888" width="2.77734375" style="3008" bestFit="1" customWidth="1"/>
    <col min="15889" max="16127" width="8.77734375" style="3008"/>
    <col min="16128" max="16129" width="8.77734375" style="3008" customWidth="1"/>
    <col min="16130" max="16130" width="10.21875" style="3008" customWidth="1"/>
    <col min="16131" max="16131" width="2.21875" style="3008" customWidth="1"/>
    <col min="16132" max="16132" width="50.44140625" style="3008" customWidth="1"/>
    <col min="16133" max="16133" width="8.77734375" style="3008"/>
    <col min="16134" max="16134" width="2.109375" style="3008" customWidth="1"/>
    <col min="16135" max="16135" width="23.77734375" style="3008" customWidth="1"/>
    <col min="16136" max="16136" width="2.109375" style="3008" customWidth="1"/>
    <col min="16137" max="16137" width="23.77734375" style="3008" customWidth="1"/>
    <col min="16138" max="16138" width="2.109375" style="3008" customWidth="1"/>
    <col min="16139" max="16139" width="23.77734375" style="3008" customWidth="1"/>
    <col min="16140" max="16140" width="2.109375" style="3008" customWidth="1"/>
    <col min="16141" max="16141" width="23.77734375" style="3008" customWidth="1"/>
    <col min="16142" max="16142" width="2.109375" style="3008" customWidth="1"/>
    <col min="16143" max="16143" width="23.77734375" style="3008" customWidth="1"/>
    <col min="16144" max="16144" width="2.77734375" style="3008" bestFit="1" customWidth="1"/>
    <col min="16145" max="16384" width="8.77734375" style="3008"/>
  </cols>
  <sheetData>
    <row r="1" spans="2:17" ht="15.75">
      <c r="B1" s="3005"/>
      <c r="C1" s="3006"/>
      <c r="D1" s="2310" t="s">
        <v>980</v>
      </c>
      <c r="E1" s="3006"/>
      <c r="F1" s="3007"/>
      <c r="G1" s="3005"/>
      <c r="H1" s="3006"/>
      <c r="I1" s="3005"/>
      <c r="J1" s="3006"/>
      <c r="K1" s="3005"/>
      <c r="L1" s="3006"/>
      <c r="M1" s="3005"/>
      <c r="N1" s="3006"/>
      <c r="P1" s="3009"/>
    </row>
    <row r="2" spans="2:17" ht="15.75">
      <c r="B2" s="3005"/>
      <c r="C2" s="3006"/>
      <c r="D2" s="3005"/>
      <c r="E2" s="3006"/>
      <c r="F2" s="3007"/>
      <c r="G2" s="3005"/>
      <c r="H2" s="3006"/>
      <c r="I2" s="3005"/>
      <c r="J2" s="3006"/>
      <c r="K2" s="3005"/>
      <c r="L2" s="3006"/>
      <c r="M2" s="3005"/>
      <c r="N2" s="3006"/>
      <c r="O2" s="3010" t="s">
        <v>551</v>
      </c>
      <c r="P2" s="3009"/>
    </row>
    <row r="3" spans="2:17" ht="15.75">
      <c r="B3" s="3005"/>
      <c r="C3" s="3006"/>
      <c r="D3" s="3005"/>
      <c r="E3" s="3006"/>
      <c r="F3" s="3007"/>
      <c r="G3" s="3005"/>
      <c r="H3" s="3006"/>
      <c r="I3" s="3005"/>
      <c r="J3" s="3006"/>
      <c r="K3" s="3005"/>
      <c r="L3" s="3006"/>
      <c r="M3" s="3005"/>
      <c r="N3" s="3006"/>
      <c r="O3" s="3011"/>
      <c r="P3" s="3012"/>
    </row>
    <row r="4" spans="2:17" ht="18">
      <c r="B4" s="3013"/>
      <c r="C4" s="3014"/>
      <c r="D4" s="3015" t="s">
        <v>0</v>
      </c>
      <c r="E4" s="3014"/>
      <c r="F4" s="3014"/>
      <c r="G4" s="2608"/>
      <c r="H4" s="3016"/>
      <c r="I4" s="2608"/>
      <c r="J4" s="3016"/>
      <c r="K4" s="2608"/>
      <c r="L4" s="3016"/>
      <c r="M4" s="3017"/>
      <c r="N4" s="3017"/>
      <c r="O4" s="3018"/>
      <c r="P4" s="3019"/>
    </row>
    <row r="5" spans="2:17" ht="18">
      <c r="B5" s="3013"/>
      <c r="C5" s="3014"/>
      <c r="D5" s="3015" t="s">
        <v>868</v>
      </c>
      <c r="E5" s="3014"/>
      <c r="F5" s="3014"/>
      <c r="G5" s="2608"/>
      <c r="H5" s="3016"/>
      <c r="I5" s="2608"/>
      <c r="J5" s="3016"/>
      <c r="K5" s="2608"/>
      <c r="L5" s="3016"/>
      <c r="M5" s="3020"/>
      <c r="N5" s="3020"/>
      <c r="O5" s="3020"/>
      <c r="P5" s="3021"/>
    </row>
    <row r="6" spans="2:17" ht="15.75">
      <c r="B6" s="3013"/>
      <c r="C6" s="3014"/>
      <c r="D6" s="3022"/>
      <c r="E6" s="3014"/>
      <c r="F6" s="3014"/>
      <c r="G6" s="2608"/>
      <c r="H6" s="3016"/>
      <c r="I6" s="2608"/>
      <c r="J6" s="3016"/>
      <c r="K6" s="2608"/>
      <c r="L6" s="3016"/>
      <c r="M6" s="3023"/>
      <c r="N6" s="3023"/>
      <c r="O6" s="3023"/>
      <c r="P6" s="3024"/>
    </row>
    <row r="7" spans="2:17" ht="15.75">
      <c r="B7" s="3013"/>
      <c r="C7" s="3025"/>
      <c r="D7" s="3026"/>
      <c r="E7" s="3027"/>
      <c r="F7" s="3027"/>
      <c r="G7" s="2608"/>
      <c r="H7" s="3016"/>
      <c r="I7" s="2608"/>
      <c r="J7" s="3016"/>
      <c r="K7" s="2608"/>
      <c r="L7" s="3016"/>
      <c r="M7" s="3028"/>
      <c r="N7" s="3028"/>
      <c r="O7" s="3028"/>
      <c r="P7" s="3029"/>
    </row>
    <row r="8" spans="2:17" s="3037" customFormat="1" ht="16.5" thickBot="1">
      <c r="B8" s="3030" t="s">
        <v>574</v>
      </c>
      <c r="C8" s="3031"/>
      <c r="D8" s="3032" t="s">
        <v>575</v>
      </c>
      <c r="E8" s="3032"/>
      <c r="F8" s="3032"/>
      <c r="G8" s="3033" t="s">
        <v>1412</v>
      </c>
      <c r="H8" s="3034"/>
      <c r="I8" s="3033" t="s">
        <v>1440</v>
      </c>
      <c r="J8" s="3034"/>
      <c r="K8" s="3033" t="s">
        <v>1449</v>
      </c>
      <c r="L8" s="3034"/>
      <c r="M8" s="3034" t="s">
        <v>576</v>
      </c>
      <c r="N8" s="3035"/>
      <c r="O8" s="3033" t="s">
        <v>1464</v>
      </c>
      <c r="P8" s="3036"/>
    </row>
    <row r="9" spans="2:17" s="3037" customFormat="1" ht="15.75">
      <c r="B9" s="3038"/>
      <c r="C9" s="3039"/>
      <c r="D9" s="3040" t="s">
        <v>147</v>
      </c>
      <c r="E9" s="3041"/>
      <c r="F9" s="3041"/>
      <c r="G9" s="3042"/>
      <c r="H9" s="3043"/>
      <c r="I9" s="3042"/>
      <c r="J9" s="3043"/>
      <c r="K9" s="3042"/>
      <c r="L9" s="3043"/>
      <c r="M9" s="3042"/>
      <c r="N9" s="3042"/>
      <c r="O9" s="3042"/>
      <c r="P9" s="3044"/>
    </row>
    <row r="10" spans="2:17" s="3037" customFormat="1" ht="15.75">
      <c r="B10" s="3045">
        <v>10050</v>
      </c>
      <c r="C10" s="3038"/>
      <c r="D10" s="3046" t="s">
        <v>981</v>
      </c>
      <c r="E10" s="2608"/>
      <c r="F10" s="3047"/>
      <c r="G10" s="3048">
        <v>0</v>
      </c>
      <c r="H10" s="3048"/>
      <c r="I10" s="3048">
        <v>0</v>
      </c>
      <c r="J10" s="3048"/>
      <c r="K10" s="3048">
        <v>0</v>
      </c>
      <c r="L10" s="3048"/>
      <c r="M10" s="3048">
        <f>ROUND(SUM(O10)-SUM(K10),2)</f>
        <v>0</v>
      </c>
      <c r="N10" s="3048"/>
      <c r="O10" s="3048">
        <v>0</v>
      </c>
      <c r="P10" s="3049" t="s">
        <v>865</v>
      </c>
      <c r="Q10" s="3050"/>
    </row>
    <row r="11" spans="2:17" s="3037" customFormat="1" ht="16.5" thickBot="1">
      <c r="B11" s="3051"/>
      <c r="C11" s="3039"/>
      <c r="D11" s="3052" t="s">
        <v>577</v>
      </c>
      <c r="E11" s="3041"/>
      <c r="F11" s="3041"/>
      <c r="G11" s="1510">
        <f>ROUND(SUM(G10),2)</f>
        <v>0</v>
      </c>
      <c r="H11" s="1511"/>
      <c r="I11" s="1510">
        <f>ROUND(SUM(I10),2)</f>
        <v>0</v>
      </c>
      <c r="J11" s="1511"/>
      <c r="K11" s="1510">
        <f>ROUND(SUM(K10),2)</f>
        <v>0</v>
      </c>
      <c r="L11" s="1511"/>
      <c r="M11" s="1510">
        <f>ROUND(SUM(M10),2)</f>
        <v>0</v>
      </c>
      <c r="N11" s="1511"/>
      <c r="O11" s="1510">
        <f>ROUND(SUM(O10),2)</f>
        <v>0</v>
      </c>
      <c r="P11" s="3049"/>
      <c r="Q11" s="3050"/>
    </row>
    <row r="12" spans="2:17" s="3037" customFormat="1" ht="16.5" thickTop="1">
      <c r="B12" s="3051"/>
      <c r="C12" s="3053"/>
      <c r="D12" s="3054"/>
      <c r="E12" s="3055"/>
      <c r="F12" s="3055"/>
      <c r="G12" s="1511"/>
      <c r="H12" s="3056"/>
      <c r="I12" s="1511"/>
      <c r="J12" s="3056"/>
      <c r="K12" s="1511"/>
      <c r="L12" s="3056"/>
      <c r="M12" s="1511"/>
      <c r="N12" s="1511"/>
      <c r="O12" s="1511"/>
      <c r="P12" s="3057"/>
      <c r="Q12" s="3050"/>
    </row>
    <row r="13" spans="2:17" s="3037" customFormat="1" ht="15.75">
      <c r="B13" s="3051"/>
      <c r="C13" s="3039"/>
      <c r="D13" s="3040" t="s">
        <v>578</v>
      </c>
      <c r="E13" s="3041"/>
      <c r="F13" s="3041"/>
      <c r="G13" s="3056"/>
      <c r="H13" s="2608"/>
      <c r="I13" s="3056"/>
      <c r="J13" s="2608"/>
      <c r="K13" s="3056"/>
      <c r="L13" s="2608"/>
      <c r="M13" s="3056"/>
      <c r="N13" s="3056"/>
      <c r="O13" s="3056"/>
      <c r="P13" s="3057"/>
      <c r="Q13" s="3050"/>
    </row>
    <row r="14" spans="2:17" s="3037" customFormat="1" ht="15.75">
      <c r="B14" s="3045">
        <v>30051</v>
      </c>
      <c r="C14" s="3005"/>
      <c r="D14" s="3046" t="s">
        <v>579</v>
      </c>
      <c r="E14" s="3005"/>
      <c r="F14" s="1237">
        <v>227042324.13</v>
      </c>
      <c r="G14" s="1237">
        <v>149793422.97999999</v>
      </c>
      <c r="H14" s="1237"/>
      <c r="I14" s="1237">
        <v>150890005.84</v>
      </c>
      <c r="J14" s="1237"/>
      <c r="K14" s="1237">
        <v>134888031.47999999</v>
      </c>
      <c r="L14" s="1237"/>
      <c r="M14" s="1237">
        <f>ROUND(SUM(O14)-SUM(K14),2)</f>
        <v>19809786.16</v>
      </c>
      <c r="N14" s="1237"/>
      <c r="O14" s="1237">
        <v>154697817.63999999</v>
      </c>
      <c r="P14" s="3049"/>
      <c r="Q14" s="3050"/>
    </row>
    <row r="15" spans="2:17" s="3037" customFormat="1" ht="15.75">
      <c r="B15" s="3045">
        <v>30053</v>
      </c>
      <c r="C15" s="3005"/>
      <c r="D15" s="3046" t="s">
        <v>1297</v>
      </c>
      <c r="E15" s="3005"/>
      <c r="F15" s="1237"/>
      <c r="G15" s="1237">
        <v>0</v>
      </c>
      <c r="H15" s="1237"/>
      <c r="I15" s="1237">
        <v>0</v>
      </c>
      <c r="J15" s="1237"/>
      <c r="K15" s="1237">
        <v>0</v>
      </c>
      <c r="L15" s="1237"/>
      <c r="M15" s="1237">
        <f>ROUND(SUM(O15)-SUM(K15),2)</f>
        <v>0</v>
      </c>
      <c r="N15" s="1237"/>
      <c r="O15" s="1237">
        <v>0</v>
      </c>
      <c r="P15" s="3049"/>
      <c r="Q15" s="3050"/>
    </row>
    <row r="16" spans="2:17" s="3037" customFormat="1" ht="15.75">
      <c r="B16" s="3045">
        <v>30101</v>
      </c>
      <c r="C16" s="3005"/>
      <c r="D16" s="3046" t="s">
        <v>580</v>
      </c>
      <c r="E16" s="3005"/>
      <c r="F16" s="1237">
        <v>0</v>
      </c>
      <c r="G16" s="1237">
        <v>0</v>
      </c>
      <c r="H16" s="1237"/>
      <c r="I16" s="1237">
        <v>0</v>
      </c>
      <c r="J16" s="1237"/>
      <c r="K16" s="1237">
        <v>0</v>
      </c>
      <c r="L16" s="1237"/>
      <c r="M16" s="1237">
        <f>ROUND(SUM(O16)-SUM(K16),2)</f>
        <v>0</v>
      </c>
      <c r="N16" s="1237"/>
      <c r="O16" s="1237">
        <v>0</v>
      </c>
      <c r="P16" s="3057"/>
      <c r="Q16" s="3050"/>
    </row>
    <row r="17" spans="2:17" s="3037" customFormat="1" ht="15.75">
      <c r="B17" s="3045">
        <v>30102</v>
      </c>
      <c r="C17" s="3005"/>
      <c r="D17" s="3046" t="s">
        <v>581</v>
      </c>
      <c r="E17" s="3005"/>
      <c r="F17" s="1237">
        <v>0</v>
      </c>
      <c r="G17" s="1237">
        <v>0</v>
      </c>
      <c r="H17" s="1237"/>
      <c r="I17" s="1237">
        <v>0</v>
      </c>
      <c r="J17" s="1237"/>
      <c r="K17" s="1237">
        <v>0</v>
      </c>
      <c r="L17" s="1237"/>
      <c r="M17" s="1237">
        <f t="shared" ref="M17:M52" si="0">ROUND(SUM(O17)-SUM(K17),2)</f>
        <v>0</v>
      </c>
      <c r="N17" s="1237"/>
      <c r="O17" s="1237">
        <v>0</v>
      </c>
      <c r="P17" s="3057"/>
      <c r="Q17" s="3050"/>
    </row>
    <row r="18" spans="2:17" s="3037" customFormat="1" ht="15.75">
      <c r="B18" s="3045">
        <v>30103</v>
      </c>
      <c r="C18" s="3005"/>
      <c r="D18" s="3046" t="s">
        <v>582</v>
      </c>
      <c r="E18" s="3005"/>
      <c r="F18" s="1237">
        <v>0</v>
      </c>
      <c r="G18" s="1237">
        <v>0</v>
      </c>
      <c r="H18" s="1237"/>
      <c r="I18" s="1237">
        <v>0</v>
      </c>
      <c r="J18" s="1237"/>
      <c r="K18" s="1237">
        <v>0</v>
      </c>
      <c r="L18" s="1237"/>
      <c r="M18" s="1237">
        <f t="shared" si="0"/>
        <v>0</v>
      </c>
      <c r="N18" s="1237"/>
      <c r="O18" s="1237">
        <v>0</v>
      </c>
      <c r="P18" s="3057"/>
      <c r="Q18" s="3050"/>
    </row>
    <row r="19" spans="2:17" s="3037" customFormat="1" ht="15.75">
      <c r="B19" s="3045">
        <v>30104</v>
      </c>
      <c r="C19" s="3005"/>
      <c r="D19" s="3046" t="s">
        <v>583</v>
      </c>
      <c r="E19" s="3005"/>
      <c r="F19" s="1237">
        <v>140390.18</v>
      </c>
      <c r="G19" s="1237">
        <v>0</v>
      </c>
      <c r="H19" s="1237"/>
      <c r="I19" s="1237">
        <v>0</v>
      </c>
      <c r="J19" s="1237"/>
      <c r="K19" s="1237">
        <v>0</v>
      </c>
      <c r="L19" s="1237"/>
      <c r="M19" s="1237">
        <f t="shared" si="0"/>
        <v>0</v>
      </c>
      <c r="N19" s="1237"/>
      <c r="O19" s="1237">
        <v>0</v>
      </c>
      <c r="P19" s="3057"/>
      <c r="Q19" s="3050"/>
    </row>
    <row r="20" spans="2:17" s="3037" customFormat="1" ht="15.75">
      <c r="B20" s="3045">
        <v>30105</v>
      </c>
      <c r="C20" s="3005"/>
      <c r="D20" s="3046" t="s">
        <v>584</v>
      </c>
      <c r="E20" s="3005"/>
      <c r="F20" s="1237">
        <v>0</v>
      </c>
      <c r="G20" s="1237">
        <v>0</v>
      </c>
      <c r="H20" s="1237"/>
      <c r="I20" s="1237">
        <v>0</v>
      </c>
      <c r="J20" s="1237"/>
      <c r="K20" s="1237">
        <v>0</v>
      </c>
      <c r="L20" s="1237"/>
      <c r="M20" s="1237">
        <f t="shared" si="0"/>
        <v>0</v>
      </c>
      <c r="N20" s="1237"/>
      <c r="O20" s="1237">
        <v>0</v>
      </c>
      <c r="P20" s="3057"/>
      <c r="Q20" s="3050"/>
    </row>
    <row r="21" spans="2:17" s="3037" customFormat="1" ht="15.75">
      <c r="B21" s="3045">
        <v>30106</v>
      </c>
      <c r="C21" s="3005"/>
      <c r="D21" s="3046" t="s">
        <v>1025</v>
      </c>
      <c r="E21" s="3005"/>
      <c r="F21" s="1237">
        <v>0</v>
      </c>
      <c r="G21" s="1237">
        <v>0</v>
      </c>
      <c r="H21" s="1237"/>
      <c r="I21" s="1237">
        <v>0</v>
      </c>
      <c r="J21" s="1237"/>
      <c r="K21" s="1237">
        <v>0</v>
      </c>
      <c r="L21" s="1237"/>
      <c r="M21" s="1237">
        <f t="shared" si="0"/>
        <v>0</v>
      </c>
      <c r="N21" s="1237"/>
      <c r="O21" s="1237">
        <v>0</v>
      </c>
      <c r="P21" s="3057"/>
      <c r="Q21" s="3050"/>
    </row>
    <row r="22" spans="2:17" s="3037" customFormat="1" ht="15.75">
      <c r="B22" s="3045">
        <v>30107</v>
      </c>
      <c r="C22" s="3005"/>
      <c r="D22" s="3046" t="s">
        <v>585</v>
      </c>
      <c r="E22" s="3005"/>
      <c r="F22" s="1237">
        <v>0</v>
      </c>
      <c r="G22" s="1237">
        <v>0</v>
      </c>
      <c r="H22" s="1237"/>
      <c r="I22" s="1237">
        <v>0</v>
      </c>
      <c r="J22" s="1237"/>
      <c r="K22" s="1237">
        <v>0</v>
      </c>
      <c r="L22" s="1237"/>
      <c r="M22" s="1237">
        <f t="shared" si="0"/>
        <v>0</v>
      </c>
      <c r="N22" s="1237"/>
      <c r="O22" s="1237">
        <v>0</v>
      </c>
      <c r="P22" s="3057"/>
      <c r="Q22" s="3050"/>
    </row>
    <row r="23" spans="2:17" s="3037" customFormat="1" ht="15.75">
      <c r="B23" s="3045">
        <v>30108</v>
      </c>
      <c r="C23" s="3005"/>
      <c r="D23" s="3046" t="s">
        <v>1026</v>
      </c>
      <c r="E23" s="3005"/>
      <c r="F23" s="1237">
        <v>0</v>
      </c>
      <c r="G23" s="1237">
        <v>0</v>
      </c>
      <c r="H23" s="1237"/>
      <c r="I23" s="1237">
        <v>0</v>
      </c>
      <c r="J23" s="1237"/>
      <c r="K23" s="1237">
        <v>0</v>
      </c>
      <c r="L23" s="1237"/>
      <c r="M23" s="1237">
        <f t="shared" si="0"/>
        <v>0</v>
      </c>
      <c r="N23" s="1237"/>
      <c r="O23" s="1237">
        <v>0</v>
      </c>
      <c r="P23" s="3057"/>
      <c r="Q23" s="3050"/>
    </row>
    <row r="24" spans="2:17" s="3037" customFormat="1" ht="15.75">
      <c r="B24" s="3045">
        <v>30109</v>
      </c>
      <c r="C24" s="3005"/>
      <c r="D24" s="3046" t="s">
        <v>586</v>
      </c>
      <c r="E24" s="3005"/>
      <c r="F24" s="1237">
        <v>0</v>
      </c>
      <c r="G24" s="1237">
        <v>0</v>
      </c>
      <c r="H24" s="1237"/>
      <c r="I24" s="1237">
        <v>0</v>
      </c>
      <c r="J24" s="1237"/>
      <c r="K24" s="1237">
        <v>0</v>
      </c>
      <c r="L24" s="1237"/>
      <c r="M24" s="1237">
        <f t="shared" si="0"/>
        <v>0</v>
      </c>
      <c r="N24" s="1237"/>
      <c r="O24" s="1237">
        <v>0</v>
      </c>
      <c r="P24" s="3057"/>
      <c r="Q24" s="3050"/>
    </row>
    <row r="25" spans="2:17" s="3037" customFormat="1" ht="15.75">
      <c r="B25" s="3045">
        <v>30110</v>
      </c>
      <c r="C25" s="3005"/>
      <c r="D25" s="3046" t="s">
        <v>587</v>
      </c>
      <c r="E25" s="3005"/>
      <c r="F25" s="1237">
        <v>0</v>
      </c>
      <c r="G25" s="1237">
        <v>0</v>
      </c>
      <c r="H25" s="1237"/>
      <c r="I25" s="1237">
        <v>0</v>
      </c>
      <c r="J25" s="1237"/>
      <c r="K25" s="1237">
        <v>0</v>
      </c>
      <c r="L25" s="1237"/>
      <c r="M25" s="1237">
        <f t="shared" si="0"/>
        <v>0</v>
      </c>
      <c r="N25" s="1237"/>
      <c r="O25" s="1237">
        <v>0</v>
      </c>
      <c r="P25" s="3057"/>
      <c r="Q25" s="3050"/>
    </row>
    <row r="26" spans="2:17" s="3037" customFormat="1" ht="15.75">
      <c r="B26" s="3045">
        <v>30111</v>
      </c>
      <c r="C26" s="3005"/>
      <c r="D26" s="3046" t="s">
        <v>588</v>
      </c>
      <c r="E26" s="3005"/>
      <c r="F26" s="1237">
        <v>0</v>
      </c>
      <c r="G26" s="1237">
        <v>0</v>
      </c>
      <c r="H26" s="1237"/>
      <c r="I26" s="1237">
        <v>0</v>
      </c>
      <c r="J26" s="1237"/>
      <c r="K26" s="1237">
        <v>0</v>
      </c>
      <c r="L26" s="1237"/>
      <c r="M26" s="1237">
        <f t="shared" si="0"/>
        <v>0</v>
      </c>
      <c r="N26" s="1237"/>
      <c r="O26" s="1237">
        <v>0</v>
      </c>
      <c r="P26" s="3057"/>
      <c r="Q26" s="3050"/>
    </row>
    <row r="27" spans="2:17" s="3037" customFormat="1" ht="15.75">
      <c r="B27" s="3045">
        <v>30112</v>
      </c>
      <c r="C27" s="3005"/>
      <c r="D27" s="3046" t="s">
        <v>589</v>
      </c>
      <c r="E27" s="3005"/>
      <c r="F27" s="1237">
        <v>0</v>
      </c>
      <c r="G27" s="1237">
        <v>0</v>
      </c>
      <c r="H27" s="1237"/>
      <c r="I27" s="1237">
        <v>0</v>
      </c>
      <c r="J27" s="1237"/>
      <c r="K27" s="1237">
        <v>0</v>
      </c>
      <c r="L27" s="1237"/>
      <c r="M27" s="1237">
        <f t="shared" si="0"/>
        <v>0</v>
      </c>
      <c r="N27" s="1237"/>
      <c r="O27" s="1237">
        <v>0</v>
      </c>
      <c r="P27" s="3057"/>
      <c r="Q27" s="3050"/>
    </row>
    <row r="28" spans="2:17" s="3037" customFormat="1" ht="15.75">
      <c r="B28" s="3045">
        <v>30113</v>
      </c>
      <c r="C28" s="3005"/>
      <c r="D28" s="3046" t="s">
        <v>590</v>
      </c>
      <c r="E28" s="3005"/>
      <c r="F28" s="1237">
        <v>0</v>
      </c>
      <c r="G28" s="1237">
        <v>0</v>
      </c>
      <c r="H28" s="1237"/>
      <c r="I28" s="1237">
        <v>0</v>
      </c>
      <c r="J28" s="1237"/>
      <c r="K28" s="1237">
        <v>0</v>
      </c>
      <c r="L28" s="1237"/>
      <c r="M28" s="1237">
        <f t="shared" si="0"/>
        <v>0</v>
      </c>
      <c r="N28" s="1237"/>
      <c r="O28" s="1237">
        <v>0</v>
      </c>
      <c r="P28" s="3057"/>
      <c r="Q28" s="3050"/>
    </row>
    <row r="29" spans="2:17" s="3037" customFormat="1" ht="15.75">
      <c r="B29" s="3045">
        <v>30114</v>
      </c>
      <c r="C29" s="3005"/>
      <c r="D29" s="3046" t="s">
        <v>591</v>
      </c>
      <c r="E29" s="3005"/>
      <c r="F29" s="1237">
        <v>0</v>
      </c>
      <c r="G29" s="1237">
        <v>0</v>
      </c>
      <c r="H29" s="1237"/>
      <c r="I29" s="1237">
        <v>0</v>
      </c>
      <c r="J29" s="1237"/>
      <c r="K29" s="1237">
        <v>0</v>
      </c>
      <c r="L29" s="1237"/>
      <c r="M29" s="1237">
        <f t="shared" si="0"/>
        <v>0</v>
      </c>
      <c r="N29" s="1237"/>
      <c r="O29" s="1237">
        <v>0</v>
      </c>
      <c r="P29" s="3057"/>
      <c r="Q29" s="3050"/>
    </row>
    <row r="30" spans="2:17" s="3037" customFormat="1" ht="15.75">
      <c r="B30" s="3045">
        <v>30115</v>
      </c>
      <c r="C30" s="3005"/>
      <c r="D30" s="3046" t="s">
        <v>592</v>
      </c>
      <c r="E30" s="3005"/>
      <c r="F30" s="1237">
        <v>0</v>
      </c>
      <c r="G30" s="1237">
        <v>0</v>
      </c>
      <c r="H30" s="1237"/>
      <c r="I30" s="1237">
        <v>0</v>
      </c>
      <c r="J30" s="1237"/>
      <c r="K30" s="1237">
        <v>0</v>
      </c>
      <c r="L30" s="1237"/>
      <c r="M30" s="1237">
        <f t="shared" si="0"/>
        <v>0</v>
      </c>
      <c r="N30" s="1237"/>
      <c r="O30" s="1237">
        <v>0</v>
      </c>
      <c r="P30" s="3057"/>
      <c r="Q30" s="3050"/>
    </row>
    <row r="31" spans="2:17" s="3037" customFormat="1" ht="15.75">
      <c r="B31" s="3045">
        <v>30116</v>
      </c>
      <c r="C31" s="3005"/>
      <c r="D31" s="3046" t="s">
        <v>593</v>
      </c>
      <c r="E31" s="3005"/>
      <c r="F31" s="1237">
        <v>0</v>
      </c>
      <c r="G31" s="1237">
        <v>0</v>
      </c>
      <c r="H31" s="1237"/>
      <c r="I31" s="1237">
        <v>0</v>
      </c>
      <c r="J31" s="1237"/>
      <c r="K31" s="1237">
        <v>0</v>
      </c>
      <c r="L31" s="1237"/>
      <c r="M31" s="1237">
        <f t="shared" si="0"/>
        <v>0</v>
      </c>
      <c r="N31" s="1237"/>
      <c r="O31" s="1237">
        <v>0</v>
      </c>
      <c r="P31" s="3057"/>
      <c r="Q31" s="3050"/>
    </row>
    <row r="32" spans="2:17" s="3037" customFormat="1" ht="15.75">
      <c r="B32" s="3045">
        <v>30117</v>
      </c>
      <c r="C32" s="3005"/>
      <c r="D32" s="3046" t="s">
        <v>594</v>
      </c>
      <c r="E32" s="3005"/>
      <c r="F32" s="1237">
        <v>0</v>
      </c>
      <c r="G32" s="1237">
        <v>0</v>
      </c>
      <c r="H32" s="1237"/>
      <c r="I32" s="1237">
        <v>0</v>
      </c>
      <c r="J32" s="1237"/>
      <c r="K32" s="1237">
        <v>0</v>
      </c>
      <c r="L32" s="1237"/>
      <c r="M32" s="1237">
        <f t="shared" si="0"/>
        <v>0</v>
      </c>
      <c r="N32" s="1237"/>
      <c r="O32" s="1237">
        <v>0</v>
      </c>
      <c r="P32" s="3057"/>
      <c r="Q32" s="3050"/>
    </row>
    <row r="33" spans="2:17" s="3037" customFormat="1" ht="15.75">
      <c r="B33" s="3045">
        <v>30118</v>
      </c>
      <c r="C33" s="3005"/>
      <c r="D33" s="3046" t="s">
        <v>595</v>
      </c>
      <c r="E33" s="3005"/>
      <c r="F33" s="1237">
        <v>0</v>
      </c>
      <c r="G33" s="1237">
        <v>0</v>
      </c>
      <c r="H33" s="1237"/>
      <c r="I33" s="1237">
        <v>0</v>
      </c>
      <c r="J33" s="1237"/>
      <c r="K33" s="1237">
        <v>0</v>
      </c>
      <c r="L33" s="1237"/>
      <c r="M33" s="1237">
        <f t="shared" si="0"/>
        <v>0</v>
      </c>
      <c r="N33" s="1237"/>
      <c r="O33" s="1237">
        <v>0</v>
      </c>
      <c r="P33" s="3057"/>
      <c r="Q33" s="3050"/>
    </row>
    <row r="34" spans="2:17" s="3037" customFormat="1" ht="15.75">
      <c r="B34" s="3045">
        <v>30119</v>
      </c>
      <c r="C34" s="3005"/>
      <c r="D34" s="3046" t="s">
        <v>596</v>
      </c>
      <c r="E34" s="3005"/>
      <c r="F34" s="1237">
        <v>0</v>
      </c>
      <c r="G34" s="1237">
        <v>0</v>
      </c>
      <c r="H34" s="1237"/>
      <c r="I34" s="1237">
        <v>0</v>
      </c>
      <c r="J34" s="1237"/>
      <c r="K34" s="1237">
        <v>0</v>
      </c>
      <c r="L34" s="1237"/>
      <c r="M34" s="1237">
        <f t="shared" si="0"/>
        <v>0</v>
      </c>
      <c r="N34" s="1237"/>
      <c r="O34" s="1237">
        <v>0</v>
      </c>
      <c r="P34" s="3057"/>
      <c r="Q34" s="3050"/>
    </row>
    <row r="35" spans="2:17" s="3037" customFormat="1" ht="15.75">
      <c r="B35" s="3045">
        <v>30120</v>
      </c>
      <c r="C35" s="3005"/>
      <c r="D35" s="3046" t="s">
        <v>597</v>
      </c>
      <c r="E35" s="3005"/>
      <c r="F35" s="1237">
        <v>0</v>
      </c>
      <c r="G35" s="1237">
        <v>0</v>
      </c>
      <c r="H35" s="1237"/>
      <c r="I35" s="1237">
        <v>0</v>
      </c>
      <c r="J35" s="1237"/>
      <c r="K35" s="1237">
        <v>0</v>
      </c>
      <c r="L35" s="1237"/>
      <c r="M35" s="1237">
        <f t="shared" si="0"/>
        <v>0</v>
      </c>
      <c r="N35" s="1237"/>
      <c r="O35" s="1237">
        <v>0</v>
      </c>
      <c r="P35" s="3057"/>
      <c r="Q35" s="3050"/>
    </row>
    <row r="36" spans="2:17" s="3037" customFormat="1" ht="15.75">
      <c r="B36" s="3045">
        <v>30121</v>
      </c>
      <c r="C36" s="3005"/>
      <c r="D36" s="3046" t="s">
        <v>598</v>
      </c>
      <c r="E36" s="3005"/>
      <c r="F36" s="1237">
        <v>0</v>
      </c>
      <c r="G36" s="1237">
        <v>0</v>
      </c>
      <c r="H36" s="1237"/>
      <c r="I36" s="1237">
        <v>0</v>
      </c>
      <c r="J36" s="1237"/>
      <c r="K36" s="1237">
        <v>0</v>
      </c>
      <c r="L36" s="1237"/>
      <c r="M36" s="1237">
        <f t="shared" si="0"/>
        <v>0</v>
      </c>
      <c r="N36" s="1237"/>
      <c r="O36" s="1237">
        <v>0</v>
      </c>
      <c r="P36" s="3057"/>
      <c r="Q36" s="3050"/>
    </row>
    <row r="37" spans="2:17" s="3037" customFormat="1" ht="15.75">
      <c r="B37" s="3045">
        <v>30122</v>
      </c>
      <c r="C37" s="3005"/>
      <c r="D37" s="3046" t="s">
        <v>599</v>
      </c>
      <c r="E37" s="3005"/>
      <c r="F37" s="1237">
        <v>0</v>
      </c>
      <c r="G37" s="1237">
        <v>0</v>
      </c>
      <c r="H37" s="1237"/>
      <c r="I37" s="1237">
        <v>0</v>
      </c>
      <c r="J37" s="1237"/>
      <c r="K37" s="1237">
        <v>0</v>
      </c>
      <c r="L37" s="1237"/>
      <c r="M37" s="1237">
        <f t="shared" si="0"/>
        <v>0</v>
      </c>
      <c r="N37" s="1237"/>
      <c r="O37" s="1237">
        <v>0</v>
      </c>
      <c r="P37" s="3057"/>
      <c r="Q37" s="3050"/>
    </row>
    <row r="38" spans="2:17" s="3037" customFormat="1" ht="15.75">
      <c r="B38" s="3045">
        <v>30123</v>
      </c>
      <c r="C38" s="3005"/>
      <c r="D38" s="3046" t="s">
        <v>600</v>
      </c>
      <c r="E38" s="3005"/>
      <c r="F38" s="1237">
        <v>0</v>
      </c>
      <c r="G38" s="1237">
        <v>0</v>
      </c>
      <c r="H38" s="1237"/>
      <c r="I38" s="1237">
        <v>0</v>
      </c>
      <c r="J38" s="1237"/>
      <c r="K38" s="1237">
        <v>0</v>
      </c>
      <c r="L38" s="1237"/>
      <c r="M38" s="1237">
        <f t="shared" si="0"/>
        <v>0</v>
      </c>
      <c r="N38" s="1237"/>
      <c r="O38" s="1237">
        <v>0</v>
      </c>
      <c r="P38" s="3057"/>
      <c r="Q38" s="3050"/>
    </row>
    <row r="39" spans="2:17" s="3037" customFormat="1" ht="15.75">
      <c r="B39" s="3045">
        <v>30124</v>
      </c>
      <c r="C39" s="3005"/>
      <c r="D39" s="3046" t="s">
        <v>601</v>
      </c>
      <c r="E39" s="3005"/>
      <c r="F39" s="1237">
        <v>0</v>
      </c>
      <c r="G39" s="1237">
        <v>0</v>
      </c>
      <c r="H39" s="1237"/>
      <c r="I39" s="1237">
        <v>0</v>
      </c>
      <c r="J39" s="1237"/>
      <c r="K39" s="1237">
        <v>0</v>
      </c>
      <c r="L39" s="1237"/>
      <c r="M39" s="1237">
        <f t="shared" si="0"/>
        <v>0</v>
      </c>
      <c r="N39" s="1237"/>
      <c r="O39" s="1237">
        <v>0</v>
      </c>
      <c r="P39" s="3057"/>
      <c r="Q39" s="3050"/>
    </row>
    <row r="40" spans="2:17" s="3037" customFormat="1" ht="15.75">
      <c r="B40" s="3045">
        <v>30125</v>
      </c>
      <c r="C40" s="3005"/>
      <c r="D40" s="3046" t="s">
        <v>602</v>
      </c>
      <c r="E40" s="3005"/>
      <c r="F40" s="1237">
        <v>0</v>
      </c>
      <c r="G40" s="1237">
        <v>0</v>
      </c>
      <c r="H40" s="1237"/>
      <c r="I40" s="1237">
        <v>0</v>
      </c>
      <c r="J40" s="1237"/>
      <c r="K40" s="1237">
        <v>0</v>
      </c>
      <c r="L40" s="1237"/>
      <c r="M40" s="1237">
        <f t="shared" si="0"/>
        <v>0</v>
      </c>
      <c r="N40" s="1237"/>
      <c r="O40" s="1237">
        <v>0</v>
      </c>
      <c r="P40" s="3057"/>
      <c r="Q40" s="3050"/>
    </row>
    <row r="41" spans="2:17" s="3037" customFormat="1" ht="15.75">
      <c r="B41" s="3045">
        <v>30126</v>
      </c>
      <c r="C41" s="3005"/>
      <c r="D41" s="3046" t="s">
        <v>603</v>
      </c>
      <c r="E41" s="3005"/>
      <c r="F41" s="1237">
        <v>0</v>
      </c>
      <c r="G41" s="1237">
        <v>0</v>
      </c>
      <c r="H41" s="1237"/>
      <c r="I41" s="1237">
        <v>0</v>
      </c>
      <c r="J41" s="1237"/>
      <c r="K41" s="1237">
        <v>0</v>
      </c>
      <c r="L41" s="1237"/>
      <c r="M41" s="1237">
        <f t="shared" si="0"/>
        <v>0</v>
      </c>
      <c r="N41" s="1237"/>
      <c r="O41" s="1237">
        <v>0</v>
      </c>
      <c r="P41" s="3057"/>
      <c r="Q41" s="3050"/>
    </row>
    <row r="42" spans="2:17" s="3037" customFormat="1" ht="15.75">
      <c r="B42" s="3045">
        <v>30127</v>
      </c>
      <c r="C42" s="3005"/>
      <c r="D42" s="3046" t="s">
        <v>604</v>
      </c>
      <c r="E42" s="3005"/>
      <c r="F42" s="1237">
        <v>0</v>
      </c>
      <c r="G42" s="1237">
        <v>0</v>
      </c>
      <c r="H42" s="1237"/>
      <c r="I42" s="1237">
        <v>0</v>
      </c>
      <c r="J42" s="1237"/>
      <c r="K42" s="1237">
        <v>0</v>
      </c>
      <c r="L42" s="1237"/>
      <c r="M42" s="1237">
        <f t="shared" si="0"/>
        <v>0</v>
      </c>
      <c r="N42" s="1237"/>
      <c r="O42" s="1237">
        <v>0</v>
      </c>
      <c r="P42" s="3057"/>
      <c r="Q42" s="3050"/>
    </row>
    <row r="43" spans="2:17" s="3037" customFormat="1" ht="15.75">
      <c r="B43" s="3045">
        <v>30128</v>
      </c>
      <c r="C43" s="3005"/>
      <c r="D43" s="3046" t="s">
        <v>605</v>
      </c>
      <c r="E43" s="3005"/>
      <c r="F43" s="1237">
        <v>0</v>
      </c>
      <c r="G43" s="1237">
        <v>0</v>
      </c>
      <c r="H43" s="1237"/>
      <c r="I43" s="1237">
        <v>0</v>
      </c>
      <c r="J43" s="1237"/>
      <c r="K43" s="1237">
        <v>0</v>
      </c>
      <c r="L43" s="1237"/>
      <c r="M43" s="1237">
        <f t="shared" si="0"/>
        <v>0</v>
      </c>
      <c r="N43" s="1237"/>
      <c r="O43" s="1237">
        <v>0</v>
      </c>
      <c r="P43" s="3057"/>
      <c r="Q43" s="3050"/>
    </row>
    <row r="44" spans="2:17" s="3037" customFormat="1" ht="15.75">
      <c r="B44" s="3045">
        <v>30129</v>
      </c>
      <c r="C44" s="3005"/>
      <c r="D44" s="3046" t="s">
        <v>606</v>
      </c>
      <c r="E44" s="3005"/>
      <c r="F44" s="1237">
        <v>0</v>
      </c>
      <c r="G44" s="1237">
        <v>0</v>
      </c>
      <c r="H44" s="1237"/>
      <c r="I44" s="1237">
        <v>0</v>
      </c>
      <c r="J44" s="1237"/>
      <c r="K44" s="1237">
        <v>0</v>
      </c>
      <c r="L44" s="1237"/>
      <c r="M44" s="1237">
        <f t="shared" si="0"/>
        <v>0</v>
      </c>
      <c r="N44" s="1237"/>
      <c r="O44" s="1237">
        <v>0</v>
      </c>
      <c r="P44" s="3057"/>
      <c r="Q44" s="3050"/>
    </row>
    <row r="45" spans="2:17" s="3037" customFormat="1" ht="15.75">
      <c r="B45" s="3045">
        <v>30130</v>
      </c>
      <c r="C45" s="3005"/>
      <c r="D45" s="3046" t="s">
        <v>607</v>
      </c>
      <c r="E45" s="3005"/>
      <c r="F45" s="1237">
        <v>0</v>
      </c>
      <c r="G45" s="1237">
        <v>0</v>
      </c>
      <c r="H45" s="1237"/>
      <c r="I45" s="1237">
        <v>0</v>
      </c>
      <c r="J45" s="1237"/>
      <c r="K45" s="1237">
        <v>0</v>
      </c>
      <c r="L45" s="1237"/>
      <c r="M45" s="1237">
        <f t="shared" si="0"/>
        <v>0</v>
      </c>
      <c r="N45" s="1237"/>
      <c r="O45" s="1237">
        <v>0</v>
      </c>
      <c r="P45" s="3057"/>
      <c r="Q45" s="3050"/>
    </row>
    <row r="46" spans="2:17" s="3037" customFormat="1" ht="15.75">
      <c r="B46" s="3045">
        <v>30131</v>
      </c>
      <c r="C46" s="3005"/>
      <c r="D46" s="3046" t="s">
        <v>608</v>
      </c>
      <c r="E46" s="3005"/>
      <c r="F46" s="1237">
        <v>0</v>
      </c>
      <c r="G46" s="1237">
        <v>0</v>
      </c>
      <c r="H46" s="1237"/>
      <c r="I46" s="1237">
        <v>0</v>
      </c>
      <c r="J46" s="1237"/>
      <c r="K46" s="1237">
        <v>0</v>
      </c>
      <c r="L46" s="1237"/>
      <c r="M46" s="1237">
        <f t="shared" si="0"/>
        <v>0</v>
      </c>
      <c r="N46" s="1237"/>
      <c r="O46" s="1237">
        <v>0</v>
      </c>
      <c r="P46" s="3057"/>
      <c r="Q46" s="3050"/>
    </row>
    <row r="47" spans="2:17" s="3037" customFormat="1" ht="15.75">
      <c r="B47" s="3045">
        <v>30132</v>
      </c>
      <c r="C47" s="3005"/>
      <c r="D47" s="3046" t="s">
        <v>609</v>
      </c>
      <c r="E47" s="3005"/>
      <c r="F47" s="1237">
        <v>0</v>
      </c>
      <c r="G47" s="1237">
        <v>0</v>
      </c>
      <c r="H47" s="1237"/>
      <c r="I47" s="1237">
        <v>0</v>
      </c>
      <c r="J47" s="1237"/>
      <c r="K47" s="1237">
        <v>0</v>
      </c>
      <c r="L47" s="1237"/>
      <c r="M47" s="1237">
        <f t="shared" si="0"/>
        <v>0</v>
      </c>
      <c r="N47" s="1237"/>
      <c r="O47" s="1237">
        <v>0</v>
      </c>
      <c r="P47" s="3057"/>
      <c r="Q47" s="3050"/>
    </row>
    <row r="48" spans="2:17" s="3037" customFormat="1" ht="15.75">
      <c r="B48" s="3045">
        <v>30133</v>
      </c>
      <c r="C48" s="3005"/>
      <c r="D48" s="3046" t="s">
        <v>610</v>
      </c>
      <c r="E48" s="3005"/>
      <c r="F48" s="1237">
        <v>0</v>
      </c>
      <c r="G48" s="1237">
        <v>0</v>
      </c>
      <c r="H48" s="1237"/>
      <c r="I48" s="1237">
        <v>0</v>
      </c>
      <c r="J48" s="1237"/>
      <c r="K48" s="1237">
        <v>0</v>
      </c>
      <c r="L48" s="1237"/>
      <c r="M48" s="1237">
        <f t="shared" si="0"/>
        <v>0</v>
      </c>
      <c r="N48" s="1237"/>
      <c r="O48" s="1237">
        <v>0</v>
      </c>
      <c r="P48" s="3057"/>
      <c r="Q48" s="3050"/>
    </row>
    <row r="49" spans="2:17" s="3037" customFormat="1" ht="15.75">
      <c r="B49" s="3045">
        <v>30134</v>
      </c>
      <c r="C49" s="3005"/>
      <c r="D49" s="3046" t="s">
        <v>611</v>
      </c>
      <c r="E49" s="3005"/>
      <c r="F49" s="1237">
        <v>0</v>
      </c>
      <c r="G49" s="1237">
        <v>0</v>
      </c>
      <c r="H49" s="1237"/>
      <c r="I49" s="1237">
        <v>0</v>
      </c>
      <c r="J49" s="1237"/>
      <c r="K49" s="1237">
        <v>0</v>
      </c>
      <c r="L49" s="1237"/>
      <c r="M49" s="1237">
        <f t="shared" si="0"/>
        <v>0</v>
      </c>
      <c r="N49" s="1237"/>
      <c r="O49" s="1237">
        <v>0</v>
      </c>
      <c r="P49" s="3057"/>
      <c r="Q49" s="3050"/>
    </row>
    <row r="50" spans="2:17" s="3037" customFormat="1" ht="15.75">
      <c r="B50" s="3045">
        <v>30135</v>
      </c>
      <c r="C50" s="3005"/>
      <c r="D50" s="3046" t="s">
        <v>612</v>
      </c>
      <c r="E50" s="3005"/>
      <c r="F50" s="1237">
        <v>0</v>
      </c>
      <c r="G50" s="1237">
        <v>0</v>
      </c>
      <c r="H50" s="1237"/>
      <c r="I50" s="1237">
        <v>0</v>
      </c>
      <c r="J50" s="1237"/>
      <c r="K50" s="1237">
        <v>0</v>
      </c>
      <c r="L50" s="1237"/>
      <c r="M50" s="1237">
        <f t="shared" si="0"/>
        <v>0</v>
      </c>
      <c r="N50" s="1237"/>
      <c r="O50" s="1237">
        <v>0</v>
      </c>
      <c r="P50" s="3057"/>
      <c r="Q50" s="3050"/>
    </row>
    <row r="51" spans="2:17" s="3037" customFormat="1" ht="15.75">
      <c r="B51" s="3045">
        <v>30136</v>
      </c>
      <c r="C51" s="3005"/>
      <c r="D51" s="3046" t="s">
        <v>613</v>
      </c>
      <c r="E51" s="3005"/>
      <c r="F51" s="1237">
        <v>0</v>
      </c>
      <c r="G51" s="1237">
        <v>0</v>
      </c>
      <c r="H51" s="1237"/>
      <c r="I51" s="1237">
        <v>0</v>
      </c>
      <c r="J51" s="1237"/>
      <c r="K51" s="1237">
        <v>0</v>
      </c>
      <c r="L51" s="1237"/>
      <c r="M51" s="1237">
        <f t="shared" si="0"/>
        <v>0</v>
      </c>
      <c r="N51" s="1237"/>
      <c r="O51" s="1237">
        <v>0</v>
      </c>
      <c r="P51" s="3057"/>
      <c r="Q51" s="3050"/>
    </row>
    <row r="52" spans="2:17" s="3037" customFormat="1" ht="15.75">
      <c r="B52" s="3045">
        <v>30137</v>
      </c>
      <c r="C52" s="3005"/>
      <c r="D52" s="3046" t="s">
        <v>614</v>
      </c>
      <c r="E52" s="3005"/>
      <c r="F52" s="1237">
        <v>2867.69</v>
      </c>
      <c r="G52" s="1237">
        <v>0</v>
      </c>
      <c r="H52" s="1237"/>
      <c r="I52" s="1237">
        <v>0</v>
      </c>
      <c r="J52" s="1237"/>
      <c r="K52" s="1237">
        <v>0</v>
      </c>
      <c r="L52" s="1237"/>
      <c r="M52" s="1237">
        <f t="shared" si="0"/>
        <v>0</v>
      </c>
      <c r="N52" s="1237"/>
      <c r="O52" s="1237">
        <v>0</v>
      </c>
      <c r="P52" s="3057"/>
      <c r="Q52" s="3050"/>
    </row>
    <row r="53" spans="2:17" s="3037" customFormat="1" ht="15.75">
      <c r="B53" s="3045">
        <v>30138</v>
      </c>
      <c r="C53" s="3005"/>
      <c r="D53" s="3046" t="s">
        <v>615</v>
      </c>
      <c r="E53" s="3005"/>
      <c r="F53" s="1237">
        <v>0</v>
      </c>
      <c r="G53" s="1237">
        <v>0</v>
      </c>
      <c r="H53" s="1237"/>
      <c r="I53" s="1237">
        <v>0</v>
      </c>
      <c r="J53" s="1237"/>
      <c r="K53" s="1237">
        <v>0</v>
      </c>
      <c r="L53" s="1237"/>
      <c r="M53" s="1237">
        <f t="shared" ref="M53:M75" si="1">ROUND(SUM(O53)-SUM(K53),2)</f>
        <v>0</v>
      </c>
      <c r="N53" s="1237"/>
      <c r="O53" s="1237">
        <v>0</v>
      </c>
      <c r="P53" s="3057"/>
      <c r="Q53" s="3050"/>
    </row>
    <row r="54" spans="2:17" s="3037" customFormat="1" ht="15.75">
      <c r="B54" s="3045">
        <v>30139</v>
      </c>
      <c r="C54" s="3005"/>
      <c r="D54" s="3046" t="s">
        <v>616</v>
      </c>
      <c r="E54" s="3005"/>
      <c r="F54" s="1237">
        <v>0</v>
      </c>
      <c r="G54" s="1237">
        <v>0</v>
      </c>
      <c r="H54" s="1237"/>
      <c r="I54" s="1237">
        <v>0</v>
      </c>
      <c r="J54" s="1237"/>
      <c r="K54" s="1237">
        <v>0</v>
      </c>
      <c r="L54" s="1237"/>
      <c r="M54" s="1237">
        <f t="shared" si="1"/>
        <v>0</v>
      </c>
      <c r="N54" s="1237"/>
      <c r="O54" s="1237">
        <v>0</v>
      </c>
      <c r="P54" s="3057"/>
      <c r="Q54" s="3050"/>
    </row>
    <row r="55" spans="2:17" s="3037" customFormat="1" ht="15.75">
      <c r="B55" s="3045">
        <v>30140</v>
      </c>
      <c r="C55" s="3005"/>
      <c r="D55" s="3046" t="s">
        <v>617</v>
      </c>
      <c r="E55" s="3005"/>
      <c r="F55" s="1237">
        <v>0</v>
      </c>
      <c r="G55" s="1237">
        <v>0</v>
      </c>
      <c r="H55" s="1237"/>
      <c r="I55" s="1237">
        <v>0</v>
      </c>
      <c r="J55" s="1237"/>
      <c r="K55" s="1237">
        <v>0</v>
      </c>
      <c r="L55" s="1237"/>
      <c r="M55" s="1237">
        <f t="shared" si="1"/>
        <v>0</v>
      </c>
      <c r="N55" s="1237"/>
      <c r="O55" s="1237">
        <v>0</v>
      </c>
      <c r="P55" s="3057"/>
      <c r="Q55" s="3050"/>
    </row>
    <row r="56" spans="2:17" s="3037" customFormat="1" ht="15.75">
      <c r="B56" s="3045">
        <v>30141</v>
      </c>
      <c r="C56" s="3005"/>
      <c r="D56" s="3046" t="s">
        <v>618</v>
      </c>
      <c r="E56" s="3005"/>
      <c r="F56" s="1237">
        <v>0</v>
      </c>
      <c r="G56" s="1237">
        <v>0</v>
      </c>
      <c r="H56" s="1237"/>
      <c r="I56" s="1237">
        <v>0</v>
      </c>
      <c r="J56" s="1237"/>
      <c r="K56" s="1237">
        <v>0</v>
      </c>
      <c r="L56" s="1237"/>
      <c r="M56" s="1237">
        <f t="shared" si="1"/>
        <v>0</v>
      </c>
      <c r="N56" s="1237"/>
      <c r="O56" s="1237">
        <v>0</v>
      </c>
      <c r="P56" s="3057"/>
      <c r="Q56" s="3050"/>
    </row>
    <row r="57" spans="2:17" s="3037" customFormat="1" ht="15.75">
      <c r="B57" s="3045">
        <v>30142</v>
      </c>
      <c r="C57" s="3005"/>
      <c r="D57" s="3046" t="s">
        <v>619</v>
      </c>
      <c r="E57" s="3005"/>
      <c r="F57" s="1237">
        <v>0</v>
      </c>
      <c r="G57" s="1237">
        <v>0</v>
      </c>
      <c r="H57" s="1237"/>
      <c r="I57" s="1237">
        <v>0</v>
      </c>
      <c r="J57" s="1237"/>
      <c r="K57" s="1237">
        <v>0</v>
      </c>
      <c r="L57" s="1237"/>
      <c r="M57" s="1237">
        <f t="shared" si="1"/>
        <v>0</v>
      </c>
      <c r="N57" s="1237"/>
      <c r="O57" s="1237">
        <v>0</v>
      </c>
      <c r="P57" s="3057"/>
      <c r="Q57" s="3050"/>
    </row>
    <row r="58" spans="2:17" s="3037" customFormat="1" ht="15.75">
      <c r="B58" s="3045">
        <v>30143</v>
      </c>
      <c r="C58" s="3005"/>
      <c r="D58" s="3046" t="s">
        <v>620</v>
      </c>
      <c r="E58" s="3005"/>
      <c r="F58" s="1237">
        <v>0</v>
      </c>
      <c r="G58" s="1237">
        <v>0</v>
      </c>
      <c r="H58" s="1237"/>
      <c r="I58" s="1237">
        <v>0</v>
      </c>
      <c r="J58" s="1237"/>
      <c r="K58" s="1237">
        <v>0</v>
      </c>
      <c r="L58" s="1237"/>
      <c r="M58" s="1237">
        <f t="shared" si="1"/>
        <v>0</v>
      </c>
      <c r="N58" s="1237"/>
      <c r="O58" s="1237">
        <v>0</v>
      </c>
      <c r="P58" s="3057"/>
      <c r="Q58" s="3050"/>
    </row>
    <row r="59" spans="2:17" s="3037" customFormat="1" ht="15.75">
      <c r="B59" s="3045">
        <v>30144</v>
      </c>
      <c r="C59" s="3005"/>
      <c r="D59" s="3046" t="s">
        <v>621</v>
      </c>
      <c r="E59" s="3005"/>
      <c r="F59" s="1237">
        <v>0</v>
      </c>
      <c r="G59" s="1237">
        <v>0</v>
      </c>
      <c r="H59" s="1237"/>
      <c r="I59" s="1237">
        <v>0</v>
      </c>
      <c r="J59" s="1237"/>
      <c r="K59" s="1237">
        <v>0</v>
      </c>
      <c r="L59" s="1237"/>
      <c r="M59" s="1237">
        <f t="shared" si="1"/>
        <v>0</v>
      </c>
      <c r="N59" s="1237"/>
      <c r="O59" s="1237">
        <v>0</v>
      </c>
      <c r="P59" s="3057"/>
      <c r="Q59" s="3050"/>
    </row>
    <row r="60" spans="2:17" s="3037" customFormat="1" ht="15.75">
      <c r="B60" s="3045">
        <v>30145</v>
      </c>
      <c r="C60" s="3005"/>
      <c r="D60" s="3046" t="s">
        <v>622</v>
      </c>
      <c r="E60" s="3005"/>
      <c r="F60" s="1237">
        <v>0</v>
      </c>
      <c r="G60" s="1237">
        <v>0</v>
      </c>
      <c r="H60" s="1237"/>
      <c r="I60" s="1237">
        <v>0</v>
      </c>
      <c r="J60" s="1237"/>
      <c r="K60" s="1237">
        <v>0</v>
      </c>
      <c r="L60" s="1237"/>
      <c r="M60" s="1237">
        <f t="shared" si="1"/>
        <v>0</v>
      </c>
      <c r="N60" s="1237"/>
      <c r="O60" s="1237">
        <v>0</v>
      </c>
      <c r="P60" s="3057"/>
      <c r="Q60" s="3050"/>
    </row>
    <row r="61" spans="2:17" s="3037" customFormat="1" ht="15.75">
      <c r="B61" s="3045">
        <v>30146</v>
      </c>
      <c r="C61" s="3005"/>
      <c r="D61" s="3046" t="s">
        <v>623</v>
      </c>
      <c r="E61" s="3005"/>
      <c r="F61" s="1237">
        <v>0</v>
      </c>
      <c r="G61" s="1237">
        <v>0</v>
      </c>
      <c r="H61" s="1237"/>
      <c r="I61" s="1237">
        <v>0</v>
      </c>
      <c r="J61" s="1237"/>
      <c r="K61" s="1237">
        <v>0</v>
      </c>
      <c r="L61" s="1237"/>
      <c r="M61" s="1237">
        <f t="shared" si="1"/>
        <v>0</v>
      </c>
      <c r="N61" s="1237"/>
      <c r="O61" s="1237">
        <v>0</v>
      </c>
      <c r="P61" s="3057"/>
      <c r="Q61" s="3050"/>
    </row>
    <row r="62" spans="2:17" s="3037" customFormat="1" ht="15.75">
      <c r="B62" s="3045">
        <v>30147</v>
      </c>
      <c r="C62" s="3005"/>
      <c r="D62" s="3046" t="s">
        <v>624</v>
      </c>
      <c r="E62" s="3005"/>
      <c r="F62" s="1237">
        <v>0</v>
      </c>
      <c r="G62" s="1237">
        <v>0</v>
      </c>
      <c r="H62" s="1237"/>
      <c r="I62" s="1237">
        <v>0</v>
      </c>
      <c r="J62" s="1237"/>
      <c r="K62" s="1237">
        <v>0</v>
      </c>
      <c r="L62" s="1237"/>
      <c r="M62" s="1237">
        <f t="shared" si="1"/>
        <v>0</v>
      </c>
      <c r="N62" s="1237"/>
      <c r="O62" s="1237">
        <v>0</v>
      </c>
      <c r="P62" s="3057"/>
      <c r="Q62" s="3050"/>
    </row>
    <row r="63" spans="2:17" s="3037" customFormat="1" ht="15.75">
      <c r="B63" s="3045">
        <v>30148</v>
      </c>
      <c r="C63" s="3005"/>
      <c r="D63" s="3046" t="s">
        <v>625</v>
      </c>
      <c r="E63" s="3005"/>
      <c r="F63" s="1237">
        <v>0</v>
      </c>
      <c r="G63" s="1237">
        <v>0</v>
      </c>
      <c r="H63" s="1237"/>
      <c r="I63" s="1237">
        <v>0</v>
      </c>
      <c r="J63" s="1237"/>
      <c r="K63" s="1237">
        <v>0</v>
      </c>
      <c r="L63" s="1237"/>
      <c r="M63" s="1237">
        <f t="shared" si="1"/>
        <v>0</v>
      </c>
      <c r="N63" s="1237"/>
      <c r="O63" s="1237">
        <v>0</v>
      </c>
      <c r="P63" s="3057"/>
      <c r="Q63" s="3050"/>
    </row>
    <row r="64" spans="2:17" s="3037" customFormat="1" ht="15.75">
      <c r="B64" s="3045">
        <v>30149</v>
      </c>
      <c r="C64" s="3005"/>
      <c r="D64" s="3046" t="s">
        <v>626</v>
      </c>
      <c r="E64" s="3005"/>
      <c r="F64" s="1237">
        <v>0</v>
      </c>
      <c r="G64" s="1237">
        <v>0</v>
      </c>
      <c r="H64" s="1237"/>
      <c r="I64" s="1237">
        <v>0</v>
      </c>
      <c r="J64" s="1237"/>
      <c r="K64" s="1237">
        <v>0</v>
      </c>
      <c r="L64" s="1237"/>
      <c r="M64" s="1237">
        <f t="shared" si="1"/>
        <v>0</v>
      </c>
      <c r="N64" s="1237"/>
      <c r="O64" s="1237">
        <v>0</v>
      </c>
      <c r="P64" s="3057"/>
      <c r="Q64" s="3050"/>
    </row>
    <row r="65" spans="2:17" s="3037" customFormat="1" ht="15.75">
      <c r="B65" s="3045">
        <v>30150</v>
      </c>
      <c r="C65" s="3005"/>
      <c r="D65" s="3046" t="s">
        <v>627</v>
      </c>
      <c r="E65" s="3005"/>
      <c r="F65" s="1237">
        <v>0</v>
      </c>
      <c r="G65" s="1237">
        <v>0</v>
      </c>
      <c r="H65" s="1237"/>
      <c r="I65" s="1237">
        <v>0</v>
      </c>
      <c r="J65" s="1237"/>
      <c r="K65" s="1237">
        <v>0</v>
      </c>
      <c r="L65" s="1237"/>
      <c r="M65" s="1237">
        <f t="shared" si="1"/>
        <v>0</v>
      </c>
      <c r="N65" s="1237"/>
      <c r="O65" s="1237">
        <v>0</v>
      </c>
      <c r="P65" s="3057"/>
      <c r="Q65" s="3050"/>
    </row>
    <row r="66" spans="2:17" s="3037" customFormat="1" ht="15.75">
      <c r="B66" s="3045">
        <v>30151</v>
      </c>
      <c r="C66" s="3005"/>
      <c r="D66" s="3046" t="s">
        <v>628</v>
      </c>
      <c r="E66" s="3005"/>
      <c r="F66" s="1237">
        <v>0</v>
      </c>
      <c r="G66" s="1237">
        <v>0</v>
      </c>
      <c r="H66" s="1237"/>
      <c r="I66" s="1237">
        <v>0</v>
      </c>
      <c r="J66" s="1237"/>
      <c r="K66" s="1237">
        <v>0</v>
      </c>
      <c r="L66" s="1237"/>
      <c r="M66" s="1237">
        <f t="shared" si="1"/>
        <v>0</v>
      </c>
      <c r="N66" s="1237"/>
      <c r="O66" s="1237">
        <v>0</v>
      </c>
      <c r="P66" s="3057"/>
      <c r="Q66" s="3050"/>
    </row>
    <row r="67" spans="2:17" s="3037" customFormat="1" ht="15.75">
      <c r="B67" s="3045">
        <v>30152</v>
      </c>
      <c r="C67" s="3005"/>
      <c r="D67" s="3046" t="s">
        <v>629</v>
      </c>
      <c r="E67" s="3005"/>
      <c r="F67" s="1237">
        <v>0</v>
      </c>
      <c r="G67" s="1237">
        <v>0</v>
      </c>
      <c r="H67" s="1237"/>
      <c r="I67" s="1237">
        <v>0</v>
      </c>
      <c r="J67" s="1237"/>
      <c r="K67" s="1237">
        <v>0</v>
      </c>
      <c r="L67" s="1237"/>
      <c r="M67" s="1237">
        <f t="shared" si="1"/>
        <v>0</v>
      </c>
      <c r="N67" s="1237"/>
      <c r="O67" s="1237">
        <v>0</v>
      </c>
      <c r="P67" s="3057"/>
      <c r="Q67" s="3050"/>
    </row>
    <row r="68" spans="2:17" s="3037" customFormat="1" ht="15.75">
      <c r="B68" s="3045">
        <v>30153</v>
      </c>
      <c r="C68" s="3005"/>
      <c r="D68" s="3046" t="s">
        <v>630</v>
      </c>
      <c r="E68" s="3005"/>
      <c r="F68" s="1237">
        <v>0</v>
      </c>
      <c r="G68" s="1237">
        <v>0</v>
      </c>
      <c r="H68" s="1237"/>
      <c r="I68" s="1237">
        <v>0</v>
      </c>
      <c r="J68" s="1237"/>
      <c r="K68" s="1237">
        <v>0</v>
      </c>
      <c r="L68" s="1237"/>
      <c r="M68" s="1237">
        <f t="shared" si="1"/>
        <v>0</v>
      </c>
      <c r="N68" s="1237"/>
      <c r="O68" s="1237">
        <v>0</v>
      </c>
      <c r="P68" s="3057"/>
      <c r="Q68" s="3050"/>
    </row>
    <row r="69" spans="2:17" s="3037" customFormat="1" ht="15.75">
      <c r="B69" s="3045">
        <v>30154</v>
      </c>
      <c r="C69" s="3005"/>
      <c r="D69" s="3046" t="s">
        <v>631</v>
      </c>
      <c r="E69" s="3005"/>
      <c r="F69" s="1237">
        <v>0</v>
      </c>
      <c r="G69" s="1237">
        <v>0</v>
      </c>
      <c r="H69" s="1237"/>
      <c r="I69" s="1237">
        <v>0</v>
      </c>
      <c r="J69" s="1237"/>
      <c r="K69" s="1237">
        <v>0</v>
      </c>
      <c r="L69" s="1237"/>
      <c r="M69" s="1237">
        <f t="shared" si="1"/>
        <v>0</v>
      </c>
      <c r="N69" s="1237"/>
      <c r="O69" s="1237">
        <v>0</v>
      </c>
      <c r="P69" s="3057"/>
      <c r="Q69" s="3050"/>
    </row>
    <row r="70" spans="2:17" s="3037" customFormat="1" ht="15.75">
      <c r="B70" s="3045">
        <v>30351</v>
      </c>
      <c r="C70" s="3005"/>
      <c r="D70" s="3046" t="s">
        <v>632</v>
      </c>
      <c r="E70" s="3005"/>
      <c r="F70" s="1237">
        <v>72792259.140000001</v>
      </c>
      <c r="G70" s="1237">
        <v>32095838.600000001</v>
      </c>
      <c r="H70" s="1237"/>
      <c r="I70" s="1237">
        <v>43774413.380000003</v>
      </c>
      <c r="J70" s="1237"/>
      <c r="K70" s="1237">
        <v>55624767.399999999</v>
      </c>
      <c r="L70" s="1237"/>
      <c r="M70" s="1237">
        <f t="shared" si="1"/>
        <v>9276306.1799999997</v>
      </c>
      <c r="N70" s="1237"/>
      <c r="O70" s="1237">
        <v>64901073.579999998</v>
      </c>
      <c r="P70" s="3057"/>
      <c r="Q70" s="3050"/>
    </row>
    <row r="71" spans="2:17" s="3037" customFormat="1" ht="15.75">
      <c r="B71" s="3045">
        <v>30501</v>
      </c>
      <c r="C71" s="3005"/>
      <c r="D71" s="3046" t="s">
        <v>633</v>
      </c>
      <c r="E71" s="3005"/>
      <c r="F71" s="1237">
        <v>169.29</v>
      </c>
      <c r="G71" s="1237">
        <v>0</v>
      </c>
      <c r="H71" s="1237"/>
      <c r="I71" s="1237">
        <v>0</v>
      </c>
      <c r="J71" s="1237"/>
      <c r="K71" s="1237">
        <v>0</v>
      </c>
      <c r="L71" s="1237"/>
      <c r="M71" s="1237">
        <f t="shared" si="1"/>
        <v>0</v>
      </c>
      <c r="N71" s="1237"/>
      <c r="O71" s="1237">
        <v>0</v>
      </c>
      <c r="P71" s="3057"/>
      <c r="Q71" s="3050"/>
    </row>
    <row r="72" spans="2:17" s="3037" customFormat="1" ht="15.75">
      <c r="B72" s="3045">
        <v>30502</v>
      </c>
      <c r="C72" s="3005"/>
      <c r="D72" s="3046" t="s">
        <v>634</v>
      </c>
      <c r="E72" s="3005"/>
      <c r="F72" s="1237">
        <v>0</v>
      </c>
      <c r="G72" s="1237">
        <v>0</v>
      </c>
      <c r="H72" s="1237"/>
      <c r="I72" s="1237">
        <v>0</v>
      </c>
      <c r="J72" s="1237"/>
      <c r="K72" s="1237">
        <v>0</v>
      </c>
      <c r="L72" s="1237"/>
      <c r="M72" s="1237">
        <f t="shared" si="1"/>
        <v>0</v>
      </c>
      <c r="N72" s="1237"/>
      <c r="O72" s="1237">
        <v>0</v>
      </c>
      <c r="P72" s="3057"/>
      <c r="Q72" s="3050"/>
    </row>
    <row r="73" spans="2:17" s="3037" customFormat="1" ht="15.75">
      <c r="B73" s="3045">
        <v>30503</v>
      </c>
      <c r="C73" s="3005"/>
      <c r="D73" s="3046" t="s">
        <v>635</v>
      </c>
      <c r="E73" s="3005"/>
      <c r="F73" s="1237">
        <v>0</v>
      </c>
      <c r="G73" s="1237">
        <v>0</v>
      </c>
      <c r="H73" s="1237"/>
      <c r="I73" s="1237">
        <v>0</v>
      </c>
      <c r="J73" s="1237"/>
      <c r="K73" s="1237">
        <v>0</v>
      </c>
      <c r="L73" s="1237"/>
      <c r="M73" s="1237">
        <f t="shared" si="1"/>
        <v>0</v>
      </c>
      <c r="N73" s="1237"/>
      <c r="O73" s="1237">
        <v>0</v>
      </c>
      <c r="P73" s="3057"/>
      <c r="Q73" s="3050"/>
    </row>
    <row r="74" spans="2:17" s="3037" customFormat="1" ht="15.75">
      <c r="B74" s="3045">
        <v>30504</v>
      </c>
      <c r="C74" s="3005"/>
      <c r="D74" s="3058" t="s">
        <v>636</v>
      </c>
      <c r="E74" s="3005"/>
      <c r="F74" s="1237">
        <v>0</v>
      </c>
      <c r="G74" s="1237">
        <v>0</v>
      </c>
      <c r="H74" s="1237"/>
      <c r="I74" s="1237">
        <v>0</v>
      </c>
      <c r="J74" s="1237"/>
      <c r="K74" s="1237">
        <v>0</v>
      </c>
      <c r="L74" s="1237"/>
      <c r="M74" s="1237">
        <f t="shared" si="1"/>
        <v>0</v>
      </c>
      <c r="N74" s="1237"/>
      <c r="O74" s="1237">
        <v>0</v>
      </c>
      <c r="P74" s="3057"/>
      <c r="Q74" s="3050"/>
    </row>
    <row r="75" spans="2:17" s="3037" customFormat="1" ht="15.75">
      <c r="B75" s="3045">
        <v>31506</v>
      </c>
      <c r="C75" s="3059"/>
      <c r="D75" s="3060" t="s">
        <v>637</v>
      </c>
      <c r="E75" s="3061"/>
      <c r="F75" s="1237">
        <v>109849194.79000001</v>
      </c>
      <c r="G75" s="1237">
        <v>132055559.17</v>
      </c>
      <c r="H75" s="1237"/>
      <c r="I75" s="1237">
        <v>137856806.38999999</v>
      </c>
      <c r="J75" s="1237"/>
      <c r="K75" s="1237">
        <v>144228335.81999999</v>
      </c>
      <c r="L75" s="1237"/>
      <c r="M75" s="1237">
        <f t="shared" si="1"/>
        <v>-2803677.38</v>
      </c>
      <c r="N75" s="1237"/>
      <c r="O75" s="1237">
        <v>141424658.44</v>
      </c>
      <c r="P75" s="3057"/>
      <c r="Q75" s="3050"/>
    </row>
    <row r="76" spans="2:17" s="3037" customFormat="1" ht="15.75">
      <c r="B76" s="3045">
        <v>31701</v>
      </c>
      <c r="C76" s="3005"/>
      <c r="D76" s="3046" t="s">
        <v>638</v>
      </c>
      <c r="E76" s="3005"/>
      <c r="F76" s="1237">
        <v>7423246.6200000001</v>
      </c>
      <c r="G76" s="1237">
        <v>22453852.199999999</v>
      </c>
      <c r="H76" s="1237"/>
      <c r="I76" s="1237">
        <v>18748388.859999999</v>
      </c>
      <c r="J76" s="1237"/>
      <c r="K76" s="1237">
        <v>20027753.079999998</v>
      </c>
      <c r="L76" s="1237"/>
      <c r="M76" s="1237">
        <f t="shared" ref="M76:M83" si="2">ROUND(SUM(O76)-SUM(K76),2)</f>
        <v>1742451.4</v>
      </c>
      <c r="N76" s="1237"/>
      <c r="O76" s="1237">
        <v>21770204.48</v>
      </c>
      <c r="P76" s="3057"/>
      <c r="Q76" s="3050"/>
    </row>
    <row r="77" spans="2:17" s="3037" customFormat="1" ht="15.75">
      <c r="B77" s="3045">
        <v>31801</v>
      </c>
      <c r="C77" s="3005"/>
      <c r="D77" s="3046" t="s">
        <v>639</v>
      </c>
      <c r="E77" s="3005"/>
      <c r="F77" s="1237">
        <v>13150846.050000001</v>
      </c>
      <c r="G77" s="1237">
        <v>12941967.060000001</v>
      </c>
      <c r="H77" s="1237"/>
      <c r="I77" s="1237">
        <v>12941967.060000001</v>
      </c>
      <c r="J77" s="1237"/>
      <c r="K77" s="1237">
        <v>12941967.060000001</v>
      </c>
      <c r="L77" s="1237"/>
      <c r="M77" s="1237">
        <f t="shared" si="2"/>
        <v>0</v>
      </c>
      <c r="N77" s="1237"/>
      <c r="O77" s="1237">
        <v>12941967.060000001</v>
      </c>
      <c r="P77" s="3057"/>
      <c r="Q77" s="3050"/>
    </row>
    <row r="78" spans="2:17" s="3037" customFormat="1" ht="15.75">
      <c r="B78" s="3045">
        <v>31851</v>
      </c>
      <c r="C78" s="3005"/>
      <c r="D78" s="3058" t="s">
        <v>640</v>
      </c>
      <c r="E78" s="3005"/>
      <c r="F78" s="1237">
        <v>0</v>
      </c>
      <c r="G78" s="1237">
        <v>32727478.140000001</v>
      </c>
      <c r="H78" s="1237"/>
      <c r="I78" s="1237">
        <v>36414379.140000001</v>
      </c>
      <c r="J78" s="1237"/>
      <c r="K78" s="1237">
        <v>48088183.380000003</v>
      </c>
      <c r="L78" s="1237"/>
      <c r="M78" s="1237">
        <f t="shared" si="2"/>
        <v>551273.41</v>
      </c>
      <c r="N78" s="1237"/>
      <c r="O78" s="1237">
        <v>48639456.789999999</v>
      </c>
      <c r="P78" s="3057"/>
      <c r="Q78" s="3050"/>
    </row>
    <row r="79" spans="2:17" s="3037" customFormat="1" ht="15.75">
      <c r="B79" s="3045">
        <v>31852</v>
      </c>
      <c r="C79" s="3005"/>
      <c r="D79" s="3046" t="s">
        <v>641</v>
      </c>
      <c r="E79" s="3005"/>
      <c r="F79" s="1237">
        <v>40679225.310000002</v>
      </c>
      <c r="G79" s="1237">
        <v>40482563.149999999</v>
      </c>
      <c r="H79" s="1237"/>
      <c r="I79" s="1237">
        <v>46242563.149999999</v>
      </c>
      <c r="J79" s="1237"/>
      <c r="K79" s="1237">
        <v>46242563.149999999</v>
      </c>
      <c r="L79" s="1237"/>
      <c r="M79" s="1237">
        <f t="shared" si="2"/>
        <v>5488154</v>
      </c>
      <c r="N79" s="1237"/>
      <c r="O79" s="1237">
        <v>51730717.149999999</v>
      </c>
      <c r="P79" s="3057"/>
      <c r="Q79" s="3050"/>
    </row>
    <row r="80" spans="2:17" s="3037" customFormat="1" ht="15.75">
      <c r="B80" s="3045">
        <v>31853</v>
      </c>
      <c r="C80" s="3005"/>
      <c r="D80" s="3058" t="s">
        <v>642</v>
      </c>
      <c r="E80" s="3005"/>
      <c r="F80" s="1237">
        <v>76297899.909999996</v>
      </c>
      <c r="G80" s="1237">
        <v>104158911.98</v>
      </c>
      <c r="H80" s="1237"/>
      <c r="I80" s="1237">
        <v>104158911.98</v>
      </c>
      <c r="J80" s="1237"/>
      <c r="K80" s="1237">
        <v>119908911.98</v>
      </c>
      <c r="L80" s="1237"/>
      <c r="M80" s="1237">
        <f t="shared" si="2"/>
        <v>0</v>
      </c>
      <c r="N80" s="1237"/>
      <c r="O80" s="1237">
        <v>119908911.98</v>
      </c>
      <c r="P80" s="3057"/>
      <c r="Q80" s="3050"/>
    </row>
    <row r="81" spans="2:17" s="3037" customFormat="1" ht="15.75">
      <c r="B81" s="3045">
        <v>31854</v>
      </c>
      <c r="C81" s="3005"/>
      <c r="D81" s="3046" t="s">
        <v>643</v>
      </c>
      <c r="E81" s="3005"/>
      <c r="F81" s="1237">
        <v>0</v>
      </c>
      <c r="G81" s="1237">
        <v>0</v>
      </c>
      <c r="H81" s="1237"/>
      <c r="I81" s="1237">
        <v>0</v>
      </c>
      <c r="J81" s="1237"/>
      <c r="K81" s="1237">
        <v>0</v>
      </c>
      <c r="L81" s="1237"/>
      <c r="M81" s="1237">
        <f t="shared" si="2"/>
        <v>0</v>
      </c>
      <c r="N81" s="1237"/>
      <c r="O81" s="1237">
        <v>0</v>
      </c>
      <c r="P81" s="3057"/>
      <c r="Q81" s="3050"/>
    </row>
    <row r="82" spans="2:17" s="3037" customFormat="1" ht="15.75">
      <c r="B82" s="3045">
        <v>31951</v>
      </c>
      <c r="C82" s="3005"/>
      <c r="D82" s="3058" t="s">
        <v>644</v>
      </c>
      <c r="E82" s="3005"/>
      <c r="F82" s="1237">
        <v>12348115.710000001</v>
      </c>
      <c r="G82" s="1237">
        <v>12346481.24</v>
      </c>
      <c r="H82" s="1237"/>
      <c r="I82" s="1237">
        <v>12346481.24</v>
      </c>
      <c r="J82" s="1237"/>
      <c r="K82" s="1237">
        <v>12346481.24</v>
      </c>
      <c r="L82" s="1237"/>
      <c r="M82" s="1237">
        <f t="shared" si="2"/>
        <v>-52032</v>
      </c>
      <c r="N82" s="1237"/>
      <c r="O82" s="1237">
        <v>12294449.24</v>
      </c>
      <c r="P82" s="3057"/>
      <c r="Q82" s="3050"/>
    </row>
    <row r="83" spans="2:17" s="3037" customFormat="1" ht="15.75">
      <c r="B83" s="3045">
        <v>32213</v>
      </c>
      <c r="C83" s="3005"/>
      <c r="D83" s="3046" t="s">
        <v>645</v>
      </c>
      <c r="E83" s="3005"/>
      <c r="F83" s="1237">
        <v>153750</v>
      </c>
      <c r="G83" s="1237">
        <v>153750</v>
      </c>
      <c r="H83" s="1237"/>
      <c r="I83" s="1237">
        <v>153750</v>
      </c>
      <c r="J83" s="1237"/>
      <c r="K83" s="1237">
        <v>153750</v>
      </c>
      <c r="L83" s="1237"/>
      <c r="M83" s="1237">
        <f t="shared" si="2"/>
        <v>0</v>
      </c>
      <c r="N83" s="1237"/>
      <c r="O83" s="1237">
        <v>153750</v>
      </c>
      <c r="P83" s="3057"/>
      <c r="Q83" s="3050"/>
    </row>
    <row r="84" spans="2:17" s="3037" customFormat="1" ht="15.75">
      <c r="B84" s="3045">
        <v>32214</v>
      </c>
      <c r="C84" s="3005"/>
      <c r="D84" s="3046" t="s">
        <v>1298</v>
      </c>
      <c r="E84" s="3005"/>
      <c r="F84" s="1237"/>
      <c r="G84" s="1237">
        <v>0</v>
      </c>
      <c r="H84" s="1237"/>
      <c r="I84" s="1237">
        <v>0</v>
      </c>
      <c r="J84" s="1237"/>
      <c r="K84" s="1237">
        <v>0</v>
      </c>
      <c r="L84" s="1237"/>
      <c r="M84" s="1237">
        <f t="shared" ref="M84" si="3">ROUND(SUM(O84)-SUM(K84),2)</f>
        <v>0</v>
      </c>
      <c r="N84" s="1237"/>
      <c r="O84" s="1237">
        <v>0</v>
      </c>
      <c r="P84" s="3057"/>
      <c r="Q84" s="3050"/>
    </row>
    <row r="85" spans="2:17" s="3037" customFormat="1" ht="15.75">
      <c r="B85" s="3045">
        <v>32215</v>
      </c>
      <c r="C85" s="3005"/>
      <c r="D85" s="3046" t="s">
        <v>1268</v>
      </c>
      <c r="E85" s="3005"/>
      <c r="F85" s="1237"/>
      <c r="G85" s="1237">
        <v>1080598.1000000001</v>
      </c>
      <c r="H85" s="1237"/>
      <c r="I85" s="1237">
        <v>1230257.69</v>
      </c>
      <c r="J85" s="1237"/>
      <c r="K85" s="1237">
        <v>1280565.3799999999</v>
      </c>
      <c r="L85" s="1237"/>
      <c r="M85" s="1237">
        <f>ROUND(SUM(O85)-SUM(K85),2)</f>
        <v>-1280565.3799999999</v>
      </c>
      <c r="N85" s="1237"/>
      <c r="O85" s="1237">
        <v>0</v>
      </c>
      <c r="P85" s="3057"/>
      <c r="Q85" s="3050"/>
    </row>
    <row r="86" spans="2:17" s="3037" customFormat="1" ht="15.75">
      <c r="B86" s="3045">
        <v>32219</v>
      </c>
      <c r="C86" s="3005"/>
      <c r="D86" s="3046" t="s">
        <v>1333</v>
      </c>
      <c r="E86" s="3005"/>
      <c r="F86" s="1237"/>
      <c r="G86" s="1237">
        <v>0</v>
      </c>
      <c r="H86" s="1237"/>
      <c r="I86" s="1237">
        <v>0</v>
      </c>
      <c r="J86" s="1237"/>
      <c r="K86" s="1237">
        <v>0</v>
      </c>
      <c r="L86" s="1237"/>
      <c r="M86" s="1237">
        <f>ROUND(SUM(O86)-SUM(K86),2)</f>
        <v>0</v>
      </c>
      <c r="N86" s="1237"/>
      <c r="O86" s="1237">
        <v>0</v>
      </c>
      <c r="P86" s="3057"/>
      <c r="Q86" s="3050"/>
    </row>
    <row r="87" spans="2:17" s="3037" customFormat="1" ht="15.75">
      <c r="B87" s="3045">
        <v>32301</v>
      </c>
      <c r="C87" s="3005"/>
      <c r="D87" s="3058" t="s">
        <v>646</v>
      </c>
      <c r="E87" s="3061"/>
      <c r="F87" s="1237">
        <v>0</v>
      </c>
      <c r="G87" s="1237">
        <v>0</v>
      </c>
      <c r="H87" s="1237"/>
      <c r="I87" s="1237">
        <v>0</v>
      </c>
      <c r="J87" s="1237"/>
      <c r="K87" s="1237">
        <v>0</v>
      </c>
      <c r="L87" s="1237"/>
      <c r="M87" s="1237">
        <f t="shared" ref="M87:M101" si="4">ROUND(SUM(O87)-SUM(K87),2)</f>
        <v>0</v>
      </c>
      <c r="N87" s="1237"/>
      <c r="O87" s="1237">
        <v>0</v>
      </c>
      <c r="P87" s="3057"/>
      <c r="Q87" s="3050"/>
    </row>
    <row r="88" spans="2:17" s="3037" customFormat="1" ht="15.75">
      <c r="B88" s="3045">
        <v>32302</v>
      </c>
      <c r="C88" s="3005"/>
      <c r="D88" s="3058" t="s">
        <v>1027</v>
      </c>
      <c r="E88" s="3061"/>
      <c r="F88" s="1237">
        <v>0</v>
      </c>
      <c r="G88" s="1237">
        <v>0</v>
      </c>
      <c r="H88" s="1237"/>
      <c r="I88" s="1237">
        <v>0</v>
      </c>
      <c r="J88" s="1237"/>
      <c r="K88" s="1237">
        <v>0</v>
      </c>
      <c r="L88" s="1237"/>
      <c r="M88" s="1237">
        <f t="shared" si="4"/>
        <v>0</v>
      </c>
      <c r="N88" s="1237"/>
      <c r="O88" s="1237">
        <v>0</v>
      </c>
      <c r="P88" s="3057"/>
      <c r="Q88" s="3050"/>
    </row>
    <row r="89" spans="2:17" s="3037" customFormat="1" ht="15.75">
      <c r="B89" s="3045">
        <v>32303</v>
      </c>
      <c r="C89" s="3005"/>
      <c r="D89" s="3046" t="s">
        <v>647</v>
      </c>
      <c r="E89" s="3061"/>
      <c r="F89" s="1237">
        <v>87723047.260000005</v>
      </c>
      <c r="G89" s="1237">
        <v>143987203.47999999</v>
      </c>
      <c r="H89" s="1237"/>
      <c r="I89" s="1237">
        <v>142522168.86000001</v>
      </c>
      <c r="J89" s="1237"/>
      <c r="K89" s="1237">
        <v>141594477.81</v>
      </c>
      <c r="L89" s="1237"/>
      <c r="M89" s="1237">
        <f t="shared" si="4"/>
        <v>1874016.17</v>
      </c>
      <c r="N89" s="1237"/>
      <c r="O89" s="1237">
        <v>143468493.97999999</v>
      </c>
      <c r="P89" s="3057"/>
      <c r="Q89" s="3050"/>
    </row>
    <row r="90" spans="2:17" s="3037" customFormat="1" ht="15.75">
      <c r="B90" s="3045">
        <v>32304</v>
      </c>
      <c r="C90" s="3005"/>
      <c r="D90" s="3046" t="s">
        <v>648</v>
      </c>
      <c r="E90" s="3061"/>
      <c r="F90" s="1237">
        <v>0</v>
      </c>
      <c r="G90" s="1237">
        <v>0</v>
      </c>
      <c r="H90" s="1237"/>
      <c r="I90" s="1237">
        <v>0</v>
      </c>
      <c r="J90" s="1237"/>
      <c r="K90" s="1237">
        <v>0</v>
      </c>
      <c r="L90" s="1237"/>
      <c r="M90" s="1237">
        <f t="shared" si="4"/>
        <v>0</v>
      </c>
      <c r="N90" s="1237"/>
      <c r="O90" s="1237">
        <v>0</v>
      </c>
      <c r="P90" s="3057"/>
      <c r="Q90" s="3050"/>
    </row>
    <row r="91" spans="2:17" s="3037" customFormat="1" ht="15.75">
      <c r="B91" s="3045">
        <v>32305</v>
      </c>
      <c r="C91" s="3005"/>
      <c r="D91" s="3046" t="s">
        <v>1028</v>
      </c>
      <c r="E91" s="3061"/>
      <c r="F91" s="1237">
        <v>172362230.61000001</v>
      </c>
      <c r="G91" s="1237">
        <v>196227000.83000001</v>
      </c>
      <c r="H91" s="1237"/>
      <c r="I91" s="1237">
        <v>196344450.83000001</v>
      </c>
      <c r="J91" s="1237"/>
      <c r="K91" s="1237">
        <v>195661388.84999999</v>
      </c>
      <c r="L91" s="1237"/>
      <c r="M91" s="1237">
        <f t="shared" si="4"/>
        <v>3326049</v>
      </c>
      <c r="N91" s="1237"/>
      <c r="O91" s="1237">
        <v>198987437.84999999</v>
      </c>
      <c r="P91" s="3057"/>
      <c r="Q91" s="3050"/>
    </row>
    <row r="92" spans="2:17" s="3037" customFormat="1" ht="15.75">
      <c r="B92" s="3045">
        <v>32306</v>
      </c>
      <c r="C92" s="3005"/>
      <c r="D92" s="3058" t="s">
        <v>649</v>
      </c>
      <c r="E92" s="3061"/>
      <c r="F92" s="1237">
        <v>26767629.280000001</v>
      </c>
      <c r="G92" s="1237">
        <v>0</v>
      </c>
      <c r="H92" s="1237"/>
      <c r="I92" s="1237">
        <v>0</v>
      </c>
      <c r="J92" s="1237"/>
      <c r="K92" s="1237">
        <v>0</v>
      </c>
      <c r="L92" s="1237"/>
      <c r="M92" s="1237">
        <f t="shared" si="4"/>
        <v>0</v>
      </c>
      <c r="N92" s="1237"/>
      <c r="O92" s="1237">
        <v>0</v>
      </c>
      <c r="P92" s="3057"/>
      <c r="Q92" s="3050"/>
    </row>
    <row r="93" spans="2:17" s="3037" customFormat="1" ht="15.75">
      <c r="B93" s="3045">
        <v>32307</v>
      </c>
      <c r="C93" s="3005"/>
      <c r="D93" s="3058" t="s">
        <v>650</v>
      </c>
      <c r="E93" s="3061"/>
      <c r="F93" s="1237">
        <v>5430710.0300000003</v>
      </c>
      <c r="G93" s="1237">
        <v>3803993.87</v>
      </c>
      <c r="H93" s="1237"/>
      <c r="I93" s="1237">
        <v>3803993.87</v>
      </c>
      <c r="J93" s="1237"/>
      <c r="K93" s="1237">
        <v>8881243.8699999992</v>
      </c>
      <c r="L93" s="1237"/>
      <c r="M93" s="1237">
        <f t="shared" si="4"/>
        <v>-6521646.1200000001</v>
      </c>
      <c r="N93" s="1237"/>
      <c r="O93" s="1237">
        <v>2359597.75</v>
      </c>
      <c r="P93" s="3057"/>
      <c r="Q93" s="3050"/>
    </row>
    <row r="94" spans="2:17" s="3037" customFormat="1" ht="15.75">
      <c r="B94" s="3045">
        <v>32308</v>
      </c>
      <c r="C94" s="3005"/>
      <c r="D94" s="3058" t="s">
        <v>651</v>
      </c>
      <c r="E94" s="3061"/>
      <c r="F94" s="1237">
        <v>539890.44999999995</v>
      </c>
      <c r="G94" s="1237">
        <v>1344677.42</v>
      </c>
      <c r="H94" s="1237"/>
      <c r="I94" s="1237">
        <v>1344677.42</v>
      </c>
      <c r="J94" s="1237"/>
      <c r="K94" s="1237">
        <v>1344677.42</v>
      </c>
      <c r="L94" s="1237"/>
      <c r="M94" s="1237">
        <f t="shared" si="4"/>
        <v>-886184.34</v>
      </c>
      <c r="N94" s="1237"/>
      <c r="O94" s="1237">
        <v>458493.08</v>
      </c>
      <c r="P94" s="3057"/>
      <c r="Q94" s="3050"/>
    </row>
    <row r="95" spans="2:17" s="3037" customFormat="1" ht="15.75">
      <c r="B95" s="3045">
        <v>32309</v>
      </c>
      <c r="C95" s="3005"/>
      <c r="D95" s="3058" t="s">
        <v>652</v>
      </c>
      <c r="E95" s="3061"/>
      <c r="F95" s="1237">
        <v>104401100.42</v>
      </c>
      <c r="G95" s="1237">
        <v>143995823.72</v>
      </c>
      <c r="H95" s="1237"/>
      <c r="I95" s="1237">
        <v>161173257.16999999</v>
      </c>
      <c r="J95" s="1237"/>
      <c r="K95" s="1237">
        <v>168623160.74000001</v>
      </c>
      <c r="L95" s="1237"/>
      <c r="M95" s="1237">
        <f t="shared" si="4"/>
        <v>458378.44</v>
      </c>
      <c r="N95" s="1237"/>
      <c r="O95" s="1237">
        <v>169081539.18000001</v>
      </c>
      <c r="P95" s="3057"/>
      <c r="Q95" s="3050"/>
    </row>
    <row r="96" spans="2:17" s="3037" customFormat="1" ht="15.75">
      <c r="B96" s="3045">
        <v>32310</v>
      </c>
      <c r="C96" s="3005"/>
      <c r="D96" s="3058" t="s">
        <v>653</v>
      </c>
      <c r="E96" s="3061"/>
      <c r="F96" s="1237">
        <v>0</v>
      </c>
      <c r="G96" s="1237">
        <v>0</v>
      </c>
      <c r="H96" s="1237"/>
      <c r="I96" s="1237">
        <v>0</v>
      </c>
      <c r="J96" s="1237"/>
      <c r="K96" s="1237">
        <v>4549163.38</v>
      </c>
      <c r="L96" s="1237"/>
      <c r="M96" s="1237">
        <f t="shared" si="4"/>
        <v>0</v>
      </c>
      <c r="N96" s="1237"/>
      <c r="O96" s="1237">
        <v>4549163.38</v>
      </c>
      <c r="P96" s="3057"/>
      <c r="Q96" s="3050"/>
    </row>
    <row r="97" spans="2:17" s="3037" customFormat="1" ht="17.25">
      <c r="B97" s="3045">
        <v>32311</v>
      </c>
      <c r="C97" s="3005"/>
      <c r="D97" s="3062" t="s">
        <v>654</v>
      </c>
      <c r="E97" s="3061"/>
      <c r="F97" s="1237">
        <v>2486315.4700000002</v>
      </c>
      <c r="G97" s="1237">
        <v>1035331.74</v>
      </c>
      <c r="H97" s="1237"/>
      <c r="I97" s="1237">
        <v>1035331.74</v>
      </c>
      <c r="J97" s="1237"/>
      <c r="K97" s="1237">
        <v>1035331.74</v>
      </c>
      <c r="L97" s="1237"/>
      <c r="M97" s="1237">
        <f t="shared" si="4"/>
        <v>0</v>
      </c>
      <c r="N97" s="1237"/>
      <c r="O97" s="1237">
        <v>1035331.74</v>
      </c>
      <c r="P97" s="3057"/>
      <c r="Q97" s="3050"/>
    </row>
    <row r="98" spans="2:17" s="3037" customFormat="1" ht="15.75">
      <c r="B98" s="3045">
        <v>32351</v>
      </c>
      <c r="C98" s="3005"/>
      <c r="D98" s="3058" t="s">
        <v>655</v>
      </c>
      <c r="E98" s="3061"/>
      <c r="F98" s="1237">
        <v>11110.01</v>
      </c>
      <c r="G98" s="1237">
        <v>0</v>
      </c>
      <c r="H98" s="1237"/>
      <c r="I98" s="1237">
        <v>0</v>
      </c>
      <c r="J98" s="1237"/>
      <c r="K98" s="1237">
        <v>0</v>
      </c>
      <c r="L98" s="1237"/>
      <c r="M98" s="1237">
        <f t="shared" si="4"/>
        <v>0</v>
      </c>
      <c r="N98" s="1237"/>
      <c r="O98" s="1237">
        <v>0</v>
      </c>
      <c r="P98" s="3057"/>
      <c r="Q98" s="3050"/>
    </row>
    <row r="99" spans="2:17" s="3037" customFormat="1" ht="15.75">
      <c r="B99" s="3063">
        <v>32352</v>
      </c>
      <c r="C99" s="3064"/>
      <c r="D99" s="3065" t="s">
        <v>656</v>
      </c>
      <c r="E99" s="3066"/>
      <c r="F99" s="1237">
        <v>65245293.57</v>
      </c>
      <c r="G99" s="1237">
        <v>219387547.21000001</v>
      </c>
      <c r="H99" s="1237"/>
      <c r="I99" s="1237">
        <v>242246255.96000001</v>
      </c>
      <c r="J99" s="1237"/>
      <c r="K99" s="1237">
        <v>268362982.83000001</v>
      </c>
      <c r="L99" s="1237"/>
      <c r="M99" s="1237">
        <f t="shared" ref="M99" si="5">ROUND(SUM(O99)-SUM(K99),2)</f>
        <v>37439553.689999998</v>
      </c>
      <c r="N99" s="1237"/>
      <c r="O99" s="1237">
        <v>305802536.51999998</v>
      </c>
      <c r="P99" s="3067"/>
      <c r="Q99" s="3050"/>
    </row>
    <row r="100" spans="2:17" s="3037" customFormat="1" ht="15.75">
      <c r="B100" s="3063">
        <v>32353</v>
      </c>
      <c r="C100" s="3064"/>
      <c r="D100" s="3065" t="s">
        <v>1484</v>
      </c>
      <c r="E100" s="3066"/>
      <c r="F100" s="1237"/>
      <c r="G100" s="1237">
        <v>0</v>
      </c>
      <c r="H100" s="1237"/>
      <c r="I100" s="1237">
        <v>0</v>
      </c>
      <c r="J100" s="1237"/>
      <c r="K100" s="1237">
        <v>0</v>
      </c>
      <c r="L100" s="1237"/>
      <c r="M100" s="1237">
        <f>ROUND(SUM(O100)-SUM(K100),2)</f>
        <v>0</v>
      </c>
      <c r="N100" s="1237"/>
      <c r="O100" s="1237">
        <v>0</v>
      </c>
      <c r="P100" s="3067"/>
      <c r="Q100" s="3050"/>
    </row>
    <row r="101" spans="2:17" s="3037" customFormat="1" ht="15.75">
      <c r="B101" s="3045">
        <v>33001</v>
      </c>
      <c r="C101" s="3005"/>
      <c r="D101" s="3046" t="s">
        <v>657</v>
      </c>
      <c r="E101" s="3061"/>
      <c r="F101" s="1237">
        <v>10000000</v>
      </c>
      <c r="G101" s="1237">
        <v>87687960.489999995</v>
      </c>
      <c r="H101" s="1237"/>
      <c r="I101" s="1237">
        <v>88331131.25</v>
      </c>
      <c r="J101" s="1237"/>
      <c r="K101" s="1237">
        <v>75666464.640000001</v>
      </c>
      <c r="L101" s="1237"/>
      <c r="M101" s="1237">
        <f t="shared" si="4"/>
        <v>4090.64</v>
      </c>
      <c r="N101" s="1237"/>
      <c r="O101" s="1237">
        <v>75670555.280000001</v>
      </c>
      <c r="P101" s="3057"/>
      <c r="Q101" s="3050"/>
    </row>
    <row r="102" spans="2:17" s="3037" customFormat="1" ht="16.5" thickBot="1">
      <c r="B102" s="3068"/>
      <c r="C102" s="3069"/>
      <c r="D102" s="3052" t="s">
        <v>658</v>
      </c>
      <c r="E102" s="3041"/>
      <c r="F102" s="3041"/>
      <c r="G102" s="1636">
        <f>ROUND(SUM(G14:G101),2)</f>
        <v>1337759961.3800001</v>
      </c>
      <c r="H102" s="2196"/>
      <c r="I102" s="1636">
        <f>ROUND(SUM(I14:I101),2)</f>
        <v>1401559191.8299999</v>
      </c>
      <c r="J102" s="2196"/>
      <c r="K102" s="1636">
        <f>ROUND(SUM(K14:K101),2)</f>
        <v>1461450201.25</v>
      </c>
      <c r="L102" s="2621"/>
      <c r="M102" s="1239">
        <f>ROUND(SUM(M14:M101),2)</f>
        <v>68425953.870000005</v>
      </c>
      <c r="N102" s="2621"/>
      <c r="O102" s="1636">
        <f>ROUND(SUM(O14:O101),2)</f>
        <v>1529876155.1199999</v>
      </c>
      <c r="P102" s="3057"/>
      <c r="Q102" s="3050"/>
    </row>
    <row r="103" spans="2:17" s="3037" customFormat="1" ht="16.5" thickTop="1">
      <c r="B103" s="3070"/>
      <c r="C103" s="3070"/>
      <c r="D103" s="3071"/>
      <c r="E103" s="3044"/>
      <c r="F103" s="3044"/>
      <c r="G103" s="826"/>
      <c r="H103" s="827"/>
      <c r="I103" s="3072"/>
      <c r="J103" s="827"/>
      <c r="K103" s="3072"/>
      <c r="L103" s="827"/>
      <c r="M103" s="826"/>
      <c r="N103" s="827"/>
      <c r="O103" s="3072"/>
      <c r="P103" s="3073"/>
      <c r="Q103" s="3050"/>
    </row>
    <row r="104" spans="2:17" s="3037" customFormat="1" ht="15.75">
      <c r="B104" s="3038"/>
      <c r="C104" s="3069"/>
      <c r="D104" s="3074" t="s">
        <v>659</v>
      </c>
      <c r="E104" s="3075"/>
      <c r="F104" s="3075"/>
      <c r="G104" s="3076"/>
      <c r="H104" s="3076"/>
      <c r="I104" s="3077"/>
      <c r="J104" s="3076"/>
      <c r="K104" s="3077"/>
      <c r="L104" s="3076"/>
      <c r="M104" s="1530"/>
      <c r="N104" s="1530"/>
      <c r="O104" s="3077"/>
      <c r="P104" s="3044"/>
      <c r="Q104" s="3050"/>
    </row>
    <row r="105" spans="2:17" s="3244" customFormat="1" ht="15.75">
      <c r="B105" s="3045">
        <v>20401</v>
      </c>
      <c r="C105" s="3718"/>
      <c r="D105" s="3065" t="s">
        <v>1416</v>
      </c>
      <c r="E105" s="3719"/>
      <c r="F105" s="3719"/>
      <c r="G105" s="1237">
        <v>0</v>
      </c>
      <c r="H105" s="3266"/>
      <c r="I105" s="1237">
        <v>0</v>
      </c>
      <c r="J105" s="3266"/>
      <c r="K105" s="1237">
        <v>0</v>
      </c>
      <c r="L105" s="3266"/>
      <c r="M105" s="1237">
        <f t="shared" ref="M105:M168" si="6">ROUND(SUM(O105)-SUM(K105),2)</f>
        <v>0</v>
      </c>
      <c r="N105" s="3720"/>
      <c r="O105" s="1237">
        <v>0</v>
      </c>
      <c r="P105" s="3721"/>
      <c r="Q105" s="3243"/>
    </row>
    <row r="106" spans="2:17" s="3037" customFormat="1" ht="15.75">
      <c r="B106" s="3045">
        <v>20452</v>
      </c>
      <c r="C106" s="3038"/>
      <c r="D106" s="3046" t="s">
        <v>660</v>
      </c>
      <c r="E106" s="2608"/>
      <c r="F106" s="3038"/>
      <c r="G106" s="1237">
        <v>0</v>
      </c>
      <c r="H106" s="1237"/>
      <c r="I106" s="1237">
        <v>0</v>
      </c>
      <c r="J106" s="1237"/>
      <c r="K106" s="1237">
        <v>0</v>
      </c>
      <c r="L106" s="1237"/>
      <c r="M106" s="1237">
        <f t="shared" si="6"/>
        <v>0</v>
      </c>
      <c r="N106" s="1237"/>
      <c r="O106" s="1237">
        <v>0</v>
      </c>
      <c r="P106" s="3057"/>
      <c r="Q106" s="3050"/>
    </row>
    <row r="107" spans="2:17" s="3037" customFormat="1" ht="15.75">
      <c r="B107" s="3045">
        <v>20501</v>
      </c>
      <c r="C107" s="3078"/>
      <c r="D107" s="3046" t="s">
        <v>661</v>
      </c>
      <c r="E107" s="3079"/>
      <c r="F107" s="3079"/>
      <c r="G107" s="1237">
        <v>0</v>
      </c>
      <c r="H107" s="1237"/>
      <c r="I107" s="1237">
        <v>0</v>
      </c>
      <c r="J107" s="1237"/>
      <c r="K107" s="1237">
        <v>0</v>
      </c>
      <c r="L107" s="1237"/>
      <c r="M107" s="1237">
        <f t="shared" si="6"/>
        <v>0</v>
      </c>
      <c r="N107" s="1237"/>
      <c r="O107" s="1237">
        <v>0</v>
      </c>
      <c r="P107" s="3057"/>
      <c r="Q107" s="3050"/>
    </row>
    <row r="108" spans="2:17" s="3037" customFormat="1" ht="15.75">
      <c r="B108" s="3045">
        <v>20810</v>
      </c>
      <c r="C108" s="3059"/>
      <c r="D108" s="3080" t="s">
        <v>662</v>
      </c>
      <c r="E108" s="3061"/>
      <c r="F108" s="3061"/>
      <c r="G108" s="1237">
        <v>21814550.780000001</v>
      </c>
      <c r="H108" s="1237"/>
      <c r="I108" s="1237">
        <v>43202243.439999998</v>
      </c>
      <c r="J108" s="1237"/>
      <c r="K108" s="1237">
        <v>84592225.480000004</v>
      </c>
      <c r="L108" s="1237"/>
      <c r="M108" s="1237">
        <f t="shared" si="6"/>
        <v>-80906776.040000007</v>
      </c>
      <c r="N108" s="1237"/>
      <c r="O108" s="1237">
        <v>3685449.44</v>
      </c>
      <c r="P108" s="2226"/>
      <c r="Q108" s="3050"/>
    </row>
    <row r="109" spans="2:17" s="3037" customFormat="1" ht="15.75">
      <c r="B109" s="3045">
        <v>20818</v>
      </c>
      <c r="C109" s="3059"/>
      <c r="D109" s="3080" t="s">
        <v>663</v>
      </c>
      <c r="E109" s="3061"/>
      <c r="F109" s="3061"/>
      <c r="G109" s="1237">
        <v>0</v>
      </c>
      <c r="H109" s="1237"/>
      <c r="I109" s="1237">
        <v>8738215.3300000001</v>
      </c>
      <c r="J109" s="1237"/>
      <c r="K109" s="1237">
        <v>11407082.74</v>
      </c>
      <c r="L109" s="1237"/>
      <c r="M109" s="1237">
        <f t="shared" si="6"/>
        <v>-11407082.74</v>
      </c>
      <c r="N109" s="1237"/>
      <c r="O109" s="1237">
        <v>0</v>
      </c>
      <c r="P109" s="2226"/>
      <c r="Q109" s="3050"/>
    </row>
    <row r="110" spans="2:17" s="3037" customFormat="1" ht="15.75">
      <c r="B110" s="3045">
        <v>20901</v>
      </c>
      <c r="C110" s="3059"/>
      <c r="D110" s="3080" t="s">
        <v>664</v>
      </c>
      <c r="E110" s="3061"/>
      <c r="F110" s="3061"/>
      <c r="G110" s="1237">
        <v>0</v>
      </c>
      <c r="H110" s="1237"/>
      <c r="I110" s="1237">
        <v>0</v>
      </c>
      <c r="J110" s="1237"/>
      <c r="K110" s="1237">
        <v>0</v>
      </c>
      <c r="L110" s="1237"/>
      <c r="M110" s="1237">
        <f t="shared" si="6"/>
        <v>0</v>
      </c>
      <c r="N110" s="1237"/>
      <c r="O110" s="1237">
        <v>0</v>
      </c>
      <c r="P110" s="2226"/>
      <c r="Q110" s="3050"/>
    </row>
    <row r="111" spans="2:17" s="3037" customFormat="1" ht="15.75">
      <c r="B111" s="3045">
        <v>20904</v>
      </c>
      <c r="C111" s="3081"/>
      <c r="D111" s="3082" t="s">
        <v>665</v>
      </c>
      <c r="E111" s="3066"/>
      <c r="F111" s="3066"/>
      <c r="G111" s="1237">
        <v>0</v>
      </c>
      <c r="H111" s="1237"/>
      <c r="I111" s="1237">
        <v>0</v>
      </c>
      <c r="J111" s="1237"/>
      <c r="K111" s="1237">
        <v>0</v>
      </c>
      <c r="L111" s="1237"/>
      <c r="M111" s="1237">
        <f t="shared" si="6"/>
        <v>0</v>
      </c>
      <c r="N111" s="1237"/>
      <c r="O111" s="1237">
        <v>0</v>
      </c>
      <c r="P111" s="2226"/>
      <c r="Q111" s="3050"/>
    </row>
    <row r="112" spans="2:17" s="3037" customFormat="1" ht="15.75">
      <c r="B112" s="3045">
        <v>21001</v>
      </c>
      <c r="C112" s="3059"/>
      <c r="D112" s="3083" t="s">
        <v>666</v>
      </c>
      <c r="E112" s="3061"/>
      <c r="F112" s="3061"/>
      <c r="G112" s="1237">
        <v>0</v>
      </c>
      <c r="H112" s="1237"/>
      <c r="I112" s="1237">
        <v>0</v>
      </c>
      <c r="J112" s="1237"/>
      <c r="K112" s="1237">
        <v>0</v>
      </c>
      <c r="L112" s="1237"/>
      <c r="M112" s="1237">
        <f t="shared" si="6"/>
        <v>0</v>
      </c>
      <c r="N112" s="1237"/>
      <c r="O112" s="1237">
        <v>0</v>
      </c>
      <c r="P112" s="2226"/>
      <c r="Q112" s="3050"/>
    </row>
    <row r="113" spans="2:17" s="3037" customFormat="1" ht="15.75">
      <c r="B113" s="3045">
        <v>21002</v>
      </c>
      <c r="C113" s="3059"/>
      <c r="D113" s="3080" t="s">
        <v>1355</v>
      </c>
      <c r="E113" s="3061"/>
      <c r="F113" s="3061"/>
      <c r="G113" s="1237">
        <v>3434397.24</v>
      </c>
      <c r="H113" s="1237"/>
      <c r="I113" s="1237">
        <v>3515460.51</v>
      </c>
      <c r="J113" s="1237"/>
      <c r="K113" s="1237">
        <v>3585311.81</v>
      </c>
      <c r="L113" s="1237"/>
      <c r="M113" s="1237">
        <f t="shared" si="6"/>
        <v>62421.27</v>
      </c>
      <c r="N113" s="1237"/>
      <c r="O113" s="1237">
        <v>3647733.08</v>
      </c>
      <c r="P113" s="2226"/>
      <c r="Q113" s="3050"/>
    </row>
    <row r="114" spans="2:17" s="3037" customFormat="1" ht="15.75">
      <c r="B114" s="3045">
        <v>21061</v>
      </c>
      <c r="C114" s="3059"/>
      <c r="D114" s="3080" t="s">
        <v>667</v>
      </c>
      <c r="E114" s="3061"/>
      <c r="F114" s="3061"/>
      <c r="G114" s="1237">
        <v>0</v>
      </c>
      <c r="H114" s="1237"/>
      <c r="I114" s="1237">
        <v>0</v>
      </c>
      <c r="J114" s="1237"/>
      <c r="K114" s="1237">
        <v>0</v>
      </c>
      <c r="L114" s="1237"/>
      <c r="M114" s="1237">
        <f t="shared" si="6"/>
        <v>0</v>
      </c>
      <c r="N114" s="1237"/>
      <c r="O114" s="1237">
        <v>0</v>
      </c>
      <c r="P114" s="2226"/>
      <c r="Q114" s="3050"/>
    </row>
    <row r="115" spans="2:17" s="3037" customFormat="1" ht="15.75">
      <c r="B115" s="3045">
        <v>21064</v>
      </c>
      <c r="C115" s="3059"/>
      <c r="D115" s="3080" t="s">
        <v>1334</v>
      </c>
      <c r="E115" s="3061"/>
      <c r="F115" s="3061"/>
      <c r="G115" s="1237">
        <v>1672200</v>
      </c>
      <c r="H115" s="1237"/>
      <c r="I115" s="1237">
        <v>1672200</v>
      </c>
      <c r="J115" s="1237"/>
      <c r="K115" s="1237">
        <v>1672200</v>
      </c>
      <c r="L115" s="1237"/>
      <c r="M115" s="1237">
        <f t="shared" ref="M115" si="7">ROUND(SUM(O115)-SUM(K115),2)</f>
        <v>0</v>
      </c>
      <c r="N115" s="1237"/>
      <c r="O115" s="1237">
        <v>1672200</v>
      </c>
      <c r="P115" s="2226"/>
      <c r="Q115" s="3050"/>
    </row>
    <row r="116" spans="2:17" s="3037" customFormat="1" ht="15.75">
      <c r="B116" s="3045">
        <v>21065</v>
      </c>
      <c r="C116" s="3059"/>
      <c r="D116" s="3080" t="s">
        <v>668</v>
      </c>
      <c r="E116" s="3061"/>
      <c r="F116" s="3061"/>
      <c r="G116" s="1237">
        <v>37060.03</v>
      </c>
      <c r="H116" s="1237"/>
      <c r="I116" s="1237">
        <v>1000598.73</v>
      </c>
      <c r="J116" s="1237"/>
      <c r="K116" s="1237">
        <v>1638576.96</v>
      </c>
      <c r="L116" s="1237"/>
      <c r="M116" s="1237">
        <f t="shared" si="6"/>
        <v>651922.19999999995</v>
      </c>
      <c r="N116" s="1237"/>
      <c r="O116" s="1237">
        <v>2290499.16</v>
      </c>
      <c r="P116" s="2226"/>
      <c r="Q116" s="3050"/>
    </row>
    <row r="117" spans="2:17" s="3037" customFormat="1" ht="15.75">
      <c r="B117" s="3045">
        <v>21066</v>
      </c>
      <c r="C117" s="3059"/>
      <c r="D117" s="3060" t="s">
        <v>669</v>
      </c>
      <c r="E117" s="3061"/>
      <c r="F117" s="3061"/>
      <c r="G117" s="1237">
        <v>4554797.5</v>
      </c>
      <c r="H117" s="1237"/>
      <c r="I117" s="1237">
        <v>4760038.1399999997</v>
      </c>
      <c r="J117" s="1237"/>
      <c r="K117" s="1237">
        <v>3984034.81</v>
      </c>
      <c r="L117" s="1237"/>
      <c r="M117" s="1237">
        <f t="shared" si="6"/>
        <v>174851.08</v>
      </c>
      <c r="N117" s="1237"/>
      <c r="O117" s="1237">
        <v>4158885.89</v>
      </c>
      <c r="P117" s="2226"/>
      <c r="Q117" s="3050"/>
    </row>
    <row r="118" spans="2:17" s="3037" customFormat="1" ht="15.75">
      <c r="B118" s="3045">
        <v>21067</v>
      </c>
      <c r="C118" s="3059"/>
      <c r="D118" s="3060" t="s">
        <v>670</v>
      </c>
      <c r="E118" s="3061"/>
      <c r="F118" s="3061"/>
      <c r="G118" s="1237">
        <v>0</v>
      </c>
      <c r="H118" s="1237"/>
      <c r="I118" s="1237">
        <v>0</v>
      </c>
      <c r="J118" s="1237"/>
      <c r="K118" s="1237">
        <v>0</v>
      </c>
      <c r="L118" s="1237"/>
      <c r="M118" s="1237">
        <f t="shared" si="6"/>
        <v>0</v>
      </c>
      <c r="N118" s="1237"/>
      <c r="O118" s="1237">
        <v>0</v>
      </c>
      <c r="P118" s="2226"/>
      <c r="Q118" s="3050"/>
    </row>
    <row r="119" spans="2:17" s="3037" customFormat="1" ht="15.75">
      <c r="B119" s="3045">
        <v>21077</v>
      </c>
      <c r="C119" s="3059"/>
      <c r="D119" s="3080" t="s">
        <v>671</v>
      </c>
      <c r="E119" s="3061"/>
      <c r="F119" s="3061"/>
      <c r="G119" s="1237">
        <v>0</v>
      </c>
      <c r="H119" s="1237"/>
      <c r="I119" s="1237">
        <v>0</v>
      </c>
      <c r="J119" s="1237"/>
      <c r="K119" s="1237">
        <v>0</v>
      </c>
      <c r="L119" s="1237"/>
      <c r="M119" s="1237">
        <f t="shared" si="6"/>
        <v>0</v>
      </c>
      <c r="N119" s="1237"/>
      <c r="O119" s="1237">
        <v>0</v>
      </c>
      <c r="P119" s="2226"/>
      <c r="Q119" s="3050"/>
    </row>
    <row r="120" spans="2:17" s="3037" customFormat="1" ht="15.75">
      <c r="B120" s="3045">
        <v>21081</v>
      </c>
      <c r="C120" s="3059"/>
      <c r="D120" s="3060" t="s">
        <v>672</v>
      </c>
      <c r="E120" s="3061"/>
      <c r="F120" s="3061"/>
      <c r="G120" s="1237">
        <v>49009998.299999997</v>
      </c>
      <c r="H120" s="1237"/>
      <c r="I120" s="1237">
        <v>49614040.770000003</v>
      </c>
      <c r="J120" s="1237"/>
      <c r="K120" s="1237">
        <v>53980601.049999997</v>
      </c>
      <c r="L120" s="1237"/>
      <c r="M120" s="1237">
        <f t="shared" si="6"/>
        <v>1702963.59</v>
      </c>
      <c r="N120" s="1237"/>
      <c r="O120" s="1237">
        <v>55683564.640000001</v>
      </c>
      <c r="P120" s="2226"/>
      <c r="Q120" s="3050"/>
    </row>
    <row r="121" spans="2:17" s="3037" customFormat="1" ht="15.75">
      <c r="B121" s="3045">
        <v>21082</v>
      </c>
      <c r="C121" s="3059"/>
      <c r="D121" s="3080" t="s">
        <v>673</v>
      </c>
      <c r="E121" s="3061"/>
      <c r="F121" s="3061"/>
      <c r="G121" s="1237">
        <v>13442626.140000001</v>
      </c>
      <c r="H121" s="1237"/>
      <c r="I121" s="1237">
        <v>13727789.23</v>
      </c>
      <c r="J121" s="1237"/>
      <c r="K121" s="1237">
        <v>13596250.9</v>
      </c>
      <c r="L121" s="1237"/>
      <c r="M121" s="1237">
        <f t="shared" si="6"/>
        <v>-435906.08</v>
      </c>
      <c r="N121" s="1237"/>
      <c r="O121" s="1237">
        <v>13160344.82</v>
      </c>
      <c r="P121" s="2226"/>
      <c r="Q121" s="3050"/>
    </row>
    <row r="122" spans="2:17" s="3037" customFormat="1" ht="15.75">
      <c r="B122" s="3045">
        <v>21084</v>
      </c>
      <c r="C122" s="3059"/>
      <c r="D122" s="3080" t="s">
        <v>674</v>
      </c>
      <c r="E122" s="3061"/>
      <c r="F122" s="3061"/>
      <c r="G122" s="1237">
        <v>0</v>
      </c>
      <c r="H122" s="1237"/>
      <c r="I122" s="1237">
        <v>0</v>
      </c>
      <c r="J122" s="1237"/>
      <c r="K122" s="1237">
        <v>0</v>
      </c>
      <c r="L122" s="1237"/>
      <c r="M122" s="1237">
        <f t="shared" si="6"/>
        <v>0</v>
      </c>
      <c r="N122" s="1237"/>
      <c r="O122" s="1237">
        <v>0</v>
      </c>
      <c r="P122" s="2226"/>
      <c r="Q122" s="3050"/>
    </row>
    <row r="123" spans="2:17" s="3037" customFormat="1" ht="15.75">
      <c r="B123" s="3045">
        <v>21087</v>
      </c>
      <c r="C123" s="3059"/>
      <c r="D123" s="3080" t="s">
        <v>675</v>
      </c>
      <c r="E123" s="3061"/>
      <c r="F123" s="3061"/>
      <c r="G123" s="1237">
        <v>0</v>
      </c>
      <c r="H123" s="1237"/>
      <c r="I123" s="1237">
        <v>0</v>
      </c>
      <c r="J123" s="1237"/>
      <c r="K123" s="1237">
        <v>0</v>
      </c>
      <c r="L123" s="1237"/>
      <c r="M123" s="1237">
        <f t="shared" si="6"/>
        <v>0</v>
      </c>
      <c r="N123" s="1237"/>
      <c r="O123" s="1237">
        <v>0</v>
      </c>
      <c r="P123" s="2226"/>
      <c r="Q123" s="3050"/>
    </row>
    <row r="124" spans="2:17" s="3037" customFormat="1" ht="15.75">
      <c r="B124" s="3045">
        <v>21201</v>
      </c>
      <c r="C124" s="3059"/>
      <c r="D124" s="3080" t="s">
        <v>676</v>
      </c>
      <c r="E124" s="3061"/>
      <c r="F124" s="3061"/>
      <c r="G124" s="1237">
        <v>63605.46</v>
      </c>
      <c r="H124" s="1237"/>
      <c r="I124" s="1237">
        <v>65.94</v>
      </c>
      <c r="J124" s="1237"/>
      <c r="K124" s="1237">
        <v>0</v>
      </c>
      <c r="L124" s="1237"/>
      <c r="M124" s="1237">
        <f t="shared" si="6"/>
        <v>0</v>
      </c>
      <c r="N124" s="1237"/>
      <c r="O124" s="1237">
        <v>0</v>
      </c>
      <c r="P124" s="2226"/>
      <c r="Q124" s="3050"/>
    </row>
    <row r="125" spans="2:17" s="3037" customFormat="1" ht="15.75">
      <c r="B125" s="3045">
        <v>21202</v>
      </c>
      <c r="C125" s="3059"/>
      <c r="D125" s="3080" t="s">
        <v>677</v>
      </c>
      <c r="E125" s="3061"/>
      <c r="F125" s="3061"/>
      <c r="G125" s="1237">
        <v>22183.09</v>
      </c>
      <c r="H125" s="1237"/>
      <c r="I125" s="1237">
        <v>0</v>
      </c>
      <c r="J125" s="1237"/>
      <c r="K125" s="1237">
        <v>5130.47</v>
      </c>
      <c r="L125" s="1237"/>
      <c r="M125" s="1237">
        <f t="shared" si="6"/>
        <v>-5130.47</v>
      </c>
      <c r="N125" s="1237"/>
      <c r="O125" s="1237">
        <v>0</v>
      </c>
      <c r="P125" s="2226"/>
      <c r="Q125" s="3050"/>
    </row>
    <row r="126" spans="2:17" s="3037" customFormat="1" ht="15.75">
      <c r="B126" s="3045">
        <v>21203</v>
      </c>
      <c r="C126" s="3059"/>
      <c r="D126" s="3080" t="s">
        <v>678</v>
      </c>
      <c r="E126" s="3061"/>
      <c r="F126" s="3061"/>
      <c r="G126" s="1237">
        <v>1597149.94</v>
      </c>
      <c r="H126" s="1237"/>
      <c r="I126" s="1237">
        <v>640</v>
      </c>
      <c r="J126" s="1237"/>
      <c r="K126" s="1237">
        <v>39205.97</v>
      </c>
      <c r="L126" s="1237"/>
      <c r="M126" s="1237">
        <f t="shared" si="6"/>
        <v>-39205.97</v>
      </c>
      <c r="N126" s="1237"/>
      <c r="O126" s="1237">
        <v>0</v>
      </c>
      <c r="P126" s="2226"/>
      <c r="Q126" s="3050"/>
    </row>
    <row r="127" spans="2:17" s="3037" customFormat="1" ht="15.75">
      <c r="B127" s="3045">
        <v>21204</v>
      </c>
      <c r="C127" s="3059"/>
      <c r="D127" s="3080" t="s">
        <v>679</v>
      </c>
      <c r="E127" s="3061"/>
      <c r="F127" s="3061"/>
      <c r="G127" s="1237">
        <v>0</v>
      </c>
      <c r="H127" s="1237"/>
      <c r="I127" s="1237">
        <v>0</v>
      </c>
      <c r="J127" s="1237"/>
      <c r="K127" s="1237">
        <v>0</v>
      </c>
      <c r="L127" s="1237"/>
      <c r="M127" s="1237">
        <f t="shared" si="6"/>
        <v>0</v>
      </c>
      <c r="N127" s="1237"/>
      <c r="O127" s="1237">
        <v>0</v>
      </c>
      <c r="P127" s="2226"/>
      <c r="Q127" s="3050"/>
    </row>
    <row r="128" spans="2:17" s="3037" customFormat="1" ht="15.75">
      <c r="B128" s="3045">
        <v>21205</v>
      </c>
      <c r="C128" s="3059"/>
      <c r="D128" s="3080" t="s">
        <v>680</v>
      </c>
      <c r="E128" s="3061"/>
      <c r="F128" s="3061"/>
      <c r="G128" s="1237">
        <v>0</v>
      </c>
      <c r="H128" s="1237"/>
      <c r="I128" s="1237">
        <v>0</v>
      </c>
      <c r="J128" s="1237"/>
      <c r="K128" s="1237">
        <v>0</v>
      </c>
      <c r="L128" s="1237"/>
      <c r="M128" s="1237">
        <f t="shared" si="6"/>
        <v>0</v>
      </c>
      <c r="N128" s="1237"/>
      <c r="O128" s="1237">
        <v>0</v>
      </c>
      <c r="P128" s="2226"/>
      <c r="Q128" s="3050"/>
    </row>
    <row r="129" spans="2:17" s="3037" customFormat="1" ht="15.75">
      <c r="B129" s="3063">
        <v>21401</v>
      </c>
      <c r="C129" s="3081"/>
      <c r="D129" s="3084" t="s">
        <v>681</v>
      </c>
      <c r="E129" s="3066"/>
      <c r="F129" s="3066"/>
      <c r="G129" s="1237">
        <v>0</v>
      </c>
      <c r="H129" s="1237"/>
      <c r="I129" s="1237">
        <v>0</v>
      </c>
      <c r="J129" s="1237"/>
      <c r="K129" s="1237">
        <v>0</v>
      </c>
      <c r="L129" s="1237"/>
      <c r="M129" s="1237">
        <f t="shared" si="6"/>
        <v>0</v>
      </c>
      <c r="N129" s="1237"/>
      <c r="O129" s="1237">
        <v>0</v>
      </c>
      <c r="P129" s="2226"/>
      <c r="Q129" s="3050"/>
    </row>
    <row r="130" spans="2:17" s="3037" customFormat="1" ht="15.75">
      <c r="B130" s="3063">
        <v>21402</v>
      </c>
      <c r="C130" s="3081"/>
      <c r="D130" s="3084" t="s">
        <v>682</v>
      </c>
      <c r="E130" s="3066"/>
      <c r="F130" s="3066"/>
      <c r="G130" s="1237">
        <v>0</v>
      </c>
      <c r="H130" s="1237"/>
      <c r="I130" s="1237">
        <v>0</v>
      </c>
      <c r="J130" s="1237"/>
      <c r="K130" s="1237">
        <v>0</v>
      </c>
      <c r="L130" s="1237"/>
      <c r="M130" s="1237">
        <f t="shared" si="6"/>
        <v>0</v>
      </c>
      <c r="N130" s="1237"/>
      <c r="O130" s="1237">
        <v>0</v>
      </c>
      <c r="P130" s="2226"/>
      <c r="Q130" s="3050"/>
    </row>
    <row r="131" spans="2:17" s="3037" customFormat="1" ht="15.75">
      <c r="B131" s="3045">
        <v>21451</v>
      </c>
      <c r="C131" s="3059"/>
      <c r="D131" s="3060" t="s">
        <v>683</v>
      </c>
      <c r="E131" s="3061"/>
      <c r="F131" s="3061"/>
      <c r="G131" s="1237">
        <v>27901116.98</v>
      </c>
      <c r="H131" s="1237"/>
      <c r="I131" s="1237">
        <v>28691838.140000001</v>
      </c>
      <c r="J131" s="1237"/>
      <c r="K131" s="1237">
        <v>29286029.859999999</v>
      </c>
      <c r="L131" s="1237"/>
      <c r="M131" s="1237">
        <f t="shared" si="6"/>
        <v>750757.13</v>
      </c>
      <c r="N131" s="1237"/>
      <c r="O131" s="1237">
        <v>30036786.989999998</v>
      </c>
      <c r="P131" s="2226"/>
      <c r="Q131" s="3050"/>
    </row>
    <row r="132" spans="2:17" s="3037" customFormat="1" ht="15.75">
      <c r="B132" s="3045">
        <v>21452</v>
      </c>
      <c r="C132" s="3059"/>
      <c r="D132" s="3080" t="s">
        <v>684</v>
      </c>
      <c r="E132" s="3061"/>
      <c r="F132" s="3061"/>
      <c r="G132" s="1237">
        <v>0</v>
      </c>
      <c r="H132" s="1237"/>
      <c r="I132" s="1237">
        <v>0</v>
      </c>
      <c r="J132" s="1237"/>
      <c r="K132" s="1237">
        <v>0</v>
      </c>
      <c r="L132" s="1237"/>
      <c r="M132" s="1237">
        <f t="shared" si="6"/>
        <v>0</v>
      </c>
      <c r="N132" s="1237"/>
      <c r="O132" s="1237">
        <v>0</v>
      </c>
      <c r="P132" s="2226"/>
      <c r="Q132" s="3050"/>
    </row>
    <row r="133" spans="2:17" s="3037" customFormat="1" ht="15.75">
      <c r="B133" s="3045">
        <v>21902</v>
      </c>
      <c r="C133" s="3059"/>
      <c r="D133" s="3060" t="s">
        <v>1269</v>
      </c>
      <c r="E133" s="3061"/>
      <c r="F133" s="3061"/>
      <c r="G133" s="1237">
        <v>0</v>
      </c>
      <c r="H133" s="1237"/>
      <c r="I133" s="1237">
        <v>0</v>
      </c>
      <c r="J133" s="1237"/>
      <c r="K133" s="1237">
        <v>0</v>
      </c>
      <c r="L133" s="1237"/>
      <c r="M133" s="1237">
        <f t="shared" si="6"/>
        <v>0</v>
      </c>
      <c r="N133" s="1237"/>
      <c r="O133" s="1237">
        <v>0</v>
      </c>
      <c r="P133" s="2226"/>
      <c r="Q133" s="3050"/>
    </row>
    <row r="134" spans="2:17" s="3037" customFormat="1" ht="15.75">
      <c r="B134" s="3045">
        <v>21905</v>
      </c>
      <c r="C134" s="3059"/>
      <c r="D134" s="3256" t="s">
        <v>1272</v>
      </c>
      <c r="E134" s="3061"/>
      <c r="F134" s="3061"/>
      <c r="G134" s="1237">
        <v>11165921.619999999</v>
      </c>
      <c r="H134" s="1237"/>
      <c r="I134" s="1237">
        <v>13432824.699999999</v>
      </c>
      <c r="J134" s="1237"/>
      <c r="K134" s="1237">
        <v>14176497.9</v>
      </c>
      <c r="L134" s="1237"/>
      <c r="M134" s="1237">
        <f t="shared" si="6"/>
        <v>-7346423</v>
      </c>
      <c r="N134" s="1237"/>
      <c r="O134" s="1237">
        <v>6830074.9000000004</v>
      </c>
      <c r="P134" s="2226"/>
      <c r="Q134" s="3050"/>
    </row>
    <row r="135" spans="2:17" s="3037" customFormat="1" ht="15.75">
      <c r="B135" s="3045">
        <v>21907</v>
      </c>
      <c r="C135" s="3059"/>
      <c r="D135" s="3080" t="s">
        <v>685</v>
      </c>
      <c r="E135" s="3061"/>
      <c r="F135" s="3061"/>
      <c r="G135" s="1237">
        <v>0</v>
      </c>
      <c r="H135" s="1237"/>
      <c r="I135" s="1237">
        <v>0</v>
      </c>
      <c r="J135" s="1237"/>
      <c r="K135" s="1237">
        <v>0</v>
      </c>
      <c r="L135" s="1237"/>
      <c r="M135" s="1237">
        <f t="shared" si="6"/>
        <v>0</v>
      </c>
      <c r="N135" s="1237"/>
      <c r="O135" s="1237">
        <v>0</v>
      </c>
      <c r="P135" s="2226"/>
      <c r="Q135" s="3050"/>
    </row>
    <row r="136" spans="2:17" s="3037" customFormat="1" ht="15.75">
      <c r="B136" s="3045">
        <v>21909</v>
      </c>
      <c r="C136" s="3059"/>
      <c r="D136" s="3080" t="s">
        <v>686</v>
      </c>
      <c r="E136" s="3061"/>
      <c r="F136" s="3061"/>
      <c r="G136" s="1237">
        <v>0</v>
      </c>
      <c r="H136" s="1237"/>
      <c r="I136" s="1237">
        <v>0</v>
      </c>
      <c r="J136" s="1237"/>
      <c r="K136" s="1237">
        <v>0</v>
      </c>
      <c r="L136" s="1237"/>
      <c r="M136" s="1237">
        <f t="shared" si="6"/>
        <v>0</v>
      </c>
      <c r="N136" s="1237"/>
      <c r="O136" s="1237">
        <v>0</v>
      </c>
      <c r="P136" s="2226"/>
      <c r="Q136" s="3050"/>
    </row>
    <row r="137" spans="2:17" s="3037" customFormat="1" ht="15.75">
      <c r="B137" s="3045">
        <v>21911</v>
      </c>
      <c r="C137" s="3059"/>
      <c r="D137" s="3080" t="s">
        <v>687</v>
      </c>
      <c r="E137" s="3061"/>
      <c r="F137" s="3061"/>
      <c r="G137" s="1237">
        <v>159294.47</v>
      </c>
      <c r="H137" s="1237"/>
      <c r="I137" s="1237">
        <v>366663.5</v>
      </c>
      <c r="J137" s="1237"/>
      <c r="K137" s="1237">
        <v>527982.73</v>
      </c>
      <c r="L137" s="1237"/>
      <c r="M137" s="1237">
        <f t="shared" si="6"/>
        <v>-349055.17</v>
      </c>
      <c r="N137" s="1237"/>
      <c r="O137" s="1237">
        <v>178927.56</v>
      </c>
      <c r="P137" s="2226"/>
      <c r="Q137" s="3050"/>
    </row>
    <row r="138" spans="2:17" s="3037" customFormat="1" ht="15.75">
      <c r="B138" s="3045">
        <v>21912</v>
      </c>
      <c r="C138" s="3059"/>
      <c r="D138" s="3060" t="s">
        <v>688</v>
      </c>
      <c r="E138" s="3061"/>
      <c r="F138" s="3061"/>
      <c r="G138" s="1237">
        <v>2583726.54</v>
      </c>
      <c r="H138" s="1237"/>
      <c r="I138" s="1237">
        <v>2509405.88</v>
      </c>
      <c r="J138" s="1237"/>
      <c r="K138" s="1237">
        <v>2924824.19</v>
      </c>
      <c r="L138" s="1237"/>
      <c r="M138" s="1237">
        <f t="shared" si="6"/>
        <v>-702217.71</v>
      </c>
      <c r="N138" s="1237"/>
      <c r="O138" s="1237">
        <v>2222606.48</v>
      </c>
      <c r="P138" s="2226"/>
      <c r="Q138" s="3050"/>
    </row>
    <row r="139" spans="2:17" s="3037" customFormat="1" ht="15.75">
      <c r="B139" s="3045">
        <v>21913</v>
      </c>
      <c r="C139" s="3059"/>
      <c r="D139" s="3080" t="s">
        <v>976</v>
      </c>
      <c r="E139" s="3061"/>
      <c r="F139" s="3061"/>
      <c r="G139" s="1237">
        <v>18292577.210000001</v>
      </c>
      <c r="H139" s="1237"/>
      <c r="I139" s="1237">
        <v>18292577.210000001</v>
      </c>
      <c r="J139" s="1237"/>
      <c r="K139" s="1237">
        <v>18292577.210000001</v>
      </c>
      <c r="L139" s="1237"/>
      <c r="M139" s="1237">
        <f t="shared" si="6"/>
        <v>0</v>
      </c>
      <c r="N139" s="1237"/>
      <c r="O139" s="1237">
        <v>18292577.210000001</v>
      </c>
      <c r="P139" s="2226"/>
      <c r="Q139" s="3050"/>
    </row>
    <row r="140" spans="2:17" s="3037" customFormat="1" ht="15.75">
      <c r="B140" s="3045">
        <v>21937</v>
      </c>
      <c r="C140" s="3059"/>
      <c r="D140" s="3080" t="s">
        <v>689</v>
      </c>
      <c r="E140" s="3061"/>
      <c r="F140" s="3061"/>
      <c r="G140" s="1237">
        <v>221106.52</v>
      </c>
      <c r="H140" s="1237"/>
      <c r="I140" s="1237">
        <v>274644.81</v>
      </c>
      <c r="J140" s="1237"/>
      <c r="K140" s="1237">
        <v>489241.52</v>
      </c>
      <c r="L140" s="1237"/>
      <c r="M140" s="1237">
        <f t="shared" si="6"/>
        <v>-190831.15</v>
      </c>
      <c r="N140" s="1237"/>
      <c r="O140" s="1237">
        <v>298410.37</v>
      </c>
      <c r="P140" s="2226"/>
      <c r="Q140" s="3050"/>
    </row>
    <row r="141" spans="2:17" s="3037" customFormat="1" ht="15.75">
      <c r="B141" s="3045">
        <v>21945</v>
      </c>
      <c r="C141" s="3059"/>
      <c r="D141" s="3060" t="s">
        <v>690</v>
      </c>
      <c r="E141" s="3061"/>
      <c r="F141" s="3061"/>
      <c r="G141" s="1237">
        <v>0</v>
      </c>
      <c r="H141" s="1237"/>
      <c r="I141" s="1237">
        <v>0</v>
      </c>
      <c r="J141" s="1237"/>
      <c r="K141" s="1237">
        <v>0</v>
      </c>
      <c r="L141" s="1237"/>
      <c r="M141" s="1237">
        <f t="shared" si="6"/>
        <v>0</v>
      </c>
      <c r="N141" s="1237"/>
      <c r="O141" s="1237">
        <v>0</v>
      </c>
      <c r="P141" s="2226"/>
      <c r="Q141" s="3050"/>
    </row>
    <row r="142" spans="2:17" s="3037" customFormat="1" ht="15.75">
      <c r="B142" s="3045">
        <v>21959</v>
      </c>
      <c r="C142" s="3059"/>
      <c r="D142" s="3080" t="s">
        <v>691</v>
      </c>
      <c r="E142" s="3061"/>
      <c r="F142" s="3061"/>
      <c r="G142" s="1237">
        <v>0</v>
      </c>
      <c r="H142" s="1237"/>
      <c r="I142" s="1237">
        <v>0</v>
      </c>
      <c r="J142" s="1237"/>
      <c r="K142" s="1237">
        <v>0</v>
      </c>
      <c r="L142" s="1237"/>
      <c r="M142" s="1237">
        <f t="shared" si="6"/>
        <v>0</v>
      </c>
      <c r="N142" s="1237"/>
      <c r="O142" s="1237">
        <v>0</v>
      </c>
      <c r="P142" s="2226"/>
      <c r="Q142" s="3050"/>
    </row>
    <row r="143" spans="2:17" s="3244" customFormat="1" ht="15.75">
      <c r="B143" s="3063">
        <v>21961</v>
      </c>
      <c r="C143" s="3081"/>
      <c r="D143" s="3082" t="s">
        <v>1417</v>
      </c>
      <c r="E143" s="3066"/>
      <c r="F143" s="3066"/>
      <c r="G143" s="1237">
        <v>0</v>
      </c>
      <c r="H143" s="1237"/>
      <c r="I143" s="1237">
        <v>318750.28000000003</v>
      </c>
      <c r="J143" s="1237"/>
      <c r="K143" s="1237">
        <v>425910.02</v>
      </c>
      <c r="L143" s="1237"/>
      <c r="M143" s="1237">
        <f t="shared" si="6"/>
        <v>89707.46</v>
      </c>
      <c r="N143" s="1237"/>
      <c r="O143" s="1237">
        <v>515617.48</v>
      </c>
      <c r="P143" s="2226"/>
      <c r="Q143" s="3243"/>
    </row>
    <row r="144" spans="2:17" s="3037" customFormat="1" ht="15.75">
      <c r="B144" s="3045">
        <v>21962</v>
      </c>
      <c r="C144" s="3059"/>
      <c r="D144" s="3080" t="s">
        <v>692</v>
      </c>
      <c r="E144" s="3061"/>
      <c r="F144" s="3061"/>
      <c r="G144" s="1237">
        <v>9529763.1600000001</v>
      </c>
      <c r="H144" s="1237"/>
      <c r="I144" s="1237">
        <v>10933216.74</v>
      </c>
      <c r="J144" s="1237"/>
      <c r="K144" s="1237">
        <v>11576825.01</v>
      </c>
      <c r="L144" s="1237"/>
      <c r="M144" s="1237">
        <f t="shared" si="6"/>
        <v>1618967.45</v>
      </c>
      <c r="N144" s="1237"/>
      <c r="O144" s="1237">
        <v>13195792.460000001</v>
      </c>
      <c r="P144" s="2226"/>
      <c r="Q144" s="3050"/>
    </row>
    <row r="145" spans="2:17" s="3037" customFormat="1" ht="15.75">
      <c r="B145" s="3045">
        <v>21978</v>
      </c>
      <c r="C145" s="3059"/>
      <c r="D145" s="3060" t="s">
        <v>693</v>
      </c>
      <c r="E145" s="3061"/>
      <c r="F145" s="3061"/>
      <c r="G145" s="1237">
        <v>0</v>
      </c>
      <c r="H145" s="1237"/>
      <c r="I145" s="1237">
        <v>796246.79</v>
      </c>
      <c r="J145" s="1237"/>
      <c r="K145" s="1237">
        <v>2640307.85</v>
      </c>
      <c r="L145" s="1237"/>
      <c r="M145" s="1237">
        <f t="shared" si="6"/>
        <v>1781927.73</v>
      </c>
      <c r="N145" s="1237"/>
      <c r="O145" s="1237">
        <v>4422235.58</v>
      </c>
      <c r="P145" s="2226"/>
      <c r="Q145" s="3050"/>
    </row>
    <row r="146" spans="2:17" s="3037" customFormat="1" ht="15.75">
      <c r="B146" s="3045">
        <v>21979</v>
      </c>
      <c r="C146" s="3059"/>
      <c r="D146" s="3060" t="s">
        <v>694</v>
      </c>
      <c r="E146" s="3061"/>
      <c r="F146" s="3061"/>
      <c r="G146" s="1237">
        <v>0</v>
      </c>
      <c r="H146" s="1237"/>
      <c r="I146" s="1237">
        <v>0</v>
      </c>
      <c r="J146" s="1237"/>
      <c r="K146" s="1237">
        <v>0</v>
      </c>
      <c r="L146" s="1237"/>
      <c r="M146" s="1237">
        <f t="shared" si="6"/>
        <v>0</v>
      </c>
      <c r="N146" s="1237"/>
      <c r="O146" s="1237">
        <v>0</v>
      </c>
      <c r="P146" s="2226"/>
      <c r="Q146" s="3050"/>
    </row>
    <row r="147" spans="2:17" s="3037" customFormat="1" ht="15.75">
      <c r="B147" s="3045">
        <v>21989</v>
      </c>
      <c r="C147" s="3059"/>
      <c r="D147" s="3060" t="s">
        <v>695</v>
      </c>
      <c r="E147" s="3061"/>
      <c r="F147" s="3061"/>
      <c r="G147" s="1237">
        <v>0</v>
      </c>
      <c r="H147" s="1237"/>
      <c r="I147" s="1237">
        <v>0</v>
      </c>
      <c r="J147" s="1237"/>
      <c r="K147" s="1237">
        <v>0</v>
      </c>
      <c r="L147" s="1237"/>
      <c r="M147" s="1237">
        <f t="shared" si="6"/>
        <v>0</v>
      </c>
      <c r="N147" s="1237"/>
      <c r="O147" s="1237">
        <v>0</v>
      </c>
      <c r="P147" s="2226"/>
      <c r="Q147" s="3050"/>
    </row>
    <row r="148" spans="2:17" s="3037" customFormat="1" ht="15.75">
      <c r="B148" s="3045">
        <v>22003</v>
      </c>
      <c r="C148" s="3059"/>
      <c r="D148" s="3060" t="s">
        <v>696</v>
      </c>
      <c r="E148" s="3061"/>
      <c r="F148" s="3061"/>
      <c r="G148" s="1237">
        <v>4021.16</v>
      </c>
      <c r="H148" s="1237"/>
      <c r="I148" s="1237">
        <v>0</v>
      </c>
      <c r="J148" s="1237"/>
      <c r="K148" s="1237">
        <v>0</v>
      </c>
      <c r="L148" s="1237"/>
      <c r="M148" s="1237">
        <f t="shared" si="6"/>
        <v>0</v>
      </c>
      <c r="N148" s="1237"/>
      <c r="O148" s="1237">
        <v>0</v>
      </c>
      <c r="P148" s="2226"/>
      <c r="Q148" s="3050"/>
    </row>
    <row r="149" spans="2:17" s="3037" customFormat="1" ht="15.75">
      <c r="B149" s="3045">
        <v>22004</v>
      </c>
      <c r="C149" s="3059"/>
      <c r="D149" s="3080" t="s">
        <v>697</v>
      </c>
      <c r="E149" s="3061"/>
      <c r="F149" s="3061"/>
      <c r="G149" s="1237">
        <v>0</v>
      </c>
      <c r="H149" s="1237"/>
      <c r="I149" s="1237">
        <v>0</v>
      </c>
      <c r="J149" s="1237"/>
      <c r="K149" s="1237">
        <v>0</v>
      </c>
      <c r="L149" s="1237"/>
      <c r="M149" s="1237">
        <f t="shared" si="6"/>
        <v>0</v>
      </c>
      <c r="N149" s="1237"/>
      <c r="O149" s="1237">
        <v>0</v>
      </c>
      <c r="P149" s="2226"/>
      <c r="Q149" s="3050"/>
    </row>
    <row r="150" spans="2:17" s="3037" customFormat="1" ht="15.75">
      <c r="B150" s="3045">
        <v>22006</v>
      </c>
      <c r="C150" s="3059"/>
      <c r="D150" s="3060" t="s">
        <v>698</v>
      </c>
      <c r="E150" s="3061"/>
      <c r="F150" s="3061"/>
      <c r="G150" s="1237">
        <v>0</v>
      </c>
      <c r="H150" s="1237"/>
      <c r="I150" s="1237">
        <v>0</v>
      </c>
      <c r="J150" s="1237"/>
      <c r="K150" s="1237">
        <v>0</v>
      </c>
      <c r="L150" s="1237"/>
      <c r="M150" s="1237">
        <f t="shared" si="6"/>
        <v>0</v>
      </c>
      <c r="N150" s="1237"/>
      <c r="O150" s="1237">
        <v>0</v>
      </c>
      <c r="P150" s="2226"/>
      <c r="Q150" s="3050"/>
    </row>
    <row r="151" spans="2:17" s="3037" customFormat="1" ht="15.75">
      <c r="B151" s="3045">
        <v>22007</v>
      </c>
      <c r="C151" s="3059"/>
      <c r="D151" s="3080" t="s">
        <v>699</v>
      </c>
      <c r="E151" s="3061"/>
      <c r="F151" s="3061"/>
      <c r="G151" s="1237">
        <v>0</v>
      </c>
      <c r="H151" s="1237"/>
      <c r="I151" s="1237">
        <v>0</v>
      </c>
      <c r="J151" s="1237"/>
      <c r="K151" s="1237">
        <v>0</v>
      </c>
      <c r="L151" s="1237"/>
      <c r="M151" s="1237">
        <f t="shared" si="6"/>
        <v>0</v>
      </c>
      <c r="N151" s="1237"/>
      <c r="O151" s="1237">
        <v>0</v>
      </c>
      <c r="P151" s="2226"/>
      <c r="Q151" s="3050"/>
    </row>
    <row r="152" spans="2:17" s="3037" customFormat="1" ht="15.75">
      <c r="B152" s="3045">
        <v>22008</v>
      </c>
      <c r="C152" s="3059"/>
      <c r="D152" s="3080" t="s">
        <v>1335</v>
      </c>
      <c r="E152" s="3061"/>
      <c r="F152" s="3061"/>
      <c r="G152" s="1237">
        <v>0</v>
      </c>
      <c r="H152" s="1237"/>
      <c r="I152" s="1237">
        <v>0</v>
      </c>
      <c r="J152" s="1237"/>
      <c r="K152" s="1237">
        <v>0</v>
      </c>
      <c r="L152" s="1237"/>
      <c r="M152" s="1237">
        <f t="shared" ref="M152" si="8">ROUND(SUM(O152)-SUM(K152),2)</f>
        <v>0</v>
      </c>
      <c r="N152" s="1237"/>
      <c r="O152" s="1237">
        <v>0</v>
      </c>
      <c r="P152" s="2226"/>
      <c r="Q152" s="3050"/>
    </row>
    <row r="153" spans="2:17" s="3037" customFormat="1" ht="15.75">
      <c r="B153" s="3045">
        <v>22009</v>
      </c>
      <c r="C153" s="3059"/>
      <c r="D153" s="3080" t="s">
        <v>700</v>
      </c>
      <c r="E153" s="3061"/>
      <c r="F153" s="3061"/>
      <c r="G153" s="1237">
        <v>67820.97</v>
      </c>
      <c r="H153" s="1237"/>
      <c r="I153" s="1237">
        <v>49727.35</v>
      </c>
      <c r="J153" s="1237"/>
      <c r="K153" s="1237">
        <v>36247.21</v>
      </c>
      <c r="L153" s="1237"/>
      <c r="M153" s="1237">
        <f t="shared" si="6"/>
        <v>-7711.34</v>
      </c>
      <c r="N153" s="1237"/>
      <c r="O153" s="1237">
        <v>28535.87</v>
      </c>
      <c r="P153" s="2226"/>
      <c r="Q153" s="3050"/>
    </row>
    <row r="154" spans="2:17" s="3244" customFormat="1" ht="15.75">
      <c r="B154" s="3063">
        <v>22017</v>
      </c>
      <c r="C154" s="3081"/>
      <c r="D154" s="3082" t="s">
        <v>1418</v>
      </c>
      <c r="E154" s="3066"/>
      <c r="F154" s="3066"/>
      <c r="G154" s="1237">
        <v>68664.149999999994</v>
      </c>
      <c r="H154" s="1237"/>
      <c r="I154" s="1237">
        <v>57664.15</v>
      </c>
      <c r="J154" s="1237"/>
      <c r="K154" s="1237">
        <v>36664.15</v>
      </c>
      <c r="L154" s="1237"/>
      <c r="M154" s="1237">
        <f t="shared" si="6"/>
        <v>-6000</v>
      </c>
      <c r="N154" s="1237"/>
      <c r="O154" s="1237">
        <v>30664.15</v>
      </c>
      <c r="P154" s="2226"/>
      <c r="Q154" s="3243"/>
    </row>
    <row r="155" spans="2:17" s="3037" customFormat="1" ht="15.75">
      <c r="B155" s="3045">
        <v>22032</v>
      </c>
      <c r="C155" s="3059"/>
      <c r="D155" s="3080" t="s">
        <v>701</v>
      </c>
      <c r="E155" s="3061"/>
      <c r="F155" s="3061"/>
      <c r="G155" s="1237">
        <v>8044333.3600000003</v>
      </c>
      <c r="H155" s="1237"/>
      <c r="I155" s="1237">
        <v>8735430.9700000007</v>
      </c>
      <c r="J155" s="1237"/>
      <c r="K155" s="1237">
        <v>9569495.4199999999</v>
      </c>
      <c r="L155" s="1237"/>
      <c r="M155" s="1237">
        <f t="shared" si="6"/>
        <v>562166.38</v>
      </c>
      <c r="N155" s="1237"/>
      <c r="O155" s="1237">
        <v>10131661.800000001</v>
      </c>
      <c r="P155" s="2226"/>
      <c r="Q155" s="3050"/>
    </row>
    <row r="156" spans="2:17" s="3037" customFormat="1" ht="15.75">
      <c r="B156" s="3045">
        <v>22034</v>
      </c>
      <c r="C156" s="3059"/>
      <c r="D156" s="3080" t="s">
        <v>702</v>
      </c>
      <c r="E156" s="3061"/>
      <c r="F156" s="3061"/>
      <c r="G156" s="1237">
        <v>0</v>
      </c>
      <c r="H156" s="1237"/>
      <c r="I156" s="1237">
        <v>0</v>
      </c>
      <c r="J156" s="1237"/>
      <c r="K156" s="1237">
        <v>0</v>
      </c>
      <c r="L156" s="1237"/>
      <c r="M156" s="1237">
        <f t="shared" si="6"/>
        <v>0</v>
      </c>
      <c r="N156" s="1237"/>
      <c r="O156" s="1237">
        <v>0</v>
      </c>
      <c r="P156" s="2226"/>
      <c r="Q156" s="3050"/>
    </row>
    <row r="157" spans="2:17" s="3037" customFormat="1" ht="15.75">
      <c r="B157" s="3045">
        <v>22036</v>
      </c>
      <c r="C157" s="3059"/>
      <c r="D157" s="3080" t="s">
        <v>703</v>
      </c>
      <c r="E157" s="3061"/>
      <c r="F157" s="3061"/>
      <c r="G157" s="1237">
        <v>0</v>
      </c>
      <c r="H157" s="1237"/>
      <c r="I157" s="1237">
        <v>0</v>
      </c>
      <c r="J157" s="1237"/>
      <c r="K157" s="1237">
        <v>0</v>
      </c>
      <c r="L157" s="1237"/>
      <c r="M157" s="1237">
        <f t="shared" si="6"/>
        <v>0</v>
      </c>
      <c r="N157" s="1237"/>
      <c r="O157" s="1237">
        <v>0</v>
      </c>
      <c r="P157" s="2226"/>
      <c r="Q157" s="3050"/>
    </row>
    <row r="158" spans="2:17" s="3037" customFormat="1" ht="15.75">
      <c r="B158" s="3045">
        <v>22039</v>
      </c>
      <c r="C158" s="3059"/>
      <c r="D158" s="3080" t="s">
        <v>704</v>
      </c>
      <c r="E158" s="3061"/>
      <c r="F158" s="3061"/>
      <c r="G158" s="1237">
        <v>282820.2</v>
      </c>
      <c r="H158" s="1237"/>
      <c r="I158" s="1237">
        <v>625300.18000000005</v>
      </c>
      <c r="J158" s="1237"/>
      <c r="K158" s="1237">
        <v>910231.15</v>
      </c>
      <c r="L158" s="1237"/>
      <c r="M158" s="1237">
        <f t="shared" si="6"/>
        <v>-581522.97</v>
      </c>
      <c r="N158" s="1237"/>
      <c r="O158" s="1237">
        <v>328708.18</v>
      </c>
      <c r="P158" s="2226"/>
      <c r="Q158" s="3050"/>
    </row>
    <row r="159" spans="2:17" s="3037" customFormat="1" ht="15.75">
      <c r="B159" s="3045">
        <v>22046</v>
      </c>
      <c r="C159" s="3059"/>
      <c r="D159" s="3080" t="s">
        <v>705</v>
      </c>
      <c r="E159" s="3061"/>
      <c r="F159" s="3061"/>
      <c r="G159" s="1237">
        <v>81943232.569999993</v>
      </c>
      <c r="H159" s="1237"/>
      <c r="I159" s="1237">
        <v>82399409.310000002</v>
      </c>
      <c r="J159" s="1237"/>
      <c r="K159" s="1237">
        <v>82622224.170000002</v>
      </c>
      <c r="L159" s="1237"/>
      <c r="M159" s="1237">
        <f t="shared" si="6"/>
        <v>1014255.25</v>
      </c>
      <c r="N159" s="1237"/>
      <c r="O159" s="1237">
        <v>83636479.420000002</v>
      </c>
      <c r="P159" s="2226"/>
      <c r="Q159" s="3050"/>
    </row>
    <row r="160" spans="2:17" s="3037" customFormat="1" ht="15.75">
      <c r="B160" s="3045">
        <v>22053</v>
      </c>
      <c r="C160" s="3059"/>
      <c r="D160" s="3080" t="s">
        <v>706</v>
      </c>
      <c r="E160" s="3061"/>
      <c r="F160" s="3061"/>
      <c r="G160" s="1237">
        <v>976367.29</v>
      </c>
      <c r="H160" s="1237"/>
      <c r="I160" s="1237">
        <v>1484623.59</v>
      </c>
      <c r="J160" s="1237"/>
      <c r="K160" s="1237">
        <v>2037257.68</v>
      </c>
      <c r="L160" s="1237"/>
      <c r="M160" s="1237">
        <f t="shared" si="6"/>
        <v>406952.38</v>
      </c>
      <c r="N160" s="1237"/>
      <c r="O160" s="1237">
        <v>2444210.06</v>
      </c>
      <c r="P160" s="2226"/>
      <c r="Q160" s="3050"/>
    </row>
    <row r="161" spans="2:17" s="3037" customFormat="1" ht="15.75">
      <c r="B161" s="3045">
        <v>22054</v>
      </c>
      <c r="C161" s="3059"/>
      <c r="D161" s="3080" t="s">
        <v>707</v>
      </c>
      <c r="E161" s="3061"/>
      <c r="F161" s="3061"/>
      <c r="G161" s="1237">
        <v>4032732.3</v>
      </c>
      <c r="H161" s="1237"/>
      <c r="I161" s="1237">
        <v>3880619.85</v>
      </c>
      <c r="J161" s="1237"/>
      <c r="K161" s="1237">
        <v>3852772.25</v>
      </c>
      <c r="L161" s="1237"/>
      <c r="M161" s="1237">
        <f t="shared" si="6"/>
        <v>-143803.29</v>
      </c>
      <c r="N161" s="1237"/>
      <c r="O161" s="1237">
        <v>3708968.96</v>
      </c>
      <c r="P161" s="2226"/>
      <c r="Q161" s="3050"/>
    </row>
    <row r="162" spans="2:17" s="3037" customFormat="1" ht="15.75">
      <c r="B162" s="3045">
        <v>22055</v>
      </c>
      <c r="C162" s="3059"/>
      <c r="D162" s="3080" t="s">
        <v>708</v>
      </c>
      <c r="E162" s="3061"/>
      <c r="F162" s="3061"/>
      <c r="G162" s="1237">
        <v>12688728.779999999</v>
      </c>
      <c r="H162" s="1237"/>
      <c r="I162" s="1237">
        <v>13497923.859999999</v>
      </c>
      <c r="J162" s="1237"/>
      <c r="K162" s="1237">
        <v>16384051.16</v>
      </c>
      <c r="L162" s="1237"/>
      <c r="M162" s="1237">
        <f t="shared" si="6"/>
        <v>3732764.13</v>
      </c>
      <c r="N162" s="1237"/>
      <c r="O162" s="1237">
        <v>20116815.289999999</v>
      </c>
      <c r="P162" s="2226"/>
      <c r="Q162" s="3050"/>
    </row>
    <row r="163" spans="2:17" s="3037" customFormat="1" ht="15.75">
      <c r="B163" s="3045">
        <v>22056</v>
      </c>
      <c r="C163" s="3059"/>
      <c r="D163" s="3080" t="s">
        <v>709</v>
      </c>
      <c r="E163" s="3061"/>
      <c r="F163" s="3061"/>
      <c r="G163" s="1237">
        <v>218539.94</v>
      </c>
      <c r="H163" s="1237"/>
      <c r="I163" s="1237">
        <v>367489.63</v>
      </c>
      <c r="J163" s="1237"/>
      <c r="K163" s="1237">
        <v>487627.05</v>
      </c>
      <c r="L163" s="1237"/>
      <c r="M163" s="1237">
        <f t="shared" si="6"/>
        <v>157803.57999999999</v>
      </c>
      <c r="N163" s="1237"/>
      <c r="O163" s="1237">
        <v>645430.63</v>
      </c>
      <c r="P163" s="2226"/>
      <c r="Q163" s="3050"/>
    </row>
    <row r="164" spans="2:17" s="3037" customFormat="1" ht="15.75">
      <c r="B164" s="3045">
        <v>22062</v>
      </c>
      <c r="C164" s="3059"/>
      <c r="D164" s="3080" t="s">
        <v>710</v>
      </c>
      <c r="E164" s="3061"/>
      <c r="F164" s="3061"/>
      <c r="G164" s="1237">
        <v>0</v>
      </c>
      <c r="H164" s="1237"/>
      <c r="I164" s="1237">
        <v>0</v>
      </c>
      <c r="J164" s="1237"/>
      <c r="K164" s="1237">
        <v>0</v>
      </c>
      <c r="L164" s="1237"/>
      <c r="M164" s="1237">
        <f t="shared" si="6"/>
        <v>0</v>
      </c>
      <c r="N164" s="1237"/>
      <c r="O164" s="1237">
        <v>0</v>
      </c>
      <c r="P164" s="2226"/>
      <c r="Q164" s="3050"/>
    </row>
    <row r="165" spans="2:17" s="3037" customFormat="1" ht="15.75">
      <c r="B165" s="3045">
        <v>22063</v>
      </c>
      <c r="C165" s="3059"/>
      <c r="D165" s="3080" t="s">
        <v>711</v>
      </c>
      <c r="E165" s="3061"/>
      <c r="F165" s="3061"/>
      <c r="G165" s="1237">
        <v>4759582.3</v>
      </c>
      <c r="H165" s="1237"/>
      <c r="I165" s="1237">
        <v>4833532.2699999996</v>
      </c>
      <c r="J165" s="1237"/>
      <c r="K165" s="1237">
        <v>5210700.26</v>
      </c>
      <c r="L165" s="1237"/>
      <c r="M165" s="1237">
        <f t="shared" si="6"/>
        <v>486652.39</v>
      </c>
      <c r="N165" s="1237"/>
      <c r="O165" s="1237">
        <v>5697352.6500000004</v>
      </c>
      <c r="P165" s="2226"/>
      <c r="Q165" s="3050"/>
    </row>
    <row r="166" spans="2:17" s="3037" customFormat="1" ht="15.75">
      <c r="B166" s="3045">
        <v>22078</v>
      </c>
      <c r="C166" s="3059"/>
      <c r="D166" s="3080" t="s">
        <v>712</v>
      </c>
      <c r="E166" s="3061"/>
      <c r="F166" s="3061"/>
      <c r="G166" s="1237">
        <v>0</v>
      </c>
      <c r="H166" s="1237"/>
      <c r="I166" s="1237">
        <v>0</v>
      </c>
      <c r="J166" s="1237"/>
      <c r="K166" s="1237">
        <v>0</v>
      </c>
      <c r="L166" s="1237"/>
      <c r="M166" s="1237">
        <f t="shared" si="6"/>
        <v>0</v>
      </c>
      <c r="N166" s="1237"/>
      <c r="O166" s="1237">
        <v>0</v>
      </c>
      <c r="P166" s="2226"/>
      <c r="Q166" s="3050"/>
    </row>
    <row r="167" spans="2:17" s="3037" customFormat="1" ht="15.75">
      <c r="B167" s="3045">
        <v>22085</v>
      </c>
      <c r="C167" s="3059"/>
      <c r="D167" s="3080" t="s">
        <v>713</v>
      </c>
      <c r="E167" s="3061"/>
      <c r="F167" s="3061"/>
      <c r="G167" s="1237">
        <v>13441061.91</v>
      </c>
      <c r="H167" s="1237"/>
      <c r="I167" s="1237">
        <v>13715870.550000001</v>
      </c>
      <c r="J167" s="1237"/>
      <c r="K167" s="1237">
        <v>14280418.859999999</v>
      </c>
      <c r="L167" s="1237"/>
      <c r="M167" s="1237">
        <f>ROUND(SUM(O167)-SUM(K167),2)</f>
        <v>317051.88</v>
      </c>
      <c r="N167" s="1237"/>
      <c r="O167" s="1237">
        <v>14597470.74</v>
      </c>
      <c r="P167" s="2226"/>
      <c r="Q167" s="3050"/>
    </row>
    <row r="168" spans="2:17" s="3037" customFormat="1" ht="15.75">
      <c r="B168" s="3045">
        <v>22090</v>
      </c>
      <c r="C168" s="3059"/>
      <c r="D168" s="3080" t="s">
        <v>714</v>
      </c>
      <c r="E168" s="3061"/>
      <c r="F168" s="3061"/>
      <c r="G168" s="1237">
        <v>0</v>
      </c>
      <c r="H168" s="1237"/>
      <c r="I168" s="1237">
        <v>0</v>
      </c>
      <c r="J168" s="1237"/>
      <c r="K168" s="1237">
        <v>0</v>
      </c>
      <c r="L168" s="1237"/>
      <c r="M168" s="1237">
        <f t="shared" si="6"/>
        <v>0</v>
      </c>
      <c r="N168" s="1237"/>
      <c r="O168" s="1237">
        <v>0</v>
      </c>
      <c r="P168" s="2226"/>
      <c r="Q168" s="3050"/>
    </row>
    <row r="169" spans="2:17" s="3037" customFormat="1" ht="15.75">
      <c r="B169" s="3045">
        <v>22100</v>
      </c>
      <c r="C169" s="3059"/>
      <c r="D169" s="3080" t="s">
        <v>715</v>
      </c>
      <c r="E169" s="3061"/>
      <c r="F169" s="3061"/>
      <c r="G169" s="1237">
        <v>4296008.76</v>
      </c>
      <c r="H169" s="1237"/>
      <c r="I169" s="1237">
        <v>5172607.6500000004</v>
      </c>
      <c r="J169" s="1237"/>
      <c r="K169" s="1237">
        <v>5191823.5</v>
      </c>
      <c r="L169" s="1237"/>
      <c r="M169" s="1237">
        <f t="shared" ref="M169:M185" si="9">ROUND(SUM(O169)-SUM(K169),2)</f>
        <v>842887.98</v>
      </c>
      <c r="N169" s="1237"/>
      <c r="O169" s="1237">
        <v>6034711.4800000004</v>
      </c>
      <c r="P169" s="2226"/>
      <c r="Q169" s="3050"/>
    </row>
    <row r="170" spans="2:17" s="3037" customFormat="1" ht="15.75">
      <c r="B170" s="3045">
        <v>22130</v>
      </c>
      <c r="C170" s="3059"/>
      <c r="D170" s="3060" t="s">
        <v>716</v>
      </c>
      <c r="E170" s="3061"/>
      <c r="F170" s="3061"/>
      <c r="G170" s="1237">
        <v>0</v>
      </c>
      <c r="H170" s="1237"/>
      <c r="I170" s="1237">
        <v>0</v>
      </c>
      <c r="J170" s="1237"/>
      <c r="K170" s="1237">
        <v>0</v>
      </c>
      <c r="L170" s="1237"/>
      <c r="M170" s="1237">
        <f t="shared" si="9"/>
        <v>0</v>
      </c>
      <c r="N170" s="1237"/>
      <c r="O170" s="1237">
        <v>0</v>
      </c>
      <c r="P170" s="2226"/>
      <c r="Q170" s="3050"/>
    </row>
    <row r="171" spans="2:17" s="3037" customFormat="1" ht="15.75">
      <c r="B171" s="3045">
        <v>22135</v>
      </c>
      <c r="C171" s="3059"/>
      <c r="D171" s="3060" t="s">
        <v>717</v>
      </c>
      <c r="E171" s="3061"/>
      <c r="F171" s="3061"/>
      <c r="G171" s="1237">
        <v>0</v>
      </c>
      <c r="H171" s="1237"/>
      <c r="I171" s="1237">
        <v>0</v>
      </c>
      <c r="J171" s="1237"/>
      <c r="K171" s="1237">
        <v>0</v>
      </c>
      <c r="L171" s="1237"/>
      <c r="M171" s="1237">
        <f t="shared" si="9"/>
        <v>0</v>
      </c>
      <c r="N171" s="1237"/>
      <c r="O171" s="1237">
        <v>0</v>
      </c>
      <c r="P171" s="2226"/>
      <c r="Q171" s="3050"/>
    </row>
    <row r="172" spans="2:17" s="3037" customFormat="1" ht="15.75">
      <c r="B172" s="3045">
        <v>22144</v>
      </c>
      <c r="C172" s="3059"/>
      <c r="D172" s="3080" t="s">
        <v>718</v>
      </c>
      <c r="E172" s="3061"/>
      <c r="F172" s="3061"/>
      <c r="G172" s="1237">
        <v>0</v>
      </c>
      <c r="H172" s="1237"/>
      <c r="I172" s="1237">
        <v>0</v>
      </c>
      <c r="J172" s="1237"/>
      <c r="K172" s="1237">
        <v>21420.45</v>
      </c>
      <c r="L172" s="1237"/>
      <c r="M172" s="1237">
        <f t="shared" si="9"/>
        <v>-21420.45</v>
      </c>
      <c r="N172" s="1237"/>
      <c r="O172" s="1237">
        <v>0</v>
      </c>
      <c r="P172" s="2226"/>
      <c r="Q172" s="3050"/>
    </row>
    <row r="173" spans="2:17" s="3037" customFormat="1" ht="15.75">
      <c r="B173" s="3045">
        <v>22151</v>
      </c>
      <c r="C173" s="3059"/>
      <c r="D173" s="3060" t="s">
        <v>719</v>
      </c>
      <c r="E173" s="3061"/>
      <c r="F173" s="3061"/>
      <c r="G173" s="1237">
        <v>180075.47</v>
      </c>
      <c r="H173" s="1237"/>
      <c r="I173" s="1237">
        <v>246248.49</v>
      </c>
      <c r="J173" s="1237"/>
      <c r="K173" s="1237">
        <v>128920.72</v>
      </c>
      <c r="L173" s="1237"/>
      <c r="M173" s="1237">
        <f t="shared" si="9"/>
        <v>68898.179999999993</v>
      </c>
      <c r="N173" s="1237"/>
      <c r="O173" s="1237">
        <v>197818.9</v>
      </c>
      <c r="P173" s="2226"/>
      <c r="Q173" s="3050"/>
    </row>
    <row r="174" spans="2:17" s="3037" customFormat="1" ht="15.75">
      <c r="B174" s="3045">
        <v>22156</v>
      </c>
      <c r="C174" s="3059"/>
      <c r="D174" s="3060" t="s">
        <v>720</v>
      </c>
      <c r="E174" s="3061"/>
      <c r="F174" s="3061"/>
      <c r="G174" s="1237">
        <v>1288571.78</v>
      </c>
      <c r="H174" s="1237"/>
      <c r="I174" s="1237">
        <v>6156489.6900000004</v>
      </c>
      <c r="J174" s="1237"/>
      <c r="K174" s="1237">
        <v>9666326.9299999997</v>
      </c>
      <c r="L174" s="1237"/>
      <c r="M174" s="1237">
        <f t="shared" si="9"/>
        <v>-8095539.71</v>
      </c>
      <c r="N174" s="1237"/>
      <c r="O174" s="1237">
        <v>1570787.22</v>
      </c>
      <c r="P174" s="2226"/>
      <c r="Q174" s="3050"/>
    </row>
    <row r="175" spans="2:17" s="3037" customFormat="1" ht="15.75">
      <c r="B175" s="3045">
        <v>22158</v>
      </c>
      <c r="C175" s="3059"/>
      <c r="D175" s="3080" t="s">
        <v>721</v>
      </c>
      <c r="E175" s="3061"/>
      <c r="F175" s="3061"/>
      <c r="G175" s="1237">
        <v>0</v>
      </c>
      <c r="H175" s="1237"/>
      <c r="I175" s="1237">
        <v>0</v>
      </c>
      <c r="J175" s="1237"/>
      <c r="K175" s="1237">
        <v>0</v>
      </c>
      <c r="L175" s="1237"/>
      <c r="M175" s="1237">
        <f t="shared" si="9"/>
        <v>0</v>
      </c>
      <c r="N175" s="1237"/>
      <c r="O175" s="1237">
        <v>0</v>
      </c>
      <c r="P175" s="2226"/>
      <c r="Q175" s="3050"/>
    </row>
    <row r="176" spans="2:17" s="3037" customFormat="1" ht="15.75">
      <c r="B176" s="3045">
        <v>22168</v>
      </c>
      <c r="C176" s="3059"/>
      <c r="D176" s="3080" t="s">
        <v>722</v>
      </c>
      <c r="E176" s="3061"/>
      <c r="F176" s="3061"/>
      <c r="G176" s="1237">
        <v>0</v>
      </c>
      <c r="H176" s="1237"/>
      <c r="I176" s="1237">
        <v>0</v>
      </c>
      <c r="J176" s="1237"/>
      <c r="K176" s="1237">
        <v>0</v>
      </c>
      <c r="L176" s="1237"/>
      <c r="M176" s="1237">
        <f t="shared" si="9"/>
        <v>0</v>
      </c>
      <c r="N176" s="1237"/>
      <c r="O176" s="1237">
        <v>0</v>
      </c>
      <c r="P176" s="2226"/>
      <c r="Q176" s="3050"/>
    </row>
    <row r="177" spans="2:17" s="3244" customFormat="1" ht="15.75">
      <c r="B177" s="3063">
        <v>22240</v>
      </c>
      <c r="C177" s="3081"/>
      <c r="D177" s="3082" t="s">
        <v>1419</v>
      </c>
      <c r="E177" s="3066"/>
      <c r="F177" s="3066"/>
      <c r="G177" s="1237">
        <v>0</v>
      </c>
      <c r="H177" s="1237"/>
      <c r="I177" s="1237">
        <v>0</v>
      </c>
      <c r="J177" s="1237"/>
      <c r="K177" s="1237">
        <v>0</v>
      </c>
      <c r="L177" s="1237"/>
      <c r="M177" s="1237">
        <f t="shared" si="9"/>
        <v>0</v>
      </c>
      <c r="N177" s="1237"/>
      <c r="O177" s="1237">
        <v>0</v>
      </c>
      <c r="P177" s="2226"/>
      <c r="Q177" s="3243"/>
    </row>
    <row r="178" spans="2:17" s="3037" customFormat="1" ht="15.75">
      <c r="B178" s="3045">
        <v>22654</v>
      </c>
      <c r="C178" s="3059"/>
      <c r="D178" s="3060" t="s">
        <v>723</v>
      </c>
      <c r="E178" s="3061"/>
      <c r="F178" s="3061"/>
      <c r="G178" s="1237">
        <v>20217897.059999999</v>
      </c>
      <c r="H178" s="1237"/>
      <c r="I178" s="1237">
        <v>20258799.77</v>
      </c>
      <c r="J178" s="1237"/>
      <c r="K178" s="1237">
        <v>20301019.649999999</v>
      </c>
      <c r="L178" s="1237"/>
      <c r="M178" s="1237">
        <f t="shared" si="9"/>
        <v>40451.58</v>
      </c>
      <c r="N178" s="1237"/>
      <c r="O178" s="1237">
        <v>20341471.23</v>
      </c>
      <c r="P178" s="2226"/>
      <c r="Q178" s="3050"/>
    </row>
    <row r="179" spans="2:17" s="3037" customFormat="1" ht="15.75">
      <c r="B179" s="3045">
        <v>22751</v>
      </c>
      <c r="C179" s="3059"/>
      <c r="D179" s="3060" t="s">
        <v>1287</v>
      </c>
      <c r="E179" s="3061"/>
      <c r="F179" s="3061"/>
      <c r="G179" s="1237">
        <v>8045.89</v>
      </c>
      <c r="H179" s="1237"/>
      <c r="I179" s="1237">
        <v>0</v>
      </c>
      <c r="J179" s="1237"/>
      <c r="K179" s="1237">
        <v>0</v>
      </c>
      <c r="L179" s="1237"/>
      <c r="M179" s="1237">
        <f>ROUND(SUM(O179)-SUM(K179),2)</f>
        <v>0</v>
      </c>
      <c r="N179" s="1237"/>
      <c r="O179" s="1237">
        <v>0</v>
      </c>
      <c r="P179" s="2226"/>
      <c r="Q179" s="3050"/>
    </row>
    <row r="180" spans="2:17" s="3037" customFormat="1" ht="15.75">
      <c r="B180" s="3045">
        <v>22802</v>
      </c>
      <c r="C180" s="3059"/>
      <c r="D180" s="3080" t="s">
        <v>724</v>
      </c>
      <c r="E180" s="3061"/>
      <c r="F180" s="3061"/>
      <c r="G180" s="1237">
        <v>0</v>
      </c>
      <c r="H180" s="1237"/>
      <c r="I180" s="1237">
        <v>0</v>
      </c>
      <c r="J180" s="1237"/>
      <c r="K180" s="1237">
        <v>0</v>
      </c>
      <c r="L180" s="1237"/>
      <c r="M180" s="1237">
        <f t="shared" si="9"/>
        <v>0</v>
      </c>
      <c r="N180" s="1237"/>
      <c r="O180" s="1237">
        <v>0</v>
      </c>
      <c r="P180" s="2226"/>
      <c r="Q180" s="3050"/>
    </row>
    <row r="181" spans="2:17" s="3037" customFormat="1" ht="15.75">
      <c r="B181" s="3045">
        <v>23001</v>
      </c>
      <c r="C181" s="3059"/>
      <c r="D181" s="3060" t="s">
        <v>725</v>
      </c>
      <c r="E181" s="3061"/>
      <c r="F181" s="3061"/>
      <c r="G181" s="1237">
        <v>12941495.24</v>
      </c>
      <c r="H181" s="1237"/>
      <c r="I181" s="1237">
        <v>13203047.810000001</v>
      </c>
      <c r="J181" s="1237"/>
      <c r="K181" s="1237">
        <v>13329056.560000001</v>
      </c>
      <c r="L181" s="1237"/>
      <c r="M181" s="1237">
        <f t="shared" si="9"/>
        <v>242687.62</v>
      </c>
      <c r="N181" s="1237"/>
      <c r="O181" s="1237">
        <v>13571744.18</v>
      </c>
      <c r="P181" s="2226"/>
      <c r="Q181" s="3050"/>
    </row>
    <row r="182" spans="2:17" s="3037" customFormat="1" ht="15.75">
      <c r="B182" s="3045">
        <v>23102</v>
      </c>
      <c r="C182" s="3059"/>
      <c r="D182" s="3080" t="s">
        <v>726</v>
      </c>
      <c r="E182" s="3061"/>
      <c r="F182" s="3061"/>
      <c r="G182" s="1237">
        <v>5350949.7</v>
      </c>
      <c r="H182" s="1237"/>
      <c r="I182" s="1237">
        <v>5350949.7</v>
      </c>
      <c r="J182" s="1237"/>
      <c r="K182" s="1237">
        <v>5350949.7</v>
      </c>
      <c r="L182" s="1237"/>
      <c r="M182" s="1237">
        <f t="shared" si="9"/>
        <v>0</v>
      </c>
      <c r="N182" s="1237"/>
      <c r="O182" s="1237">
        <v>5350949.7</v>
      </c>
      <c r="P182" s="2226"/>
      <c r="Q182" s="3050"/>
    </row>
    <row r="183" spans="2:17" s="3037" customFormat="1" ht="15.75">
      <c r="B183" s="3045">
        <v>23151</v>
      </c>
      <c r="C183" s="3059"/>
      <c r="D183" s="3060" t="s">
        <v>727</v>
      </c>
      <c r="E183" s="3061"/>
      <c r="F183" s="3061"/>
      <c r="G183" s="1237">
        <v>34503932.909999996</v>
      </c>
      <c r="H183" s="1237"/>
      <c r="I183" s="1237">
        <v>35037336.280000001</v>
      </c>
      <c r="J183" s="1237"/>
      <c r="K183" s="1237">
        <v>37515667.130000003</v>
      </c>
      <c r="L183" s="1237"/>
      <c r="M183" s="1237">
        <f t="shared" si="9"/>
        <v>2526629.5</v>
      </c>
      <c r="N183" s="1237"/>
      <c r="O183" s="1237">
        <v>40042296.630000003</v>
      </c>
      <c r="P183" s="2226"/>
      <c r="Q183" s="3050"/>
    </row>
    <row r="184" spans="2:17" s="3037" customFormat="1" ht="15.75">
      <c r="B184" s="3085">
        <v>23701</v>
      </c>
      <c r="C184" s="3059"/>
      <c r="D184" s="3060" t="s">
        <v>955</v>
      </c>
      <c r="E184" s="3061"/>
      <c r="F184" s="3061"/>
      <c r="G184" s="1237">
        <v>0</v>
      </c>
      <c r="H184" s="1237"/>
      <c r="I184" s="1237">
        <v>0</v>
      </c>
      <c r="J184" s="1237"/>
      <c r="K184" s="1237">
        <v>0</v>
      </c>
      <c r="L184" s="1237"/>
      <c r="M184" s="1237">
        <f t="shared" si="9"/>
        <v>0</v>
      </c>
      <c r="N184" s="1237"/>
      <c r="O184" s="1237">
        <v>0</v>
      </c>
      <c r="P184" s="2226"/>
      <c r="Q184" s="3050"/>
    </row>
    <row r="185" spans="2:17" s="3037" customFormat="1" ht="15.75">
      <c r="B185" s="3085">
        <v>23702</v>
      </c>
      <c r="C185" s="3059"/>
      <c r="D185" s="3080" t="s">
        <v>956</v>
      </c>
      <c r="E185" s="3061"/>
      <c r="F185" s="3061"/>
      <c r="G185" s="1237">
        <v>14092144.48</v>
      </c>
      <c r="H185" s="1237"/>
      <c r="I185" s="1237">
        <v>14494567.529999999</v>
      </c>
      <c r="J185" s="1237"/>
      <c r="K185" s="1237">
        <v>14756450.710000001</v>
      </c>
      <c r="L185" s="1237"/>
      <c r="M185" s="1237">
        <f t="shared" si="9"/>
        <v>359996.29</v>
      </c>
      <c r="N185" s="1237"/>
      <c r="O185" s="1237">
        <v>15116447</v>
      </c>
      <c r="P185" s="2226"/>
      <c r="Q185" s="3050"/>
    </row>
    <row r="186" spans="2:17" s="3037" customFormat="1" ht="15.75">
      <c r="B186" s="3085">
        <v>23800</v>
      </c>
      <c r="C186" s="3059"/>
      <c r="D186" s="3080" t="s">
        <v>1299</v>
      </c>
      <c r="E186" s="3061"/>
      <c r="F186" s="3061"/>
      <c r="G186" s="1237">
        <v>0</v>
      </c>
      <c r="H186" s="1237"/>
      <c r="I186" s="1237">
        <v>0</v>
      </c>
      <c r="J186" s="1237"/>
      <c r="K186" s="1237">
        <v>0</v>
      </c>
      <c r="L186" s="1237"/>
      <c r="M186" s="1237">
        <f t="shared" ref="M186:M187" si="10">ROUND(SUM(O186)-SUM(K186),2)</f>
        <v>0</v>
      </c>
      <c r="N186" s="1237"/>
      <c r="O186" s="1237">
        <v>0</v>
      </c>
      <c r="P186" s="3057"/>
      <c r="Q186" s="3050"/>
    </row>
    <row r="187" spans="2:17" s="3037" customFormat="1" ht="15.75">
      <c r="B187" s="3085">
        <v>23801</v>
      </c>
      <c r="C187" s="3059"/>
      <c r="D187" s="3080" t="s">
        <v>1300</v>
      </c>
      <c r="E187" s="3061"/>
      <c r="F187" s="3061"/>
      <c r="G187" s="1237">
        <v>0</v>
      </c>
      <c r="H187" s="1237"/>
      <c r="I187" s="1237">
        <v>0</v>
      </c>
      <c r="J187" s="1237"/>
      <c r="K187" s="1237">
        <v>0</v>
      </c>
      <c r="L187" s="1237"/>
      <c r="M187" s="1237">
        <f t="shared" si="10"/>
        <v>0</v>
      </c>
      <c r="N187" s="1237"/>
      <c r="O187" s="1237">
        <v>0</v>
      </c>
      <c r="P187" s="3057"/>
      <c r="Q187" s="3050"/>
    </row>
    <row r="188" spans="2:17" s="3037" customFormat="1" ht="15.75">
      <c r="B188" s="3085">
        <v>23806</v>
      </c>
      <c r="C188" s="3059"/>
      <c r="D188" s="3080" t="s">
        <v>1336</v>
      </c>
      <c r="E188" s="3061"/>
      <c r="F188" s="3061"/>
      <c r="G188" s="1237">
        <v>0</v>
      </c>
      <c r="H188" s="1237"/>
      <c r="I188" s="1237">
        <v>0</v>
      </c>
      <c r="J188" s="1237"/>
      <c r="K188" s="1237">
        <v>0</v>
      </c>
      <c r="L188" s="1237"/>
      <c r="M188" s="1237">
        <f t="shared" ref="M188:M189" si="11">ROUND(SUM(O188)-SUM(K188),2)</f>
        <v>0</v>
      </c>
      <c r="N188" s="1237"/>
      <c r="O188" s="1237">
        <v>0</v>
      </c>
      <c r="P188" s="3057"/>
      <c r="Q188" s="3050"/>
    </row>
    <row r="189" spans="2:17" s="3037" customFormat="1" ht="15.75">
      <c r="B189" s="3085">
        <v>24951</v>
      </c>
      <c r="C189" s="3059"/>
      <c r="D189" s="3080" t="s">
        <v>1337</v>
      </c>
      <c r="E189" s="3061"/>
      <c r="F189" s="3061"/>
      <c r="G189" s="1237">
        <v>48055.03</v>
      </c>
      <c r="H189" s="1237"/>
      <c r="I189" s="1237">
        <v>48055.03</v>
      </c>
      <c r="J189" s="1237"/>
      <c r="K189" s="1237">
        <v>0</v>
      </c>
      <c r="L189" s="1237"/>
      <c r="M189" s="1237">
        <f t="shared" si="11"/>
        <v>0</v>
      </c>
      <c r="N189" s="1237"/>
      <c r="O189" s="1237">
        <v>0</v>
      </c>
      <c r="P189" s="3057"/>
      <c r="Q189" s="3050"/>
    </row>
    <row r="190" spans="2:17" s="3037" customFormat="1" ht="16.5" thickBot="1">
      <c r="B190" s="3068"/>
      <c r="C190" s="3039"/>
      <c r="D190" s="3052" t="s">
        <v>728</v>
      </c>
      <c r="E190" s="3041"/>
      <c r="F190" s="3041"/>
      <c r="G190" s="1636">
        <f>ROUND(SUM(G105:G189),2)</f>
        <v>384957156.23000002</v>
      </c>
      <c r="H190" s="1512"/>
      <c r="I190" s="1636">
        <f>ROUND(SUM(I105:I189),2)</f>
        <v>431463153.80000001</v>
      </c>
      <c r="J190" s="2196"/>
      <c r="K190" s="1636">
        <f>ROUND(SUM(K105:K189),2)</f>
        <v>496530141.19</v>
      </c>
      <c r="L190" s="2608"/>
      <c r="M190" s="1636">
        <f>ROUND(SUM(M105:M189),2)</f>
        <v>-92645911.040000007</v>
      </c>
      <c r="N190" s="2608"/>
      <c r="O190" s="1636">
        <f>ROUND(SUM(O105:O189),2)</f>
        <v>403884230.14999998</v>
      </c>
      <c r="P190" s="3057"/>
      <c r="Q190" s="3050"/>
    </row>
    <row r="191" spans="2:17" s="3037" customFormat="1" ht="16.5" thickTop="1">
      <c r="B191" s="3086"/>
      <c r="C191" s="3070"/>
      <c r="D191" s="3087"/>
      <c r="E191" s="3059"/>
      <c r="F191" s="3059"/>
      <c r="G191" s="1237"/>
      <c r="H191" s="3076"/>
      <c r="I191" s="2226"/>
      <c r="J191" s="3076"/>
      <c r="K191" s="2226"/>
      <c r="L191" s="3266"/>
      <c r="M191" s="1237"/>
      <c r="N191" s="3076"/>
      <c r="O191" s="2226"/>
      <c r="P191" s="3057"/>
      <c r="Q191" s="3050"/>
    </row>
    <row r="192" spans="2:17" s="3037" customFormat="1" ht="15.75">
      <c r="B192" s="3086"/>
      <c r="C192" s="3039"/>
      <c r="D192" s="3052" t="s">
        <v>729</v>
      </c>
      <c r="E192" s="3041"/>
      <c r="F192" s="3041"/>
      <c r="G192" s="1237"/>
      <c r="H192" s="3266"/>
      <c r="I192" s="2226"/>
      <c r="J192" s="3266"/>
      <c r="K192" s="2226"/>
      <c r="L192" s="3266"/>
      <c r="M192" s="1238"/>
      <c r="N192" s="1530"/>
      <c r="O192" s="2226"/>
      <c r="P192" s="3057"/>
      <c r="Q192" s="3050"/>
    </row>
    <row r="193" spans="2:17" s="3244" customFormat="1" ht="15.75">
      <c r="B193" s="3093" t="s">
        <v>730</v>
      </c>
      <c r="C193" s="3267"/>
      <c r="D193" s="3084" t="s">
        <v>731</v>
      </c>
      <c r="E193" s="3242"/>
      <c r="F193" s="3242"/>
      <c r="G193" s="3598">
        <v>13743952.42</v>
      </c>
      <c r="H193" s="1237"/>
      <c r="I193" s="3598">
        <v>10123065</v>
      </c>
      <c r="J193" s="1237"/>
      <c r="K193" s="3598">
        <v>55367684.850000001</v>
      </c>
      <c r="L193" s="1237"/>
      <c r="M193" s="1237">
        <f t="shared" ref="M193:M199" si="12">ROUND(SUM(O193)-SUM(K193),2)</f>
        <v>74169013.109999999</v>
      </c>
      <c r="N193" s="1237"/>
      <c r="O193" s="3598">
        <v>129536697.95999999</v>
      </c>
      <c r="P193" s="3057"/>
      <c r="Q193" s="3243"/>
    </row>
    <row r="194" spans="2:17" s="3244" customFormat="1" ht="15.75">
      <c r="B194" s="3093" t="s">
        <v>732</v>
      </c>
      <c r="C194" s="3267"/>
      <c r="D194" s="3084" t="s">
        <v>733</v>
      </c>
      <c r="E194" s="3242"/>
      <c r="F194" s="3242"/>
      <c r="G194" s="3598">
        <v>580826448.77999997</v>
      </c>
      <c r="H194" s="1237"/>
      <c r="I194" s="3598">
        <v>382506285.18000001</v>
      </c>
      <c r="J194" s="1237"/>
      <c r="K194" s="3598">
        <v>303557427.73000002</v>
      </c>
      <c r="L194" s="1237"/>
      <c r="M194" s="1237">
        <f t="shared" si="12"/>
        <v>909277886.64999998</v>
      </c>
      <c r="N194" s="1237"/>
      <c r="O194" s="3598">
        <v>1212835314.3800001</v>
      </c>
      <c r="P194" s="3057"/>
      <c r="Q194" s="3243"/>
    </row>
    <row r="195" spans="2:17" s="3244" customFormat="1" ht="15.75">
      <c r="B195" s="3093" t="s">
        <v>734</v>
      </c>
      <c r="C195" s="3267"/>
      <c r="D195" s="3082" t="s">
        <v>735</v>
      </c>
      <c r="E195" s="3242"/>
      <c r="F195" s="3242"/>
      <c r="G195" s="3598">
        <v>62473696.479999997</v>
      </c>
      <c r="H195" s="1237"/>
      <c r="I195" s="3598">
        <v>150905821.09999999</v>
      </c>
      <c r="J195" s="1237"/>
      <c r="K195" s="3598">
        <v>24554882.469999999</v>
      </c>
      <c r="L195" s="1237"/>
      <c r="M195" s="1237">
        <f t="shared" si="12"/>
        <v>869053.35</v>
      </c>
      <c r="N195" s="1237"/>
      <c r="O195" s="3598">
        <v>25423935.82</v>
      </c>
      <c r="P195" s="3057"/>
      <c r="Q195" s="3243"/>
    </row>
    <row r="196" spans="2:17" s="3244" customFormat="1" ht="15.75">
      <c r="B196" s="3093" t="s">
        <v>1301</v>
      </c>
      <c r="C196" s="3267"/>
      <c r="D196" s="3082" t="s">
        <v>1302</v>
      </c>
      <c r="E196" s="3242"/>
      <c r="F196" s="3242"/>
      <c r="G196" s="3598">
        <v>0</v>
      </c>
      <c r="H196" s="1237"/>
      <c r="I196" s="3598">
        <v>0</v>
      </c>
      <c r="J196" s="1237"/>
      <c r="K196" s="3598">
        <v>0</v>
      </c>
      <c r="L196" s="1237"/>
      <c r="M196" s="1237">
        <f t="shared" si="12"/>
        <v>0</v>
      </c>
      <c r="N196" s="1237"/>
      <c r="O196" s="3598">
        <v>0</v>
      </c>
      <c r="P196" s="3057"/>
      <c r="Q196" s="3243"/>
    </row>
    <row r="197" spans="2:17" s="3244" customFormat="1" ht="15.75">
      <c r="B197" s="3093" t="s">
        <v>736</v>
      </c>
      <c r="C197" s="3082"/>
      <c r="D197" s="3084" t="s">
        <v>737</v>
      </c>
      <c r="E197" s="3242"/>
      <c r="F197" s="3242"/>
      <c r="G197" s="3598">
        <v>447342224.31999999</v>
      </c>
      <c r="H197" s="1237"/>
      <c r="I197" s="3598">
        <v>462499820.50999999</v>
      </c>
      <c r="J197" s="1237"/>
      <c r="K197" s="3598">
        <v>447922402.47000003</v>
      </c>
      <c r="L197" s="1237"/>
      <c r="M197" s="1237">
        <f t="shared" si="12"/>
        <v>-16985836.579999998</v>
      </c>
      <c r="N197" s="1237"/>
      <c r="O197" s="3598">
        <v>430936565.88999999</v>
      </c>
      <c r="P197" s="3057"/>
      <c r="Q197" s="3243"/>
    </row>
    <row r="198" spans="2:17" s="3244" customFormat="1" ht="15.75">
      <c r="B198" s="3063">
        <v>31351</v>
      </c>
      <c r="C198" s="3082"/>
      <c r="D198" s="3084" t="s">
        <v>738</v>
      </c>
      <c r="E198" s="3242"/>
      <c r="F198" s="3242"/>
      <c r="G198" s="1237">
        <v>8801154.6600000001</v>
      </c>
      <c r="H198" s="1237"/>
      <c r="I198" s="1237">
        <v>8793024.6600000001</v>
      </c>
      <c r="J198" s="1237"/>
      <c r="K198" s="1237">
        <v>8791744.6600000001</v>
      </c>
      <c r="L198" s="1237"/>
      <c r="M198" s="1237">
        <f t="shared" si="12"/>
        <v>-35083</v>
      </c>
      <c r="N198" s="1237"/>
      <c r="O198" s="1237">
        <v>8756661.6600000001</v>
      </c>
      <c r="P198" s="3073"/>
      <c r="Q198" s="3243"/>
    </row>
    <row r="199" spans="2:17" s="3244" customFormat="1" ht="15.75">
      <c r="B199" s="2958">
        <v>31354</v>
      </c>
      <c r="C199" s="3245"/>
      <c r="D199" s="3065" t="s">
        <v>739</v>
      </c>
      <c r="E199" s="3242"/>
      <c r="F199" s="3242"/>
      <c r="G199" s="1237">
        <v>475012750.94999999</v>
      </c>
      <c r="H199" s="1237"/>
      <c r="I199" s="1237">
        <v>451956589.79000002</v>
      </c>
      <c r="J199" s="1237"/>
      <c r="K199" s="1237">
        <v>475189753.44</v>
      </c>
      <c r="L199" s="1237"/>
      <c r="M199" s="1237">
        <f t="shared" si="12"/>
        <v>-15310542.130000001</v>
      </c>
      <c r="N199" s="1237"/>
      <c r="O199" s="1237">
        <v>459879211.31</v>
      </c>
      <c r="P199" s="3088"/>
      <c r="Q199" s="3243"/>
    </row>
    <row r="200" spans="2:17" s="3244" customFormat="1" ht="15.75">
      <c r="B200" s="3246" t="s">
        <v>740</v>
      </c>
      <c r="C200" s="3081"/>
      <c r="D200" s="3084" t="s">
        <v>741</v>
      </c>
      <c r="E200" s="3242"/>
      <c r="F200" s="3242"/>
      <c r="G200" s="1237">
        <v>118479790.75</v>
      </c>
      <c r="H200" s="1237"/>
      <c r="I200" s="1237">
        <v>119370527.64</v>
      </c>
      <c r="J200" s="1237"/>
      <c r="K200" s="1237">
        <v>123395612.5</v>
      </c>
      <c r="L200" s="1237"/>
      <c r="M200" s="1237">
        <f>ROUND(SUM(O200)-SUM(K200),2)</f>
        <v>3395617.45</v>
      </c>
      <c r="N200" s="1237"/>
      <c r="O200" s="1237">
        <v>126791229.95</v>
      </c>
      <c r="P200" s="3247"/>
      <c r="Q200" s="3243"/>
    </row>
    <row r="201" spans="2:17" s="3244" customFormat="1" ht="15.75">
      <c r="B201" s="3091" t="s">
        <v>957</v>
      </c>
      <c r="C201" s="3081"/>
      <c r="D201" s="3084" t="s">
        <v>958</v>
      </c>
      <c r="E201" s="3092"/>
      <c r="F201" s="3092"/>
      <c r="G201" s="1237">
        <v>6887368.6699999999</v>
      </c>
      <c r="H201" s="1237"/>
      <c r="I201" s="1237">
        <v>12412094.18</v>
      </c>
      <c r="J201" s="1237"/>
      <c r="K201" s="1237">
        <v>15311990.779999999</v>
      </c>
      <c r="L201" s="1237"/>
      <c r="M201" s="1237">
        <f>ROUND(SUM(O201)-SUM(K201),2)</f>
        <v>-2605601.0299999998</v>
      </c>
      <c r="N201" s="1237"/>
      <c r="O201" s="1237">
        <v>12706389.75</v>
      </c>
      <c r="P201" s="3093"/>
      <c r="Q201" s="3243"/>
    </row>
    <row r="202" spans="2:17" s="3244" customFormat="1" ht="15.75">
      <c r="B202" s="3094">
        <v>25950</v>
      </c>
      <c r="C202" s="3081"/>
      <c r="D202" s="3084" t="s">
        <v>742</v>
      </c>
      <c r="E202" s="3095"/>
      <c r="F202" s="3095"/>
      <c r="G202" s="1237">
        <v>460495.01</v>
      </c>
      <c r="H202" s="1237"/>
      <c r="I202" s="1237">
        <v>288018.01</v>
      </c>
      <c r="J202" s="1237"/>
      <c r="K202" s="1237">
        <v>505462.51</v>
      </c>
      <c r="L202" s="1237"/>
      <c r="M202" s="1237">
        <f t="shared" ref="M202:M203" si="13">ROUND(SUM(O202)-SUM(K202),2)</f>
        <v>-101807</v>
      </c>
      <c r="N202" s="1237"/>
      <c r="O202" s="1237">
        <v>403655.51</v>
      </c>
      <c r="P202" s="3093"/>
      <c r="Q202" s="3243"/>
    </row>
    <row r="203" spans="2:17" s="3244" customFormat="1" ht="15.75">
      <c r="B203" s="3091" t="s">
        <v>1270</v>
      </c>
      <c r="C203" s="3081"/>
      <c r="D203" s="3082" t="s">
        <v>959</v>
      </c>
      <c r="E203" s="3092"/>
      <c r="F203" s="3092"/>
      <c r="G203" s="1237">
        <v>7801321.04</v>
      </c>
      <c r="H203" s="1237"/>
      <c r="I203" s="1237">
        <v>1829534.07</v>
      </c>
      <c r="J203" s="1237"/>
      <c r="K203" s="1237">
        <v>6195915.5199999996</v>
      </c>
      <c r="L203" s="1237"/>
      <c r="M203" s="1237">
        <f t="shared" si="13"/>
        <v>-3498946.16</v>
      </c>
      <c r="N203" s="1237"/>
      <c r="O203" s="1237">
        <v>2696969.36</v>
      </c>
      <c r="P203" s="3093"/>
      <c r="Q203" s="3243"/>
    </row>
    <row r="204" spans="2:17" s="3037" customFormat="1" ht="16.5" thickBot="1">
      <c r="B204" s="3096"/>
      <c r="C204" s="3053"/>
      <c r="D204" s="3052" t="s">
        <v>743</v>
      </c>
      <c r="E204" s="3054"/>
      <c r="F204" s="3054"/>
      <c r="G204" s="1636">
        <f>ROUND(SUM(G193:G203),2)</f>
        <v>1721829203.0799999</v>
      </c>
      <c r="H204" s="1512"/>
      <c r="I204" s="1636">
        <f>ROUND(SUM(I193:I203),2)</f>
        <v>1600684780.1400001</v>
      </c>
      <c r="J204" s="1512"/>
      <c r="K204" s="1636">
        <f>ROUND(SUM(K193:K203),2)</f>
        <v>1460792876.9300001</v>
      </c>
      <c r="L204" s="2608"/>
      <c r="M204" s="1239">
        <f>ROUND(SUM(M193:M203),2)</f>
        <v>949173754.65999997</v>
      </c>
      <c r="N204" s="2608"/>
      <c r="O204" s="1636">
        <f>ROUND(SUM(O193:O203),2)</f>
        <v>2409966631.5900002</v>
      </c>
      <c r="P204" s="3088" t="s">
        <v>114</v>
      </c>
      <c r="Q204" s="3050"/>
    </row>
    <row r="205" spans="2:17" s="3037" customFormat="1" ht="16.5" thickTop="1">
      <c r="B205" s="3068"/>
      <c r="C205" s="3053"/>
      <c r="D205" s="3066"/>
      <c r="E205" s="3054"/>
      <c r="F205" s="3054"/>
      <c r="G205" s="1238"/>
      <c r="H205" s="1530"/>
      <c r="I205" s="3097"/>
      <c r="J205" s="1530"/>
      <c r="K205" s="3097"/>
      <c r="L205" s="1530"/>
      <c r="M205" s="1238"/>
      <c r="N205" s="1530"/>
      <c r="O205" s="3097"/>
      <c r="P205" s="3089"/>
      <c r="Q205" s="3050"/>
    </row>
    <row r="206" spans="2:17" s="3037" customFormat="1" ht="15.75">
      <c r="B206" s="3086"/>
      <c r="C206" s="3053"/>
      <c r="D206" s="3040" t="s">
        <v>744</v>
      </c>
      <c r="E206" s="3054"/>
      <c r="F206" s="3054"/>
      <c r="G206" s="1237"/>
      <c r="H206" s="3076"/>
      <c r="I206" s="2226"/>
      <c r="J206" s="3076"/>
      <c r="K206" s="2226"/>
      <c r="L206" s="3076"/>
      <c r="M206" s="1238"/>
      <c r="N206" s="1530"/>
      <c r="O206" s="2226"/>
      <c r="P206" s="3098"/>
      <c r="Q206" s="3050"/>
    </row>
    <row r="207" spans="2:17" s="3037" customFormat="1" ht="15.75">
      <c r="B207" s="3063">
        <v>60201</v>
      </c>
      <c r="C207" s="3039"/>
      <c r="D207" s="3060" t="s">
        <v>745</v>
      </c>
      <c r="E207" s="3054"/>
      <c r="F207" s="3054"/>
      <c r="G207" s="1237">
        <v>0</v>
      </c>
      <c r="H207" s="1237"/>
      <c r="I207" s="1237">
        <v>0</v>
      </c>
      <c r="J207" s="1237"/>
      <c r="K207" s="1237">
        <v>0</v>
      </c>
      <c r="L207" s="1237"/>
      <c r="M207" s="1237">
        <f>ROUND(SUM(O207)-SUM(K207),2)</f>
        <v>0</v>
      </c>
      <c r="N207" s="1237"/>
      <c r="O207" s="1237">
        <v>0</v>
      </c>
      <c r="P207" s="3098"/>
      <c r="Q207" s="3050"/>
    </row>
    <row r="208" spans="2:17" s="3037" customFormat="1" ht="15.75">
      <c r="B208" s="3045">
        <v>60901</v>
      </c>
      <c r="C208" s="3059"/>
      <c r="D208" s="3080" t="s">
        <v>982</v>
      </c>
      <c r="E208" s="3061"/>
      <c r="F208" s="3061"/>
      <c r="G208" s="1237">
        <v>0</v>
      </c>
      <c r="H208" s="1237"/>
      <c r="I208" s="1237">
        <v>0</v>
      </c>
      <c r="J208" s="1237"/>
      <c r="K208" s="1237">
        <v>0</v>
      </c>
      <c r="L208" s="1237"/>
      <c r="M208" s="1237">
        <f>ROUND(SUM(O208)-SUM(K208),2)</f>
        <v>0</v>
      </c>
      <c r="N208" s="1237"/>
      <c r="O208" s="1237">
        <v>0</v>
      </c>
      <c r="P208" s="3098"/>
      <c r="Q208" s="3050"/>
    </row>
    <row r="209" spans="2:17" s="3037" customFormat="1" ht="16.5" thickBot="1">
      <c r="B209" s="3085"/>
      <c r="C209" s="3039"/>
      <c r="D209" s="3040" t="s">
        <v>746</v>
      </c>
      <c r="E209" s="3054"/>
      <c r="F209" s="3054"/>
      <c r="G209" s="1636">
        <f>ROUND(SUM(G207:G208),2)</f>
        <v>0</v>
      </c>
      <c r="H209" s="1512"/>
      <c r="I209" s="1639">
        <f>ROUND(SUM(I207:I208),2)</f>
        <v>0</v>
      </c>
      <c r="J209" s="1512"/>
      <c r="K209" s="1639">
        <f>ROUND(SUM(K207:K208),2)</f>
        <v>0</v>
      </c>
      <c r="L209" s="1512"/>
      <c r="M209" s="1239">
        <f>ROUND(SUM(M207:M208),2)</f>
        <v>0</v>
      </c>
      <c r="N209" s="1512"/>
      <c r="O209" s="1639">
        <f>ROUND(SUM(O207:O208),2)</f>
        <v>0</v>
      </c>
      <c r="P209" s="3057"/>
      <c r="Q209" s="3050"/>
    </row>
    <row r="210" spans="2:17" s="3037" customFormat="1" ht="16.5" thickTop="1">
      <c r="B210" s="3085"/>
      <c r="C210" s="3099"/>
      <c r="D210" s="3099"/>
      <c r="E210" s="3100"/>
      <c r="F210" s="3100"/>
      <c r="G210" s="1237"/>
      <c r="H210" s="3076"/>
      <c r="I210" s="2226"/>
      <c r="J210" s="3076"/>
      <c r="K210" s="2226"/>
      <c r="L210" s="3076"/>
      <c r="M210" s="1237"/>
      <c r="N210" s="3076"/>
      <c r="O210" s="2226"/>
      <c r="P210" s="3051"/>
      <c r="Q210" s="3050"/>
    </row>
    <row r="211" spans="2:17" s="3037" customFormat="1" ht="15.75">
      <c r="B211" s="3085"/>
      <c r="C211" s="3069"/>
      <c r="D211" s="3040" t="s">
        <v>747</v>
      </c>
      <c r="E211" s="3075"/>
      <c r="F211" s="3075"/>
      <c r="G211" s="1237"/>
      <c r="H211" s="3076"/>
      <c r="I211" s="2226"/>
      <c r="J211" s="3076"/>
      <c r="K211" s="2226"/>
      <c r="L211" s="3076"/>
      <c r="M211" s="1240"/>
      <c r="N211" s="3101"/>
      <c r="O211" s="2226"/>
      <c r="P211" s="3089"/>
      <c r="Q211" s="3050"/>
    </row>
    <row r="212" spans="2:17" s="3037" customFormat="1" ht="15.75">
      <c r="B212" s="3045">
        <v>50318</v>
      </c>
      <c r="C212" s="3070"/>
      <c r="D212" s="3082" t="s">
        <v>748</v>
      </c>
      <c r="E212" s="3044"/>
      <c r="F212" s="3044"/>
      <c r="G212" s="1237">
        <v>102178.23</v>
      </c>
      <c r="H212" s="1237"/>
      <c r="I212" s="1237">
        <v>220303.59</v>
      </c>
      <c r="J212" s="1237"/>
      <c r="K212" s="1237">
        <v>242148.75</v>
      </c>
      <c r="L212" s="1237"/>
      <c r="M212" s="1237">
        <f>ROUND(SUM(O212)-SUM(K212),2)</f>
        <v>-9462.0499999999993</v>
      </c>
      <c r="N212" s="1237"/>
      <c r="O212" s="1237">
        <v>232686.7</v>
      </c>
      <c r="P212" s="3098"/>
      <c r="Q212" s="3050"/>
    </row>
    <row r="213" spans="2:17" s="3037" customFormat="1" ht="15.75">
      <c r="B213" s="3045">
        <v>50327</v>
      </c>
      <c r="C213" s="3070"/>
      <c r="D213" s="3082" t="s">
        <v>1283</v>
      </c>
      <c r="E213" s="3044"/>
      <c r="F213" s="3044"/>
      <c r="G213" s="1237">
        <v>187195.03</v>
      </c>
      <c r="H213" s="1237"/>
      <c r="I213" s="1237">
        <v>214600.58</v>
      </c>
      <c r="J213" s="1237"/>
      <c r="K213" s="1237">
        <v>217493.73</v>
      </c>
      <c r="L213" s="1237"/>
      <c r="M213" s="1237">
        <f>ROUND(SUM(O213)-SUM(K213),2)</f>
        <v>11518.64</v>
      </c>
      <c r="N213" s="1237"/>
      <c r="O213" s="1237">
        <v>229012.37</v>
      </c>
      <c r="P213" s="3098"/>
      <c r="Q213" s="3050"/>
    </row>
    <row r="214" spans="2:17" s="3037" customFormat="1" ht="16.5" thickBot="1">
      <c r="B214" s="3102"/>
      <c r="C214" s="3039"/>
      <c r="D214" s="3052" t="s">
        <v>749</v>
      </c>
      <c r="E214" s="3041"/>
      <c r="F214" s="3041"/>
      <c r="G214" s="1636">
        <f>ROUND(SUM(G212:G213),2)</f>
        <v>289373.26</v>
      </c>
      <c r="H214" s="1512"/>
      <c r="I214" s="3103">
        <f>ROUND(SUM(I212:I213),2)</f>
        <v>434904.17</v>
      </c>
      <c r="J214" s="1512"/>
      <c r="K214" s="3103">
        <f>ROUND(SUM(K212:K213),2)</f>
        <v>459642.48</v>
      </c>
      <c r="L214" s="1512"/>
      <c r="M214" s="1531">
        <f>ROUND(SUM(M212:M213),2)</f>
        <v>2056.59</v>
      </c>
      <c r="N214" s="1512"/>
      <c r="O214" s="3103">
        <f>ROUND(SUM(O212:O213),2)</f>
        <v>461699.07</v>
      </c>
      <c r="P214" s="3073"/>
      <c r="Q214" s="3050"/>
    </row>
    <row r="215" spans="2:17" s="3037" customFormat="1" ht="16.5" thickTop="1">
      <c r="B215" s="3070"/>
      <c r="C215" s="3070"/>
      <c r="D215" s="3104"/>
      <c r="E215" s="3044"/>
      <c r="F215" s="3044"/>
      <c r="G215" s="1532"/>
      <c r="H215" s="1532"/>
      <c r="I215" s="3105"/>
      <c r="J215" s="1532"/>
      <c r="K215" s="3105"/>
      <c r="L215" s="1532"/>
      <c r="M215" s="1532"/>
      <c r="N215" s="1532"/>
      <c r="O215" s="3105"/>
      <c r="P215" s="3096"/>
      <c r="Q215" s="3050"/>
    </row>
    <row r="216" spans="2:17" s="3037" customFormat="1" ht="15.75">
      <c r="B216" s="3038"/>
      <c r="C216" s="3039"/>
      <c r="D216" s="3040" t="s">
        <v>222</v>
      </c>
      <c r="E216" s="3041"/>
      <c r="F216" s="3041"/>
      <c r="G216" s="3076"/>
      <c r="H216" s="3076"/>
      <c r="I216" s="3077"/>
      <c r="J216" s="3076"/>
      <c r="K216" s="3077"/>
      <c r="L216" s="3076"/>
      <c r="M216" s="1530"/>
      <c r="N216" s="1530"/>
      <c r="O216" s="3077"/>
      <c r="P216" s="3044"/>
      <c r="Q216" s="3050"/>
    </row>
    <row r="217" spans="2:17" s="3037" customFormat="1" ht="15.75">
      <c r="B217" s="3045">
        <v>55001</v>
      </c>
      <c r="C217" s="3070"/>
      <c r="D217" s="3082" t="s">
        <v>750</v>
      </c>
      <c r="E217" s="3044"/>
      <c r="F217" s="3044"/>
      <c r="G217" s="1237">
        <v>0</v>
      </c>
      <c r="H217" s="1237"/>
      <c r="I217" s="1237">
        <v>0</v>
      </c>
      <c r="J217" s="1237"/>
      <c r="K217" s="1237">
        <v>0</v>
      </c>
      <c r="L217" s="1237"/>
      <c r="M217" s="1237">
        <f t="shared" ref="M217:M259" si="14">ROUND(SUM(O217)-SUM(K217),2)</f>
        <v>0</v>
      </c>
      <c r="N217" s="1237"/>
      <c r="O217" s="1237">
        <v>0</v>
      </c>
      <c r="P217" s="3067"/>
      <c r="Q217" s="3050"/>
    </row>
    <row r="218" spans="2:17" s="3037" customFormat="1" ht="15.75">
      <c r="B218" s="3045">
        <v>55002</v>
      </c>
      <c r="C218" s="3059"/>
      <c r="D218" s="3080" t="s">
        <v>751</v>
      </c>
      <c r="E218" s="3061"/>
      <c r="F218" s="3061"/>
      <c r="G218" s="1237">
        <v>0</v>
      </c>
      <c r="H218" s="1237"/>
      <c r="I218" s="1237">
        <v>0</v>
      </c>
      <c r="J218" s="1237"/>
      <c r="K218" s="1237">
        <v>0</v>
      </c>
      <c r="L218" s="1237"/>
      <c r="M218" s="1237">
        <f t="shared" si="14"/>
        <v>0</v>
      </c>
      <c r="N218" s="1237"/>
      <c r="O218" s="1237">
        <v>0</v>
      </c>
      <c r="P218" s="3057"/>
      <c r="Q218" s="3050"/>
    </row>
    <row r="219" spans="2:17" s="3037" customFormat="1" ht="15.75">
      <c r="B219" s="3045">
        <v>55003</v>
      </c>
      <c r="C219" s="3059"/>
      <c r="D219" s="3082" t="s">
        <v>752</v>
      </c>
      <c r="E219" s="3061"/>
      <c r="F219" s="3061"/>
      <c r="G219" s="1237">
        <v>1324971.52</v>
      </c>
      <c r="H219" s="1237"/>
      <c r="I219" s="1237">
        <v>1360792.63</v>
      </c>
      <c r="J219" s="1237"/>
      <c r="K219" s="1237">
        <v>1452438.07</v>
      </c>
      <c r="L219" s="1237"/>
      <c r="M219" s="1237">
        <f t="shared" si="14"/>
        <v>1414.74</v>
      </c>
      <c r="N219" s="1237"/>
      <c r="O219" s="1237">
        <v>1453852.81</v>
      </c>
      <c r="P219" s="3057"/>
      <c r="Q219" s="3050"/>
    </row>
    <row r="220" spans="2:17" s="3037" customFormat="1" ht="15.75">
      <c r="B220" s="3045">
        <v>55004</v>
      </c>
      <c r="C220" s="3081"/>
      <c r="D220" s="3106" t="s">
        <v>753</v>
      </c>
      <c r="E220" s="3066"/>
      <c r="F220" s="3066"/>
      <c r="G220" s="1237">
        <v>0</v>
      </c>
      <c r="H220" s="1237"/>
      <c r="I220" s="1237">
        <v>0</v>
      </c>
      <c r="J220" s="1237"/>
      <c r="K220" s="1237">
        <v>0</v>
      </c>
      <c r="L220" s="1237"/>
      <c r="M220" s="1237">
        <f t="shared" si="14"/>
        <v>0</v>
      </c>
      <c r="N220" s="1237"/>
      <c r="O220" s="1237">
        <v>0</v>
      </c>
      <c r="P220" s="3057"/>
      <c r="Q220" s="3050"/>
    </row>
    <row r="221" spans="2:17" s="3037" customFormat="1" ht="15.75">
      <c r="B221" s="3045">
        <v>55005</v>
      </c>
      <c r="C221" s="3059"/>
      <c r="D221" s="3082" t="s">
        <v>754</v>
      </c>
      <c r="E221" s="3061"/>
      <c r="F221" s="3061"/>
      <c r="G221" s="1237">
        <v>20572.16</v>
      </c>
      <c r="H221" s="1237"/>
      <c r="I221" s="1237">
        <v>0</v>
      </c>
      <c r="J221" s="1237"/>
      <c r="K221" s="1237">
        <v>0</v>
      </c>
      <c r="L221" s="1237"/>
      <c r="M221" s="1237">
        <f t="shared" si="14"/>
        <v>0</v>
      </c>
      <c r="N221" s="1237"/>
      <c r="O221" s="1237">
        <v>0</v>
      </c>
      <c r="P221" s="3057"/>
      <c r="Q221" s="3050"/>
    </row>
    <row r="222" spans="2:17" s="3037" customFormat="1" ht="15.75">
      <c r="B222" s="3045">
        <v>55006</v>
      </c>
      <c r="C222" s="3081"/>
      <c r="D222" s="3082" t="s">
        <v>755</v>
      </c>
      <c r="E222" s="3066"/>
      <c r="F222" s="3066"/>
      <c r="G222" s="1237">
        <v>0</v>
      </c>
      <c r="H222" s="1237"/>
      <c r="I222" s="1237">
        <v>0</v>
      </c>
      <c r="J222" s="1237"/>
      <c r="K222" s="1237">
        <v>0</v>
      </c>
      <c r="L222" s="1237"/>
      <c r="M222" s="1237">
        <f t="shared" si="14"/>
        <v>0</v>
      </c>
      <c r="N222" s="1237"/>
      <c r="O222" s="1237">
        <v>0</v>
      </c>
      <c r="P222" s="3057"/>
      <c r="Q222" s="3050"/>
    </row>
    <row r="223" spans="2:17" s="3037" customFormat="1" ht="15.75">
      <c r="B223" s="3045">
        <v>55007</v>
      </c>
      <c r="C223" s="3078"/>
      <c r="D223" s="3046" t="s">
        <v>756</v>
      </c>
      <c r="E223" s="3079"/>
      <c r="F223" s="3079"/>
      <c r="G223" s="1237">
        <v>2619690.38</v>
      </c>
      <c r="H223" s="1237"/>
      <c r="I223" s="1237">
        <v>2639779.4500000002</v>
      </c>
      <c r="J223" s="1237"/>
      <c r="K223" s="1237">
        <v>2379054.23</v>
      </c>
      <c r="L223" s="1237"/>
      <c r="M223" s="1237">
        <f t="shared" si="14"/>
        <v>-176905.59</v>
      </c>
      <c r="N223" s="1237"/>
      <c r="O223" s="1237">
        <v>2202148.64</v>
      </c>
      <c r="P223" s="3067"/>
      <c r="Q223" s="3050"/>
    </row>
    <row r="224" spans="2:17" s="3037" customFormat="1" ht="15.75">
      <c r="B224" s="3045">
        <v>55008</v>
      </c>
      <c r="C224" s="3059"/>
      <c r="D224" s="3084" t="s">
        <v>757</v>
      </c>
      <c r="E224" s="3061"/>
      <c r="F224" s="3061"/>
      <c r="G224" s="1237">
        <v>9931908.5800000001</v>
      </c>
      <c r="H224" s="1237"/>
      <c r="I224" s="1237">
        <v>1522646.94</v>
      </c>
      <c r="J224" s="1237"/>
      <c r="K224" s="1237">
        <v>5683133.3799999999</v>
      </c>
      <c r="L224" s="1237"/>
      <c r="M224" s="1237">
        <f t="shared" si="14"/>
        <v>4541044.32</v>
      </c>
      <c r="N224" s="1237"/>
      <c r="O224" s="1237">
        <v>10224177.699999999</v>
      </c>
      <c r="P224" s="3073"/>
      <c r="Q224" s="3050"/>
    </row>
    <row r="225" spans="2:17" s="3037" customFormat="1" ht="15.75">
      <c r="B225" s="2981">
        <v>55009</v>
      </c>
      <c r="C225" s="3078"/>
      <c r="D225" s="3046" t="s">
        <v>758</v>
      </c>
      <c r="E225" s="3079"/>
      <c r="F225" s="3079"/>
      <c r="G225" s="1237">
        <v>0</v>
      </c>
      <c r="H225" s="1237"/>
      <c r="I225" s="1237">
        <v>0</v>
      </c>
      <c r="J225" s="1237"/>
      <c r="K225" s="1237">
        <v>0</v>
      </c>
      <c r="L225" s="1237"/>
      <c r="M225" s="1237">
        <f t="shared" si="14"/>
        <v>0</v>
      </c>
      <c r="N225" s="1237"/>
      <c r="O225" s="1237">
        <v>0</v>
      </c>
      <c r="P225" s="3044"/>
      <c r="Q225" s="3050"/>
    </row>
    <row r="226" spans="2:17" s="3037" customFormat="1" ht="15.75">
      <c r="B226" s="2981">
        <v>55010</v>
      </c>
      <c r="C226" s="3059"/>
      <c r="D226" s="3082" t="s">
        <v>983</v>
      </c>
      <c r="E226" s="3061"/>
      <c r="F226" s="3061"/>
      <c r="G226" s="1237">
        <v>10685878.890000001</v>
      </c>
      <c r="H226" s="1237"/>
      <c r="I226" s="1237">
        <v>14061202.18</v>
      </c>
      <c r="J226" s="1237"/>
      <c r="K226" s="1237">
        <v>15704609.6</v>
      </c>
      <c r="L226" s="1237"/>
      <c r="M226" s="1237">
        <f t="shared" si="14"/>
        <v>-7129451.4400000004</v>
      </c>
      <c r="N226" s="1237"/>
      <c r="O226" s="1237">
        <v>8575158.1600000001</v>
      </c>
      <c r="P226" s="3044"/>
      <c r="Q226" s="3050"/>
    </row>
    <row r="227" spans="2:17" s="3037" customFormat="1" ht="15.75">
      <c r="B227" s="3045">
        <v>55011</v>
      </c>
      <c r="C227" s="3078"/>
      <c r="D227" s="3046" t="s">
        <v>759</v>
      </c>
      <c r="E227" s="3079"/>
      <c r="F227" s="3079"/>
      <c r="G227" s="1237">
        <v>3217128.75</v>
      </c>
      <c r="H227" s="1237"/>
      <c r="I227" s="1237">
        <v>2148327.63</v>
      </c>
      <c r="J227" s="1237"/>
      <c r="K227" s="1237">
        <v>2501087.88</v>
      </c>
      <c r="L227" s="1237"/>
      <c r="M227" s="1237">
        <f t="shared" si="14"/>
        <v>2500435.9300000002</v>
      </c>
      <c r="N227" s="1237"/>
      <c r="O227" s="1237">
        <v>5001523.8099999996</v>
      </c>
      <c r="P227" s="3057"/>
      <c r="Q227" s="3050"/>
    </row>
    <row r="228" spans="2:17" s="3037" customFormat="1" ht="15.75">
      <c r="B228" s="3045">
        <v>55012</v>
      </c>
      <c r="C228" s="3059"/>
      <c r="D228" s="3060" t="s">
        <v>760</v>
      </c>
      <c r="E228" s="3061"/>
      <c r="F228" s="3061"/>
      <c r="G228" s="1237">
        <v>139428.06</v>
      </c>
      <c r="H228" s="1237"/>
      <c r="I228" s="1237">
        <v>180760.64</v>
      </c>
      <c r="J228" s="1237"/>
      <c r="K228" s="1237">
        <v>202143.64</v>
      </c>
      <c r="L228" s="1237"/>
      <c r="M228" s="1237">
        <f t="shared" si="14"/>
        <v>-43416</v>
      </c>
      <c r="N228" s="1237"/>
      <c r="O228" s="1237">
        <v>158727.64000000001</v>
      </c>
      <c r="P228" s="3057"/>
      <c r="Q228" s="3050"/>
    </row>
    <row r="229" spans="2:17" s="3037" customFormat="1" ht="15.75">
      <c r="B229" s="3045">
        <v>55013</v>
      </c>
      <c r="C229" s="3059"/>
      <c r="D229" s="3080" t="s">
        <v>761</v>
      </c>
      <c r="E229" s="3061"/>
      <c r="F229" s="3061"/>
      <c r="G229" s="1237">
        <v>0</v>
      </c>
      <c r="H229" s="1237"/>
      <c r="I229" s="1237">
        <v>0</v>
      </c>
      <c r="J229" s="1237"/>
      <c r="K229" s="1237">
        <v>0</v>
      </c>
      <c r="L229" s="1237"/>
      <c r="M229" s="1237">
        <f t="shared" si="14"/>
        <v>0</v>
      </c>
      <c r="N229" s="1237"/>
      <c r="O229" s="1237">
        <v>0</v>
      </c>
      <c r="P229" s="3057"/>
      <c r="Q229" s="3050"/>
    </row>
    <row r="230" spans="2:17" s="3037" customFormat="1" ht="15.75">
      <c r="B230" s="3045">
        <v>55014</v>
      </c>
      <c r="C230" s="3059"/>
      <c r="D230" s="3060" t="s">
        <v>762</v>
      </c>
      <c r="E230" s="3061"/>
      <c r="F230" s="3061"/>
      <c r="G230" s="1237">
        <v>0</v>
      </c>
      <c r="H230" s="1237"/>
      <c r="I230" s="1237">
        <v>0</v>
      </c>
      <c r="J230" s="1237"/>
      <c r="K230" s="1237">
        <v>0</v>
      </c>
      <c r="L230" s="1237"/>
      <c r="M230" s="1237">
        <f t="shared" si="14"/>
        <v>0</v>
      </c>
      <c r="N230" s="1237"/>
      <c r="O230" s="1237">
        <v>0</v>
      </c>
      <c r="P230" s="3057"/>
      <c r="Q230" s="3050"/>
    </row>
    <row r="231" spans="2:17" s="3037" customFormat="1" ht="15.75">
      <c r="B231" s="3045">
        <v>55015</v>
      </c>
      <c r="C231" s="3059"/>
      <c r="D231" s="3080" t="s">
        <v>763</v>
      </c>
      <c r="E231" s="3061"/>
      <c r="F231" s="3061"/>
      <c r="G231" s="1237">
        <v>0</v>
      </c>
      <c r="H231" s="1237"/>
      <c r="I231" s="1237">
        <v>0</v>
      </c>
      <c r="J231" s="1237"/>
      <c r="K231" s="1237">
        <v>0</v>
      </c>
      <c r="L231" s="1237"/>
      <c r="M231" s="1237">
        <f t="shared" si="14"/>
        <v>0</v>
      </c>
      <c r="N231" s="1237"/>
      <c r="O231" s="1237">
        <v>0</v>
      </c>
      <c r="P231" s="3057"/>
      <c r="Q231" s="3050"/>
    </row>
    <row r="232" spans="2:17" s="3037" customFormat="1" ht="15.75">
      <c r="B232" s="3045">
        <v>55016</v>
      </c>
      <c r="C232" s="3059"/>
      <c r="D232" s="3080" t="s">
        <v>764</v>
      </c>
      <c r="E232" s="3061"/>
      <c r="F232" s="3061"/>
      <c r="G232" s="1237">
        <v>1349142.62</v>
      </c>
      <c r="H232" s="1237"/>
      <c r="I232" s="1237">
        <v>1338291.8899999999</v>
      </c>
      <c r="J232" s="1237"/>
      <c r="K232" s="1237">
        <v>1318190.22</v>
      </c>
      <c r="L232" s="1237"/>
      <c r="M232" s="1237">
        <f t="shared" si="14"/>
        <v>-56317.279999999999</v>
      </c>
      <c r="N232" s="1237"/>
      <c r="O232" s="1237">
        <v>1261872.94</v>
      </c>
      <c r="P232" s="3057"/>
      <c r="Q232" s="3050"/>
    </row>
    <row r="233" spans="2:17" s="3037" customFormat="1" ht="15.75">
      <c r="B233" s="3045">
        <v>55017</v>
      </c>
      <c r="C233" s="3059"/>
      <c r="D233" s="3080" t="s">
        <v>765</v>
      </c>
      <c r="E233" s="3061"/>
      <c r="F233" s="3061"/>
      <c r="G233" s="1237">
        <v>517533.05</v>
      </c>
      <c r="H233" s="1237"/>
      <c r="I233" s="1237">
        <v>504244.67</v>
      </c>
      <c r="J233" s="1237"/>
      <c r="K233" s="1237">
        <v>370047.49</v>
      </c>
      <c r="L233" s="1237"/>
      <c r="M233" s="1237">
        <f t="shared" si="14"/>
        <v>-24184.36</v>
      </c>
      <c r="N233" s="1237"/>
      <c r="O233" s="1237">
        <v>345863.13</v>
      </c>
      <c r="P233" s="3057"/>
      <c r="Q233" s="3050"/>
    </row>
    <row r="234" spans="2:17" s="3037" customFormat="1" ht="15.75">
      <c r="B234" s="3045">
        <v>55018</v>
      </c>
      <c r="C234" s="3059"/>
      <c r="D234" s="3080" t="s">
        <v>766</v>
      </c>
      <c r="E234" s="3061"/>
      <c r="F234" s="3061"/>
      <c r="G234" s="1237">
        <v>5793382.2400000002</v>
      </c>
      <c r="H234" s="1237"/>
      <c r="I234" s="1237">
        <v>0</v>
      </c>
      <c r="J234" s="1237"/>
      <c r="K234" s="1237">
        <v>0</v>
      </c>
      <c r="L234" s="1237"/>
      <c r="M234" s="1237">
        <f t="shared" si="14"/>
        <v>0</v>
      </c>
      <c r="N234" s="1237"/>
      <c r="O234" s="1237">
        <v>0</v>
      </c>
      <c r="P234" s="3057"/>
      <c r="Q234" s="3050"/>
    </row>
    <row r="235" spans="2:17" s="3037" customFormat="1" ht="15.75">
      <c r="B235" s="3045">
        <v>55019</v>
      </c>
      <c r="C235" s="3059"/>
      <c r="D235" s="3080" t="s">
        <v>767</v>
      </c>
      <c r="E235" s="3061"/>
      <c r="F235" s="3061"/>
      <c r="G235" s="1237">
        <v>0</v>
      </c>
      <c r="H235" s="1237"/>
      <c r="I235" s="1237">
        <v>0</v>
      </c>
      <c r="J235" s="1237"/>
      <c r="K235" s="1237">
        <v>0</v>
      </c>
      <c r="L235" s="1237"/>
      <c r="M235" s="1237">
        <f t="shared" si="14"/>
        <v>0</v>
      </c>
      <c r="N235" s="1237"/>
      <c r="O235" s="1237">
        <v>0</v>
      </c>
      <c r="P235" s="3057"/>
      <c r="Q235" s="3050"/>
    </row>
    <row r="236" spans="2:17" s="3037" customFormat="1" ht="15.75">
      <c r="B236" s="3045">
        <v>55020</v>
      </c>
      <c r="C236" s="3059"/>
      <c r="D236" s="3080" t="s">
        <v>768</v>
      </c>
      <c r="E236" s="3061"/>
      <c r="F236" s="3061"/>
      <c r="G236" s="1237">
        <v>61478824.530000001</v>
      </c>
      <c r="H236" s="1237"/>
      <c r="I236" s="1237">
        <v>66314508.859999999</v>
      </c>
      <c r="J236" s="1237"/>
      <c r="K236" s="1237">
        <v>67993252.069999993</v>
      </c>
      <c r="L236" s="1237"/>
      <c r="M236" s="1237">
        <f t="shared" si="14"/>
        <v>-14727750.59</v>
      </c>
      <c r="N236" s="1237"/>
      <c r="O236" s="1237">
        <v>53265501.479999997</v>
      </c>
      <c r="P236" s="3057"/>
      <c r="Q236" s="3050"/>
    </row>
    <row r="237" spans="2:17" s="3037" customFormat="1" ht="15.75">
      <c r="B237" s="3045">
        <v>55021</v>
      </c>
      <c r="C237" s="3059"/>
      <c r="D237" s="3080" t="s">
        <v>769</v>
      </c>
      <c r="E237" s="3061"/>
      <c r="F237" s="3061"/>
      <c r="G237" s="1237">
        <v>5577697.0899999999</v>
      </c>
      <c r="H237" s="1237"/>
      <c r="I237" s="1237">
        <v>6116401.8099999996</v>
      </c>
      <c r="J237" s="1237"/>
      <c r="K237" s="1237">
        <v>6096519.04</v>
      </c>
      <c r="L237" s="1237"/>
      <c r="M237" s="1237">
        <f t="shared" si="14"/>
        <v>157079.85</v>
      </c>
      <c r="N237" s="1237"/>
      <c r="O237" s="1237">
        <v>6253598.8899999997</v>
      </c>
      <c r="P237" s="3057"/>
      <c r="Q237" s="3050"/>
    </row>
    <row r="238" spans="2:17" s="3037" customFormat="1" ht="15.75">
      <c r="B238" s="3045">
        <v>55022</v>
      </c>
      <c r="C238" s="3059"/>
      <c r="D238" s="3060" t="s">
        <v>770</v>
      </c>
      <c r="E238" s="3061"/>
      <c r="F238" s="3061"/>
      <c r="G238" s="1237">
        <v>9927615.4399999995</v>
      </c>
      <c r="H238" s="1237"/>
      <c r="I238" s="1237">
        <v>4727382.59</v>
      </c>
      <c r="J238" s="1237"/>
      <c r="K238" s="1237">
        <v>6704861.54</v>
      </c>
      <c r="L238" s="1237"/>
      <c r="M238" s="1237">
        <f t="shared" si="14"/>
        <v>2547102.2599999998</v>
      </c>
      <c r="N238" s="1237"/>
      <c r="O238" s="1237">
        <v>9251963.8000000007</v>
      </c>
      <c r="P238" s="3057"/>
      <c r="Q238" s="3050"/>
    </row>
    <row r="239" spans="2:17" s="3037" customFormat="1" ht="15.75">
      <c r="B239" s="3045">
        <v>55052</v>
      </c>
      <c r="C239" s="3059"/>
      <c r="D239" s="3060" t="s">
        <v>771</v>
      </c>
      <c r="E239" s="3061"/>
      <c r="F239" s="3061"/>
      <c r="G239" s="1237">
        <v>0</v>
      </c>
      <c r="H239" s="1237"/>
      <c r="I239" s="1237">
        <v>0</v>
      </c>
      <c r="J239" s="1237"/>
      <c r="K239" s="1237">
        <v>6186.77</v>
      </c>
      <c r="L239" s="1237"/>
      <c r="M239" s="1237">
        <f t="shared" si="14"/>
        <v>45387.88</v>
      </c>
      <c r="N239" s="1237"/>
      <c r="O239" s="1237">
        <v>51574.65</v>
      </c>
      <c r="P239" s="3057"/>
      <c r="Q239" s="3050"/>
    </row>
    <row r="240" spans="2:17" s="3037" customFormat="1" ht="15.75">
      <c r="B240" s="3045">
        <v>55053</v>
      </c>
      <c r="C240" s="3059"/>
      <c r="D240" s="3080" t="s">
        <v>772</v>
      </c>
      <c r="E240" s="3061"/>
      <c r="F240" s="3061"/>
      <c r="G240" s="1237">
        <v>0</v>
      </c>
      <c r="H240" s="1237"/>
      <c r="I240" s="1237">
        <v>0</v>
      </c>
      <c r="J240" s="1237"/>
      <c r="K240" s="1237">
        <v>0</v>
      </c>
      <c r="L240" s="1237"/>
      <c r="M240" s="1237">
        <f t="shared" si="14"/>
        <v>0</v>
      </c>
      <c r="N240" s="1237"/>
      <c r="O240" s="1237">
        <v>0</v>
      </c>
      <c r="P240" s="3057"/>
      <c r="Q240" s="3050"/>
    </row>
    <row r="241" spans="2:17" s="3037" customFormat="1" ht="15.75">
      <c r="B241" s="3045">
        <v>55056</v>
      </c>
      <c r="C241" s="3059"/>
      <c r="D241" s="3080" t="s">
        <v>773</v>
      </c>
      <c r="E241" s="3061"/>
      <c r="F241" s="3061"/>
      <c r="G241" s="1237">
        <v>154766.64000000001</v>
      </c>
      <c r="H241" s="1237"/>
      <c r="I241" s="1237">
        <v>148687.4</v>
      </c>
      <c r="J241" s="1237"/>
      <c r="K241" s="1237">
        <v>131862.9</v>
      </c>
      <c r="L241" s="1237"/>
      <c r="M241" s="1237">
        <f t="shared" si="14"/>
        <v>-131862.9</v>
      </c>
      <c r="N241" s="1237"/>
      <c r="O241" s="1237">
        <v>0</v>
      </c>
      <c r="P241" s="3057"/>
      <c r="Q241" s="3050"/>
    </row>
    <row r="242" spans="2:17" s="3037" customFormat="1" ht="15.75">
      <c r="B242" s="3045">
        <v>55057</v>
      </c>
      <c r="C242" s="3059"/>
      <c r="D242" s="3080" t="s">
        <v>774</v>
      </c>
      <c r="E242" s="3061"/>
      <c r="F242" s="3061"/>
      <c r="G242" s="1237">
        <v>492524.93</v>
      </c>
      <c r="H242" s="1237"/>
      <c r="I242" s="1237">
        <v>63765.499999999898</v>
      </c>
      <c r="J242" s="1237"/>
      <c r="K242" s="1237">
        <v>1691493.56</v>
      </c>
      <c r="L242" s="1237"/>
      <c r="M242" s="1237">
        <f t="shared" si="14"/>
        <v>-1656890.15</v>
      </c>
      <c r="N242" s="1237"/>
      <c r="O242" s="1237">
        <v>34603.410000000098</v>
      </c>
      <c r="P242" s="3057"/>
      <c r="Q242" s="3050"/>
    </row>
    <row r="243" spans="2:17" s="3037" customFormat="1" ht="15.75">
      <c r="B243" s="3045">
        <v>55058</v>
      </c>
      <c r="C243" s="3059"/>
      <c r="D243" s="3080" t="s">
        <v>775</v>
      </c>
      <c r="E243" s="3061"/>
      <c r="F243" s="3061"/>
      <c r="G243" s="1237">
        <v>3041362.41</v>
      </c>
      <c r="H243" s="1237"/>
      <c r="I243" s="1237">
        <v>3364790.13</v>
      </c>
      <c r="J243" s="1237"/>
      <c r="K243" s="1237">
        <v>1753197.41</v>
      </c>
      <c r="L243" s="1237"/>
      <c r="M243" s="1237">
        <f t="shared" si="14"/>
        <v>-172074.9</v>
      </c>
      <c r="N243" s="1237"/>
      <c r="O243" s="1237">
        <v>1581122.51</v>
      </c>
      <c r="P243" s="3057"/>
      <c r="Q243" s="3050"/>
    </row>
    <row r="244" spans="2:17" s="3037" customFormat="1" ht="15.75">
      <c r="B244" s="3045">
        <v>55059</v>
      </c>
      <c r="C244" s="3059"/>
      <c r="D244" s="3082" t="s">
        <v>1286</v>
      </c>
      <c r="E244" s="3061"/>
      <c r="F244" s="3061"/>
      <c r="G244" s="1237">
        <v>7446142.0999999996</v>
      </c>
      <c r="H244" s="1237"/>
      <c r="I244" s="1237">
        <v>5825240.2800000003</v>
      </c>
      <c r="J244" s="1237"/>
      <c r="K244" s="1237">
        <v>10332032.720000001</v>
      </c>
      <c r="L244" s="1237"/>
      <c r="M244" s="1237">
        <f t="shared" ref="M244" si="15">ROUND(SUM(O244)-SUM(K244),2)</f>
        <v>-224382.15</v>
      </c>
      <c r="N244" s="1237"/>
      <c r="O244" s="1237">
        <v>10107650.57</v>
      </c>
      <c r="P244" s="3057"/>
      <c r="Q244" s="3050"/>
    </row>
    <row r="245" spans="2:17" s="3037" customFormat="1" ht="15.75">
      <c r="B245" s="3045">
        <v>55060</v>
      </c>
      <c r="C245" s="3059"/>
      <c r="D245" s="3060" t="s">
        <v>776</v>
      </c>
      <c r="E245" s="3061"/>
      <c r="F245" s="3061"/>
      <c r="G245" s="1237">
        <v>717020.87</v>
      </c>
      <c r="H245" s="1237"/>
      <c r="I245" s="1237">
        <v>2687792.72</v>
      </c>
      <c r="J245" s="1237"/>
      <c r="K245" s="1237">
        <v>4403775.47</v>
      </c>
      <c r="L245" s="1237"/>
      <c r="M245" s="1237">
        <f t="shared" si="14"/>
        <v>-1225914.68</v>
      </c>
      <c r="N245" s="1237"/>
      <c r="O245" s="1237">
        <v>3177860.79</v>
      </c>
      <c r="P245" s="3057"/>
      <c r="Q245" s="3050"/>
    </row>
    <row r="246" spans="2:17" s="3037" customFormat="1" ht="15.75">
      <c r="B246" s="3045">
        <v>55061</v>
      </c>
      <c r="C246" s="3059"/>
      <c r="D246" s="3060" t="s">
        <v>777</v>
      </c>
      <c r="E246" s="3061"/>
      <c r="F246" s="3061"/>
      <c r="G246" s="1237">
        <v>2340827.9500000002</v>
      </c>
      <c r="H246" s="1237"/>
      <c r="I246" s="1237">
        <v>2340827.9500000002</v>
      </c>
      <c r="J246" s="1237"/>
      <c r="K246" s="1237">
        <v>2322746.64</v>
      </c>
      <c r="L246" s="1237"/>
      <c r="M246" s="1237">
        <f t="shared" si="14"/>
        <v>-4743.68</v>
      </c>
      <c r="N246" s="1237"/>
      <c r="O246" s="1237">
        <v>2318002.96</v>
      </c>
      <c r="P246" s="3057"/>
      <c r="Q246" s="3050"/>
    </row>
    <row r="247" spans="2:17" s="3037" customFormat="1" ht="15.75">
      <c r="B247" s="3045">
        <v>55062</v>
      </c>
      <c r="C247" s="3059"/>
      <c r="D247" s="3080" t="s">
        <v>778</v>
      </c>
      <c r="E247" s="3061"/>
      <c r="F247" s="3061"/>
      <c r="G247" s="1237">
        <v>45428023.700000003</v>
      </c>
      <c r="H247" s="1237"/>
      <c r="I247" s="1237">
        <v>45428023.700000003</v>
      </c>
      <c r="J247" s="1237"/>
      <c r="K247" s="1237">
        <v>45428023.700000003</v>
      </c>
      <c r="L247" s="1237"/>
      <c r="M247" s="1237">
        <f t="shared" si="14"/>
        <v>-46234.2</v>
      </c>
      <c r="N247" s="1237"/>
      <c r="O247" s="1237">
        <v>45381789.5</v>
      </c>
      <c r="P247" s="3057"/>
      <c r="Q247" s="3050"/>
    </row>
    <row r="248" spans="2:17" s="3037" customFormat="1" ht="15.75">
      <c r="B248" s="3045">
        <v>55066</v>
      </c>
      <c r="C248" s="3059"/>
      <c r="D248" s="3080" t="s">
        <v>779</v>
      </c>
      <c r="E248" s="3061"/>
      <c r="F248" s="3061"/>
      <c r="G248" s="1237">
        <v>1261584.27</v>
      </c>
      <c r="H248" s="1237"/>
      <c r="I248" s="1237">
        <v>1261584.27</v>
      </c>
      <c r="J248" s="1237"/>
      <c r="K248" s="1237">
        <v>1261584.27</v>
      </c>
      <c r="L248" s="1237"/>
      <c r="M248" s="1237">
        <f t="shared" si="14"/>
        <v>0</v>
      </c>
      <c r="N248" s="1237"/>
      <c r="O248" s="1237">
        <v>1261584.27</v>
      </c>
      <c r="P248" s="3057"/>
      <c r="Q248" s="3050"/>
    </row>
    <row r="249" spans="2:17" s="3037" customFormat="1" ht="15.75">
      <c r="B249" s="3045">
        <v>55067</v>
      </c>
      <c r="C249" s="3059"/>
      <c r="D249" s="3080" t="s">
        <v>780</v>
      </c>
      <c r="E249" s="3061"/>
      <c r="F249" s="3061"/>
      <c r="G249" s="1237">
        <v>203180.28</v>
      </c>
      <c r="H249" s="1237"/>
      <c r="I249" s="1237">
        <v>238878.52</v>
      </c>
      <c r="J249" s="1237"/>
      <c r="K249" s="1237">
        <v>153041.66</v>
      </c>
      <c r="L249" s="1237"/>
      <c r="M249" s="1237">
        <f t="shared" si="14"/>
        <v>5968.75</v>
      </c>
      <c r="N249" s="1237"/>
      <c r="O249" s="1237">
        <v>159010.41</v>
      </c>
      <c r="P249" s="3057"/>
      <c r="Q249" s="3050"/>
    </row>
    <row r="250" spans="2:17" s="3037" customFormat="1" ht="15.75">
      <c r="B250" s="3045">
        <v>55069</v>
      </c>
      <c r="C250" s="3059"/>
      <c r="D250" s="3080" t="s">
        <v>781</v>
      </c>
      <c r="E250" s="3061"/>
      <c r="F250" s="3061"/>
      <c r="G250" s="1237">
        <v>59320406.850000001</v>
      </c>
      <c r="H250" s="1237"/>
      <c r="I250" s="1237">
        <v>93220174.239999995</v>
      </c>
      <c r="J250" s="1237"/>
      <c r="K250" s="1237">
        <v>54372378.479999997</v>
      </c>
      <c r="L250" s="1237"/>
      <c r="M250" s="1237">
        <f t="shared" si="14"/>
        <v>1709079.14</v>
      </c>
      <c r="N250" s="1237"/>
      <c r="O250" s="1237">
        <v>56081457.619999997</v>
      </c>
      <c r="P250" s="3057"/>
      <c r="Q250" s="3050"/>
    </row>
    <row r="251" spans="2:17" s="3037" customFormat="1" ht="15.75">
      <c r="B251" s="3085">
        <v>55071</v>
      </c>
      <c r="C251" s="3059"/>
      <c r="D251" s="3080" t="s">
        <v>960</v>
      </c>
      <c r="E251" s="3061"/>
      <c r="F251" s="3061"/>
      <c r="G251" s="1237">
        <v>412387.47</v>
      </c>
      <c r="H251" s="1237"/>
      <c r="I251" s="1237">
        <v>593630.18999999994</v>
      </c>
      <c r="J251" s="1237"/>
      <c r="K251" s="1237">
        <v>200879.6</v>
      </c>
      <c r="L251" s="1237"/>
      <c r="M251" s="1237">
        <f t="shared" si="14"/>
        <v>186549.3</v>
      </c>
      <c r="N251" s="1237"/>
      <c r="O251" s="1237">
        <v>387428.9</v>
      </c>
      <c r="P251" s="3057"/>
      <c r="Q251" s="3050"/>
    </row>
    <row r="252" spans="2:17" s="3037" customFormat="1" ht="15.75">
      <c r="B252" s="3045">
        <v>55072</v>
      </c>
      <c r="C252" s="3059"/>
      <c r="D252" s="3080" t="s">
        <v>961</v>
      </c>
      <c r="E252" s="3061"/>
      <c r="F252" s="3061"/>
      <c r="G252" s="1237">
        <v>0</v>
      </c>
      <c r="H252" s="1237"/>
      <c r="I252" s="1237">
        <v>103530.07</v>
      </c>
      <c r="J252" s="1237"/>
      <c r="K252" s="1237">
        <v>982907.62</v>
      </c>
      <c r="L252" s="1237"/>
      <c r="M252" s="1237">
        <f t="shared" si="14"/>
        <v>-982907.62</v>
      </c>
      <c r="N252" s="1237"/>
      <c r="O252" s="1237">
        <v>0</v>
      </c>
      <c r="P252" s="3057"/>
      <c r="Q252" s="3050"/>
    </row>
    <row r="253" spans="2:17" s="3037" customFormat="1" ht="15.75">
      <c r="B253" s="3085">
        <v>55073</v>
      </c>
      <c r="C253" s="3059"/>
      <c r="D253" s="3080" t="s">
        <v>962</v>
      </c>
      <c r="E253" s="3061"/>
      <c r="F253" s="3061"/>
      <c r="G253" s="1237">
        <v>0</v>
      </c>
      <c r="H253" s="1237"/>
      <c r="I253" s="1237">
        <v>0</v>
      </c>
      <c r="J253" s="1237"/>
      <c r="K253" s="1237">
        <v>0</v>
      </c>
      <c r="L253" s="1237"/>
      <c r="M253" s="1237">
        <f t="shared" si="14"/>
        <v>0</v>
      </c>
      <c r="N253" s="1237"/>
      <c r="O253" s="1237">
        <v>0</v>
      </c>
      <c r="P253" s="3057"/>
      <c r="Q253" s="3050"/>
    </row>
    <row r="254" spans="2:17" s="3037" customFormat="1" ht="15.75">
      <c r="B254" s="3085">
        <v>55074</v>
      </c>
      <c r="C254" s="3059"/>
      <c r="D254" s="3080" t="s">
        <v>1325</v>
      </c>
      <c r="E254" s="3061"/>
      <c r="F254" s="3061"/>
      <c r="G254" s="1237">
        <v>18879827.98</v>
      </c>
      <c r="H254" s="1237"/>
      <c r="I254" s="1237">
        <v>16867028.77</v>
      </c>
      <c r="J254" s="1237"/>
      <c r="K254" s="1237">
        <v>15382766.52</v>
      </c>
      <c r="L254" s="1237"/>
      <c r="M254" s="1237">
        <f t="shared" ref="M254" si="16">ROUND(SUM(O254)-SUM(K254),2)</f>
        <v>91123.24</v>
      </c>
      <c r="N254" s="1237"/>
      <c r="O254" s="1237">
        <v>15473889.76</v>
      </c>
      <c r="P254" s="3057"/>
      <c r="Q254" s="3050"/>
    </row>
    <row r="255" spans="2:17" s="3037" customFormat="1" ht="15.75">
      <c r="B255" s="3045">
        <v>55251</v>
      </c>
      <c r="C255" s="3059"/>
      <c r="D255" s="3060" t="s">
        <v>782</v>
      </c>
      <c r="E255" s="3061"/>
      <c r="F255" s="3061"/>
      <c r="G255" s="1237">
        <v>9100531.0099999998</v>
      </c>
      <c r="H255" s="1237"/>
      <c r="I255" s="1237">
        <v>9581663.0700000003</v>
      </c>
      <c r="J255" s="1237"/>
      <c r="K255" s="1237">
        <v>9947279.3900000006</v>
      </c>
      <c r="L255" s="1237"/>
      <c r="M255" s="1237">
        <f t="shared" si="14"/>
        <v>436954.83</v>
      </c>
      <c r="N255" s="1237"/>
      <c r="O255" s="1237">
        <v>10384234.220000001</v>
      </c>
      <c r="P255" s="3057"/>
      <c r="Q255" s="3050"/>
    </row>
    <row r="256" spans="2:17" s="3037" customFormat="1" ht="15.75">
      <c r="B256" s="3045">
        <v>55252</v>
      </c>
      <c r="C256" s="3059"/>
      <c r="D256" s="3080" t="s">
        <v>783</v>
      </c>
      <c r="E256" s="3061"/>
      <c r="F256" s="3061"/>
      <c r="G256" s="1237">
        <v>24679378.920000002</v>
      </c>
      <c r="H256" s="1237"/>
      <c r="I256" s="1237">
        <v>27151146.449999999</v>
      </c>
      <c r="J256" s="1237"/>
      <c r="K256" s="1237">
        <v>29411221.219999999</v>
      </c>
      <c r="L256" s="1237"/>
      <c r="M256" s="1237">
        <f t="shared" si="14"/>
        <v>2993145.58</v>
      </c>
      <c r="N256" s="1237"/>
      <c r="O256" s="1237">
        <v>32404366.800000001</v>
      </c>
      <c r="P256" s="3057"/>
      <c r="Q256" s="3050"/>
    </row>
    <row r="257" spans="2:17" s="3037" customFormat="1" ht="15.75">
      <c r="B257" s="3045">
        <v>55300</v>
      </c>
      <c r="C257" s="3059"/>
      <c r="D257" s="3060" t="s">
        <v>784</v>
      </c>
      <c r="E257" s="3061"/>
      <c r="F257" s="3061"/>
      <c r="G257" s="1237">
        <v>14786922.130000001</v>
      </c>
      <c r="H257" s="1237"/>
      <c r="I257" s="1237">
        <v>16015468.189999999</v>
      </c>
      <c r="J257" s="1237"/>
      <c r="K257" s="1237">
        <v>13006160.119999999</v>
      </c>
      <c r="L257" s="1237"/>
      <c r="M257" s="1237">
        <f t="shared" si="14"/>
        <v>1224083.8899999999</v>
      </c>
      <c r="N257" s="1237"/>
      <c r="O257" s="1237">
        <v>14230244.01</v>
      </c>
      <c r="P257" s="3057"/>
      <c r="Q257" s="3050"/>
    </row>
    <row r="258" spans="2:17" s="3037" customFormat="1" ht="15.75">
      <c r="B258" s="3045">
        <v>55301</v>
      </c>
      <c r="C258" s="3059"/>
      <c r="D258" s="3060" t="s">
        <v>785</v>
      </c>
      <c r="E258" s="3061"/>
      <c r="F258" s="3061"/>
      <c r="G258" s="1237">
        <v>1306341.96</v>
      </c>
      <c r="H258" s="1237"/>
      <c r="I258" s="1237">
        <v>462955.56</v>
      </c>
      <c r="J258" s="1237"/>
      <c r="K258" s="1237">
        <v>625679.41</v>
      </c>
      <c r="L258" s="1237"/>
      <c r="M258" s="1237">
        <f t="shared" si="14"/>
        <v>139924.57999999999</v>
      </c>
      <c r="N258" s="1237"/>
      <c r="O258" s="1237">
        <v>765603.99</v>
      </c>
      <c r="P258" s="3057"/>
      <c r="Q258" s="3050"/>
    </row>
    <row r="259" spans="2:17" s="3037" customFormat="1" ht="15.75">
      <c r="B259" s="3045">
        <v>55350</v>
      </c>
      <c r="C259" s="3070"/>
      <c r="D259" s="3060" t="s">
        <v>786</v>
      </c>
      <c r="E259" s="3044"/>
      <c r="F259" s="3044"/>
      <c r="G259" s="1237">
        <v>24969256.34</v>
      </c>
      <c r="H259" s="1237"/>
      <c r="I259" s="1237">
        <v>27559402.210000001</v>
      </c>
      <c r="J259" s="1237"/>
      <c r="K259" s="1237">
        <v>29091245.219999999</v>
      </c>
      <c r="L259" s="1237"/>
      <c r="M259" s="1237">
        <f t="shared" si="14"/>
        <v>346010.41</v>
      </c>
      <c r="N259" s="1237"/>
      <c r="O259" s="1237">
        <v>29437255.629999999</v>
      </c>
      <c r="P259" s="3057"/>
      <c r="Q259" s="3050"/>
    </row>
    <row r="260" spans="2:17" s="3037" customFormat="1" ht="16.5" thickBot="1">
      <c r="B260" s="3107"/>
      <c r="C260" s="3039"/>
      <c r="D260" s="3040" t="s">
        <v>787</v>
      </c>
      <c r="E260" s="3041"/>
      <c r="F260" s="3041"/>
      <c r="G260" s="1636">
        <f>ROUND(SUM(G217:G259),2)</f>
        <v>327124259.12</v>
      </c>
      <c r="H260" s="1512"/>
      <c r="I260" s="1636">
        <f>ROUND(SUM(I217:I259),2)</f>
        <v>353828928.50999999</v>
      </c>
      <c r="J260" s="1512"/>
      <c r="K260" s="1636">
        <f>ROUND(SUM(K217:K259),2)</f>
        <v>330909799.83999997</v>
      </c>
      <c r="L260" s="1512"/>
      <c r="M260" s="1239">
        <f>ROUND(SUM(M217:M259),2)</f>
        <v>-9677730.8399999999</v>
      </c>
      <c r="N260" s="1512"/>
      <c r="O260" s="1636">
        <f>ROUND(SUM(O217:O259),2)</f>
        <v>321232069</v>
      </c>
      <c r="P260" s="3057"/>
      <c r="Q260" s="3050"/>
    </row>
    <row r="261" spans="2:17" s="3037" customFormat="1" ht="16.5" thickTop="1">
      <c r="B261" s="3086"/>
      <c r="C261" s="3070"/>
      <c r="D261" s="3108"/>
      <c r="E261" s="3044"/>
      <c r="F261" s="3044"/>
      <c r="G261" s="1237"/>
      <c r="H261" s="3076"/>
      <c r="I261" s="1237"/>
      <c r="J261" s="3076"/>
      <c r="K261" s="1237"/>
      <c r="L261" s="3076"/>
      <c r="M261" s="1237"/>
      <c r="N261" s="3076"/>
      <c r="O261" s="1237"/>
      <c r="P261" s="3057"/>
      <c r="Q261" s="3050"/>
    </row>
    <row r="262" spans="2:17" s="3037" customFormat="1" ht="16.5" thickBot="1">
      <c r="B262" s="3086"/>
      <c r="C262" s="3070"/>
      <c r="D262" s="3108"/>
      <c r="E262" s="3044"/>
      <c r="F262" s="3044"/>
      <c r="G262" s="1237"/>
      <c r="H262" s="3076"/>
      <c r="I262" s="1237"/>
      <c r="J262" s="3076"/>
      <c r="K262" s="1237"/>
      <c r="L262" s="3076"/>
      <c r="M262" s="1237"/>
      <c r="N262" s="3076"/>
      <c r="O262" s="1237"/>
      <c r="P262" s="3057"/>
      <c r="Q262" s="3050"/>
    </row>
    <row r="263" spans="2:17" s="3037" customFormat="1" ht="16.5" thickBot="1">
      <c r="B263" s="3107"/>
      <c r="C263" s="3109"/>
      <c r="D263" s="3110" t="s">
        <v>788</v>
      </c>
      <c r="E263" s="3041"/>
      <c r="F263" s="3111"/>
      <c r="G263" s="1637">
        <f>ROUND(SUM(G11+G102+G190+G204+G209+G214+G260),2)</f>
        <v>3771959953.0700002</v>
      </c>
      <c r="H263" s="1514"/>
      <c r="I263" s="1637">
        <f>ROUND(SUM(I11+I102+I190+I204+I209+I214+I260),2)</f>
        <v>3787970958.4499998</v>
      </c>
      <c r="J263" s="1514"/>
      <c r="K263" s="1637">
        <f>ROUND(SUM(K11+K102+K190+K204+K209+K214+K260),2)</f>
        <v>3750142661.6900001</v>
      </c>
      <c r="L263" s="1514"/>
      <c r="M263" s="1513">
        <f>ROUND(SUM(M11+M102+M190+M204+M209+M214+M260),2)</f>
        <v>915278123.24000001</v>
      </c>
      <c r="N263" s="1514"/>
      <c r="O263" s="1637">
        <f>ROUND(SUM(O11+O102+O190+O204+O209+O214+O260),2)</f>
        <v>4665420784.9300003</v>
      </c>
      <c r="P263" s="3057"/>
      <c r="Q263" s="3050"/>
    </row>
    <row r="264" spans="2:17" s="3037" customFormat="1" ht="15.75">
      <c r="B264" s="3086"/>
      <c r="C264" s="3070"/>
      <c r="D264" s="3108"/>
      <c r="E264" s="3044"/>
      <c r="F264" s="3044"/>
      <c r="G264" s="2608"/>
      <c r="H264" s="1530"/>
      <c r="I264" s="1238"/>
      <c r="J264" s="1530"/>
      <c r="K264" s="1238"/>
      <c r="L264" s="1530"/>
      <c r="M264" s="1241"/>
      <c r="N264" s="3070"/>
      <c r="O264" s="1241"/>
      <c r="P264" s="3057"/>
    </row>
    <row r="265" spans="2:17" s="3037" customFormat="1" ht="15.75">
      <c r="B265" s="3112" t="s">
        <v>866</v>
      </c>
      <c r="C265" s="2236" t="s">
        <v>1420</v>
      </c>
      <c r="D265" s="3113"/>
      <c r="E265" s="3114"/>
      <c r="F265" s="3114"/>
      <c r="G265" s="1238"/>
      <c r="H265" s="3115"/>
      <c r="I265" s="1242"/>
      <c r="J265" s="3116"/>
      <c r="K265" s="1242"/>
      <c r="L265" s="3117"/>
      <c r="M265" s="1242"/>
      <c r="N265" s="3117"/>
      <c r="O265" s="1242"/>
      <c r="P265" s="3057"/>
    </row>
    <row r="266" spans="2:17" s="3037" customFormat="1" ht="15.75">
      <c r="B266" s="3118"/>
      <c r="C266" s="828" t="s">
        <v>789</v>
      </c>
      <c r="D266" s="3119"/>
      <c r="E266" s="828"/>
      <c r="F266" s="828"/>
      <c r="G266" s="1242"/>
      <c r="H266" s="3120"/>
      <c r="I266" s="1242"/>
      <c r="J266" s="3117"/>
      <c r="K266" s="1242"/>
      <c r="L266" s="3117"/>
      <c r="M266" s="1242"/>
      <c r="N266" s="3117"/>
      <c r="O266" s="1242"/>
      <c r="P266" s="3057"/>
    </row>
    <row r="267" spans="2:17" s="3037" customFormat="1" ht="15.75">
      <c r="B267" s="3118"/>
      <c r="C267" s="828" t="s">
        <v>790</v>
      </c>
      <c r="D267" s="3121"/>
      <c r="E267" s="828"/>
      <c r="F267" s="828"/>
      <c r="G267" s="1242"/>
      <c r="H267" s="3120"/>
      <c r="I267" s="1243"/>
      <c r="J267" s="3122"/>
      <c r="K267" s="1243"/>
      <c r="L267" s="3122"/>
      <c r="M267" s="1243"/>
      <c r="N267" s="3122"/>
      <c r="O267" s="1243"/>
      <c r="P267" s="3057"/>
    </row>
    <row r="268" spans="2:17" s="3037" customFormat="1" ht="15.75">
      <c r="B268" s="3118"/>
      <c r="C268" s="828" t="s">
        <v>791</v>
      </c>
      <c r="D268" s="3121"/>
      <c r="E268" s="828"/>
      <c r="F268" s="828"/>
      <c r="G268" s="1243"/>
      <c r="H268" s="3120"/>
      <c r="I268" s="1243"/>
      <c r="J268" s="3122"/>
      <c r="K268" s="1243"/>
      <c r="L268" s="3122"/>
      <c r="M268" s="1243"/>
      <c r="N268" s="3122"/>
      <c r="O268" s="1243"/>
      <c r="P268" s="3057"/>
    </row>
    <row r="269" spans="2:17" s="3037" customFormat="1" ht="15.75">
      <c r="B269" s="3118"/>
      <c r="C269" s="828" t="s">
        <v>792</v>
      </c>
      <c r="D269" s="3121"/>
      <c r="E269" s="828"/>
      <c r="F269" s="828"/>
      <c r="G269" s="1243"/>
      <c r="H269" s="3120"/>
      <c r="I269" s="3123"/>
      <c r="J269" s="3124"/>
      <c r="K269" s="3123"/>
      <c r="L269" s="3124"/>
      <c r="M269" s="3123"/>
      <c r="N269" s="3124"/>
      <c r="O269" s="3123"/>
      <c r="P269" s="3057"/>
    </row>
    <row r="270" spans="2:17" s="3037" customFormat="1" ht="15.75">
      <c r="B270" s="3125"/>
      <c r="C270" s="828" t="s">
        <v>1273</v>
      </c>
      <c r="D270" s="3121"/>
      <c r="E270" s="828"/>
      <c r="F270" s="828"/>
      <c r="G270" s="3123"/>
      <c r="H270" s="3120"/>
      <c r="I270" s="3123"/>
      <c r="J270" s="3124"/>
      <c r="K270" s="3123"/>
      <c r="L270" s="3124"/>
      <c r="M270" s="3123"/>
      <c r="N270" s="3124"/>
      <c r="O270" s="3123"/>
      <c r="P270" s="3067"/>
    </row>
    <row r="271" spans="2:17" s="3037" customFormat="1" ht="15.75">
      <c r="B271" s="3125"/>
      <c r="C271" s="3120" t="s">
        <v>867</v>
      </c>
      <c r="D271" s="3126"/>
      <c r="E271" s="3120"/>
      <c r="F271" s="3120"/>
      <c r="G271" s="3123"/>
      <c r="H271" s="3120"/>
      <c r="I271" s="3123"/>
      <c r="J271" s="3124"/>
      <c r="K271" s="3123"/>
      <c r="L271" s="3124"/>
      <c r="M271" s="3123"/>
      <c r="N271" s="3124"/>
      <c r="O271" s="3123"/>
      <c r="P271" s="3057"/>
    </row>
    <row r="272" spans="2:17" s="3037" customFormat="1" ht="15.75">
      <c r="B272" s="3127" t="s">
        <v>114</v>
      </c>
      <c r="C272" s="3114" t="s">
        <v>1252</v>
      </c>
      <c r="D272" s="3113"/>
      <c r="E272" s="3120"/>
      <c r="F272" s="3120"/>
      <c r="G272" s="3123"/>
      <c r="H272" s="3120"/>
      <c r="I272" s="3128"/>
      <c r="J272" s="3129"/>
      <c r="K272" s="3128"/>
      <c r="L272" s="3130"/>
      <c r="M272" s="3131"/>
      <c r="N272" s="3132"/>
      <c r="O272" s="3128"/>
      <c r="P272" s="3044"/>
    </row>
    <row r="273" spans="2:16" s="3037" customFormat="1" ht="15.75">
      <c r="B273" s="3133"/>
      <c r="C273" s="3128" t="s">
        <v>1253</v>
      </c>
      <c r="D273" s="827"/>
      <c r="E273" s="3120"/>
      <c r="F273" s="3120"/>
      <c r="G273" s="3128"/>
      <c r="H273" s="3120"/>
      <c r="I273" s="3128"/>
      <c r="J273" s="3129"/>
      <c r="K273" s="3128"/>
      <c r="L273" s="3130"/>
      <c r="M273" s="3131"/>
      <c r="N273" s="3132"/>
      <c r="O273" s="3128"/>
      <c r="P273" s="3090"/>
    </row>
    <row r="274" spans="2:16" s="3037" customFormat="1" ht="15.75">
      <c r="B274" s="3134" t="s">
        <v>865</v>
      </c>
      <c r="C274" s="3125" t="s">
        <v>984</v>
      </c>
      <c r="D274" s="827"/>
      <c r="E274" s="3135"/>
      <c r="F274" s="1478"/>
      <c r="G274" s="3128"/>
      <c r="H274" s="830"/>
      <c r="I274" s="828"/>
      <c r="J274" s="831"/>
      <c r="K274" s="828"/>
      <c r="L274" s="830"/>
      <c r="M274" s="829"/>
      <c r="N274" s="832"/>
      <c r="O274" s="828"/>
      <c r="P274" s="3036"/>
    </row>
    <row r="275" spans="2:16" s="3037" customFormat="1" ht="15.75">
      <c r="B275" s="3136"/>
      <c r="C275" s="3137"/>
      <c r="D275" s="3038"/>
      <c r="E275" s="828"/>
      <c r="F275" s="828"/>
      <c r="G275" s="3128"/>
      <c r="H275" s="3038"/>
      <c r="I275" s="3038"/>
      <c r="J275" s="3038"/>
      <c r="K275" s="3038"/>
      <c r="L275" s="3038"/>
      <c r="M275" s="3038"/>
      <c r="N275" s="3038"/>
      <c r="O275" s="3038"/>
      <c r="P275" s="3120"/>
    </row>
    <row r="276" spans="2:16" s="3037" customFormat="1" ht="15.75">
      <c r="C276" s="3137"/>
      <c r="D276" s="3090"/>
      <c r="E276" s="3138"/>
      <c r="F276" s="3138"/>
      <c r="G276" s="3038"/>
      <c r="H276" s="3122"/>
      <c r="I276" s="3090"/>
      <c r="J276" s="3122"/>
      <c r="K276" s="3090"/>
      <c r="L276" s="3122"/>
      <c r="M276" s="3090"/>
      <c r="N276" s="3122"/>
      <c r="O276" s="3090"/>
      <c r="P276" s="3120"/>
    </row>
    <row r="277" spans="2:16" s="3037" customFormat="1" ht="15.75">
      <c r="C277" s="3137"/>
      <c r="D277" s="3090"/>
      <c r="E277" s="828"/>
      <c r="F277" s="828"/>
      <c r="G277" s="3139"/>
      <c r="H277" s="3139"/>
      <c r="I277" s="3139"/>
      <c r="J277" s="3139"/>
      <c r="K277" s="3139"/>
      <c r="L277" s="3139"/>
      <c r="M277" s="3139"/>
      <c r="N277" s="3139"/>
      <c r="O277" s="3139"/>
      <c r="P277" s="3120"/>
    </row>
    <row r="278" spans="2:16" s="3037" customFormat="1" ht="15.75">
      <c r="B278" s="3137"/>
      <c r="C278" s="3137"/>
      <c r="D278" s="3090"/>
      <c r="E278" s="828"/>
      <c r="F278" s="828"/>
      <c r="G278" s="3140"/>
      <c r="H278" s="3140"/>
      <c r="I278" s="3140"/>
      <c r="J278" s="3140"/>
      <c r="K278" s="3140"/>
      <c r="L278" s="3140"/>
      <c r="M278" s="3090"/>
      <c r="N278" s="3122"/>
      <c r="O278" s="3090"/>
      <c r="P278" s="3120"/>
    </row>
    <row r="279" spans="2:16" s="3037" customFormat="1" ht="15.75">
      <c r="B279" s="3137"/>
      <c r="C279" s="3137"/>
      <c r="D279" s="3090"/>
      <c r="E279" s="828"/>
      <c r="F279" s="828"/>
      <c r="G279" s="3140"/>
      <c r="H279" s="3140"/>
      <c r="I279" s="3140"/>
      <c r="J279" s="3140"/>
      <c r="K279" s="3140"/>
      <c r="L279" s="3140"/>
      <c r="M279" s="3090"/>
      <c r="N279" s="3122"/>
      <c r="O279" s="3090"/>
      <c r="P279" s="3120"/>
    </row>
    <row r="280" spans="2:16" s="3037" customFormat="1" ht="15.75">
      <c r="B280" s="3141"/>
      <c r="C280" s="3120"/>
      <c r="D280" s="3090"/>
      <c r="E280" s="828"/>
      <c r="F280" s="828"/>
      <c r="G280" s="3140"/>
      <c r="H280" s="3142"/>
      <c r="I280" s="3120"/>
      <c r="J280" s="3142"/>
      <c r="K280" s="3120"/>
      <c r="L280" s="3122"/>
      <c r="M280" s="3090"/>
      <c r="N280" s="3122"/>
      <c r="O280" s="3090"/>
      <c r="P280" s="3136"/>
    </row>
    <row r="281" spans="2:16" s="3037" customFormat="1" ht="15.75">
      <c r="B281" s="3143"/>
      <c r="C281" s="3120"/>
      <c r="D281" s="3090"/>
      <c r="E281" s="828"/>
      <c r="F281" s="828"/>
      <c r="G281" s="3120"/>
      <c r="H281" s="3142"/>
      <c r="I281" s="3120"/>
      <c r="J281" s="3142"/>
      <c r="K281" s="3120"/>
      <c r="L281" s="3122"/>
      <c r="M281" s="3090"/>
      <c r="N281" s="3122"/>
      <c r="O281" s="3090"/>
      <c r="P281" s="3136"/>
    </row>
    <row r="282" spans="2:16" s="3037" customFormat="1" ht="15.75">
      <c r="B282" s="3143"/>
      <c r="C282" s="3120"/>
      <c r="D282" s="3090"/>
      <c r="E282" s="828"/>
      <c r="F282" s="828"/>
      <c r="G282" s="3120"/>
      <c r="H282" s="3142"/>
      <c r="I282" s="3120"/>
      <c r="J282" s="3142"/>
      <c r="K282" s="3120"/>
      <c r="L282" s="3122"/>
      <c r="M282" s="827"/>
      <c r="N282" s="3117"/>
      <c r="O282" s="827"/>
      <c r="P282" s="3136"/>
    </row>
    <row r="283" spans="2:16" s="3037" customFormat="1" ht="15.75">
      <c r="B283" s="3136"/>
      <c r="C283" s="3120"/>
      <c r="D283" s="3090"/>
      <c r="E283" s="2608"/>
      <c r="F283" s="3142"/>
      <c r="G283" s="3120"/>
      <c r="H283" s="3142"/>
      <c r="I283" s="3120"/>
      <c r="J283" s="3142"/>
      <c r="K283" s="3120"/>
      <c r="L283" s="3117"/>
      <c r="M283" s="827"/>
      <c r="N283" s="3117"/>
      <c r="O283" s="827"/>
      <c r="P283" s="3136"/>
    </row>
    <row r="284" spans="2:16" s="3037" customFormat="1" ht="15.75">
      <c r="B284" s="3136"/>
      <c r="C284" s="3120"/>
      <c r="D284" s="3090"/>
      <c r="E284" s="2608"/>
      <c r="F284" s="3142"/>
      <c r="G284" s="3120"/>
      <c r="H284" s="3142"/>
      <c r="I284" s="3120"/>
      <c r="J284" s="3142"/>
      <c r="K284" s="3120"/>
      <c r="L284" s="3117"/>
      <c r="M284" s="3144"/>
      <c r="N284" s="3145"/>
      <c r="O284" s="3144"/>
      <c r="P284" s="3136"/>
    </row>
    <row r="285" spans="2:16" ht="15.75">
      <c r="B285" s="3136"/>
      <c r="C285" s="3120"/>
      <c r="D285" s="3090"/>
      <c r="E285" s="2608"/>
      <c r="F285" s="3142"/>
      <c r="G285" s="3120"/>
      <c r="H285" s="3142"/>
      <c r="I285" s="3120"/>
      <c r="J285" s="3142"/>
      <c r="K285" s="3120"/>
      <c r="L285" s="3117"/>
      <c r="M285" s="827"/>
      <c r="N285" s="3117"/>
      <c r="O285" s="827"/>
      <c r="P285" s="3136"/>
    </row>
    <row r="286" spans="2:16" ht="15.75">
      <c r="G286" s="3120"/>
    </row>
    <row r="291" spans="3:12" ht="15.75">
      <c r="C291" s="3006"/>
      <c r="D291" s="3005"/>
      <c r="E291" s="3006"/>
      <c r="F291" s="3007"/>
      <c r="H291" s="3149"/>
      <c r="I291" s="3150"/>
      <c r="J291" s="3149"/>
      <c r="K291" s="3150"/>
      <c r="L291" s="3149"/>
    </row>
    <row r="292" spans="3:12" ht="15.75">
      <c r="C292" s="3006"/>
      <c r="D292" s="3005"/>
      <c r="E292" s="3006"/>
      <c r="F292" s="3007"/>
      <c r="G292" s="3150"/>
      <c r="H292" s="3149"/>
      <c r="I292" s="3150"/>
      <c r="J292" s="3149"/>
      <c r="K292" s="3150"/>
      <c r="L292" s="3149"/>
    </row>
    <row r="293" spans="3:12" ht="15.75">
      <c r="C293" s="3006"/>
      <c r="D293" s="3005"/>
      <c r="E293" s="3006"/>
      <c r="F293" s="3007"/>
      <c r="G293" s="3150"/>
      <c r="H293" s="3149"/>
      <c r="I293" s="3150"/>
      <c r="J293" s="3149"/>
      <c r="K293" s="3150"/>
      <c r="L293" s="3149"/>
    </row>
    <row r="294" spans="3:12" ht="15.75">
      <c r="C294" s="3006"/>
      <c r="D294" s="3005"/>
      <c r="E294" s="3006"/>
      <c r="F294" s="3007"/>
      <c r="G294" s="3150"/>
      <c r="H294" s="3149"/>
      <c r="I294" s="3150"/>
      <c r="J294" s="3149"/>
      <c r="K294" s="3150"/>
      <c r="L294" s="3149"/>
    </row>
    <row r="295" spans="3:12" ht="15.75">
      <c r="C295" s="3006"/>
      <c r="D295" s="3005"/>
      <c r="E295" s="3006"/>
      <c r="F295" s="3007"/>
      <c r="G295" s="3150"/>
      <c r="H295" s="3149"/>
      <c r="I295" s="3150"/>
      <c r="J295" s="3149"/>
      <c r="K295" s="3150"/>
      <c r="L295" s="3149"/>
    </row>
    <row r="296" spans="3:12">
      <c r="G296" s="3150"/>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77734375" defaultRowHeight="12.75"/>
  <cols>
    <col min="1" max="1" width="54.77734375" style="489" customWidth="1"/>
    <col min="2" max="2" width="13.77734375" style="1617" customWidth="1"/>
    <col min="3" max="3" width="1.77734375" style="1617" customWidth="1"/>
    <col min="4" max="4" width="13.77734375" style="1617" customWidth="1"/>
    <col min="5" max="5" width="1.77734375" style="1616" customWidth="1"/>
    <col min="6" max="6" width="13.77734375" style="1617" customWidth="1"/>
    <col min="7" max="7" width="1.77734375" style="1616" customWidth="1"/>
    <col min="8" max="8" width="13.77734375" style="1617" customWidth="1"/>
    <col min="9" max="9" width="1.77734375" style="1616" customWidth="1"/>
    <col min="10" max="10" width="13.77734375" style="1617" customWidth="1"/>
    <col min="11" max="11" width="1.77734375" style="1617" customWidth="1"/>
    <col min="12" max="12" width="13.77734375" style="1617" customWidth="1"/>
    <col min="13" max="13" width="1.77734375" style="1616" customWidth="1"/>
    <col min="14" max="14" width="13.77734375" style="1617" customWidth="1"/>
    <col min="15" max="15" width="1.77734375" style="1616" customWidth="1"/>
    <col min="16" max="16" width="13.77734375" style="1617" customWidth="1"/>
    <col min="17" max="17" width="1.77734375" style="1616" customWidth="1"/>
    <col min="18" max="18" width="13.77734375" style="1617" customWidth="1"/>
    <col min="19" max="19" width="1.77734375" style="1616" customWidth="1"/>
    <col min="20" max="20" width="13.77734375" style="1617" customWidth="1"/>
    <col min="21" max="21" width="1.77734375" style="1616" customWidth="1"/>
    <col min="22" max="22" width="13.77734375" style="1617" customWidth="1"/>
    <col min="23" max="23" width="1.77734375" style="1616" customWidth="1"/>
    <col min="24" max="24" width="13.77734375" style="1617" customWidth="1"/>
    <col min="25" max="25" width="1.77734375" style="1616"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56" t="s">
        <v>980</v>
      </c>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row>
    <row r="2" spans="1:40" ht="15">
      <c r="A2" s="956"/>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row>
    <row r="3" spans="1:40" ht="24" customHeight="1">
      <c r="A3" s="834" t="s">
        <v>0</v>
      </c>
      <c r="B3" s="486"/>
      <c r="C3" s="486"/>
      <c r="D3" s="487"/>
      <c r="E3" s="488"/>
      <c r="F3" s="487"/>
      <c r="G3" s="488"/>
      <c r="H3" s="487"/>
      <c r="I3" s="488"/>
      <c r="K3" s="486"/>
      <c r="L3" s="413"/>
      <c r="M3" s="486"/>
      <c r="N3" s="487"/>
      <c r="O3" s="488"/>
      <c r="P3" s="487"/>
      <c r="Q3" s="488"/>
      <c r="R3" s="487"/>
      <c r="S3" s="488"/>
      <c r="T3" s="487"/>
      <c r="U3" s="488"/>
      <c r="V3" s="487"/>
      <c r="W3" s="488"/>
      <c r="X3" s="487"/>
      <c r="Y3" s="488"/>
      <c r="Z3" s="824" t="s">
        <v>573</v>
      </c>
      <c r="AA3" s="486"/>
      <c r="AC3" s="486"/>
      <c r="AE3" s="486"/>
    </row>
    <row r="4" spans="1:40" ht="16.5">
      <c r="A4" s="834" t="s">
        <v>1398</v>
      </c>
      <c r="B4" s="1333"/>
      <c r="C4" s="1333"/>
      <c r="D4" s="490"/>
      <c r="E4" s="488"/>
      <c r="F4" s="1333"/>
      <c r="G4" s="488"/>
      <c r="H4" s="1333"/>
      <c r="I4" s="488"/>
      <c r="J4" s="1333"/>
      <c r="K4" s="1333"/>
      <c r="L4" s="1333"/>
      <c r="M4" s="491"/>
      <c r="N4" s="1333"/>
      <c r="O4" s="488"/>
      <c r="P4" s="1333"/>
      <c r="Q4" s="488"/>
      <c r="R4" s="1333"/>
      <c r="S4" s="488"/>
      <c r="T4" s="1333"/>
      <c r="U4" s="488"/>
      <c r="V4" s="1333"/>
      <c r="W4" s="488"/>
      <c r="X4" s="1333"/>
      <c r="Y4" s="488"/>
      <c r="Z4" s="1334"/>
      <c r="AA4" s="492"/>
      <c r="AC4" s="486"/>
    </row>
    <row r="5" spans="1:40" ht="16.5">
      <c r="A5" s="835" t="s">
        <v>1188</v>
      </c>
      <c r="B5" s="1333"/>
      <c r="C5" s="1333"/>
      <c r="D5" s="1333"/>
      <c r="E5" s="488"/>
      <c r="F5" s="1333"/>
      <c r="G5" s="488"/>
      <c r="H5" s="1333"/>
      <c r="I5" s="488"/>
      <c r="J5" s="1333"/>
      <c r="K5" s="1333"/>
      <c r="L5" s="1333"/>
      <c r="M5" s="491"/>
      <c r="N5" s="1333"/>
      <c r="O5" s="488"/>
      <c r="P5" s="1333"/>
      <c r="Q5" s="488"/>
      <c r="R5" s="1333"/>
      <c r="S5" s="488"/>
      <c r="T5" s="1333"/>
      <c r="U5" s="488"/>
      <c r="V5" s="1333"/>
      <c r="W5" s="488"/>
      <c r="X5" s="1333"/>
      <c r="Y5" s="488"/>
      <c r="Z5" s="1334"/>
    </row>
    <row r="6" spans="1:40" ht="18" customHeight="1">
      <c r="A6" s="493" t="str">
        <f>'Cashflow Governmental'!A6</f>
        <v>FISCAL YEAR 2019-2020</v>
      </c>
      <c r="B6" s="1333"/>
      <c r="C6" s="1333"/>
      <c r="D6" s="495"/>
      <c r="E6" s="488"/>
      <c r="F6" s="1333"/>
      <c r="G6" s="488"/>
      <c r="H6" s="1333"/>
      <c r="I6" s="488"/>
      <c r="J6" s="1333"/>
      <c r="K6" s="1333"/>
      <c r="L6" s="1333"/>
      <c r="M6" s="491"/>
      <c r="N6" s="1333"/>
      <c r="O6" s="488"/>
      <c r="P6" s="1333"/>
      <c r="Q6" s="488"/>
      <c r="R6" s="1333"/>
      <c r="S6" s="488"/>
      <c r="T6" s="1333"/>
      <c r="U6" s="488"/>
      <c r="V6" s="1333"/>
      <c r="W6" s="488"/>
      <c r="X6" s="1333"/>
      <c r="Y6" s="488"/>
      <c r="Z6" s="1334"/>
    </row>
    <row r="7" spans="1:40" ht="15" customHeight="1">
      <c r="A7" s="494"/>
      <c r="B7" s="1333"/>
      <c r="C7" s="1333"/>
      <c r="D7" s="1333"/>
      <c r="E7" s="488"/>
      <c r="F7" s="1333"/>
      <c r="G7" s="488"/>
      <c r="H7" s="1333"/>
      <c r="I7" s="488"/>
      <c r="J7" s="1333"/>
      <c r="K7" s="1333"/>
      <c r="L7" s="1333"/>
      <c r="M7" s="491"/>
      <c r="N7" s="1333"/>
      <c r="O7" s="488"/>
      <c r="P7" s="1333"/>
      <c r="Q7" s="488"/>
      <c r="R7" s="1335"/>
      <c r="S7" s="488"/>
      <c r="T7" s="1335"/>
      <c r="U7" s="488"/>
      <c r="V7" s="1335"/>
      <c r="W7" s="488"/>
      <c r="X7" s="1335"/>
      <c r="Y7" s="488"/>
      <c r="Z7" s="1334"/>
    </row>
    <row r="8" spans="1:40" ht="15.75">
      <c r="A8" s="485"/>
      <c r="B8" s="1333"/>
      <c r="C8" s="1333"/>
      <c r="D8" s="1333"/>
      <c r="E8" s="488"/>
      <c r="F8" s="1333"/>
      <c r="G8" s="488"/>
      <c r="H8" s="1333"/>
      <c r="I8" s="488"/>
      <c r="J8" s="1333"/>
      <c r="K8" s="1333"/>
      <c r="L8" s="1333"/>
      <c r="M8" s="488"/>
      <c r="N8" s="1333"/>
      <c r="O8" s="488"/>
      <c r="P8" s="1333"/>
      <c r="Q8" s="488"/>
      <c r="R8" s="1333"/>
      <c r="S8" s="488"/>
      <c r="T8" s="1333"/>
      <c r="U8" s="488"/>
      <c r="V8" s="1333"/>
      <c r="W8" s="488"/>
      <c r="X8" s="1333"/>
      <c r="Y8" s="488"/>
      <c r="Z8" s="496"/>
      <c r="AA8" s="497"/>
    </row>
    <row r="9" spans="1:40" ht="15" customHeight="1">
      <c r="A9" s="1336"/>
      <c r="B9" s="928" t="str">
        <f>'Cashflow Governmental'!C13</f>
        <v>2019</v>
      </c>
      <c r="C9" s="498"/>
      <c r="D9" s="498"/>
      <c r="E9" s="491"/>
      <c r="F9" s="498"/>
      <c r="G9" s="491"/>
      <c r="H9" s="498"/>
      <c r="I9" s="491"/>
      <c r="J9" s="498"/>
      <c r="K9" s="498"/>
      <c r="L9" s="499"/>
      <c r="M9" s="491"/>
      <c r="N9" s="499"/>
      <c r="O9" s="491"/>
      <c r="P9" s="499"/>
      <c r="Q9" s="491"/>
      <c r="R9" s="499"/>
      <c r="S9" s="491"/>
      <c r="T9" s="928" t="str">
        <f>'Cashflow Governmental'!U13</f>
        <v>2020</v>
      </c>
      <c r="U9" s="491"/>
      <c r="V9" s="499"/>
      <c r="W9" s="491"/>
      <c r="X9" s="499"/>
      <c r="Y9" s="491"/>
      <c r="Z9" s="500" t="s">
        <v>1479</v>
      </c>
      <c r="AA9" s="500"/>
    </row>
    <row r="10" spans="1:40" ht="15" customHeight="1">
      <c r="A10" s="1336"/>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1464</v>
      </c>
      <c r="AA10" s="504"/>
    </row>
    <row r="11" spans="1:40" ht="15" customHeight="1">
      <c r="A11" s="1336"/>
      <c r="B11" s="1630" t="s">
        <v>15</v>
      </c>
      <c r="C11" s="1337"/>
      <c r="D11" s="1630" t="s">
        <v>15</v>
      </c>
      <c r="E11" s="1338"/>
      <c r="F11" s="1630" t="s">
        <v>15</v>
      </c>
      <c r="G11" s="1338"/>
      <c r="H11" s="1630" t="s">
        <v>15</v>
      </c>
      <c r="I11" s="1338"/>
      <c r="J11" s="1630" t="s">
        <v>15</v>
      </c>
      <c r="K11" s="503"/>
      <c r="L11" s="1630" t="s">
        <v>15</v>
      </c>
      <c r="M11" s="1338"/>
      <c r="N11" s="1630" t="s">
        <v>15</v>
      </c>
      <c r="O11" s="1338"/>
      <c r="P11" s="1630" t="s">
        <v>15</v>
      </c>
      <c r="Q11" s="1338"/>
      <c r="R11" s="1630" t="s">
        <v>15</v>
      </c>
      <c r="S11" s="1338"/>
      <c r="T11" s="1630" t="s">
        <v>15</v>
      </c>
      <c r="U11" s="1338"/>
      <c r="V11" s="1630" t="s">
        <v>15</v>
      </c>
      <c r="W11" s="1338"/>
      <c r="X11" s="1630" t="s">
        <v>15</v>
      </c>
      <c r="Y11" s="1338"/>
      <c r="Z11" s="1629" t="s">
        <v>15</v>
      </c>
      <c r="AB11" s="505"/>
      <c r="AC11" s="505"/>
      <c r="AD11" s="505"/>
      <c r="AE11" s="505"/>
      <c r="AF11" s="505"/>
      <c r="AG11" s="505"/>
      <c r="AH11" s="505"/>
      <c r="AI11" s="505"/>
      <c r="AJ11" s="505"/>
      <c r="AK11" s="505"/>
      <c r="AL11" s="505"/>
      <c r="AM11" s="505"/>
      <c r="AN11" s="505"/>
    </row>
    <row r="12" spans="1:40" s="510" customFormat="1" ht="15" customHeight="1">
      <c r="A12" s="836" t="s">
        <v>475</v>
      </c>
      <c r="B12" s="519">
        <v>16298833</v>
      </c>
      <c r="C12" s="507"/>
      <c r="D12" s="506">
        <f>B44</f>
        <v>228595088</v>
      </c>
      <c r="E12" s="1339"/>
      <c r="F12" s="506">
        <f>D44</f>
        <v>67983418</v>
      </c>
      <c r="G12" s="1339"/>
      <c r="H12" s="506">
        <f>F44</f>
        <v>126634302</v>
      </c>
      <c r="I12" s="1339"/>
      <c r="J12" s="506"/>
      <c r="K12" s="508"/>
      <c r="L12" s="506"/>
      <c r="M12" s="509"/>
      <c r="N12" s="506"/>
      <c r="O12" s="506"/>
      <c r="P12" s="506"/>
      <c r="Q12" s="506"/>
      <c r="R12" s="506"/>
      <c r="S12" s="506"/>
      <c r="T12" s="506"/>
      <c r="U12" s="506"/>
      <c r="V12" s="506"/>
      <c r="W12" s="506"/>
      <c r="X12" s="506"/>
      <c r="Y12" s="506"/>
      <c r="Z12" s="506">
        <f>+B12</f>
        <v>16298833</v>
      </c>
    </row>
    <row r="13" spans="1:40" ht="15" customHeight="1">
      <c r="A13" s="1340"/>
      <c r="B13" s="1341"/>
      <c r="C13" s="1342"/>
      <c r="D13" s="1341"/>
      <c r="E13" s="1341"/>
      <c r="F13" s="1341"/>
      <c r="G13" s="1341"/>
      <c r="H13" s="1341"/>
      <c r="I13" s="1341"/>
      <c r="J13" s="1341"/>
      <c r="K13" s="503"/>
      <c r="L13" s="1341"/>
      <c r="M13" s="1341"/>
      <c r="N13" s="1341"/>
      <c r="O13" s="1341"/>
      <c r="P13" s="1341"/>
      <c r="Q13" s="1341"/>
      <c r="R13" s="1341"/>
      <c r="S13" s="1341"/>
      <c r="T13" s="1341"/>
      <c r="U13" s="1341"/>
      <c r="V13" s="1341"/>
      <c r="W13" s="1341"/>
      <c r="X13" s="1341"/>
      <c r="Y13" s="1341"/>
      <c r="Z13" s="1343"/>
    </row>
    <row r="14" spans="1:40" ht="15" customHeight="1">
      <c r="A14" s="511" t="s">
        <v>14</v>
      </c>
      <c r="B14" s="1341"/>
      <c r="C14" s="1342"/>
      <c r="D14" s="1341"/>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3"/>
      <c r="AC14" s="1931"/>
    </row>
    <row r="15" spans="1:40" ht="15" customHeight="1">
      <c r="A15" s="837" t="s">
        <v>1245</v>
      </c>
      <c r="B15" s="1349">
        <v>250000000</v>
      </c>
      <c r="C15" s="1350"/>
      <c r="D15" s="1349">
        <v>0</v>
      </c>
      <c r="E15" s="1349"/>
      <c r="F15" s="1349">
        <v>200000000</v>
      </c>
      <c r="G15" s="1344"/>
      <c r="H15" s="1349">
        <v>50000000</v>
      </c>
      <c r="I15" s="1344"/>
      <c r="J15" s="1931"/>
      <c r="K15" s="1344"/>
      <c r="L15" s="1349"/>
      <c r="M15" s="1341"/>
      <c r="N15" s="1349"/>
      <c r="O15" s="1344"/>
      <c r="P15" s="1349"/>
      <c r="Q15" s="1344"/>
      <c r="R15" s="1349"/>
      <c r="S15" s="1344"/>
      <c r="T15" s="1349"/>
      <c r="U15" s="1344"/>
      <c r="V15" s="1349"/>
      <c r="W15" s="1344"/>
      <c r="X15" s="1349"/>
      <c r="Y15" s="1344"/>
      <c r="Z15" s="1346">
        <f>SUM(B15:X15)</f>
        <v>500000000</v>
      </c>
    </row>
    <row r="16" spans="1:40" s="510" customFormat="1" ht="22.5" customHeight="1">
      <c r="A16" s="511" t="s">
        <v>151</v>
      </c>
      <c r="B16" s="1628">
        <f>ROUND(SUM(B15:B15),0)</f>
        <v>250000000</v>
      </c>
      <c r="C16" s="512"/>
      <c r="D16" s="1628">
        <f>ROUND(SUM(D15:D15),0)</f>
        <v>0</v>
      </c>
      <c r="E16" s="513"/>
      <c r="F16" s="1628">
        <f>ROUND(SUM(F15:F15),0)</f>
        <v>200000000</v>
      </c>
      <c r="G16" s="513"/>
      <c r="H16" s="1628">
        <f>ROUND(SUM(H15:H15),0)</f>
        <v>50000000</v>
      </c>
      <c r="I16" s="513"/>
      <c r="J16" s="1628">
        <f>ROUND(SUM(J15:J15),0)</f>
        <v>0</v>
      </c>
      <c r="K16" s="515"/>
      <c r="L16" s="1628">
        <f>ROUND(SUM(L15:L15),0)</f>
        <v>0</v>
      </c>
      <c r="M16" s="509"/>
      <c r="N16" s="1628">
        <f>ROUND(SUM(N15:N15),0)</f>
        <v>0</v>
      </c>
      <c r="O16" s="513"/>
      <c r="P16" s="1628">
        <f>ROUND(SUM(P15:P15),0)</f>
        <v>0</v>
      </c>
      <c r="Q16" s="513"/>
      <c r="R16" s="1628">
        <f>ROUND(SUM(R15:R15),0)</f>
        <v>0</v>
      </c>
      <c r="S16" s="513"/>
      <c r="T16" s="1628">
        <f>ROUND(SUM(T15:T15),0)</f>
        <v>0</v>
      </c>
      <c r="U16" s="513"/>
      <c r="V16" s="1628">
        <f>ROUND(SUM(V15:V15),0)</f>
        <v>0</v>
      </c>
      <c r="W16" s="513"/>
      <c r="X16" s="1628">
        <f>ROUND(SUM(X15:X15),0)</f>
        <v>0</v>
      </c>
      <c r="Y16" s="513"/>
      <c r="Z16" s="1628">
        <f>ROUND(SUM(Z15:Z15),0)</f>
        <v>500000000</v>
      </c>
      <c r="AB16" s="415"/>
    </row>
    <row r="17" spans="1:28" ht="15" customHeight="1">
      <c r="A17" s="1340"/>
      <c r="B17" s="1344"/>
      <c r="C17" s="1345"/>
      <c r="D17" s="1344"/>
      <c r="E17" s="1344"/>
      <c r="F17" s="1344"/>
      <c r="G17" s="1344"/>
      <c r="H17" s="1344"/>
      <c r="I17" s="1344"/>
      <c r="J17" s="1344"/>
      <c r="K17" s="1344"/>
      <c r="L17" s="1344"/>
      <c r="M17" s="1341"/>
      <c r="N17" s="1344"/>
      <c r="O17" s="1344"/>
      <c r="P17" s="1344"/>
      <c r="Q17" s="1344"/>
      <c r="R17" s="1344"/>
      <c r="S17" s="1344"/>
      <c r="T17" s="1344"/>
      <c r="U17" s="1344"/>
      <c r="V17" s="1344"/>
      <c r="W17" s="1344"/>
      <c r="X17" s="1344"/>
      <c r="Y17" s="1344"/>
      <c r="Z17" s="1348"/>
    </row>
    <row r="18" spans="1:28" ht="15" customHeight="1">
      <c r="A18" s="511" t="s">
        <v>23</v>
      </c>
      <c r="B18" s="1344"/>
      <c r="C18" s="1345"/>
      <c r="D18" s="1344"/>
      <c r="E18" s="1344"/>
      <c r="F18" s="1344"/>
      <c r="G18" s="1344"/>
      <c r="H18" s="1344"/>
      <c r="I18" s="1344"/>
      <c r="J18" s="1344"/>
      <c r="K18" s="1344"/>
      <c r="L18" s="1349"/>
      <c r="M18" s="1351"/>
      <c r="N18" s="1349"/>
      <c r="O18" s="1344"/>
      <c r="P18" s="1344"/>
      <c r="Q18" s="1344"/>
      <c r="R18" s="1344"/>
      <c r="S18" s="1344"/>
      <c r="T18" s="1344"/>
      <c r="U18" s="1344"/>
      <c r="V18" s="1344"/>
      <c r="W18" s="1344"/>
      <c r="X18" s="1344"/>
      <c r="Y18" s="1344"/>
      <c r="Z18" s="1346"/>
    </row>
    <row r="19" spans="1:28" ht="15" customHeight="1">
      <c r="A19" s="837" t="s">
        <v>1294</v>
      </c>
      <c r="B19" s="1344">
        <v>0</v>
      </c>
      <c r="C19" s="1345"/>
      <c r="D19" s="1344">
        <v>1460000</v>
      </c>
      <c r="E19" s="1344"/>
      <c r="F19" s="1344">
        <v>18258090</v>
      </c>
      <c r="G19" s="1344"/>
      <c r="H19" s="1344">
        <v>0</v>
      </c>
      <c r="I19" s="1344"/>
      <c r="J19" s="1344"/>
      <c r="K19" s="1344"/>
      <c r="L19" s="1349"/>
      <c r="M19" s="1351"/>
      <c r="N19" s="1349"/>
      <c r="O19" s="1344"/>
      <c r="P19" s="1344"/>
      <c r="Q19" s="1344"/>
      <c r="R19" s="1344"/>
      <c r="S19" s="1344"/>
      <c r="T19" s="1344"/>
      <c r="U19" s="1344"/>
      <c r="V19" s="1344"/>
      <c r="W19" s="1344"/>
      <c r="X19" s="1344"/>
      <c r="Y19" s="1344"/>
      <c r="Z19" s="1346">
        <f>ROUND(SUM(B19:X19),0)</f>
        <v>19718090</v>
      </c>
    </row>
    <row r="20" spans="1:28" ht="15" customHeight="1">
      <c r="A20" s="837" t="s">
        <v>1244</v>
      </c>
      <c r="B20" s="1349">
        <v>1906857</v>
      </c>
      <c r="C20" s="1350"/>
      <c r="D20" s="1349">
        <v>22713440</v>
      </c>
      <c r="E20" s="1349"/>
      <c r="F20" s="1349">
        <v>5454209</v>
      </c>
      <c r="G20" s="1349"/>
      <c r="H20" s="1349">
        <v>12367387</v>
      </c>
      <c r="I20" s="1349"/>
      <c r="J20" s="1349"/>
      <c r="K20" s="1349"/>
      <c r="L20" s="1349"/>
      <c r="M20" s="1351"/>
      <c r="N20" s="1349"/>
      <c r="O20" s="1349"/>
      <c r="P20" s="1349"/>
      <c r="Q20" s="1349"/>
      <c r="R20" s="1349"/>
      <c r="S20" s="1349"/>
      <c r="T20" s="1349"/>
      <c r="U20" s="1349"/>
      <c r="V20" s="1349"/>
      <c r="W20" s="1349"/>
      <c r="X20" s="1349"/>
      <c r="Y20" s="1349"/>
      <c r="Z20" s="1346">
        <f>ROUND(SUM(B20:X20),0)</f>
        <v>42441893</v>
      </c>
    </row>
    <row r="21" spans="1:28" ht="15" customHeight="1">
      <c r="A21" s="837" t="s">
        <v>1326</v>
      </c>
      <c r="B21" s="1349">
        <v>0</v>
      </c>
      <c r="C21" s="1350"/>
      <c r="D21" s="1349">
        <v>0</v>
      </c>
      <c r="E21" s="1349"/>
      <c r="F21" s="1349">
        <v>518406</v>
      </c>
      <c r="G21" s="1349"/>
      <c r="H21" s="1349">
        <v>151311</v>
      </c>
      <c r="I21" s="1349"/>
      <c r="J21" s="1349"/>
      <c r="K21" s="1349"/>
      <c r="L21" s="1349"/>
      <c r="M21" s="1351"/>
      <c r="N21" s="1349"/>
      <c r="O21" s="1349"/>
      <c r="P21" s="1349"/>
      <c r="Q21" s="1349"/>
      <c r="R21" s="1349"/>
      <c r="S21" s="1349"/>
      <c r="T21" s="1349"/>
      <c r="U21" s="1349"/>
      <c r="V21" s="1349"/>
      <c r="W21" s="1349"/>
      <c r="X21" s="1349"/>
      <c r="Y21" s="1349"/>
      <c r="Z21" s="1346">
        <f t="shared" ref="Z21:Z35" si="0">ROUND(SUM(B21:X21),0)</f>
        <v>669717</v>
      </c>
      <c r="AB21" s="3600"/>
    </row>
    <row r="22" spans="1:28" ht="15" customHeight="1">
      <c r="A22" s="837" t="s">
        <v>1256</v>
      </c>
      <c r="B22" s="1349">
        <v>1376741</v>
      </c>
      <c r="C22" s="1350"/>
      <c r="D22" s="1349">
        <v>66909227</v>
      </c>
      <c r="E22" s="1349"/>
      <c r="F22" s="1349">
        <v>2205139</v>
      </c>
      <c r="G22" s="1349"/>
      <c r="H22" s="1349">
        <v>5379040</v>
      </c>
      <c r="I22" s="1349"/>
      <c r="J22" s="1349"/>
      <c r="K22" s="1349"/>
      <c r="L22" s="1349"/>
      <c r="M22" s="1351"/>
      <c r="N22" s="1349"/>
      <c r="O22" s="1349"/>
      <c r="P22" s="1349"/>
      <c r="Q22" s="1349"/>
      <c r="R22" s="1349"/>
      <c r="S22" s="1349"/>
      <c r="T22" s="1349"/>
      <c r="U22" s="1349"/>
      <c r="V22" s="1349"/>
      <c r="W22" s="1349"/>
      <c r="X22" s="1349"/>
      <c r="Y22" s="1349"/>
      <c r="Z22" s="1346">
        <f>ROUND(SUM(B22:X22),0)</f>
        <v>75870147</v>
      </c>
    </row>
    <row r="23" spans="1:28" ht="15" customHeight="1">
      <c r="A23" s="837" t="s">
        <v>1303</v>
      </c>
      <c r="B23" s="1349">
        <v>1174678</v>
      </c>
      <c r="C23" s="1350"/>
      <c r="D23" s="1349">
        <v>643317</v>
      </c>
      <c r="E23" s="1349"/>
      <c r="F23" s="1349">
        <v>1630974</v>
      </c>
      <c r="G23" s="1349"/>
      <c r="H23" s="1349">
        <v>1884546</v>
      </c>
      <c r="I23" s="1349"/>
      <c r="J23" s="1349"/>
      <c r="K23" s="1349"/>
      <c r="L23" s="1349"/>
      <c r="M23" s="1351"/>
      <c r="N23" s="1349"/>
      <c r="O23" s="1349"/>
      <c r="P23" s="1349"/>
      <c r="Q23" s="1349"/>
      <c r="R23" s="1349"/>
      <c r="S23" s="1349"/>
      <c r="T23" s="1349"/>
      <c r="U23" s="1349"/>
      <c r="V23" s="1349"/>
      <c r="W23" s="1349"/>
      <c r="X23" s="1349"/>
      <c r="Y23" s="1349"/>
      <c r="Z23" s="1346">
        <f t="shared" si="0"/>
        <v>5333515</v>
      </c>
    </row>
    <row r="24" spans="1:28" ht="15" customHeight="1">
      <c r="A24" s="837" t="s">
        <v>1349</v>
      </c>
      <c r="B24" s="1349">
        <v>0</v>
      </c>
      <c r="C24" s="1350"/>
      <c r="D24" s="1349">
        <v>0</v>
      </c>
      <c r="E24" s="1349"/>
      <c r="F24" s="1349">
        <v>0</v>
      </c>
      <c r="G24" s="1349"/>
      <c r="H24" s="1349">
        <v>0</v>
      </c>
      <c r="I24" s="1349"/>
      <c r="J24" s="1349"/>
      <c r="K24" s="1349"/>
      <c r="L24" s="1349"/>
      <c r="M24" s="1351"/>
      <c r="N24" s="1349"/>
      <c r="O24" s="1349"/>
      <c r="P24" s="1349"/>
      <c r="Q24" s="1349"/>
      <c r="R24" s="1349"/>
      <c r="S24" s="1349"/>
      <c r="T24" s="1349"/>
      <c r="U24" s="1349"/>
      <c r="V24" s="1349"/>
      <c r="W24" s="1349"/>
      <c r="X24" s="1349"/>
      <c r="Y24" s="1349"/>
      <c r="Z24" s="1346">
        <f>ROUND(SUM(B24:X24),0)</f>
        <v>0</v>
      </c>
    </row>
    <row r="25" spans="1:28" ht="15" customHeight="1">
      <c r="A25" s="837" t="s">
        <v>1243</v>
      </c>
      <c r="B25" s="1349">
        <v>0</v>
      </c>
      <c r="C25" s="1350"/>
      <c r="D25" s="1349">
        <v>298303</v>
      </c>
      <c r="E25" s="1349"/>
      <c r="F25" s="1349">
        <v>597554</v>
      </c>
      <c r="G25" s="1349"/>
      <c r="H25" s="1349">
        <v>604723</v>
      </c>
      <c r="I25" s="1349"/>
      <c r="J25" s="1349"/>
      <c r="K25" s="1349"/>
      <c r="L25" s="1349"/>
      <c r="M25" s="1351"/>
      <c r="N25" s="1349"/>
      <c r="O25" s="1349"/>
      <c r="P25" s="1349"/>
      <c r="Q25" s="1349"/>
      <c r="R25" s="1349"/>
      <c r="S25" s="1349"/>
      <c r="T25" s="1349"/>
      <c r="U25" s="1349"/>
      <c r="V25" s="1349"/>
      <c r="W25" s="1349"/>
      <c r="X25" s="1349"/>
      <c r="Y25" s="1349"/>
      <c r="Z25" s="1346">
        <f t="shared" si="0"/>
        <v>1500580</v>
      </c>
    </row>
    <row r="26" spans="1:28" ht="15" customHeight="1">
      <c r="A26" s="837" t="s">
        <v>1318</v>
      </c>
      <c r="B26" s="1349">
        <v>0</v>
      </c>
      <c r="C26" s="1350"/>
      <c r="D26" s="1349">
        <v>0</v>
      </c>
      <c r="E26" s="1349"/>
      <c r="F26" s="1349">
        <v>87959899</v>
      </c>
      <c r="G26" s="1349"/>
      <c r="H26" s="1349">
        <v>0</v>
      </c>
      <c r="I26" s="1349"/>
      <c r="J26" s="1349"/>
      <c r="K26" s="1349"/>
      <c r="L26" s="1349"/>
      <c r="M26" s="1351"/>
      <c r="N26" s="1349"/>
      <c r="O26" s="1349"/>
      <c r="P26" s="1349"/>
      <c r="Q26" s="1349"/>
      <c r="R26" s="1349"/>
      <c r="S26" s="1349"/>
      <c r="T26" s="1349"/>
      <c r="U26" s="1349"/>
      <c r="V26" s="1349"/>
      <c r="W26" s="1349"/>
      <c r="X26" s="1349"/>
      <c r="Y26" s="1349"/>
      <c r="Z26" s="1346">
        <f t="shared" si="0"/>
        <v>87959899</v>
      </c>
    </row>
    <row r="27" spans="1:28" ht="14.65" customHeight="1">
      <c r="A27" s="837" t="s">
        <v>1327</v>
      </c>
      <c r="B27" s="1349">
        <v>0</v>
      </c>
      <c r="C27" s="1350"/>
      <c r="D27" s="1349">
        <v>0</v>
      </c>
      <c r="E27" s="1349"/>
      <c r="F27" s="1349">
        <v>0</v>
      </c>
      <c r="G27" s="1349"/>
      <c r="H27" s="1349">
        <v>0</v>
      </c>
      <c r="I27" s="1349"/>
      <c r="J27" s="1349"/>
      <c r="K27" s="1349"/>
      <c r="L27" s="1349"/>
      <c r="M27" s="1351"/>
      <c r="N27" s="1349"/>
      <c r="O27" s="1349"/>
      <c r="P27" s="1349"/>
      <c r="Q27" s="1349"/>
      <c r="R27" s="1349"/>
      <c r="S27" s="1349"/>
      <c r="T27" s="1349"/>
      <c r="U27" s="1349"/>
      <c r="V27" s="1349"/>
      <c r="W27" s="1349"/>
      <c r="X27" s="1349"/>
      <c r="Y27" s="1349"/>
      <c r="Z27" s="1346">
        <f t="shared" si="0"/>
        <v>0</v>
      </c>
    </row>
    <row r="28" spans="1:28" ht="15" customHeight="1">
      <c r="A28" s="837" t="s">
        <v>1323</v>
      </c>
      <c r="B28" s="1349">
        <v>1257796</v>
      </c>
      <c r="C28" s="1350"/>
      <c r="D28" s="1349">
        <v>1322544</v>
      </c>
      <c r="E28" s="1349"/>
      <c r="F28" s="1349">
        <v>884297</v>
      </c>
      <c r="G28" s="1349"/>
      <c r="H28" s="1349">
        <v>584993</v>
      </c>
      <c r="I28" s="1349"/>
      <c r="J28" s="1349"/>
      <c r="K28" s="1349"/>
      <c r="L28" s="1349"/>
      <c r="M28" s="1351"/>
      <c r="N28" s="1349"/>
      <c r="O28" s="1349"/>
      <c r="P28" s="1349"/>
      <c r="Q28" s="1349"/>
      <c r="R28" s="1349"/>
      <c r="S28" s="1349"/>
      <c r="T28" s="1349"/>
      <c r="U28" s="1349"/>
      <c r="V28" s="1349"/>
      <c r="W28" s="1349"/>
      <c r="X28" s="1349"/>
      <c r="Y28" s="1349"/>
      <c r="Z28" s="1346">
        <f t="shared" si="0"/>
        <v>4049630</v>
      </c>
    </row>
    <row r="29" spans="1:28" ht="15" customHeight="1">
      <c r="A29" s="837" t="s">
        <v>1242</v>
      </c>
      <c r="B29" s="1349">
        <v>0</v>
      </c>
      <c r="C29" s="1350"/>
      <c r="D29" s="1349">
        <v>0</v>
      </c>
      <c r="E29" s="1349"/>
      <c r="F29" s="1349">
        <v>0</v>
      </c>
      <c r="G29" s="1349"/>
      <c r="H29" s="1349">
        <v>0</v>
      </c>
      <c r="I29" s="1349"/>
      <c r="J29" s="1349"/>
      <c r="K29" s="1349"/>
      <c r="L29" s="1349"/>
      <c r="M29" s="1351"/>
      <c r="N29" s="1349"/>
      <c r="O29" s="1349"/>
      <c r="P29" s="1349"/>
      <c r="Q29" s="1349"/>
      <c r="R29" s="1349"/>
      <c r="S29" s="1349"/>
      <c r="T29" s="1349"/>
      <c r="U29" s="1349"/>
      <c r="V29" s="1349"/>
      <c r="W29" s="1349"/>
      <c r="X29" s="1349"/>
      <c r="Y29" s="1349"/>
      <c r="Z29" s="1346">
        <f t="shared" si="0"/>
        <v>0</v>
      </c>
    </row>
    <row r="30" spans="1:28" ht="15" customHeight="1">
      <c r="A30" s="837" t="s">
        <v>1276</v>
      </c>
      <c r="B30" s="1349">
        <v>32703</v>
      </c>
      <c r="C30" s="1350"/>
      <c r="D30" s="1349">
        <v>4101595</v>
      </c>
      <c r="E30" s="1349"/>
      <c r="F30" s="1349">
        <v>100755</v>
      </c>
      <c r="G30" s="1349"/>
      <c r="H30" s="1349">
        <v>8723</v>
      </c>
      <c r="I30" s="1349"/>
      <c r="J30" s="1349"/>
      <c r="K30" s="1349"/>
      <c r="L30" s="1349"/>
      <c r="M30" s="1351"/>
      <c r="N30" s="1349"/>
      <c r="O30" s="1349"/>
      <c r="P30" s="1349"/>
      <c r="Q30" s="1349"/>
      <c r="R30" s="1349"/>
      <c r="S30" s="1349"/>
      <c r="T30" s="1349"/>
      <c r="U30" s="1349"/>
      <c r="V30" s="1349"/>
      <c r="W30" s="1349"/>
      <c r="X30" s="1349"/>
      <c r="Y30" s="1349"/>
      <c r="Z30" s="1346">
        <f t="shared" si="0"/>
        <v>4243776</v>
      </c>
      <c r="AA30" s="1797"/>
      <c r="AB30" s="1797"/>
    </row>
    <row r="31" spans="1:28" ht="15" customHeight="1">
      <c r="A31" s="837" t="s">
        <v>1241</v>
      </c>
      <c r="B31" s="1349">
        <v>10000</v>
      </c>
      <c r="C31" s="1350"/>
      <c r="D31" s="1349">
        <v>73340</v>
      </c>
      <c r="E31" s="1349"/>
      <c r="F31" s="1349">
        <v>4871</v>
      </c>
      <c r="G31" s="1349"/>
      <c r="H31" s="1349">
        <v>20000</v>
      </c>
      <c r="I31" s="1349"/>
      <c r="J31" s="1349"/>
      <c r="K31" s="1349"/>
      <c r="L31" s="1349"/>
      <c r="M31" s="1351"/>
      <c r="N31" s="1349"/>
      <c r="O31" s="1349"/>
      <c r="P31" s="1349"/>
      <c r="Q31" s="1349"/>
      <c r="R31" s="1349"/>
      <c r="S31" s="1349"/>
      <c r="T31" s="1349"/>
      <c r="U31" s="1349"/>
      <c r="V31" s="1349"/>
      <c r="W31" s="1349"/>
      <c r="X31" s="1349"/>
      <c r="Y31" s="1349"/>
      <c r="Z31" s="1346">
        <f t="shared" si="0"/>
        <v>108211</v>
      </c>
    </row>
    <row r="32" spans="1:28" ht="15" customHeight="1">
      <c r="A32" s="837" t="s">
        <v>1240</v>
      </c>
      <c r="B32" s="1349">
        <v>15988205</v>
      </c>
      <c r="C32" s="1350"/>
      <c r="D32" s="1349">
        <v>29132267</v>
      </c>
      <c r="E32" s="1349"/>
      <c r="F32" s="1349">
        <v>20630646</v>
      </c>
      <c r="G32" s="1349"/>
      <c r="H32" s="1349">
        <v>42058113</v>
      </c>
      <c r="I32" s="1349"/>
      <c r="J32" s="1349"/>
      <c r="K32" s="1349"/>
      <c r="L32" s="1349"/>
      <c r="M32" s="1351"/>
      <c r="N32" s="1349"/>
      <c r="O32" s="1349"/>
      <c r="P32" s="1349"/>
      <c r="Q32" s="1349"/>
      <c r="R32" s="1349"/>
      <c r="S32" s="1349"/>
      <c r="T32" s="1349"/>
      <c r="U32" s="1349"/>
      <c r="V32" s="1349"/>
      <c r="W32" s="1349"/>
      <c r="X32" s="1349"/>
      <c r="Y32" s="1349"/>
      <c r="Z32" s="1346">
        <f t="shared" si="0"/>
        <v>107809231</v>
      </c>
    </row>
    <row r="33" spans="1:28" ht="15" customHeight="1">
      <c r="A33" s="837" t="s">
        <v>1239</v>
      </c>
      <c r="B33" s="1349">
        <v>5122897</v>
      </c>
      <c r="C33" s="1350"/>
      <c r="D33" s="1349">
        <v>8707914</v>
      </c>
      <c r="E33" s="1349"/>
      <c r="F33" s="1349">
        <v>1701</v>
      </c>
      <c r="G33" s="1349"/>
      <c r="H33" s="1349">
        <v>4492613</v>
      </c>
      <c r="I33" s="1349"/>
      <c r="J33" s="1349"/>
      <c r="K33" s="1349"/>
      <c r="L33" s="1349"/>
      <c r="M33" s="1351"/>
      <c r="N33" s="1349"/>
      <c r="O33" s="1349"/>
      <c r="P33" s="1349"/>
      <c r="Q33" s="1349"/>
      <c r="R33" s="1349"/>
      <c r="S33" s="1349"/>
      <c r="T33" s="1349"/>
      <c r="U33" s="1349"/>
      <c r="V33" s="1349"/>
      <c r="W33" s="1349"/>
      <c r="X33" s="1349"/>
      <c r="Y33" s="1349"/>
      <c r="Z33" s="1346">
        <f t="shared" si="0"/>
        <v>18325125</v>
      </c>
    </row>
    <row r="34" spans="1:28" ht="15" customHeight="1">
      <c r="A34" s="837" t="s">
        <v>1284</v>
      </c>
      <c r="B34" s="1349">
        <v>0</v>
      </c>
      <c r="C34" s="1350"/>
      <c r="D34" s="1349">
        <v>0</v>
      </c>
      <c r="E34" s="1349"/>
      <c r="F34" s="1349">
        <v>0</v>
      </c>
      <c r="G34" s="1349"/>
      <c r="H34" s="1349">
        <v>-3626</v>
      </c>
      <c r="I34" s="1349"/>
      <c r="J34" s="1349"/>
      <c r="K34" s="1349"/>
      <c r="L34" s="1349"/>
      <c r="M34" s="1351"/>
      <c r="N34" s="1349"/>
      <c r="O34" s="1349"/>
      <c r="P34" s="1349"/>
      <c r="Q34" s="1349"/>
      <c r="R34" s="1349"/>
      <c r="S34" s="1349"/>
      <c r="T34" s="1349"/>
      <c r="U34" s="1349"/>
      <c r="V34" s="1349"/>
      <c r="W34" s="1349"/>
      <c r="X34" s="1349"/>
      <c r="Y34" s="1349"/>
      <c r="Z34" s="1346">
        <f>ROUND(SUM(B34:X34),0)</f>
        <v>-3626</v>
      </c>
    </row>
    <row r="35" spans="1:28" ht="15" customHeight="1">
      <c r="A35" s="837" t="s">
        <v>1257</v>
      </c>
      <c r="B35" s="1349">
        <v>10833868</v>
      </c>
      <c r="C35" s="1350"/>
      <c r="D35" s="1349">
        <v>25249723</v>
      </c>
      <c r="E35" s="1349"/>
      <c r="F35" s="1349">
        <v>3102575</v>
      </c>
      <c r="G35" s="1349"/>
      <c r="H35" s="1349">
        <v>9791754</v>
      </c>
      <c r="I35" s="1349"/>
      <c r="J35" s="1349"/>
      <c r="K35" s="1349"/>
      <c r="L35" s="1349"/>
      <c r="M35" s="1351"/>
      <c r="N35" s="1349"/>
      <c r="O35" s="1349"/>
      <c r="P35" s="1349"/>
      <c r="Q35" s="1349"/>
      <c r="R35" s="1349"/>
      <c r="S35" s="1349"/>
      <c r="T35" s="1349"/>
      <c r="U35" s="1349"/>
      <c r="V35" s="1349"/>
      <c r="W35" s="1349"/>
      <c r="X35" s="1349"/>
      <c r="Y35" s="1349"/>
      <c r="Z35" s="1346">
        <f t="shared" si="0"/>
        <v>48977920</v>
      </c>
    </row>
    <row r="36" spans="1:28" ht="22.5" customHeight="1">
      <c r="A36" s="516" t="s">
        <v>157</v>
      </c>
      <c r="B36" s="1627">
        <f>ROUND(SUM(B19:B35),0)</f>
        <v>37703745</v>
      </c>
      <c r="C36" s="1350"/>
      <c r="D36" s="1627">
        <f>ROUND(SUM(D19:D35),0)</f>
        <v>160611670</v>
      </c>
      <c r="E36" s="1349"/>
      <c r="F36" s="1627">
        <f>ROUND(SUM(F19:F35),0)</f>
        <v>141349116</v>
      </c>
      <c r="G36" s="1349"/>
      <c r="H36" s="1627">
        <f>ROUND(SUM(H19:H35),0)</f>
        <v>77339577</v>
      </c>
      <c r="I36" s="1349"/>
      <c r="J36" s="1627">
        <f>ROUND(SUM(J19:J35),0)</f>
        <v>0</v>
      </c>
      <c r="K36" s="1349"/>
      <c r="L36" s="1627">
        <f>ROUND(SUM(L19:L35),0)</f>
        <v>0</v>
      </c>
      <c r="M36" s="1351"/>
      <c r="N36" s="1627">
        <f>ROUND(SUM(N19:N35),0)</f>
        <v>0</v>
      </c>
      <c r="O36" s="1349"/>
      <c r="P36" s="1627">
        <f>ROUND(SUM(P19:P35),0)</f>
        <v>0</v>
      </c>
      <c r="Q36" s="1349"/>
      <c r="R36" s="1627">
        <f>ROUND(SUM(R19:R35),0)</f>
        <v>0</v>
      </c>
      <c r="S36" s="1349"/>
      <c r="T36" s="1627">
        <f>ROUND(SUM(T19:T35),0)</f>
        <v>0</v>
      </c>
      <c r="U36" s="1349"/>
      <c r="V36" s="1627">
        <f>ROUND(SUM(V19:V35),0)</f>
        <v>0</v>
      </c>
      <c r="W36" s="1349"/>
      <c r="X36" s="1627">
        <f>ROUND(SUM(X19:X35),0)</f>
        <v>0</v>
      </c>
      <c r="Y36" s="1349"/>
      <c r="Z36" s="1627">
        <f>ROUND(SUM(Z19:Z35),0)</f>
        <v>417004108</v>
      </c>
    </row>
    <row r="37" spans="1:28" ht="15" customHeight="1">
      <c r="A37" s="516"/>
      <c r="B37" s="1349"/>
      <c r="C37" s="1350"/>
      <c r="D37" s="1349"/>
      <c r="E37" s="1349"/>
      <c r="F37" s="1355"/>
      <c r="G37" s="1349"/>
      <c r="H37" s="1355"/>
      <c r="I37" s="1349"/>
      <c r="J37" s="1349"/>
      <c r="K37" s="1349"/>
      <c r="L37" s="1354"/>
      <c r="M37" s="1351"/>
      <c r="N37" s="1354"/>
      <c r="O37" s="1349"/>
      <c r="P37" s="1353"/>
      <c r="Q37" s="1349"/>
      <c r="R37" s="1355"/>
      <c r="S37" s="1349"/>
      <c r="T37" s="1355"/>
      <c r="U37" s="1349"/>
      <c r="V37" s="1350"/>
      <c r="W37" s="1349"/>
      <c r="X37" s="1355"/>
      <c r="Y37" s="1349"/>
      <c r="Z37" s="1346"/>
    </row>
    <row r="38" spans="1:28" ht="15" customHeight="1">
      <c r="A38" s="517" t="s">
        <v>490</v>
      </c>
      <c r="B38" s="1355"/>
      <c r="C38" s="1356"/>
      <c r="D38" s="1355"/>
      <c r="E38" s="1349"/>
      <c r="F38" s="1354"/>
      <c r="G38" s="1349"/>
      <c r="H38" s="1355"/>
      <c r="I38" s="1349"/>
      <c r="J38" s="1355"/>
      <c r="K38" s="1349"/>
      <c r="L38" s="1355"/>
      <c r="M38" s="1351"/>
      <c r="N38" s="1355"/>
      <c r="O38" s="1349"/>
      <c r="P38" s="1353"/>
      <c r="Q38" s="1349"/>
      <c r="R38" s="1355"/>
      <c r="S38" s="1349"/>
      <c r="T38" s="1355"/>
      <c r="U38" s="1349"/>
      <c r="V38" s="1354"/>
      <c r="W38" s="1349"/>
      <c r="X38" s="1354"/>
      <c r="Y38" s="1349"/>
      <c r="Z38" s="1346"/>
    </row>
    <row r="39" spans="1:28" ht="15" customHeight="1">
      <c r="A39" s="837" t="s">
        <v>492</v>
      </c>
      <c r="B39" s="1349">
        <v>0</v>
      </c>
      <c r="C39" s="1356"/>
      <c r="D39" s="1349">
        <v>0</v>
      </c>
      <c r="E39" s="1349"/>
      <c r="F39" s="1349">
        <v>0</v>
      </c>
      <c r="G39" s="1349"/>
      <c r="H39" s="1349">
        <v>0</v>
      </c>
      <c r="I39" s="1349"/>
      <c r="J39" s="1349"/>
      <c r="K39" s="1349"/>
      <c r="L39" s="1349"/>
      <c r="M39" s="1351"/>
      <c r="N39" s="1349"/>
      <c r="O39" s="1349"/>
      <c r="P39" s="1349"/>
      <c r="Q39" s="1349"/>
      <c r="R39" s="1349"/>
      <c r="S39" s="1349"/>
      <c r="T39" s="1349"/>
      <c r="U39" s="1349"/>
      <c r="V39" s="1349"/>
      <c r="W39" s="1349"/>
      <c r="X39" s="1349"/>
      <c r="Y39" s="1349"/>
      <c r="Z39" s="1346">
        <v>0</v>
      </c>
    </row>
    <row r="40" spans="1:28" ht="22.5" customHeight="1">
      <c r="A40" s="511" t="s">
        <v>497</v>
      </c>
      <c r="B40" s="1626">
        <f>ROUND(SUM(B39:B39),0)</f>
        <v>0</v>
      </c>
      <c r="C40" s="1347"/>
      <c r="D40" s="1626">
        <f>ROUND(SUM(D39:D39),0)</f>
        <v>0</v>
      </c>
      <c r="E40" s="1344"/>
      <c r="F40" s="1626">
        <f>ROUND(SUM(F39:F39),0)</f>
        <v>0</v>
      </c>
      <c r="G40" s="1344"/>
      <c r="H40" s="1626">
        <f>ROUND(SUM(H39:H39),0)</f>
        <v>0</v>
      </c>
      <c r="I40" s="1344"/>
      <c r="J40" s="1626">
        <f>ROUND(SUM(J39:J39),0)</f>
        <v>0</v>
      </c>
      <c r="K40" s="1344"/>
      <c r="L40" s="1626">
        <f>ROUND(SUM(L39:L39),0)</f>
        <v>0</v>
      </c>
      <c r="M40" s="1341"/>
      <c r="N40" s="1626">
        <f>ROUND(SUM(N39:N39),0)</f>
        <v>0</v>
      </c>
      <c r="O40" s="1344"/>
      <c r="P40" s="1626">
        <f>ROUND(SUM(P39:P39),0)</f>
        <v>0</v>
      </c>
      <c r="Q40" s="1344"/>
      <c r="R40" s="1626">
        <f>ROUND(SUM(R39:R39),0)</f>
        <v>0</v>
      </c>
      <c r="S40" s="1344"/>
      <c r="T40" s="1626">
        <f>ROUND(SUM(T39:T39),0)</f>
        <v>0</v>
      </c>
      <c r="U40" s="1344"/>
      <c r="V40" s="1626">
        <f>ROUND(SUM(V39:V39),0)</f>
        <v>0</v>
      </c>
      <c r="W40" s="1344"/>
      <c r="X40" s="1626">
        <f>ROUND(SUM(X39:X39),0)</f>
        <v>0</v>
      </c>
      <c r="Y40" s="1344"/>
      <c r="Z40" s="1626">
        <f>ROUND(SUM(Z39:Z39),0)</f>
        <v>0</v>
      </c>
    </row>
    <row r="41" spans="1:28" ht="15" customHeight="1">
      <c r="B41" s="1624"/>
      <c r="C41" s="1347"/>
      <c r="D41" s="1624"/>
      <c r="E41" s="1344"/>
      <c r="F41" s="1623"/>
      <c r="G41" s="1344"/>
      <c r="H41" s="1624"/>
      <c r="I41" s="1344"/>
      <c r="J41" s="1624"/>
      <c r="K41" s="1344"/>
      <c r="L41" s="1624"/>
      <c r="M41" s="1341"/>
      <c r="N41" s="1624"/>
      <c r="O41" s="1344"/>
      <c r="P41" s="1625"/>
      <c r="Q41" s="1344"/>
      <c r="R41" s="1624"/>
      <c r="S41" s="1344"/>
      <c r="T41" s="1624"/>
      <c r="U41" s="1344"/>
      <c r="V41" s="1623"/>
      <c r="W41" s="1344"/>
      <c r="X41" s="1357"/>
      <c r="Y41" s="1344"/>
      <c r="Z41" s="1622"/>
    </row>
    <row r="42" spans="1:28" s="510" customFormat="1" ht="20.25" customHeight="1">
      <c r="A42" s="511" t="s">
        <v>498</v>
      </c>
      <c r="B42" s="1358">
        <f>ROUND(B36+B40,0)</f>
        <v>37703745</v>
      </c>
      <c r="C42" s="512"/>
      <c r="D42" s="1358">
        <f>ROUND(D36+D40,0)</f>
        <v>160611670</v>
      </c>
      <c r="E42" s="513"/>
      <c r="F42" s="1358">
        <f>ROUND(F36+F40,0)</f>
        <v>141349116</v>
      </c>
      <c r="G42" s="513"/>
      <c r="H42" s="1358">
        <f>ROUND(H36+H40,0)</f>
        <v>77339577</v>
      </c>
      <c r="I42" s="513"/>
      <c r="J42" s="1358">
        <f>ROUND(J36+J40,0)</f>
        <v>0</v>
      </c>
      <c r="K42" s="512"/>
      <c r="L42" s="1358">
        <f>ROUND(L36+L40,0)</f>
        <v>0</v>
      </c>
      <c r="M42" s="509"/>
      <c r="N42" s="1358">
        <f>ROUND(N36+N40,0)</f>
        <v>0</v>
      </c>
      <c r="O42" s="513"/>
      <c r="P42" s="1358">
        <f>ROUND(P36+P40,0)</f>
        <v>0</v>
      </c>
      <c r="Q42" s="513"/>
      <c r="R42" s="1358">
        <f>ROUND(R36+R40,0)</f>
        <v>0</v>
      </c>
      <c r="S42" s="513"/>
      <c r="T42" s="1358">
        <f>ROUND(T36+T40,0)</f>
        <v>0</v>
      </c>
      <c r="U42" s="513"/>
      <c r="V42" s="1358">
        <f>ROUND(V36+V40,0)</f>
        <v>0</v>
      </c>
      <c r="W42" s="513"/>
      <c r="X42" s="1358">
        <f>ROUND(X36+X40,0)</f>
        <v>0</v>
      </c>
      <c r="Y42" s="513"/>
      <c r="Z42" s="1358">
        <f>ROUND(Z36+Z40,0)</f>
        <v>417004108</v>
      </c>
      <c r="AB42" s="415"/>
    </row>
    <row r="43" spans="1:28" ht="15" customHeight="1">
      <c r="A43" s="1340"/>
      <c r="B43" s="1342"/>
      <c r="C43" s="1342"/>
      <c r="D43" s="1342"/>
      <c r="E43" s="1341"/>
      <c r="F43" s="1342"/>
      <c r="G43" s="1341"/>
      <c r="H43" s="1342"/>
      <c r="I43" s="1341"/>
      <c r="J43" s="1621"/>
      <c r="K43" s="1342"/>
      <c r="L43" s="1621"/>
      <c r="M43" s="1341"/>
      <c r="N43" s="1621"/>
      <c r="O43" s="1341"/>
      <c r="P43" s="1621"/>
      <c r="Q43" s="1341"/>
      <c r="R43" s="1621"/>
      <c r="S43" s="1341"/>
      <c r="T43" s="1621"/>
      <c r="U43" s="1341"/>
      <c r="V43" s="1621"/>
      <c r="W43" s="1341"/>
      <c r="X43" s="1621"/>
      <c r="Y43" s="1341"/>
      <c r="Z43" s="1359"/>
    </row>
    <row r="44" spans="1:28" s="510" customFormat="1" ht="20.25" customHeight="1" thickBot="1">
      <c r="A44" s="517" t="s">
        <v>499</v>
      </c>
      <c r="B44" s="1620">
        <f>ROUND(B12+B16-B42,0)</f>
        <v>228595088</v>
      </c>
      <c r="C44" s="507"/>
      <c r="D44" s="1620">
        <f>ROUND(D12+D16-D42,0)</f>
        <v>67983418</v>
      </c>
      <c r="E44" s="1339"/>
      <c r="F44" s="1620">
        <f>ROUND(F12+F16-F42,0)</f>
        <v>126634302</v>
      </c>
      <c r="G44" s="1339"/>
      <c r="H44" s="1620">
        <f>ROUND(H12+H16-H42,0)</f>
        <v>99294725</v>
      </c>
      <c r="I44" s="1339"/>
      <c r="J44" s="1620">
        <f>ROUND(J12+J16-J42,0)</f>
        <v>0</v>
      </c>
      <c r="K44" s="507"/>
      <c r="L44" s="1620">
        <f>ROUND(L12+L16-L42,0)</f>
        <v>0</v>
      </c>
      <c r="M44" s="518"/>
      <c r="N44" s="1620">
        <f>ROUND(N12+N16-N42,0)</f>
        <v>0</v>
      </c>
      <c r="O44" s="519"/>
      <c r="P44" s="1620">
        <f>ROUND(P12+P16-P42,0)</f>
        <v>0</v>
      </c>
      <c r="Q44" s="519"/>
      <c r="R44" s="1620">
        <f>ROUND(R12+R16-R42,0)</f>
        <v>0</v>
      </c>
      <c r="S44" s="519"/>
      <c r="T44" s="1620">
        <f>ROUND(T12+T16-T42,0)</f>
        <v>0</v>
      </c>
      <c r="U44" s="519"/>
      <c r="V44" s="1620">
        <f>ROUND(V12+V16-V42,0)</f>
        <v>0</v>
      </c>
      <c r="W44" s="519"/>
      <c r="X44" s="1620">
        <f>ROUND(X12+X16-X42,0)</f>
        <v>0</v>
      </c>
      <c r="Y44" s="519"/>
      <c r="Z44" s="1620">
        <f>ROUND(Z12+Z16-Z42,0)</f>
        <v>99294725</v>
      </c>
    </row>
    <row r="45" spans="1:28" ht="15" customHeight="1" thickTop="1">
      <c r="A45" s="1340"/>
      <c r="B45" s="1337"/>
      <c r="C45" s="1337"/>
      <c r="D45" s="1337"/>
      <c r="E45" s="1360"/>
      <c r="F45" s="1337"/>
      <c r="G45" s="1360"/>
      <c r="H45" s="1337"/>
      <c r="I45" s="1360"/>
      <c r="J45" s="1337"/>
      <c r="K45" s="1337"/>
      <c r="L45" s="1337"/>
      <c r="M45" s="1360"/>
      <c r="N45" s="1337"/>
      <c r="O45" s="1360"/>
      <c r="P45" s="1337"/>
      <c r="Q45" s="1360"/>
      <c r="R45" s="1337"/>
      <c r="S45" s="1360"/>
      <c r="T45" s="1337"/>
      <c r="U45" s="1360"/>
      <c r="V45" s="1337"/>
      <c r="W45" s="1360"/>
      <c r="X45" s="1337"/>
      <c r="Y45" s="1360"/>
      <c r="Z45" s="1359"/>
    </row>
    <row r="46" spans="1:28" ht="20.100000000000001" customHeight="1">
      <c r="A46" s="520"/>
      <c r="B46" s="1361"/>
      <c r="C46" s="1361"/>
      <c r="D46" s="1361"/>
      <c r="E46" s="1338"/>
      <c r="F46" s="1361"/>
      <c r="G46" s="1338"/>
      <c r="H46" s="1361"/>
      <c r="I46" s="1338"/>
      <c r="J46" s="1361"/>
      <c r="K46" s="1361"/>
      <c r="L46" s="1361"/>
      <c r="M46" s="1338"/>
      <c r="N46" s="1361"/>
      <c r="O46" s="1338"/>
      <c r="P46" s="1361"/>
      <c r="Q46" s="1338"/>
      <c r="R46" s="1361"/>
      <c r="S46" s="1338"/>
      <c r="T46" s="1361"/>
      <c r="U46" s="1338"/>
      <c r="V46" s="1361"/>
      <c r="W46" s="1338"/>
      <c r="X46" s="1361"/>
      <c r="Y46" s="1338"/>
      <c r="Z46" s="1343"/>
    </row>
    <row r="48" spans="1:28" ht="18" customHeight="1">
      <c r="A48" s="1619" t="s">
        <v>1422</v>
      </c>
      <c r="B48" s="1333"/>
      <c r="C48" s="1333"/>
      <c r="D48" s="1333"/>
      <c r="E48" s="488"/>
      <c r="F48" s="1333"/>
      <c r="G48" s="488"/>
      <c r="H48" s="1333"/>
      <c r="I48" s="488"/>
      <c r="J48" s="1333"/>
      <c r="K48" s="1333"/>
      <c r="L48" s="1333"/>
      <c r="M48" s="1338"/>
      <c r="N48" s="1333"/>
      <c r="O48" s="488"/>
      <c r="P48" s="1333"/>
      <c r="Q48" s="488"/>
      <c r="R48" s="1333"/>
      <c r="S48" s="488"/>
      <c r="T48" s="1333"/>
      <c r="U48" s="488"/>
      <c r="V48" s="1333"/>
      <c r="W48" s="488"/>
      <c r="X48" s="1333"/>
      <c r="Y48" s="488"/>
      <c r="Z48" s="1334"/>
    </row>
    <row r="49" spans="1:26" ht="20.100000000000001" customHeight="1">
      <c r="A49" s="1618" t="s">
        <v>1338</v>
      </c>
      <c r="B49" s="1361"/>
      <c r="C49" s="1361"/>
      <c r="D49" s="1361"/>
      <c r="E49" s="1338"/>
      <c r="F49" s="1361"/>
      <c r="G49" s="1338"/>
      <c r="H49" s="1361"/>
      <c r="I49" s="1338"/>
      <c r="J49" s="1361"/>
      <c r="K49" s="1361"/>
      <c r="L49" s="1361"/>
      <c r="M49" s="1338"/>
      <c r="N49" s="1361"/>
      <c r="O49" s="1338"/>
      <c r="P49" s="1361"/>
      <c r="Q49" s="1338"/>
      <c r="R49" s="1361"/>
      <c r="S49" s="1338"/>
      <c r="T49" s="1361"/>
      <c r="U49" s="1338"/>
      <c r="V49" s="1361"/>
      <c r="W49" s="1338"/>
      <c r="X49" s="1361"/>
      <c r="Y49" s="1338"/>
      <c r="Z49" s="1343"/>
    </row>
    <row r="50" spans="1:26" ht="20.100000000000001" customHeight="1">
      <c r="A50" s="1618"/>
      <c r="B50" s="1361"/>
      <c r="C50" s="1361"/>
      <c r="D50" s="1361"/>
      <c r="E50" s="1338"/>
      <c r="F50" s="1361"/>
      <c r="G50" s="1338"/>
      <c r="H50" s="1361"/>
      <c r="I50" s="1338"/>
      <c r="J50" s="1361"/>
      <c r="K50" s="1361"/>
      <c r="L50" s="1361"/>
      <c r="M50" s="1338"/>
      <c r="N50" s="1361"/>
      <c r="O50" s="1338"/>
      <c r="P50" s="1361"/>
      <c r="Q50" s="1338"/>
      <c r="R50" s="1361"/>
      <c r="S50" s="1338"/>
      <c r="T50" s="1361"/>
      <c r="U50" s="1338"/>
      <c r="V50" s="1361"/>
      <c r="W50" s="1338"/>
      <c r="X50" s="1361"/>
      <c r="Y50" s="1338"/>
      <c r="Z50" s="1343"/>
    </row>
    <row r="51" spans="1:26" ht="20.100000000000001" customHeight="1">
      <c r="A51" s="1644"/>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2019-08-15T12:43:57Z</dcterms:created>
  <dcterms:modified xsi:type="dcterms:W3CDTF">2019-08-15T12:46:47Z</dcterms:modified>
</cp:coreProperties>
</file>