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600" windowHeight="9735"/>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Exh_G_var" localSheetId="18">'Exhibit G'!$A$2:$AM$123</definedName>
    <definedName name="Exh_G_var" localSheetId="20">'Exhibit G Federal'!$A$2:$AK$93</definedName>
    <definedName name="Exh_G_var" localSheetId="19">'Exhibit G state'!$A$2:$AK$124</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Share'!$B$5:$P$50</definedName>
    <definedName name="Page_1" localSheetId="3">Footnotes!$A$3:$S$76</definedName>
    <definedName name="Page_2" localSheetId="3">Footnotes!$A$78:$S$89</definedName>
    <definedName name="page1" localSheetId="32">'Sch 4'!$A$3:$J$19</definedName>
    <definedName name="page1" localSheetId="0">'Table of Contents'!$A$1:$J$100</definedName>
    <definedName name="_xlnm.Print_Area" localSheetId="22">' Exhbit I '!$B$15:$AN$105</definedName>
    <definedName name="_xlnm.Print_Area" localSheetId="23">' Exhibit I State'!$B$15:$AL$105</definedName>
    <definedName name="_xlnm.Print_Area" localSheetId="40">'Appendix E'!$A$2:$AA$50</definedName>
    <definedName name="_xlnm.Print_Area" localSheetId="41">'Appendix F'!$A$2:$P$282</definedName>
    <definedName name="_xlnm.Print_Area" localSheetId="42">'Appendix G'!$A$3:$Z$56</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F'!$B$14:$AK$143</definedName>
    <definedName name="_xlnm.Print_Area" localSheetId="18">'Exhibit G'!$B$14:$AM$125</definedName>
    <definedName name="_xlnm.Print_Area" localSheetId="20">'Exhibit G Federal'!$B$14:$AK$95</definedName>
    <definedName name="_xlnm.Print_Area" localSheetId="19">'Exhibit G state'!$B$14:$AK$126</definedName>
    <definedName name="_xlnm.Print_Area" localSheetId="21">'Exhibit H'!$A$12:$AI$74</definedName>
    <definedName name="_xlnm.Print_Area" localSheetId="24">'Exhibit I Federal'!$B$15:$AL$85</definedName>
    <definedName name="_xlnm.Print_Area" localSheetId="25">'Exhibit J'!$A$3:$AI$58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Footnotes!$A$2:$P$93</definedName>
    <definedName name="_xlnm.Print_Area" localSheetId="36">'HCRA '!$A$3:$Z$62</definedName>
    <definedName name="_xlnm.Print_Area" localSheetId="37">'HCRA PROG DISB'!$A$3:$N$102</definedName>
    <definedName name="_xlnm.Print_Area" localSheetId="39">'Medicaid Disp Share'!$B$2:$N$53</definedName>
    <definedName name="_xlnm.Print_Area" localSheetId="38">'Public Goods '!$A$3:$L$54</definedName>
    <definedName name="_xlnm.Print_Area" localSheetId="29">'Sch 1 '!$A$3:$L$155</definedName>
    <definedName name="_xlnm.Print_Area" localSheetId="30">'Sch 2 '!$A$3:$K$44</definedName>
    <definedName name="_xlnm.Print_Area" localSheetId="31">'Sch 3 '!$A$2:$M$48</definedName>
    <definedName name="_xlnm.Print_Area" localSheetId="32">'Sch 4'!$A$3:$J$35</definedName>
    <definedName name="_xlnm.Print_Area" localSheetId="33">'Sch 5 '!$A$3:$S$65</definedName>
    <definedName name="_xlnm.Print_Area" localSheetId="34">'Sch 5a '!$B$3:$W$61</definedName>
    <definedName name="_xlnm.Print_Area" localSheetId="35">'Sch 6'!$A$3:$J$37</definedName>
    <definedName name="_xlnm.Print_Area" localSheetId="0">'Table of Contents'!$A$1:$J$64</definedName>
    <definedName name="_xlnm.Print_Titles" localSheetId="22">' Exhbit I '!$3:$13</definedName>
    <definedName name="_xlnm.Print_Titles" localSheetId="23">' Exhibit I State'!$3:$14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'!$3:$10</definedName>
    <definedName name="_xlnm.Print_Titles" localSheetId="0">'Table of Contents'!$1:$12</definedName>
    <definedName name="Sch3_2" localSheetId="31">'Sch 3 '!$A$3:$M$48</definedName>
    <definedName name="STATE_OF_NEW_YORK" localSheetId="14">'EXHIBIT E '!$A$3:$AK$59</definedName>
    <definedName name="variance" localSheetId="42">'Appendix G'!$A$3:$X$41</definedName>
    <definedName name="variance" localSheetId="36">'HCRA '!$A$3:$X$47</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AK117" i="18" l="1"/>
  <c r="T12" i="37" l="1"/>
  <c r="H43" i="40" l="1"/>
  <c r="H44" i="40" s="1"/>
  <c r="H37" i="40"/>
  <c r="H23" i="40"/>
  <c r="H17" i="40"/>
  <c r="H25" i="40" s="1"/>
  <c r="H47" i="40" l="1"/>
  <c r="E25" i="31"/>
  <c r="M94" i="38" l="1"/>
  <c r="M93" i="38"/>
  <c r="K91" i="38"/>
  <c r="K95" i="38" s="1"/>
  <c r="I91" i="38"/>
  <c r="I95" i="38" s="1"/>
  <c r="G91" i="38"/>
  <c r="G95" i="38" s="1"/>
  <c r="E91" i="38"/>
  <c r="E95" i="38" s="1"/>
  <c r="C91" i="38"/>
  <c r="C95" i="38" s="1"/>
  <c r="M90" i="38"/>
  <c r="M88" i="38"/>
  <c r="M87" i="38"/>
  <c r="M86" i="38"/>
  <c r="M85" i="38"/>
  <c r="M83" i="38"/>
  <c r="M81" i="38"/>
  <c r="M79" i="38"/>
  <c r="M78" i="38"/>
  <c r="M77" i="38"/>
  <c r="M76" i="38"/>
  <c r="M75" i="38"/>
  <c r="M74" i="38"/>
  <c r="M73" i="38"/>
  <c r="M72" i="38"/>
  <c r="M71" i="38"/>
  <c r="M70" i="38"/>
  <c r="M69" i="38"/>
  <c r="M68" i="38"/>
  <c r="M67" i="38"/>
  <c r="M66"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4" i="38"/>
  <c r="M32" i="38"/>
  <c r="M30" i="38"/>
  <c r="M28" i="38"/>
  <c r="M27" i="38"/>
  <c r="M26" i="38"/>
  <c r="M25" i="38"/>
  <c r="M24" i="38"/>
  <c r="M23" i="38"/>
  <c r="M22" i="38"/>
  <c r="M21" i="38"/>
  <c r="M20" i="38"/>
  <c r="M19" i="38"/>
  <c r="M18" i="38"/>
  <c r="M17" i="38"/>
  <c r="M16" i="38"/>
  <c r="M15" i="38"/>
  <c r="M14" i="38"/>
  <c r="M13" i="38"/>
  <c r="M12" i="38"/>
  <c r="M10" i="38"/>
  <c r="M91" i="38" l="1"/>
  <c r="M95" i="38" s="1"/>
  <c r="B44" i="5" l="1"/>
  <c r="B36" i="5"/>
  <c r="B35" i="5"/>
  <c r="B28" i="5"/>
  <c r="B27" i="5"/>
  <c r="B26" i="5"/>
  <c r="B25" i="5"/>
  <c r="B20" i="5"/>
  <c r="B19" i="5"/>
  <c r="B18" i="5"/>
  <c r="L57" i="2" l="1"/>
  <c r="L50" i="2"/>
  <c r="L49" i="2"/>
  <c r="L40" i="2"/>
  <c r="L37" i="2"/>
  <c r="L19" i="2"/>
  <c r="L14" i="2"/>
  <c r="D57" i="2" l="1"/>
  <c r="D50" i="2"/>
  <c r="D49" i="2"/>
  <c r="D38" i="2"/>
  <c r="D37" i="2"/>
  <c r="D36" i="2"/>
  <c r="D33" i="2"/>
  <c r="D32" i="2"/>
  <c r="D31" i="2"/>
  <c r="D30" i="2"/>
  <c r="D29" i="2"/>
  <c r="D28" i="2"/>
  <c r="D26" i="2"/>
  <c r="D25" i="2"/>
  <c r="D24" i="2"/>
  <c r="D19" i="2"/>
  <c r="K35" i="30" l="1"/>
  <c r="U135" i="17" l="1"/>
  <c r="U134" i="17"/>
  <c r="U126" i="17"/>
  <c r="U125" i="17"/>
  <c r="U123" i="17"/>
  <c r="U122" i="17"/>
  <c r="U121" i="17"/>
  <c r="U118" i="17"/>
  <c r="U117" i="17"/>
  <c r="U116" i="17"/>
  <c r="U115" i="17"/>
  <c r="U114" i="17"/>
  <c r="U113" i="17"/>
  <c r="U111" i="17"/>
  <c r="U110" i="17"/>
  <c r="U109" i="17"/>
  <c r="U103" i="17"/>
  <c r="U100" i="17"/>
  <c r="U99" i="17"/>
  <c r="U98" i="17"/>
  <c r="U97" i="17"/>
  <c r="U96" i="17"/>
  <c r="U95" i="17"/>
  <c r="U94" i="17"/>
  <c r="U93" i="17"/>
  <c r="U92" i="17"/>
  <c r="U91" i="17"/>
  <c r="U90" i="17"/>
  <c r="U88" i="17"/>
  <c r="U87" i="17"/>
  <c r="U86" i="17"/>
  <c r="U85" i="17"/>
  <c r="U84" i="17"/>
  <c r="U83" i="17"/>
  <c r="U81" i="17"/>
  <c r="U80" i="17"/>
  <c r="U79" i="17"/>
  <c r="U78" i="17"/>
  <c r="U76" i="17"/>
  <c r="U75" i="17"/>
  <c r="U74" i="17"/>
  <c r="U73" i="17"/>
  <c r="U72" i="17"/>
  <c r="U71" i="17"/>
  <c r="U70" i="17"/>
  <c r="U69" i="17"/>
  <c r="U67" i="17"/>
  <c r="U66" i="17"/>
  <c r="U65" i="17"/>
  <c r="U64" i="17"/>
  <c r="U62" i="17"/>
  <c r="U61" i="17"/>
  <c r="U54" i="17"/>
  <c r="U53" i="17"/>
  <c r="U52" i="17"/>
  <c r="U51" i="17"/>
  <c r="U50" i="17"/>
  <c r="U49" i="17"/>
  <c r="U46" i="17"/>
  <c r="U45" i="17"/>
  <c r="U44" i="17"/>
  <c r="U43" i="17"/>
  <c r="U42" i="17"/>
  <c r="U39" i="17"/>
  <c r="U38" i="17"/>
  <c r="U37" i="17"/>
  <c r="U36" i="17"/>
  <c r="U35" i="17"/>
  <c r="U34" i="17"/>
  <c r="U33" i="17"/>
  <c r="U32" i="17"/>
  <c r="U29" i="17"/>
  <c r="U28" i="17"/>
  <c r="U27" i="17"/>
  <c r="U25" i="17"/>
  <c r="U24" i="17"/>
  <c r="U23" i="17"/>
  <c r="U22" i="17"/>
  <c r="U21" i="17"/>
  <c r="U126" i="16"/>
  <c r="U125" i="16"/>
  <c r="U123" i="16"/>
  <c r="U122" i="16"/>
  <c r="U121" i="16"/>
  <c r="U118" i="16"/>
  <c r="U117" i="16"/>
  <c r="U116" i="16"/>
  <c r="U115" i="16"/>
  <c r="U114" i="16"/>
  <c r="U113" i="16"/>
  <c r="U111" i="16"/>
  <c r="U110" i="16"/>
  <c r="U109" i="16"/>
  <c r="U100" i="16"/>
  <c r="U99" i="16"/>
  <c r="U97" i="16"/>
  <c r="U96" i="16"/>
  <c r="U93" i="16"/>
  <c r="U92" i="16"/>
  <c r="U91" i="16"/>
  <c r="U90" i="16"/>
  <c r="U88" i="16"/>
  <c r="U85" i="16"/>
  <c r="U84" i="16"/>
  <c r="U83" i="16"/>
  <c r="U80" i="16"/>
  <c r="U78" i="16"/>
  <c r="U75" i="16"/>
  <c r="U74" i="16"/>
  <c r="U73" i="16"/>
  <c r="U72" i="16"/>
  <c r="U70" i="16"/>
  <c r="U69" i="16"/>
  <c r="U67" i="16"/>
  <c r="U66" i="16"/>
  <c r="U65" i="16"/>
  <c r="U64" i="16"/>
  <c r="U62" i="16"/>
  <c r="U61" i="16"/>
  <c r="U53" i="16"/>
  <c r="U52" i="16"/>
  <c r="U51" i="16"/>
  <c r="U50" i="16"/>
  <c r="U49" i="16"/>
  <c r="U37" i="16"/>
  <c r="U35" i="16"/>
  <c r="U29" i="16"/>
  <c r="U28" i="16"/>
  <c r="U27" i="16"/>
  <c r="U25" i="16"/>
  <c r="U24" i="16"/>
  <c r="U23" i="16"/>
  <c r="U22" i="16"/>
  <c r="U21" i="16"/>
  <c r="K86" i="30" l="1"/>
  <c r="H50" i="2"/>
  <c r="H57" i="2"/>
  <c r="H41" i="2"/>
  <c r="H38" i="2"/>
  <c r="H37" i="2"/>
  <c r="H36" i="2"/>
  <c r="H33" i="2"/>
  <c r="H32" i="2"/>
  <c r="H31" i="2"/>
  <c r="H30" i="2"/>
  <c r="H29" i="2"/>
  <c r="H28" i="2"/>
  <c r="H26" i="2"/>
  <c r="H25" i="2"/>
  <c r="H24" i="2"/>
  <c r="H14" i="2"/>
  <c r="H59" i="3"/>
  <c r="H52" i="3"/>
  <c r="H51" i="3"/>
  <c r="H44" i="3"/>
  <c r="H41" i="3"/>
  <c r="H40" i="3"/>
  <c r="H39" i="3"/>
  <c r="H36" i="3"/>
  <c r="H35" i="3"/>
  <c r="H34" i="3"/>
  <c r="H33" i="3"/>
  <c r="H32" i="3"/>
  <c r="H31" i="3"/>
  <c r="H29" i="3"/>
  <c r="H28" i="3"/>
  <c r="H27" i="3"/>
  <c r="H22" i="3"/>
  <c r="H17" i="3"/>
  <c r="V115" i="19"/>
  <c r="V114" i="19"/>
  <c r="H49" i="2" s="1"/>
  <c r="V106" i="19"/>
  <c r="V105" i="19"/>
  <c r="V104" i="19"/>
  <c r="V103" i="19"/>
  <c r="V100" i="19"/>
  <c r="V99" i="19"/>
  <c r="V98" i="19"/>
  <c r="V97" i="19"/>
  <c r="V96" i="19"/>
  <c r="V95" i="19"/>
  <c r="V93" i="19"/>
  <c r="V92" i="19"/>
  <c r="V101" i="19" s="1"/>
  <c r="V108" i="19" s="1"/>
  <c r="V91" i="19"/>
  <c r="V85" i="19"/>
  <c r="U103" i="16" s="1"/>
  <c r="V82" i="19"/>
  <c r="V81" i="19"/>
  <c r="V80" i="19"/>
  <c r="U98" i="16" s="1"/>
  <c r="V79" i="19"/>
  <c r="V78" i="19"/>
  <c r="V77" i="19"/>
  <c r="U95" i="16" s="1"/>
  <c r="V76" i="19"/>
  <c r="U94" i="16" s="1"/>
  <c r="V75" i="19"/>
  <c r="V74" i="19"/>
  <c r="V73" i="19"/>
  <c r="V72" i="19"/>
  <c r="V70" i="19"/>
  <c r="V69" i="19"/>
  <c r="U87" i="16" s="1"/>
  <c r="V68" i="19"/>
  <c r="U86" i="16" s="1"/>
  <c r="V67" i="19"/>
  <c r="V66" i="19"/>
  <c r="V65" i="19"/>
  <c r="V63" i="19"/>
  <c r="U81" i="16" s="1"/>
  <c r="V62" i="19"/>
  <c r="V61" i="19"/>
  <c r="U79" i="16" s="1"/>
  <c r="V60" i="19"/>
  <c r="V58" i="19"/>
  <c r="U76" i="16" s="1"/>
  <c r="V57" i="19"/>
  <c r="V56" i="19"/>
  <c r="V55" i="19"/>
  <c r="V54" i="19"/>
  <c r="V53" i="19"/>
  <c r="V52" i="19"/>
  <c r="V50" i="19"/>
  <c r="V49" i="19"/>
  <c r="V48" i="19"/>
  <c r="V47" i="19"/>
  <c r="V45" i="19"/>
  <c r="V38" i="19"/>
  <c r="V35" i="19"/>
  <c r="V34" i="19"/>
  <c r="U45" i="16" s="1"/>
  <c r="V33" i="19"/>
  <c r="U44" i="16" s="1"/>
  <c r="V32" i="19"/>
  <c r="V31" i="19"/>
  <c r="U42" i="16" s="1"/>
  <c r="V28" i="19"/>
  <c r="U39" i="16" s="1"/>
  <c r="V27" i="19"/>
  <c r="V26" i="19"/>
  <c r="V25" i="19"/>
  <c r="V24" i="19"/>
  <c r="V23" i="19"/>
  <c r="U34" i="16" s="1"/>
  <c r="V22" i="19"/>
  <c r="V21" i="19"/>
  <c r="V18" i="19"/>
  <c r="V14" i="19"/>
  <c r="V14" i="20"/>
  <c r="V14" i="21"/>
  <c r="V39" i="19" l="1"/>
  <c r="U54" i="16"/>
  <c r="H17" i="2"/>
  <c r="V117" i="19"/>
  <c r="V36" i="19"/>
  <c r="H16" i="2" s="1"/>
  <c r="V29" i="19"/>
  <c r="H15" i="2" s="1"/>
  <c r="U32" i="16"/>
  <c r="H19" i="2"/>
  <c r="V83" i="19"/>
  <c r="H18" i="2" s="1"/>
  <c r="T12" i="43"/>
  <c r="V41" i="19" l="1"/>
  <c r="V87" i="19" s="1"/>
  <c r="V111" i="19" s="1"/>
  <c r="V121" i="19" s="1"/>
  <c r="V123" i="19" s="1"/>
  <c r="X32" i="43"/>
  <c r="V32" i="43"/>
  <c r="T32" i="43"/>
  <c r="R32" i="43"/>
  <c r="P32" i="43"/>
  <c r="N32" i="43"/>
  <c r="L32" i="43"/>
  <c r="J32" i="43"/>
  <c r="H32" i="43"/>
  <c r="F32" i="43"/>
  <c r="D32" i="43"/>
  <c r="B32" i="43"/>
  <c r="Z19" i="43"/>
  <c r="F44" i="5" l="1"/>
  <c r="F36" i="5"/>
  <c r="F35" i="5"/>
  <c r="F27" i="5"/>
  <c r="F26" i="5"/>
  <c r="F25" i="5"/>
  <c r="F18" i="5"/>
  <c r="H14" i="32" l="1"/>
  <c r="F14" i="32"/>
  <c r="F41" i="6" l="1"/>
  <c r="F33" i="6"/>
  <c r="F32" i="6"/>
  <c r="F25" i="6"/>
  <c r="F24" i="6"/>
  <c r="F23" i="6"/>
  <c r="F18" i="6"/>
  <c r="B41" i="6"/>
  <c r="B33" i="6"/>
  <c r="B32" i="6"/>
  <c r="B25" i="6"/>
  <c r="B24" i="6"/>
  <c r="B23" i="6"/>
  <c r="B18" i="6"/>
  <c r="H21" i="32" l="1"/>
  <c r="F21" i="32"/>
  <c r="H20" i="32"/>
  <c r="F20" i="32"/>
  <c r="K246" i="42" l="1"/>
  <c r="K201" i="42"/>
  <c r="K196" i="42"/>
  <c r="K191" i="42"/>
  <c r="K178" i="42"/>
  <c r="K249" i="42" s="1"/>
  <c r="K98" i="42"/>
  <c r="K11" i="42"/>
  <c r="I246" i="42"/>
  <c r="G246" i="42"/>
  <c r="I201" i="42"/>
  <c r="G201" i="42"/>
  <c r="I196" i="42"/>
  <c r="G196" i="42"/>
  <c r="I191" i="42"/>
  <c r="G191" i="42"/>
  <c r="I178" i="42"/>
  <c r="G178" i="42"/>
  <c r="I98" i="42"/>
  <c r="I249" i="42" s="1"/>
  <c r="G98" i="42"/>
  <c r="G249" i="42" s="1"/>
  <c r="I11" i="42"/>
  <c r="G11" i="42"/>
  <c r="AF115" i="20" l="1"/>
  <c r="E28" i="9" l="1"/>
  <c r="C28" i="9" l="1"/>
  <c r="T13" i="29" l="1"/>
  <c r="T13" i="28"/>
  <c r="T14" i="27"/>
  <c r="T16" i="26"/>
  <c r="T12" i="22"/>
  <c r="U16" i="17" l="1"/>
  <c r="P31" i="2" l="1"/>
  <c r="W94" i="23"/>
  <c r="P50" i="2" s="1"/>
  <c r="W93" i="23"/>
  <c r="P49" i="2" s="1"/>
  <c r="W92" i="23"/>
  <c r="P48" i="2" s="1"/>
  <c r="W84" i="23"/>
  <c r="P41" i="2" s="1"/>
  <c r="W83" i="23"/>
  <c r="P38" i="2" s="1"/>
  <c r="W82" i="23"/>
  <c r="P37" i="2" s="1"/>
  <c r="W81" i="23"/>
  <c r="P36" i="2" s="1"/>
  <c r="W78" i="23"/>
  <c r="P33" i="2" s="1"/>
  <c r="W77" i="23"/>
  <c r="P32" i="2" s="1"/>
  <c r="W76" i="23"/>
  <c r="W75" i="23"/>
  <c r="P30" i="2" s="1"/>
  <c r="W74" i="23"/>
  <c r="P29" i="2" s="1"/>
  <c r="W73" i="23"/>
  <c r="P28" i="2" s="1"/>
  <c r="W71" i="23"/>
  <c r="P26" i="2" s="1"/>
  <c r="W70" i="23"/>
  <c r="P25" i="2" s="1"/>
  <c r="W69" i="23"/>
  <c r="P24" i="2" s="1"/>
  <c r="W63" i="23"/>
  <c r="P19" i="2" s="1"/>
  <c r="W60" i="23"/>
  <c r="W59" i="23"/>
  <c r="W58" i="23"/>
  <c r="W57" i="23"/>
  <c r="W56" i="23"/>
  <c r="W55" i="23"/>
  <c r="W54" i="23"/>
  <c r="W52" i="23"/>
  <c r="W51" i="23"/>
  <c r="W50" i="23"/>
  <c r="W49" i="23"/>
  <c r="W48" i="23"/>
  <c r="W46" i="23"/>
  <c r="W45" i="23"/>
  <c r="W44" i="23"/>
  <c r="W43" i="23"/>
  <c r="W42" i="23"/>
  <c r="W41" i="23"/>
  <c r="U71" i="16" s="1"/>
  <c r="W39" i="23"/>
  <c r="W37" i="23"/>
  <c r="W30" i="23"/>
  <c r="W27" i="23"/>
  <c r="U46" i="16" s="1"/>
  <c r="W26" i="23"/>
  <c r="U43" i="16" s="1"/>
  <c r="W25" i="23"/>
  <c r="W22" i="23"/>
  <c r="U38" i="16" s="1"/>
  <c r="W21" i="23"/>
  <c r="U36" i="16" s="1"/>
  <c r="W20" i="23"/>
  <c r="U33" i="16" s="1"/>
  <c r="W15" i="23"/>
  <c r="W15" i="24"/>
  <c r="W15" i="25"/>
  <c r="R39" i="37" l="1"/>
  <c r="AC88" i="18"/>
  <c r="R12" i="37"/>
  <c r="T49" i="19" l="1"/>
  <c r="T57" i="19"/>
  <c r="R14" i="18" l="1"/>
  <c r="T115" i="19" l="1"/>
  <c r="T114" i="19"/>
  <c r="T106" i="19"/>
  <c r="T105" i="19"/>
  <c r="T104" i="19"/>
  <c r="T103" i="19"/>
  <c r="T100" i="19"/>
  <c r="T99" i="19"/>
  <c r="T98" i="19"/>
  <c r="T97" i="19"/>
  <c r="T96" i="19"/>
  <c r="T95" i="19"/>
  <c r="T93" i="19"/>
  <c r="T92" i="19"/>
  <c r="T91" i="19"/>
  <c r="T101" i="19" s="1"/>
  <c r="T108" i="19" s="1"/>
  <c r="T85" i="19"/>
  <c r="T82" i="19"/>
  <c r="T81" i="19"/>
  <c r="T80" i="19"/>
  <c r="T79" i="19"/>
  <c r="T78" i="19"/>
  <c r="T77" i="19"/>
  <c r="T76" i="19"/>
  <c r="T75" i="19"/>
  <c r="T74" i="19"/>
  <c r="T73" i="19"/>
  <c r="T72" i="19"/>
  <c r="T70" i="19"/>
  <c r="T69" i="19"/>
  <c r="T68" i="19"/>
  <c r="T67" i="19"/>
  <c r="T66" i="19"/>
  <c r="T65" i="19"/>
  <c r="T63" i="19"/>
  <c r="T62" i="19"/>
  <c r="T61" i="19"/>
  <c r="T60" i="19"/>
  <c r="T58" i="19"/>
  <c r="T56" i="19"/>
  <c r="T55" i="19"/>
  <c r="T54" i="19"/>
  <c r="T53" i="19"/>
  <c r="T52" i="19"/>
  <c r="T50" i="19"/>
  <c r="T48" i="19"/>
  <c r="T47" i="19"/>
  <c r="T45" i="19"/>
  <c r="T38" i="19"/>
  <c r="T39" i="19" s="1"/>
  <c r="T35" i="19"/>
  <c r="T34" i="19"/>
  <c r="T33" i="19"/>
  <c r="T32" i="19"/>
  <c r="T31" i="19"/>
  <c r="T28" i="19"/>
  <c r="T27" i="19"/>
  <c r="T26" i="19"/>
  <c r="T25" i="19"/>
  <c r="T24" i="19"/>
  <c r="T23" i="19"/>
  <c r="T22" i="19"/>
  <c r="T21" i="19"/>
  <c r="T18" i="19"/>
  <c r="T83" i="19" l="1"/>
  <c r="T36" i="19"/>
  <c r="T29" i="19"/>
  <c r="T41" i="19" l="1"/>
  <c r="T87" i="19" s="1"/>
  <c r="T111" i="19" s="1"/>
  <c r="U94" i="23"/>
  <c r="U93" i="23"/>
  <c r="U92" i="23"/>
  <c r="U84" i="23"/>
  <c r="U83" i="23"/>
  <c r="U82" i="23"/>
  <c r="U81" i="23"/>
  <c r="U78" i="23"/>
  <c r="U77" i="23"/>
  <c r="U76" i="23"/>
  <c r="U75" i="23"/>
  <c r="U74" i="23"/>
  <c r="U73" i="23"/>
  <c r="U71" i="23"/>
  <c r="U70" i="23"/>
  <c r="U69" i="23"/>
  <c r="U63" i="23"/>
  <c r="U60" i="23"/>
  <c r="U59" i="23"/>
  <c r="U58" i="23"/>
  <c r="U57" i="23"/>
  <c r="U56" i="23"/>
  <c r="U55" i="23"/>
  <c r="U54" i="23"/>
  <c r="U52" i="23"/>
  <c r="U51" i="23"/>
  <c r="U50" i="23"/>
  <c r="U49" i="23"/>
  <c r="U48" i="23"/>
  <c r="U46" i="23"/>
  <c r="U45" i="23"/>
  <c r="U44" i="23"/>
  <c r="U43" i="23"/>
  <c r="U42" i="23"/>
  <c r="U41" i="23"/>
  <c r="U39" i="23"/>
  <c r="U37" i="23"/>
  <c r="U30" i="23"/>
  <c r="U27" i="23"/>
  <c r="U26" i="23"/>
  <c r="U25" i="23"/>
  <c r="U22" i="23"/>
  <c r="U21" i="23"/>
  <c r="U20" i="23"/>
  <c r="T14" i="21" l="1"/>
  <c r="T14" i="20"/>
  <c r="T14" i="19"/>
  <c r="M205" i="42" l="1"/>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04" i="42"/>
  <c r="M200" i="42"/>
  <c r="M199" i="42"/>
  <c r="M195" i="42"/>
  <c r="M194" i="42"/>
  <c r="M182" i="42"/>
  <c r="M183" i="42"/>
  <c r="M184" i="42"/>
  <c r="M185" i="42"/>
  <c r="M186" i="42"/>
  <c r="M187" i="42"/>
  <c r="M188" i="42"/>
  <c r="M189" i="42"/>
  <c r="M190" i="42"/>
  <c r="M18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01" i="42"/>
  <c r="M15"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14" i="42"/>
  <c r="T60" i="35"/>
  <c r="R13" i="29" l="1"/>
  <c r="R13" i="28"/>
  <c r="R14" i="27"/>
  <c r="R16" i="26"/>
  <c r="R12" i="22"/>
  <c r="U15" i="25" l="1"/>
  <c r="U15" i="24"/>
  <c r="U15" i="23"/>
  <c r="S135" i="17"/>
  <c r="S134" i="17"/>
  <c r="S126" i="17"/>
  <c r="S125" i="17"/>
  <c r="S123" i="17"/>
  <c r="S122" i="17"/>
  <c r="S121" i="17"/>
  <c r="S118" i="17"/>
  <c r="S117" i="17"/>
  <c r="S116" i="17"/>
  <c r="S115" i="17"/>
  <c r="S114" i="17"/>
  <c r="S113" i="17"/>
  <c r="S111" i="17"/>
  <c r="S110" i="17"/>
  <c r="S109" i="17"/>
  <c r="S103" i="17"/>
  <c r="S100" i="17"/>
  <c r="S99" i="17"/>
  <c r="S98" i="17"/>
  <c r="S97" i="17"/>
  <c r="S96" i="17"/>
  <c r="S95" i="17"/>
  <c r="S94" i="17"/>
  <c r="S93" i="17"/>
  <c r="S92" i="17"/>
  <c r="S91" i="17"/>
  <c r="S90" i="17"/>
  <c r="S88" i="17"/>
  <c r="S87" i="17"/>
  <c r="S86" i="17"/>
  <c r="S85" i="17"/>
  <c r="S84" i="17"/>
  <c r="S83" i="17"/>
  <c r="S81" i="17"/>
  <c r="S80" i="17"/>
  <c r="S79" i="17"/>
  <c r="S78" i="17"/>
  <c r="S76" i="17"/>
  <c r="S75" i="17"/>
  <c r="S74" i="17"/>
  <c r="S73" i="17"/>
  <c r="S72" i="17"/>
  <c r="S71" i="17"/>
  <c r="S70" i="17"/>
  <c r="S69" i="17"/>
  <c r="S67" i="17"/>
  <c r="S66" i="17"/>
  <c r="S65" i="17"/>
  <c r="S64" i="17"/>
  <c r="S62" i="17"/>
  <c r="S61" i="17"/>
  <c r="S54" i="17"/>
  <c r="S53" i="17"/>
  <c r="S52" i="17"/>
  <c r="S51" i="17"/>
  <c r="S50" i="17"/>
  <c r="S49" i="17"/>
  <c r="S46" i="17"/>
  <c r="S45" i="17"/>
  <c r="S44" i="17"/>
  <c r="S43" i="17"/>
  <c r="S42" i="17"/>
  <c r="S39" i="17"/>
  <c r="S38" i="17"/>
  <c r="S37" i="17"/>
  <c r="S36" i="17"/>
  <c r="S35" i="17"/>
  <c r="S34" i="17"/>
  <c r="S33" i="17"/>
  <c r="S32" i="17"/>
  <c r="S29" i="17"/>
  <c r="S28" i="17"/>
  <c r="S27" i="17"/>
  <c r="S25" i="17"/>
  <c r="S24" i="17"/>
  <c r="S23" i="17"/>
  <c r="S22" i="17"/>
  <c r="S21" i="17"/>
  <c r="S16" i="17"/>
  <c r="Q21" i="16"/>
  <c r="Q22" i="16"/>
  <c r="Q23" i="16"/>
  <c r="Q24" i="16"/>
  <c r="Q25" i="16"/>
  <c r="S126" i="16"/>
  <c r="S125" i="16"/>
  <c r="S123" i="16"/>
  <c r="S122" i="16"/>
  <c r="S121" i="16"/>
  <c r="S118" i="16"/>
  <c r="S117" i="16"/>
  <c r="S116" i="16"/>
  <c r="S115" i="16"/>
  <c r="S114" i="16"/>
  <c r="S113" i="16"/>
  <c r="S111" i="16"/>
  <c r="S110" i="16"/>
  <c r="S109" i="16"/>
  <c r="S103" i="16"/>
  <c r="S100" i="16"/>
  <c r="S99" i="16"/>
  <c r="S98" i="16"/>
  <c r="S97" i="16"/>
  <c r="S96" i="16"/>
  <c r="S95" i="16"/>
  <c r="S94" i="16"/>
  <c r="S93" i="16"/>
  <c r="S92" i="16"/>
  <c r="S91" i="16"/>
  <c r="S90" i="16"/>
  <c r="S88" i="16"/>
  <c r="S87" i="16"/>
  <c r="S86" i="16"/>
  <c r="S85" i="16"/>
  <c r="S84" i="16"/>
  <c r="S83" i="16"/>
  <c r="S81" i="16"/>
  <c r="S80" i="16"/>
  <c r="S79" i="16"/>
  <c r="S78" i="16"/>
  <c r="S76" i="16"/>
  <c r="S75" i="16"/>
  <c r="S74" i="16"/>
  <c r="S73" i="16"/>
  <c r="S72" i="16"/>
  <c r="S71" i="16"/>
  <c r="S70" i="16"/>
  <c r="S69" i="16"/>
  <c r="S67" i="16"/>
  <c r="S66" i="16"/>
  <c r="S65" i="16"/>
  <c r="S64" i="16"/>
  <c r="S62" i="16"/>
  <c r="S61" i="16"/>
  <c r="S54" i="16"/>
  <c r="S53" i="16"/>
  <c r="S52" i="16"/>
  <c r="S51" i="16"/>
  <c r="S50" i="16"/>
  <c r="S49" i="16"/>
  <c r="S46" i="16"/>
  <c r="S45" i="16"/>
  <c r="S44" i="16"/>
  <c r="S43" i="16"/>
  <c r="S42" i="16"/>
  <c r="S39" i="16"/>
  <c r="S38" i="16"/>
  <c r="S37" i="16"/>
  <c r="S36" i="16"/>
  <c r="S35" i="16"/>
  <c r="S34" i="16"/>
  <c r="S33" i="16"/>
  <c r="S32" i="16"/>
  <c r="S29" i="16"/>
  <c r="S28" i="16"/>
  <c r="S27" i="16"/>
  <c r="S25" i="16"/>
  <c r="S24" i="16"/>
  <c r="S23" i="16"/>
  <c r="S22" i="16"/>
  <c r="S21" i="16"/>
  <c r="AJ47" i="15" l="1"/>
  <c r="C28" i="39" l="1"/>
  <c r="E28" i="39"/>
  <c r="G28" i="39"/>
  <c r="I28" i="39"/>
  <c r="J44" i="40" l="1"/>
  <c r="J37" i="40"/>
  <c r="J23" i="40"/>
  <c r="J17" i="40"/>
  <c r="J25" i="40" s="1"/>
  <c r="L15" i="39"/>
  <c r="I47" i="39"/>
  <c r="I38" i="39"/>
  <c r="I22" i="39"/>
  <c r="I30" i="39" s="1"/>
  <c r="P12" i="37"/>
  <c r="I50" i="39" l="1"/>
  <c r="J47" i="40"/>
  <c r="AE103" i="17"/>
  <c r="AE93" i="16" l="1"/>
  <c r="Q49" i="16" l="1"/>
  <c r="Q53" i="16"/>
  <c r="Q52" i="16"/>
  <c r="Q51" i="16"/>
  <c r="Q50" i="16"/>
  <c r="R115" i="19" l="1"/>
  <c r="R114" i="19"/>
  <c r="R106" i="19"/>
  <c r="R105" i="19"/>
  <c r="R104" i="19"/>
  <c r="R103" i="19"/>
  <c r="R100" i="19"/>
  <c r="R99" i="19"/>
  <c r="R98" i="19"/>
  <c r="R97" i="19"/>
  <c r="R96" i="19"/>
  <c r="R95" i="19"/>
  <c r="R93" i="19"/>
  <c r="R92" i="19"/>
  <c r="R91" i="19"/>
  <c r="R85" i="19"/>
  <c r="R82" i="19"/>
  <c r="R81" i="19"/>
  <c r="R80" i="19"/>
  <c r="R79" i="19"/>
  <c r="R78" i="19"/>
  <c r="R77" i="19"/>
  <c r="R76" i="19"/>
  <c r="R75" i="19"/>
  <c r="R74" i="19"/>
  <c r="R73" i="19"/>
  <c r="R72" i="19"/>
  <c r="R70" i="19"/>
  <c r="R69" i="19"/>
  <c r="R68" i="19"/>
  <c r="R67" i="19"/>
  <c r="R66" i="19"/>
  <c r="R65" i="19"/>
  <c r="R63" i="19"/>
  <c r="R62" i="19"/>
  <c r="R61" i="19"/>
  <c r="R60" i="19"/>
  <c r="R58" i="19"/>
  <c r="R57" i="19"/>
  <c r="R56" i="19"/>
  <c r="R55" i="19"/>
  <c r="R54" i="19"/>
  <c r="R53" i="19"/>
  <c r="R52" i="19"/>
  <c r="R50" i="19"/>
  <c r="R49" i="19"/>
  <c r="R48" i="19"/>
  <c r="R47" i="19"/>
  <c r="R45" i="19"/>
  <c r="R38" i="19"/>
  <c r="Q54" i="16" s="1"/>
  <c r="R35" i="19"/>
  <c r="R34" i="19"/>
  <c r="R33" i="19"/>
  <c r="R32" i="19"/>
  <c r="R31" i="19"/>
  <c r="R28" i="19"/>
  <c r="R27" i="19"/>
  <c r="R26" i="19"/>
  <c r="R25" i="19"/>
  <c r="R24" i="19"/>
  <c r="R23" i="19"/>
  <c r="R22" i="19"/>
  <c r="R21" i="19"/>
  <c r="R18" i="19"/>
  <c r="R14" i="19"/>
  <c r="R14" i="20"/>
  <c r="R14" i="21"/>
  <c r="M11" i="42" l="1"/>
  <c r="Q135" i="17" l="1"/>
  <c r="Q134" i="17"/>
  <c r="Q126" i="17"/>
  <c r="Q125" i="17"/>
  <c r="Q123" i="17"/>
  <c r="Q122" i="17"/>
  <c r="Q121" i="17"/>
  <c r="Q118" i="17"/>
  <c r="Q117" i="17"/>
  <c r="Q116" i="17"/>
  <c r="Q115" i="17"/>
  <c r="Q114" i="17"/>
  <c r="Q113" i="17"/>
  <c r="Q111" i="17"/>
  <c r="Q110" i="17"/>
  <c r="Q109" i="17"/>
  <c r="Q103" i="17"/>
  <c r="Q100" i="17"/>
  <c r="Q99" i="17"/>
  <c r="Q98" i="17"/>
  <c r="Q97" i="17"/>
  <c r="Q96" i="17"/>
  <c r="Q95" i="17"/>
  <c r="Q94" i="17"/>
  <c r="Q93" i="17"/>
  <c r="Q92" i="17"/>
  <c r="Q91" i="17"/>
  <c r="Q90" i="17"/>
  <c r="Q88" i="17"/>
  <c r="Q87" i="17"/>
  <c r="Q86" i="17"/>
  <c r="Q85" i="17"/>
  <c r="Q84" i="17"/>
  <c r="Q83" i="17"/>
  <c r="Q81" i="17"/>
  <c r="Q80" i="17"/>
  <c r="Q79" i="17"/>
  <c r="Q78" i="17"/>
  <c r="Q76" i="17"/>
  <c r="Q75" i="17"/>
  <c r="Q74" i="17"/>
  <c r="Q73" i="17"/>
  <c r="Q72" i="17"/>
  <c r="Q71" i="17"/>
  <c r="Q70" i="17"/>
  <c r="Q69" i="17"/>
  <c r="Q67" i="17"/>
  <c r="Q66" i="17"/>
  <c r="Q65" i="17"/>
  <c r="Q64" i="17"/>
  <c r="Q62" i="17"/>
  <c r="Q61" i="17"/>
  <c r="Q54" i="17"/>
  <c r="Q53" i="17"/>
  <c r="Q52" i="17"/>
  <c r="Q51" i="17"/>
  <c r="Q50" i="17"/>
  <c r="Q49" i="17"/>
  <c r="Q46" i="17"/>
  <c r="Q45" i="17"/>
  <c r="Q44" i="17"/>
  <c r="Q43" i="17"/>
  <c r="Q42" i="17"/>
  <c r="Q39" i="17"/>
  <c r="Q38" i="17"/>
  <c r="Q37" i="17"/>
  <c r="Q36" i="17"/>
  <c r="Q35" i="17"/>
  <c r="Q34" i="17"/>
  <c r="Q33" i="17"/>
  <c r="Q32" i="17"/>
  <c r="Q29" i="17"/>
  <c r="Q28" i="17"/>
  <c r="Q27" i="17"/>
  <c r="Q25" i="17"/>
  <c r="Q24" i="17"/>
  <c r="Q23" i="17"/>
  <c r="Q22" i="17"/>
  <c r="Q21" i="17"/>
  <c r="Q16" i="17"/>
  <c r="Q125" i="16"/>
  <c r="Q100" i="16"/>
  <c r="Q97" i="16"/>
  <c r="Q94" i="16"/>
  <c r="Q93" i="16"/>
  <c r="Q91" i="16"/>
  <c r="Q85" i="16"/>
  <c r="Q84" i="16"/>
  <c r="Q80" i="16"/>
  <c r="Q79" i="16"/>
  <c r="Q78" i="16"/>
  <c r="Q73" i="16"/>
  <c r="Q72" i="16"/>
  <c r="Q70" i="16"/>
  <c r="Q69" i="16"/>
  <c r="Q67" i="16"/>
  <c r="Q66" i="16"/>
  <c r="Q65" i="16"/>
  <c r="Q61" i="16"/>
  <c r="Q45" i="16"/>
  <c r="Q44" i="16"/>
  <c r="Q39" i="16"/>
  <c r="Q37" i="16"/>
  <c r="Q35" i="16"/>
  <c r="Q34" i="16"/>
  <c r="Q32" i="16"/>
  <c r="Q29" i="16"/>
  <c r="Q28" i="16"/>
  <c r="Q27" i="16"/>
  <c r="P13" i="29" l="1"/>
  <c r="P13" i="28"/>
  <c r="P14" i="27"/>
  <c r="P12" i="22"/>
  <c r="A41" i="12"/>
  <c r="S15" i="25" l="1"/>
  <c r="S15" i="24"/>
  <c r="S94" i="23"/>
  <c r="S93" i="23"/>
  <c r="S92" i="23"/>
  <c r="S84" i="23"/>
  <c r="Q126" i="16" s="1"/>
  <c r="S83" i="23"/>
  <c r="Q123" i="16" s="1"/>
  <c r="S82" i="23"/>
  <c r="Q122" i="16" s="1"/>
  <c r="S81" i="23"/>
  <c r="Q121" i="16" s="1"/>
  <c r="S78" i="23"/>
  <c r="Q118" i="16" s="1"/>
  <c r="S77" i="23"/>
  <c r="Q117" i="16" s="1"/>
  <c r="S76" i="23"/>
  <c r="Q116" i="16" s="1"/>
  <c r="S75" i="23"/>
  <c r="Q115" i="16" s="1"/>
  <c r="S74" i="23"/>
  <c r="Q114" i="16" s="1"/>
  <c r="S73" i="23"/>
  <c r="Q113" i="16" s="1"/>
  <c r="S71" i="23"/>
  <c r="Q111" i="16" s="1"/>
  <c r="S70" i="23"/>
  <c r="Q110" i="16" s="1"/>
  <c r="S69" i="23"/>
  <c r="Q109" i="16" s="1"/>
  <c r="S63" i="23"/>
  <c r="Q103" i="16" s="1"/>
  <c r="S60" i="23"/>
  <c r="Q99" i="16" s="1"/>
  <c r="S59" i="23"/>
  <c r="Q98" i="16" s="1"/>
  <c r="S58" i="23"/>
  <c r="Q96" i="16" s="1"/>
  <c r="S57" i="23"/>
  <c r="Q95" i="16" s="1"/>
  <c r="S56" i="23"/>
  <c r="S55" i="23"/>
  <c r="Q92" i="16" s="1"/>
  <c r="S54" i="23"/>
  <c r="Q90" i="16" s="1"/>
  <c r="S52" i="23"/>
  <c r="Q88" i="16" s="1"/>
  <c r="S51" i="23"/>
  <c r="Q87" i="16" s="1"/>
  <c r="S50" i="23"/>
  <c r="Q86" i="16" s="1"/>
  <c r="S49" i="23"/>
  <c r="S48" i="23"/>
  <c r="Q83" i="16" s="1"/>
  <c r="S46" i="23"/>
  <c r="Q81" i="16" s="1"/>
  <c r="S45" i="23"/>
  <c r="Q76" i="16" s="1"/>
  <c r="S44" i="23"/>
  <c r="Q75" i="16" s="1"/>
  <c r="S43" i="23"/>
  <c r="Q74" i="16" s="1"/>
  <c r="S42" i="23"/>
  <c r="S41" i="23"/>
  <c r="Q71" i="16" s="1"/>
  <c r="S39" i="23"/>
  <c r="Q64" i="16" s="1"/>
  <c r="S37" i="23"/>
  <c r="Q62" i="16" s="1"/>
  <c r="S30" i="23"/>
  <c r="S27" i="23"/>
  <c r="Q46" i="16" s="1"/>
  <c r="S26" i="23"/>
  <c r="Q43" i="16" s="1"/>
  <c r="S25" i="23"/>
  <c r="Q42" i="16" s="1"/>
  <c r="S22" i="23"/>
  <c r="Q38" i="16" s="1"/>
  <c r="S21" i="23"/>
  <c r="Q36" i="16" s="1"/>
  <c r="S20" i="23"/>
  <c r="Q33" i="16" s="1"/>
  <c r="S15" i="23"/>
  <c r="AF24" i="18"/>
  <c r="AH18" i="19" l="1"/>
  <c r="AH21" i="19"/>
  <c r="AH22" i="19"/>
  <c r="AH23" i="19"/>
  <c r="AM27" i="19" l="1"/>
  <c r="A45" i="10" l="1"/>
  <c r="A45" i="11"/>
  <c r="AJ38" i="17"/>
  <c r="A42" i="14" l="1"/>
  <c r="A42" i="13"/>
  <c r="A42" i="12" l="1"/>
  <c r="AA53" i="3" l="1"/>
  <c r="AK28" i="20" l="1"/>
  <c r="AC75" i="20"/>
  <c r="P14" i="18" l="1"/>
  <c r="P37" i="18" l="1"/>
  <c r="N12" i="37" l="1"/>
  <c r="N16" i="40" l="1"/>
  <c r="Q94" i="23" l="1"/>
  <c r="Q93" i="23"/>
  <c r="Q92" i="23"/>
  <c r="Q84" i="23"/>
  <c r="Q83" i="23"/>
  <c r="Q82" i="23"/>
  <c r="Q81" i="23"/>
  <c r="Q78" i="23"/>
  <c r="Q77" i="23"/>
  <c r="Q76" i="23"/>
  <c r="Q75" i="23"/>
  <c r="Q74" i="23"/>
  <c r="Q73" i="23"/>
  <c r="Q71" i="23"/>
  <c r="Q70" i="23"/>
  <c r="Q69" i="23"/>
  <c r="Q63" i="23"/>
  <c r="Q60" i="23"/>
  <c r="Q59" i="23"/>
  <c r="Q58" i="23"/>
  <c r="Q57" i="23"/>
  <c r="Q56" i="23"/>
  <c r="Q55" i="23"/>
  <c r="Q54" i="23"/>
  <c r="Q52" i="23"/>
  <c r="Q51" i="23"/>
  <c r="Q50" i="23"/>
  <c r="Q49" i="23"/>
  <c r="Q48" i="23"/>
  <c r="Q46" i="23"/>
  <c r="Q45" i="23"/>
  <c r="Q44" i="23"/>
  <c r="Q43" i="23"/>
  <c r="Q42" i="23"/>
  <c r="Q41" i="23"/>
  <c r="Q39" i="23"/>
  <c r="Q37" i="23"/>
  <c r="Q30" i="23"/>
  <c r="Q27" i="23"/>
  <c r="Q26" i="23"/>
  <c r="Q25" i="23"/>
  <c r="Q22" i="23"/>
  <c r="Q21" i="23"/>
  <c r="Q20" i="23"/>
  <c r="P115" i="19" l="1"/>
  <c r="P114" i="19"/>
  <c r="P106" i="19"/>
  <c r="P105" i="19"/>
  <c r="P104" i="19"/>
  <c r="P103" i="19"/>
  <c r="P100" i="19"/>
  <c r="P99" i="19"/>
  <c r="P98" i="19"/>
  <c r="P97" i="19"/>
  <c r="P96" i="19"/>
  <c r="P95" i="19"/>
  <c r="P93" i="19"/>
  <c r="P92" i="19"/>
  <c r="P91" i="19"/>
  <c r="P85" i="19"/>
  <c r="P82" i="19"/>
  <c r="P81" i="19"/>
  <c r="P80" i="19"/>
  <c r="P79" i="19"/>
  <c r="P78" i="19"/>
  <c r="P77" i="19"/>
  <c r="P76" i="19"/>
  <c r="P75" i="19"/>
  <c r="P74" i="19"/>
  <c r="P73" i="19"/>
  <c r="P72" i="19"/>
  <c r="P70" i="19"/>
  <c r="P69" i="19"/>
  <c r="P68" i="19"/>
  <c r="P67" i="19"/>
  <c r="P66" i="19"/>
  <c r="P65" i="19"/>
  <c r="P63" i="19"/>
  <c r="P62" i="19"/>
  <c r="P61" i="19"/>
  <c r="P60" i="19"/>
  <c r="P58" i="19"/>
  <c r="P57" i="19"/>
  <c r="P56" i="19"/>
  <c r="P55" i="19"/>
  <c r="P54" i="19"/>
  <c r="P53" i="19"/>
  <c r="P52" i="19"/>
  <c r="P50" i="19"/>
  <c r="P49" i="19"/>
  <c r="P48" i="19"/>
  <c r="P47" i="19"/>
  <c r="P45" i="19"/>
  <c r="P38" i="19"/>
  <c r="P35" i="19"/>
  <c r="P34" i="19"/>
  <c r="P33" i="19"/>
  <c r="P32" i="19"/>
  <c r="P31" i="19"/>
  <c r="P28" i="19"/>
  <c r="P27" i="19"/>
  <c r="P26" i="19"/>
  <c r="P25" i="19"/>
  <c r="P24" i="19"/>
  <c r="P23" i="19"/>
  <c r="P22" i="19"/>
  <c r="P21" i="19"/>
  <c r="P18" i="19"/>
  <c r="P14" i="19"/>
  <c r="P29" i="19" l="1"/>
  <c r="P36" i="19"/>
  <c r="P101" i="19"/>
  <c r="P108" i="19" s="1"/>
  <c r="P39" i="19"/>
  <c r="P83" i="19"/>
  <c r="P41" i="19"/>
  <c r="P14" i="21"/>
  <c r="P14" i="20"/>
  <c r="P87" i="19" l="1"/>
  <c r="P111" i="19" s="1"/>
  <c r="Q15" i="24"/>
  <c r="Q15" i="25" l="1"/>
  <c r="N13" i="29" l="1"/>
  <c r="N13" i="28"/>
  <c r="N14" i="27"/>
  <c r="N12" i="22"/>
  <c r="AE135" i="17" l="1"/>
  <c r="AE134" i="17"/>
  <c r="AE21" i="16" l="1"/>
  <c r="AE22" i="16"/>
  <c r="AE23" i="16"/>
  <c r="AE24" i="16"/>
  <c r="AE25" i="16"/>
  <c r="AE29" i="16"/>
  <c r="O135" i="17"/>
  <c r="O134" i="17"/>
  <c r="O126" i="17"/>
  <c r="O125" i="17"/>
  <c r="O123" i="17"/>
  <c r="O122" i="17"/>
  <c r="O121" i="17"/>
  <c r="O118" i="17"/>
  <c r="O117" i="17"/>
  <c r="O116" i="17"/>
  <c r="O115" i="17"/>
  <c r="O114" i="17"/>
  <c r="O113" i="17"/>
  <c r="O111" i="17"/>
  <c r="O110" i="17"/>
  <c r="O109" i="17"/>
  <c r="O103" i="17"/>
  <c r="O100" i="17"/>
  <c r="O99" i="17"/>
  <c r="O98" i="17"/>
  <c r="O97" i="17"/>
  <c r="O96" i="17"/>
  <c r="O95" i="17"/>
  <c r="O94" i="17"/>
  <c r="O93" i="17"/>
  <c r="O92" i="17"/>
  <c r="O91" i="17"/>
  <c r="O90" i="17"/>
  <c r="O88" i="17"/>
  <c r="O87" i="17"/>
  <c r="O86" i="17"/>
  <c r="O85" i="17"/>
  <c r="O84" i="17"/>
  <c r="O83" i="17"/>
  <c r="O81" i="17"/>
  <c r="O80" i="17"/>
  <c r="O79" i="17"/>
  <c r="O78" i="17"/>
  <c r="O76" i="17"/>
  <c r="O75" i="17"/>
  <c r="O74" i="17"/>
  <c r="O73" i="17"/>
  <c r="O72" i="17"/>
  <c r="O71" i="17"/>
  <c r="O70" i="17"/>
  <c r="O69" i="17"/>
  <c r="O67" i="17"/>
  <c r="O66" i="17"/>
  <c r="O65" i="17"/>
  <c r="O64" i="17"/>
  <c r="O62" i="17"/>
  <c r="O61" i="17"/>
  <c r="O54" i="17"/>
  <c r="O53" i="17"/>
  <c r="O52" i="17"/>
  <c r="O51" i="17"/>
  <c r="O50" i="17"/>
  <c r="O49" i="17"/>
  <c r="O46" i="17"/>
  <c r="O45" i="17"/>
  <c r="O44" i="17"/>
  <c r="O43" i="17"/>
  <c r="O42" i="17"/>
  <c r="O39" i="17"/>
  <c r="O38" i="17"/>
  <c r="O37" i="17"/>
  <c r="O36" i="17"/>
  <c r="O35" i="17"/>
  <c r="O34" i="17"/>
  <c r="O33" i="17"/>
  <c r="O32" i="17"/>
  <c r="O29" i="17"/>
  <c r="O28" i="17"/>
  <c r="O27" i="17"/>
  <c r="O25" i="17"/>
  <c r="O24" i="17"/>
  <c r="O23" i="17"/>
  <c r="O22" i="17"/>
  <c r="O21" i="17"/>
  <c r="O16" i="17"/>
  <c r="O126" i="16"/>
  <c r="O125" i="16"/>
  <c r="O123" i="16"/>
  <c r="O122" i="16"/>
  <c r="O121" i="16"/>
  <c r="O118" i="16"/>
  <c r="O117" i="16"/>
  <c r="O116" i="16"/>
  <c r="O115" i="16"/>
  <c r="O114" i="16"/>
  <c r="O113" i="16"/>
  <c r="O111" i="16"/>
  <c r="O110" i="16"/>
  <c r="O109" i="16"/>
  <c r="O103" i="16"/>
  <c r="O100" i="16"/>
  <c r="O99" i="16"/>
  <c r="O98" i="16"/>
  <c r="O97" i="16"/>
  <c r="O96" i="16"/>
  <c r="O95" i="16"/>
  <c r="O94" i="16"/>
  <c r="O93" i="16"/>
  <c r="O92" i="16"/>
  <c r="O91" i="16"/>
  <c r="O90" i="16"/>
  <c r="O88" i="16"/>
  <c r="O87" i="16"/>
  <c r="O86" i="16"/>
  <c r="O85" i="16"/>
  <c r="O84" i="16"/>
  <c r="O83" i="16"/>
  <c r="O81" i="16"/>
  <c r="O80" i="16"/>
  <c r="O79" i="16"/>
  <c r="O78" i="16"/>
  <c r="O76" i="16"/>
  <c r="O75" i="16"/>
  <c r="O74" i="16"/>
  <c r="O73" i="16"/>
  <c r="O72" i="16"/>
  <c r="O71" i="16"/>
  <c r="O70" i="16"/>
  <c r="O69" i="16"/>
  <c r="O67" i="16"/>
  <c r="O66" i="16"/>
  <c r="O65" i="16"/>
  <c r="O64" i="16"/>
  <c r="O62" i="16"/>
  <c r="O61" i="16"/>
  <c r="O54" i="16"/>
  <c r="O53" i="16"/>
  <c r="O52" i="16"/>
  <c r="O51" i="16"/>
  <c r="O50" i="16"/>
  <c r="O46" i="16"/>
  <c r="O45" i="16"/>
  <c r="O44" i="16"/>
  <c r="O43" i="16"/>
  <c r="O42" i="16"/>
  <c r="O39" i="16"/>
  <c r="O38" i="16"/>
  <c r="O37" i="16"/>
  <c r="O36" i="16"/>
  <c r="O35" i="16"/>
  <c r="O34" i="16"/>
  <c r="O33" i="16"/>
  <c r="O32" i="16"/>
  <c r="O29" i="16"/>
  <c r="O28" i="16"/>
  <c r="O27" i="16"/>
  <c r="O25" i="16"/>
  <c r="O24" i="16"/>
  <c r="O23" i="16"/>
  <c r="O22" i="16"/>
  <c r="O21" i="16"/>
  <c r="O16" i="16"/>
  <c r="AF39" i="23"/>
  <c r="AF43" i="23"/>
  <c r="Q15" i="23" l="1"/>
  <c r="AK66" i="20" l="1"/>
  <c r="AM65" i="19"/>
  <c r="N85" i="21"/>
  <c r="N50" i="21"/>
  <c r="N61" i="20" l="1"/>
  <c r="J44" i="15" l="1"/>
  <c r="AC66" i="20" l="1"/>
  <c r="AC105" i="20"/>
  <c r="L46" i="39" l="1"/>
  <c r="L45" i="39"/>
  <c r="L44" i="39"/>
  <c r="L42" i="39"/>
  <c r="L41" i="39"/>
  <c r="L37" i="39"/>
  <c r="L35" i="39"/>
  <c r="L34" i="39"/>
  <c r="L27" i="39"/>
  <c r="L26" i="39"/>
  <c r="L25" i="39"/>
  <c r="L21" i="39"/>
  <c r="L20" i="39"/>
  <c r="L19" i="39"/>
  <c r="L18" i="39"/>
  <c r="L17" i="39"/>
  <c r="L16" i="39"/>
  <c r="N43" i="40"/>
  <c r="N41" i="40"/>
  <c r="N40" i="40"/>
  <c r="N36" i="40"/>
  <c r="N35" i="40"/>
  <c r="N34" i="40"/>
  <c r="N33" i="40"/>
  <c r="N32" i="40"/>
  <c r="N30" i="40"/>
  <c r="N29" i="40"/>
  <c r="N22" i="40"/>
  <c r="N21" i="40"/>
  <c r="N20" i="40"/>
  <c r="I32" i="13" l="1"/>
  <c r="I26" i="13"/>
  <c r="Z12" i="37" l="1"/>
  <c r="Z15" i="37"/>
  <c r="Z16" i="37"/>
  <c r="Z17" i="37"/>
  <c r="Z18" i="37"/>
  <c r="Z19" i="37"/>
  <c r="Z20" i="37"/>
  <c r="Z21" i="37"/>
  <c r="Z22" i="37"/>
  <c r="Z23" i="37"/>
  <c r="B24" i="37"/>
  <c r="D24" i="37"/>
  <c r="F24" i="37"/>
  <c r="H24" i="37"/>
  <c r="J24" i="37"/>
  <c r="L24" i="37"/>
  <c r="N24" i="37"/>
  <c r="P24" i="37"/>
  <c r="R24" i="37"/>
  <c r="T24" i="37"/>
  <c r="V24" i="37"/>
  <c r="X24" i="37"/>
  <c r="Z27" i="37"/>
  <c r="Z28" i="37"/>
  <c r="Z29" i="37"/>
  <c r="Z30" i="37"/>
  <c r="Z31" i="37"/>
  <c r="B32" i="37"/>
  <c r="B44" i="37" s="1"/>
  <c r="D32" i="37"/>
  <c r="F32" i="37"/>
  <c r="H32" i="37"/>
  <c r="J32" i="37"/>
  <c r="L32" i="37"/>
  <c r="N32" i="37"/>
  <c r="P32" i="37"/>
  <c r="R32" i="37"/>
  <c r="T32" i="37"/>
  <c r="V32" i="37"/>
  <c r="X32" i="37"/>
  <c r="Z35" i="37"/>
  <c r="Z36" i="37"/>
  <c r="Z37" i="37"/>
  <c r="Z39" i="37"/>
  <c r="Z40" i="37"/>
  <c r="Z41" i="37"/>
  <c r="B42" i="37"/>
  <c r="D42" i="37"/>
  <c r="F42" i="37"/>
  <c r="H42" i="37"/>
  <c r="J42" i="37"/>
  <c r="L42" i="37"/>
  <c r="N42" i="37"/>
  <c r="P42" i="37"/>
  <c r="R42" i="37"/>
  <c r="T42" i="37"/>
  <c r="V42" i="37"/>
  <c r="X42" i="37"/>
  <c r="X44" i="37"/>
  <c r="Z42" i="37" l="1"/>
  <c r="N44" i="37"/>
  <c r="N46" i="37" s="1"/>
  <c r="R44" i="37"/>
  <c r="J44" i="37"/>
  <c r="V44" i="37"/>
  <c r="F44" i="37"/>
  <c r="X46" i="37"/>
  <c r="P46" i="37"/>
  <c r="P44" i="37"/>
  <c r="H44" i="37"/>
  <c r="Z32" i="37"/>
  <c r="V46" i="37"/>
  <c r="T44" i="37"/>
  <c r="T46" i="37" s="1"/>
  <c r="D44" i="37"/>
  <c r="R46" i="37"/>
  <c r="B46" i="37"/>
  <c r="D12" i="37" s="1"/>
  <c r="L44" i="37"/>
  <c r="Z24" i="37"/>
  <c r="M91" i="17"/>
  <c r="Z44" i="37" l="1"/>
  <c r="Z46" i="37" s="1"/>
  <c r="D46" i="37"/>
  <c r="F12" i="37" s="1"/>
  <c r="F46" i="37" s="1"/>
  <c r="H12" i="37" s="1"/>
  <c r="H46" i="37" s="1"/>
  <c r="J12" i="37" s="1"/>
  <c r="J46" i="37" s="1"/>
  <c r="L12" i="37" s="1"/>
  <c r="L46" i="37" s="1"/>
  <c r="O178" i="42"/>
  <c r="O11" i="42" l="1"/>
  <c r="O98" i="42"/>
  <c r="O191" i="42"/>
  <c r="O196" i="42"/>
  <c r="O201" i="42"/>
  <c r="O246" i="42"/>
  <c r="O249" i="42" l="1"/>
  <c r="N115" i="19"/>
  <c r="N114" i="19"/>
  <c r="N106" i="19"/>
  <c r="N105" i="19"/>
  <c r="N104" i="19"/>
  <c r="N103" i="19"/>
  <c r="N100" i="19"/>
  <c r="N99" i="19"/>
  <c r="N98" i="19"/>
  <c r="N97" i="19"/>
  <c r="N96" i="19"/>
  <c r="N95" i="19"/>
  <c r="N93" i="19"/>
  <c r="N92" i="19"/>
  <c r="N91" i="19"/>
  <c r="N85" i="19"/>
  <c r="N82" i="19"/>
  <c r="N81" i="19"/>
  <c r="N80" i="19"/>
  <c r="N79" i="19"/>
  <c r="N78" i="19"/>
  <c r="N77" i="19"/>
  <c r="N76" i="19"/>
  <c r="N75" i="19"/>
  <c r="N74" i="19"/>
  <c r="N73" i="19"/>
  <c r="M91" i="16" s="1"/>
  <c r="N72" i="19"/>
  <c r="N70" i="19"/>
  <c r="N69" i="19"/>
  <c r="N68" i="19"/>
  <c r="N67" i="19"/>
  <c r="N66" i="19"/>
  <c r="N65" i="19"/>
  <c r="N63" i="19"/>
  <c r="N62" i="19"/>
  <c r="N61" i="19"/>
  <c r="N60" i="19"/>
  <c r="N58" i="19"/>
  <c r="N57" i="19"/>
  <c r="N56" i="19"/>
  <c r="N55" i="19"/>
  <c r="N54" i="19"/>
  <c r="N53" i="19"/>
  <c r="N52" i="19"/>
  <c r="N50" i="19"/>
  <c r="N49" i="19"/>
  <c r="N48" i="19"/>
  <c r="N47" i="19"/>
  <c r="N45" i="19"/>
  <c r="N38" i="19"/>
  <c r="N35" i="19"/>
  <c r="N34" i="19"/>
  <c r="N33" i="19"/>
  <c r="N32" i="19"/>
  <c r="N31" i="19"/>
  <c r="N28" i="19"/>
  <c r="N27" i="19"/>
  <c r="N26" i="19"/>
  <c r="N25" i="19"/>
  <c r="N24" i="19"/>
  <c r="N23" i="19"/>
  <c r="N22" i="19"/>
  <c r="N21" i="19"/>
  <c r="N18" i="19"/>
  <c r="N101" i="19" l="1"/>
  <c r="N108" i="19" s="1"/>
  <c r="N36" i="19"/>
  <c r="N29" i="19"/>
  <c r="N83" i="19"/>
  <c r="N39" i="19"/>
  <c r="N117" i="19"/>
  <c r="N41" i="19" l="1"/>
  <c r="N87" i="19" s="1"/>
  <c r="N111" i="19" s="1"/>
  <c r="N121" i="19" s="1"/>
  <c r="J36" i="5" l="1"/>
  <c r="J35" i="5"/>
  <c r="J27" i="5"/>
  <c r="J26" i="5"/>
  <c r="J25" i="5"/>
  <c r="J18" i="5"/>
  <c r="J19" i="5"/>
  <c r="J20" i="5"/>
  <c r="J28" i="5"/>
  <c r="Z30" i="43" l="1"/>
  <c r="AC82" i="18" l="1"/>
  <c r="AI82" i="18" s="1"/>
  <c r="AK82" i="18" s="1"/>
  <c r="AD93" i="24" l="1"/>
  <c r="AL57" i="25"/>
  <c r="D34" i="2" l="1"/>
  <c r="M135" i="17"/>
  <c r="M134" i="17"/>
  <c r="M126" i="17"/>
  <c r="M125" i="17"/>
  <c r="M123" i="17"/>
  <c r="M122" i="17"/>
  <c r="M121" i="17"/>
  <c r="M118" i="17"/>
  <c r="M117" i="17"/>
  <c r="M116" i="17"/>
  <c r="M115" i="17"/>
  <c r="M114" i="17"/>
  <c r="M113" i="17"/>
  <c r="M111" i="17"/>
  <c r="M110" i="17"/>
  <c r="M109" i="17"/>
  <c r="M103" i="17"/>
  <c r="M100" i="17"/>
  <c r="M99" i="17"/>
  <c r="M98" i="17"/>
  <c r="M97" i="17"/>
  <c r="M96" i="17"/>
  <c r="M95" i="17"/>
  <c r="M94" i="17"/>
  <c r="M93" i="17"/>
  <c r="M92" i="17"/>
  <c r="M90" i="17"/>
  <c r="M88" i="17"/>
  <c r="M87" i="17"/>
  <c r="M86" i="17"/>
  <c r="M85" i="17"/>
  <c r="M84" i="17"/>
  <c r="M83" i="17"/>
  <c r="M81" i="17"/>
  <c r="M80" i="17"/>
  <c r="M79" i="17"/>
  <c r="M78" i="17"/>
  <c r="M76" i="17"/>
  <c r="M75" i="17"/>
  <c r="M74" i="17"/>
  <c r="M73" i="17"/>
  <c r="M72" i="17"/>
  <c r="M71" i="17"/>
  <c r="M70" i="17"/>
  <c r="M69" i="17"/>
  <c r="M67" i="17"/>
  <c r="M66" i="17"/>
  <c r="M65" i="17"/>
  <c r="M64" i="17"/>
  <c r="M62" i="17"/>
  <c r="M61" i="17"/>
  <c r="M54" i="17"/>
  <c r="M53" i="17"/>
  <c r="M52" i="17"/>
  <c r="M51" i="17"/>
  <c r="M50" i="17"/>
  <c r="M49" i="17"/>
  <c r="M46" i="17"/>
  <c r="M45" i="17"/>
  <c r="M44" i="17"/>
  <c r="M43" i="17"/>
  <c r="M42" i="17"/>
  <c r="M39" i="17"/>
  <c r="M38" i="17"/>
  <c r="M37" i="17"/>
  <c r="M36" i="17"/>
  <c r="M35" i="17"/>
  <c r="M34" i="17"/>
  <c r="M33" i="17"/>
  <c r="M32" i="17"/>
  <c r="M29" i="17"/>
  <c r="M28" i="17"/>
  <c r="M27" i="17"/>
  <c r="M25" i="17"/>
  <c r="M24" i="17"/>
  <c r="M23" i="17"/>
  <c r="M22" i="17"/>
  <c r="M21" i="17"/>
  <c r="M125" i="16"/>
  <c r="M100" i="16"/>
  <c r="M97" i="16"/>
  <c r="M94" i="16"/>
  <c r="M93" i="16"/>
  <c r="M85" i="16"/>
  <c r="M84" i="16"/>
  <c r="M80" i="16"/>
  <c r="M79" i="16"/>
  <c r="M78" i="16"/>
  <c r="M73" i="16"/>
  <c r="M72" i="16"/>
  <c r="M70" i="16"/>
  <c r="M69" i="16"/>
  <c r="M67" i="16"/>
  <c r="M66" i="16"/>
  <c r="M65" i="16"/>
  <c r="M61" i="16"/>
  <c r="M54" i="16"/>
  <c r="M53" i="16"/>
  <c r="M51" i="16"/>
  <c r="M50" i="16"/>
  <c r="M45" i="16"/>
  <c r="M44" i="16"/>
  <c r="M39" i="16"/>
  <c r="M37" i="16"/>
  <c r="M35" i="16"/>
  <c r="M34" i="16"/>
  <c r="M32" i="16"/>
  <c r="M29" i="16"/>
  <c r="M28" i="16"/>
  <c r="M27" i="16"/>
  <c r="M25" i="16"/>
  <c r="M24" i="16"/>
  <c r="M23" i="16"/>
  <c r="M22" i="16"/>
  <c r="M21" i="16"/>
  <c r="O94" i="23"/>
  <c r="O93" i="23"/>
  <c r="O92" i="23"/>
  <c r="O84" i="23"/>
  <c r="M126" i="16" s="1"/>
  <c r="O83" i="23"/>
  <c r="O82" i="23"/>
  <c r="M122" i="16" s="1"/>
  <c r="O81" i="23"/>
  <c r="M121" i="16" s="1"/>
  <c r="O78" i="23"/>
  <c r="M118" i="16" s="1"/>
  <c r="O77" i="23"/>
  <c r="O76" i="23"/>
  <c r="M116" i="16" s="1"/>
  <c r="O75" i="23"/>
  <c r="M115" i="16" s="1"/>
  <c r="O74" i="23"/>
  <c r="M114" i="16" s="1"/>
  <c r="O73" i="23"/>
  <c r="M113" i="16" s="1"/>
  <c r="O71" i="23"/>
  <c r="M111" i="16" s="1"/>
  <c r="O70" i="23"/>
  <c r="M110" i="16" s="1"/>
  <c r="O69" i="23"/>
  <c r="M109" i="16" s="1"/>
  <c r="O63" i="23"/>
  <c r="O60" i="23"/>
  <c r="M99" i="16" s="1"/>
  <c r="O59" i="23"/>
  <c r="M98" i="16" s="1"/>
  <c r="O58" i="23"/>
  <c r="M96" i="16" s="1"/>
  <c r="O57" i="23"/>
  <c r="M95" i="16" s="1"/>
  <c r="O56" i="23"/>
  <c r="O55" i="23"/>
  <c r="M92" i="16" s="1"/>
  <c r="O54" i="23"/>
  <c r="M90" i="16" s="1"/>
  <c r="O52" i="23"/>
  <c r="M88" i="16" s="1"/>
  <c r="O51" i="23"/>
  <c r="M87" i="16" s="1"/>
  <c r="O50" i="23"/>
  <c r="M86" i="16" s="1"/>
  <c r="O49" i="23"/>
  <c r="O48" i="23"/>
  <c r="M83" i="16" s="1"/>
  <c r="O46" i="23"/>
  <c r="M81" i="16" s="1"/>
  <c r="O45" i="23"/>
  <c r="M76" i="16" s="1"/>
  <c r="O44" i="23"/>
  <c r="M75" i="16" s="1"/>
  <c r="O43" i="23"/>
  <c r="M74" i="16" s="1"/>
  <c r="O42" i="23"/>
  <c r="O41" i="23"/>
  <c r="O39" i="23"/>
  <c r="M64" i="16" s="1"/>
  <c r="O37" i="23"/>
  <c r="M62" i="16" s="1"/>
  <c r="O30" i="23"/>
  <c r="M52" i="16" s="1"/>
  <c r="O27" i="23"/>
  <c r="O26" i="23"/>
  <c r="O25" i="23"/>
  <c r="M42" i="16" s="1"/>
  <c r="O22" i="23"/>
  <c r="O21" i="23"/>
  <c r="O20" i="23"/>
  <c r="C20" i="13"/>
  <c r="C21" i="13"/>
  <c r="C22" i="13"/>
  <c r="C23" i="13"/>
  <c r="C24" i="13"/>
  <c r="C25" i="13"/>
  <c r="C26" i="13"/>
  <c r="C30" i="13"/>
  <c r="M43" i="16" l="1"/>
  <c r="M36" i="16"/>
  <c r="M38" i="16"/>
  <c r="M33" i="16"/>
  <c r="M46" i="16"/>
  <c r="M71" i="16"/>
  <c r="M117" i="16"/>
  <c r="M103" i="16"/>
  <c r="M123" i="16"/>
  <c r="K99" i="17" l="1"/>
  <c r="AC129" i="18" l="1"/>
  <c r="AC33" i="20" l="1"/>
  <c r="AC107" i="20"/>
  <c r="L28" i="39"/>
  <c r="G47" i="39"/>
  <c r="G38" i="39"/>
  <c r="G22" i="39"/>
  <c r="G30" i="39" s="1"/>
  <c r="G50" i="39" l="1"/>
  <c r="AC63" i="20"/>
  <c r="F44" i="32" l="1"/>
  <c r="J21" i="26" l="1"/>
  <c r="Z22" i="43" l="1"/>
  <c r="L115" i="19" l="1"/>
  <c r="L114" i="19"/>
  <c r="L106" i="19"/>
  <c r="L105" i="19"/>
  <c r="L104" i="19"/>
  <c r="L103" i="19"/>
  <c r="L100" i="19"/>
  <c r="L99" i="19"/>
  <c r="L98" i="19"/>
  <c r="L97" i="19"/>
  <c r="L96" i="19"/>
  <c r="L95" i="19"/>
  <c r="L93" i="19"/>
  <c r="L92" i="19"/>
  <c r="L91" i="19"/>
  <c r="L85" i="19"/>
  <c r="L82" i="19"/>
  <c r="L81" i="19"/>
  <c r="L80" i="19"/>
  <c r="L79" i="19"/>
  <c r="L78" i="19"/>
  <c r="L77" i="19"/>
  <c r="L76" i="19"/>
  <c r="L75" i="19"/>
  <c r="L74" i="19"/>
  <c r="L73" i="19"/>
  <c r="L72" i="19"/>
  <c r="L70" i="19"/>
  <c r="L69" i="19"/>
  <c r="L68" i="19"/>
  <c r="L67" i="19"/>
  <c r="L66" i="19"/>
  <c r="L65" i="19"/>
  <c r="L63" i="19"/>
  <c r="L62" i="19"/>
  <c r="L61" i="19"/>
  <c r="L60" i="19"/>
  <c r="L58" i="19"/>
  <c r="L57" i="19"/>
  <c r="L56" i="19"/>
  <c r="L55" i="19"/>
  <c r="L54" i="19"/>
  <c r="L53" i="19"/>
  <c r="L52" i="19"/>
  <c r="L50" i="19"/>
  <c r="L49" i="19"/>
  <c r="L48" i="19"/>
  <c r="L47" i="19"/>
  <c r="L45" i="19"/>
  <c r="L38" i="19"/>
  <c r="L35" i="19"/>
  <c r="L34" i="19"/>
  <c r="L33" i="19"/>
  <c r="L32" i="19"/>
  <c r="L31" i="19"/>
  <c r="L28" i="19"/>
  <c r="L27" i="19"/>
  <c r="L26" i="19"/>
  <c r="L25" i="19"/>
  <c r="L24" i="19"/>
  <c r="L23" i="19"/>
  <c r="L22" i="19"/>
  <c r="L21" i="19"/>
  <c r="L18" i="19"/>
  <c r="AE32" i="16"/>
  <c r="AE33" i="16"/>
  <c r="AH25" i="19"/>
  <c r="AH28" i="19"/>
  <c r="AH31" i="19"/>
  <c r="AH32" i="19"/>
  <c r="AH33" i="19"/>
  <c r="AH34" i="19"/>
  <c r="AH35" i="19"/>
  <c r="AH38" i="19"/>
  <c r="AH45" i="19"/>
  <c r="AH47" i="19"/>
  <c r="AH48" i="19"/>
  <c r="AH49" i="19"/>
  <c r="AH50" i="19"/>
  <c r="AH53" i="19"/>
  <c r="AH54" i="19"/>
  <c r="AH55" i="19"/>
  <c r="AH56" i="19"/>
  <c r="AH57" i="19"/>
  <c r="AH58" i="19"/>
  <c r="AH60" i="19"/>
  <c r="L39" i="19" l="1"/>
  <c r="L36" i="19"/>
  <c r="L29" i="19"/>
  <c r="L117" i="19"/>
  <c r="L101" i="19"/>
  <c r="L108" i="19" s="1"/>
  <c r="L83" i="19"/>
  <c r="L41" i="19" l="1"/>
  <c r="L87" i="19" s="1"/>
  <c r="L111" i="19" s="1"/>
  <c r="L121" i="19" s="1"/>
  <c r="P21" i="5"/>
  <c r="M94" i="23" l="1"/>
  <c r="M93" i="23"/>
  <c r="M92" i="23"/>
  <c r="M84" i="23"/>
  <c r="M83" i="23"/>
  <c r="M82" i="23"/>
  <c r="M81" i="23"/>
  <c r="M78" i="23"/>
  <c r="M77" i="23"/>
  <c r="M76" i="23"/>
  <c r="M75" i="23"/>
  <c r="M74" i="23"/>
  <c r="M73" i="23"/>
  <c r="M71" i="23"/>
  <c r="M70" i="23"/>
  <c r="M69" i="23"/>
  <c r="M63" i="23"/>
  <c r="M60" i="23"/>
  <c r="K99" i="16" s="1"/>
  <c r="M59" i="23"/>
  <c r="M58" i="23"/>
  <c r="M57" i="23"/>
  <c r="K95" i="16" s="1"/>
  <c r="M56" i="23"/>
  <c r="M55" i="23"/>
  <c r="M54" i="23"/>
  <c r="M52" i="23"/>
  <c r="M51" i="23"/>
  <c r="M50" i="23"/>
  <c r="M49" i="23"/>
  <c r="M48" i="23"/>
  <c r="M46" i="23"/>
  <c r="M45" i="23"/>
  <c r="M44" i="23"/>
  <c r="M43" i="23"/>
  <c r="M42" i="23"/>
  <c r="M41" i="23"/>
  <c r="M39" i="23"/>
  <c r="M37" i="23"/>
  <c r="M30" i="23"/>
  <c r="M27" i="23"/>
  <c r="M26" i="23"/>
  <c r="M25" i="23"/>
  <c r="M22" i="23"/>
  <c r="M21" i="23"/>
  <c r="M20" i="23"/>
  <c r="L21" i="32" l="1"/>
  <c r="K94" i="23" l="1"/>
  <c r="K93" i="23"/>
  <c r="I94" i="23"/>
  <c r="I93" i="23"/>
  <c r="G94" i="23"/>
  <c r="G93" i="23"/>
  <c r="E94" i="23"/>
  <c r="E93" i="23"/>
  <c r="AF93" i="23" l="1"/>
  <c r="AF94" i="23"/>
  <c r="AC96" i="23"/>
  <c r="AC79" i="23"/>
  <c r="AC86" i="23" s="1"/>
  <c r="AC61" i="23"/>
  <c r="AC31" i="23"/>
  <c r="AC28" i="23"/>
  <c r="AC23" i="23"/>
  <c r="AA23" i="23"/>
  <c r="AA28" i="23"/>
  <c r="AA31" i="23"/>
  <c r="AA61" i="23"/>
  <c r="AA79" i="23"/>
  <c r="AA86" i="23" s="1"/>
  <c r="AA96" i="23"/>
  <c r="AC33" i="23" l="1"/>
  <c r="AC65" i="23" s="1"/>
  <c r="AC89" i="23" s="1"/>
  <c r="AC101" i="23" s="1"/>
  <c r="AC103" i="23" s="1"/>
  <c r="AA33" i="23"/>
  <c r="AA65" i="23" s="1"/>
  <c r="AA89" i="23" s="1"/>
  <c r="AA101" i="23" s="1"/>
  <c r="AA103" i="23" s="1"/>
  <c r="AD15" i="24"/>
  <c r="AJ15" i="24" s="1"/>
  <c r="AL15" i="24" s="1"/>
  <c r="AD15" i="25" l="1"/>
  <c r="AJ15" i="25" s="1"/>
  <c r="AL15" i="25" s="1"/>
  <c r="J115" i="19" l="1"/>
  <c r="H115" i="19"/>
  <c r="F115" i="19"/>
  <c r="J114" i="19"/>
  <c r="H114" i="19"/>
  <c r="F114" i="19"/>
  <c r="D115" i="19"/>
  <c r="D114" i="19"/>
  <c r="AB117" i="19"/>
  <c r="AB101" i="19"/>
  <c r="AB108" i="19" s="1"/>
  <c r="AB83" i="19"/>
  <c r="AB39" i="19"/>
  <c r="AB36" i="19"/>
  <c r="AB29" i="19"/>
  <c r="AE114" i="19" l="1"/>
  <c r="AE115" i="19"/>
  <c r="AB41" i="19"/>
  <c r="AB87" i="19"/>
  <c r="AB111" i="19" s="1"/>
  <c r="AB121" i="19" s="1"/>
  <c r="AB123" i="19" s="1"/>
  <c r="AC14" i="20"/>
  <c r="AI14" i="20" s="1"/>
  <c r="AK14" i="20" s="1"/>
  <c r="AI14" i="21" l="1"/>
  <c r="AK14" i="21" s="1"/>
  <c r="AC85" i="21"/>
  <c r="R34" i="11" s="1"/>
  <c r="AC14" i="21"/>
  <c r="K135" i="17" l="1"/>
  <c r="K134" i="17"/>
  <c r="K126" i="17"/>
  <c r="K125" i="17"/>
  <c r="K123" i="17"/>
  <c r="K122" i="17"/>
  <c r="K121" i="17"/>
  <c r="K118" i="17"/>
  <c r="K117" i="17"/>
  <c r="K116" i="17"/>
  <c r="K115" i="17"/>
  <c r="K114" i="17"/>
  <c r="K113" i="17"/>
  <c r="K111" i="17"/>
  <c r="K110" i="17"/>
  <c r="K109" i="17"/>
  <c r="K103" i="17"/>
  <c r="K100" i="17"/>
  <c r="K98" i="17"/>
  <c r="K97" i="17"/>
  <c r="K96" i="17"/>
  <c r="K95" i="17"/>
  <c r="K94" i="17"/>
  <c r="K93" i="17"/>
  <c r="K92" i="17"/>
  <c r="K91" i="17"/>
  <c r="K90" i="17"/>
  <c r="K88" i="17"/>
  <c r="K87" i="17"/>
  <c r="K86" i="17"/>
  <c r="K85" i="17"/>
  <c r="K84" i="17"/>
  <c r="K83" i="17"/>
  <c r="K81" i="17"/>
  <c r="K80" i="17"/>
  <c r="K79" i="17"/>
  <c r="K78" i="17"/>
  <c r="K76" i="17"/>
  <c r="K75" i="17"/>
  <c r="K74" i="17"/>
  <c r="K73" i="17"/>
  <c r="K72" i="17"/>
  <c r="K71" i="17"/>
  <c r="K70" i="17"/>
  <c r="K69" i="17"/>
  <c r="K67" i="17"/>
  <c r="K66" i="17"/>
  <c r="K65" i="17"/>
  <c r="K64" i="17"/>
  <c r="K62" i="17"/>
  <c r="K61" i="17"/>
  <c r="K54" i="17"/>
  <c r="K53" i="17"/>
  <c r="K52" i="17"/>
  <c r="K51" i="17"/>
  <c r="K50" i="17"/>
  <c r="K49" i="17"/>
  <c r="K46" i="17"/>
  <c r="K45" i="17"/>
  <c r="K44" i="17"/>
  <c r="K43" i="17"/>
  <c r="K42" i="17"/>
  <c r="K39" i="17"/>
  <c r="K38" i="17"/>
  <c r="K37" i="17"/>
  <c r="K36" i="17"/>
  <c r="K35" i="17"/>
  <c r="K34" i="17"/>
  <c r="K33" i="17"/>
  <c r="K32" i="17"/>
  <c r="K29" i="17"/>
  <c r="K28" i="17"/>
  <c r="K27" i="17"/>
  <c r="K25" i="17"/>
  <c r="K24" i="17"/>
  <c r="K23" i="17"/>
  <c r="K22" i="17"/>
  <c r="K21" i="17"/>
  <c r="K126" i="16"/>
  <c r="K125" i="16"/>
  <c r="K123" i="16"/>
  <c r="K122" i="16"/>
  <c r="K121" i="16"/>
  <c r="K118" i="16"/>
  <c r="K117" i="16"/>
  <c r="K116" i="16"/>
  <c r="K115" i="16"/>
  <c r="K114" i="16"/>
  <c r="K113" i="16"/>
  <c r="K111" i="16"/>
  <c r="K110" i="16"/>
  <c r="K109" i="16"/>
  <c r="K103" i="16"/>
  <c r="K100" i="16"/>
  <c r="K98" i="16"/>
  <c r="K97" i="16"/>
  <c r="K96" i="16"/>
  <c r="K94" i="16"/>
  <c r="K93" i="16"/>
  <c r="K92" i="16"/>
  <c r="K91" i="16"/>
  <c r="K90" i="16"/>
  <c r="K88" i="16"/>
  <c r="K87" i="16"/>
  <c r="K86" i="16"/>
  <c r="K85" i="16"/>
  <c r="K84" i="16"/>
  <c r="K83" i="16"/>
  <c r="K81" i="16"/>
  <c r="K80" i="16"/>
  <c r="K79" i="16"/>
  <c r="K78" i="16"/>
  <c r="K76" i="16"/>
  <c r="K75" i="16"/>
  <c r="K74" i="16"/>
  <c r="K73" i="16"/>
  <c r="K72" i="16"/>
  <c r="K71" i="16"/>
  <c r="K70" i="16"/>
  <c r="K69" i="16"/>
  <c r="K67" i="16"/>
  <c r="K66" i="16"/>
  <c r="K65" i="16"/>
  <c r="K64" i="16"/>
  <c r="K62" i="16"/>
  <c r="K61" i="16"/>
  <c r="K54" i="16"/>
  <c r="K53" i="16"/>
  <c r="K52" i="16"/>
  <c r="K51" i="16"/>
  <c r="K50" i="16"/>
  <c r="K46" i="16"/>
  <c r="K45" i="16"/>
  <c r="K44" i="16"/>
  <c r="K43" i="16"/>
  <c r="K42" i="16"/>
  <c r="K39" i="16"/>
  <c r="K38" i="16"/>
  <c r="K37" i="16"/>
  <c r="K36" i="16"/>
  <c r="K35" i="16"/>
  <c r="K34" i="16"/>
  <c r="K33" i="16"/>
  <c r="K32" i="16"/>
  <c r="K29" i="16"/>
  <c r="K28" i="16"/>
  <c r="K27" i="16"/>
  <c r="K25" i="16"/>
  <c r="K24" i="16"/>
  <c r="K23" i="16"/>
  <c r="K22" i="16"/>
  <c r="K21" i="16"/>
  <c r="AJ31" i="15" l="1"/>
  <c r="L30" i="32"/>
  <c r="F60" i="35" l="1"/>
  <c r="A43" i="14" l="1"/>
  <c r="A43" i="13"/>
  <c r="O39" i="13" l="1"/>
  <c r="U39" i="14" l="1"/>
  <c r="U25" i="14"/>
  <c r="U22" i="14"/>
  <c r="U21" i="14"/>
  <c r="U20" i="14"/>
  <c r="K39" i="14"/>
  <c r="V41" i="11"/>
  <c r="T41" i="11"/>
  <c r="V33" i="11"/>
  <c r="V22" i="11"/>
  <c r="V23" i="11"/>
  <c r="V21" i="11"/>
  <c r="V20" i="11"/>
  <c r="K41" i="11"/>
  <c r="E48" i="8" l="1"/>
  <c r="A53" i="9" l="1"/>
  <c r="A52" i="8"/>
  <c r="K42" i="9"/>
  <c r="K41" i="9"/>
  <c r="K40" i="9"/>
  <c r="C33" i="14" l="1"/>
  <c r="C27" i="14"/>
  <c r="AD20" i="24" l="1"/>
  <c r="AD21" i="24"/>
  <c r="AD22" i="24"/>
  <c r="AD26" i="24"/>
  <c r="AD27" i="24"/>
  <c r="AD39" i="24"/>
  <c r="AD41" i="24"/>
  <c r="AD43" i="24"/>
  <c r="AD44" i="24"/>
  <c r="AD45" i="24"/>
  <c r="AD46" i="24"/>
  <c r="AD48" i="24"/>
  <c r="AD50" i="24"/>
  <c r="AD51" i="24"/>
  <c r="AD52" i="24"/>
  <c r="AD55" i="24"/>
  <c r="AD57" i="24"/>
  <c r="AD58" i="24"/>
  <c r="AD59" i="24"/>
  <c r="AD60" i="24"/>
  <c r="K92" i="23" l="1"/>
  <c r="K96" i="23" s="1"/>
  <c r="K84" i="23"/>
  <c r="K83" i="23"/>
  <c r="K82" i="23"/>
  <c r="K81" i="23"/>
  <c r="K78" i="23"/>
  <c r="K77" i="23"/>
  <c r="K76" i="23"/>
  <c r="K75" i="23"/>
  <c r="K74" i="23"/>
  <c r="K73" i="23"/>
  <c r="K71" i="23"/>
  <c r="K70" i="23"/>
  <c r="K69" i="23"/>
  <c r="K63" i="23"/>
  <c r="K60" i="23"/>
  <c r="K59" i="23"/>
  <c r="K58" i="23"/>
  <c r="K57" i="23"/>
  <c r="K56" i="23"/>
  <c r="K55" i="23"/>
  <c r="K54" i="23"/>
  <c r="K52" i="23"/>
  <c r="K51" i="23"/>
  <c r="K50" i="23"/>
  <c r="K49" i="23"/>
  <c r="K48" i="23"/>
  <c r="K46" i="23"/>
  <c r="K45" i="23"/>
  <c r="K44" i="23"/>
  <c r="K43" i="23"/>
  <c r="K42" i="23"/>
  <c r="K41" i="23"/>
  <c r="K39" i="23"/>
  <c r="K37" i="23"/>
  <c r="K30" i="23"/>
  <c r="K31" i="23" s="1"/>
  <c r="K27" i="23"/>
  <c r="K26" i="23"/>
  <c r="K25" i="23"/>
  <c r="K22" i="23"/>
  <c r="K21" i="23"/>
  <c r="K20" i="23"/>
  <c r="J18" i="19"/>
  <c r="H18" i="19"/>
  <c r="J82" i="19"/>
  <c r="J50" i="19"/>
  <c r="J49" i="19"/>
  <c r="J48" i="19"/>
  <c r="J47" i="19"/>
  <c r="J45" i="19"/>
  <c r="J35" i="19"/>
  <c r="J34" i="19"/>
  <c r="J33" i="19"/>
  <c r="J32" i="19"/>
  <c r="J31" i="19"/>
  <c r="J106" i="19"/>
  <c r="J105" i="19"/>
  <c r="J104" i="19"/>
  <c r="J103" i="19"/>
  <c r="J100" i="19"/>
  <c r="J99" i="19"/>
  <c r="J98" i="19"/>
  <c r="J97" i="19"/>
  <c r="J96" i="19"/>
  <c r="J95" i="19"/>
  <c r="J93" i="19"/>
  <c r="J92" i="19"/>
  <c r="J91" i="19"/>
  <c r="J85" i="19"/>
  <c r="J81" i="19"/>
  <c r="J80" i="19"/>
  <c r="J79" i="19"/>
  <c r="J78" i="19"/>
  <c r="J77" i="19"/>
  <c r="J76" i="19"/>
  <c r="J75" i="19"/>
  <c r="J74" i="19"/>
  <c r="J73" i="19"/>
  <c r="J72" i="19"/>
  <c r="J70" i="19"/>
  <c r="J69" i="19"/>
  <c r="J68" i="19"/>
  <c r="J67" i="19"/>
  <c r="J66" i="19"/>
  <c r="J65" i="19"/>
  <c r="J63" i="19"/>
  <c r="J62" i="19"/>
  <c r="J61" i="19"/>
  <c r="J60" i="19"/>
  <c r="J58" i="19"/>
  <c r="J57" i="19"/>
  <c r="J56" i="19"/>
  <c r="J55" i="19"/>
  <c r="J54" i="19"/>
  <c r="J53" i="19"/>
  <c r="J52" i="19"/>
  <c r="J38" i="19"/>
  <c r="J28" i="19"/>
  <c r="J27" i="19"/>
  <c r="J26" i="19"/>
  <c r="J25" i="19"/>
  <c r="J24" i="19"/>
  <c r="J23" i="19"/>
  <c r="J22" i="19"/>
  <c r="J21" i="19"/>
  <c r="K79" i="23" l="1"/>
  <c r="K86" i="23" s="1"/>
  <c r="I109" i="16"/>
  <c r="I114" i="16"/>
  <c r="I118" i="16"/>
  <c r="I110" i="16"/>
  <c r="I115" i="16"/>
  <c r="I111" i="16"/>
  <c r="I116" i="16"/>
  <c r="I113" i="16"/>
  <c r="I117" i="16"/>
  <c r="K28" i="23"/>
  <c r="K61" i="23"/>
  <c r="K23" i="23"/>
  <c r="K33" i="23" l="1"/>
  <c r="K65" i="23" s="1"/>
  <c r="K89" i="23" s="1"/>
  <c r="K101" i="23" s="1"/>
  <c r="H16" i="28" l="1"/>
  <c r="H23" i="28"/>
  <c r="C20" i="8" l="1"/>
  <c r="C21" i="8"/>
  <c r="C22" i="8"/>
  <c r="C23" i="8"/>
  <c r="C24" i="8"/>
  <c r="C29" i="8"/>
  <c r="C30" i="8"/>
  <c r="C31" i="8"/>
  <c r="C32" i="8"/>
  <c r="I135" i="17" l="1"/>
  <c r="I134" i="17"/>
  <c r="I126" i="17"/>
  <c r="I125" i="17"/>
  <c r="I123" i="17"/>
  <c r="I122" i="17"/>
  <c r="I121" i="17"/>
  <c r="I118" i="17"/>
  <c r="I117" i="17"/>
  <c r="I116" i="17"/>
  <c r="I115" i="17"/>
  <c r="I114" i="17"/>
  <c r="I113" i="17"/>
  <c r="I111" i="17"/>
  <c r="I110" i="17"/>
  <c r="I109" i="17"/>
  <c r="I103" i="17"/>
  <c r="I100" i="17"/>
  <c r="I99" i="17"/>
  <c r="I98" i="17"/>
  <c r="I97" i="17"/>
  <c r="I96" i="17"/>
  <c r="I95" i="17"/>
  <c r="I94" i="17"/>
  <c r="I93" i="17"/>
  <c r="I92" i="17"/>
  <c r="I91" i="17"/>
  <c r="I90" i="17"/>
  <c r="I88" i="17"/>
  <c r="I87" i="17"/>
  <c r="I86" i="17"/>
  <c r="I85" i="17"/>
  <c r="I84" i="17"/>
  <c r="I83" i="17"/>
  <c r="I81" i="17"/>
  <c r="I80" i="17"/>
  <c r="I79" i="17"/>
  <c r="I78" i="17"/>
  <c r="I76" i="17"/>
  <c r="I75" i="17"/>
  <c r="I74" i="17"/>
  <c r="I73" i="17"/>
  <c r="I72" i="17"/>
  <c r="I71" i="17"/>
  <c r="I70" i="17"/>
  <c r="I69" i="17"/>
  <c r="I67" i="17"/>
  <c r="I66" i="17"/>
  <c r="I65" i="17"/>
  <c r="I64" i="17"/>
  <c r="I62" i="17"/>
  <c r="I61" i="17"/>
  <c r="I54" i="17"/>
  <c r="I53" i="17"/>
  <c r="I52" i="17"/>
  <c r="I51" i="17"/>
  <c r="I50" i="17"/>
  <c r="I49" i="17"/>
  <c r="I46" i="17"/>
  <c r="I45" i="17"/>
  <c r="I44" i="17"/>
  <c r="I43" i="17"/>
  <c r="I42" i="17"/>
  <c r="I39" i="17"/>
  <c r="I38" i="17"/>
  <c r="I37" i="17"/>
  <c r="I36" i="17"/>
  <c r="I35" i="17"/>
  <c r="I34" i="17"/>
  <c r="I33" i="17"/>
  <c r="I32" i="17"/>
  <c r="I29" i="17"/>
  <c r="I28" i="17"/>
  <c r="I27" i="17"/>
  <c r="I25" i="17"/>
  <c r="I24" i="17"/>
  <c r="I23" i="17"/>
  <c r="I22" i="17"/>
  <c r="I21" i="17"/>
  <c r="I126" i="16"/>
  <c r="I125" i="16"/>
  <c r="I123" i="16"/>
  <c r="I122" i="16"/>
  <c r="I121" i="16"/>
  <c r="I103" i="16"/>
  <c r="I100" i="16"/>
  <c r="I99" i="16"/>
  <c r="I98" i="16"/>
  <c r="I97" i="16"/>
  <c r="I96" i="16"/>
  <c r="I95" i="16"/>
  <c r="I94" i="16"/>
  <c r="I93" i="16"/>
  <c r="I92" i="16"/>
  <c r="I91" i="16"/>
  <c r="I90" i="16"/>
  <c r="I88" i="16"/>
  <c r="I87" i="16"/>
  <c r="I86" i="16"/>
  <c r="I85" i="16"/>
  <c r="I84" i="16"/>
  <c r="I83" i="16"/>
  <c r="I81" i="16"/>
  <c r="I80" i="16"/>
  <c r="I79" i="16"/>
  <c r="I78" i="16"/>
  <c r="I76" i="16"/>
  <c r="I75" i="16"/>
  <c r="I74" i="16"/>
  <c r="I73" i="16"/>
  <c r="I72" i="16"/>
  <c r="I71" i="16"/>
  <c r="I70" i="16"/>
  <c r="I69" i="16"/>
  <c r="I67" i="16"/>
  <c r="I66" i="16"/>
  <c r="I65" i="16"/>
  <c r="I64" i="16"/>
  <c r="I62" i="16"/>
  <c r="I61" i="16"/>
  <c r="I54" i="16"/>
  <c r="I53" i="16"/>
  <c r="I52" i="16"/>
  <c r="I51" i="16"/>
  <c r="I50" i="16"/>
  <c r="I46" i="16"/>
  <c r="I45" i="16"/>
  <c r="I44" i="16"/>
  <c r="I43" i="16"/>
  <c r="I42" i="16"/>
  <c r="I39" i="16"/>
  <c r="I38" i="16"/>
  <c r="I37" i="16"/>
  <c r="I36" i="16"/>
  <c r="I35" i="16"/>
  <c r="I34" i="16"/>
  <c r="I33" i="16"/>
  <c r="I32" i="16"/>
  <c r="I29" i="16"/>
  <c r="I28" i="16"/>
  <c r="I27" i="16"/>
  <c r="I25" i="16"/>
  <c r="I24" i="16"/>
  <c r="I23" i="16"/>
  <c r="I22" i="16"/>
  <c r="I21" i="16"/>
  <c r="G138" i="16" l="1"/>
  <c r="J57" i="2"/>
  <c r="I40" i="13" l="1"/>
  <c r="AJ35" i="17" l="1"/>
  <c r="AJ35" i="16"/>
  <c r="K85" i="30" l="1"/>
  <c r="F16" i="22" l="1"/>
  <c r="F23" i="22" l="1"/>
  <c r="F20" i="22"/>
  <c r="AM24" i="19" l="1"/>
  <c r="G111" i="19" l="1"/>
  <c r="AA39" i="27" l="1"/>
  <c r="AA26" i="27"/>
  <c r="I92" i="23" l="1"/>
  <c r="I96" i="23" s="1"/>
  <c r="I84" i="23"/>
  <c r="I83" i="23"/>
  <c r="I82" i="23"/>
  <c r="I81" i="23"/>
  <c r="I78" i="23"/>
  <c r="I77" i="23"/>
  <c r="I76" i="23"/>
  <c r="I75" i="23"/>
  <c r="I74" i="23"/>
  <c r="I73" i="23"/>
  <c r="I71" i="23"/>
  <c r="I70" i="23"/>
  <c r="I69" i="23"/>
  <c r="I63" i="23"/>
  <c r="I60" i="23"/>
  <c r="I59" i="23"/>
  <c r="I58" i="23"/>
  <c r="I57" i="23"/>
  <c r="I56" i="23"/>
  <c r="I55" i="23"/>
  <c r="I54" i="23"/>
  <c r="I52" i="23"/>
  <c r="I51" i="23"/>
  <c r="I50" i="23"/>
  <c r="I49" i="23"/>
  <c r="I48" i="23"/>
  <c r="I46" i="23"/>
  <c r="I45" i="23"/>
  <c r="I44" i="23"/>
  <c r="I43" i="23"/>
  <c r="I42" i="23"/>
  <c r="I41" i="23"/>
  <c r="I39" i="23"/>
  <c r="I37" i="23"/>
  <c r="I30" i="23"/>
  <c r="I31" i="23" s="1"/>
  <c r="I27" i="23"/>
  <c r="I26" i="23"/>
  <c r="I25" i="23"/>
  <c r="I22" i="23"/>
  <c r="I21" i="23"/>
  <c r="I20" i="23"/>
  <c r="I28" i="23" l="1"/>
  <c r="I79" i="23"/>
  <c r="I86" i="23" s="1"/>
  <c r="I61" i="23"/>
  <c r="I23" i="23"/>
  <c r="I33" i="23" l="1"/>
  <c r="I65" i="23" s="1"/>
  <c r="I89" i="23" s="1"/>
  <c r="H106" i="19" l="1"/>
  <c r="H105" i="19"/>
  <c r="H104" i="19"/>
  <c r="H103" i="19"/>
  <c r="H91" i="19"/>
  <c r="H92" i="19"/>
  <c r="H93" i="19"/>
  <c r="H95" i="19"/>
  <c r="H96" i="19"/>
  <c r="H97" i="19"/>
  <c r="H98" i="19"/>
  <c r="H99" i="19"/>
  <c r="H100" i="19"/>
  <c r="H85" i="19"/>
  <c r="H82" i="19"/>
  <c r="H81" i="19"/>
  <c r="H80" i="19"/>
  <c r="H79" i="19"/>
  <c r="H78" i="19"/>
  <c r="H77" i="19"/>
  <c r="H76" i="19"/>
  <c r="H75" i="19"/>
  <c r="H74" i="19"/>
  <c r="H73" i="19"/>
  <c r="H72" i="19"/>
  <c r="H70" i="19"/>
  <c r="H69" i="19"/>
  <c r="H68" i="19"/>
  <c r="H67" i="19"/>
  <c r="H66" i="19"/>
  <c r="H65" i="19"/>
  <c r="H63" i="19"/>
  <c r="H62" i="19"/>
  <c r="H61" i="19"/>
  <c r="H60" i="19"/>
  <c r="H58" i="19"/>
  <c r="H57" i="19"/>
  <c r="H56" i="19"/>
  <c r="H55" i="19"/>
  <c r="H54" i="19"/>
  <c r="H53" i="19"/>
  <c r="H52" i="19"/>
  <c r="H50" i="19"/>
  <c r="H49" i="19"/>
  <c r="H48" i="19"/>
  <c r="H47" i="19"/>
  <c r="H45" i="19"/>
  <c r="H38" i="19"/>
  <c r="H35" i="19"/>
  <c r="H34" i="19"/>
  <c r="H33" i="19"/>
  <c r="H32" i="19"/>
  <c r="H31" i="19"/>
  <c r="H28" i="19"/>
  <c r="H27" i="19"/>
  <c r="H26" i="19"/>
  <c r="H25" i="19"/>
  <c r="H24" i="19"/>
  <c r="H23" i="19"/>
  <c r="H22" i="19"/>
  <c r="H21" i="19"/>
  <c r="H36" i="19" l="1"/>
  <c r="G135" i="17"/>
  <c r="G134" i="17"/>
  <c r="G126" i="17"/>
  <c r="G125" i="17"/>
  <c r="G123" i="17"/>
  <c r="G122" i="17"/>
  <c r="G121" i="17"/>
  <c r="G118" i="17"/>
  <c r="G117" i="17"/>
  <c r="G116" i="17"/>
  <c r="G115" i="17"/>
  <c r="G114" i="17"/>
  <c r="G113" i="17"/>
  <c r="G111" i="17"/>
  <c r="G110" i="17"/>
  <c r="G109" i="17"/>
  <c r="G103" i="17"/>
  <c r="G100" i="17"/>
  <c r="G99" i="17"/>
  <c r="G98" i="17"/>
  <c r="G97" i="17"/>
  <c r="G96" i="17"/>
  <c r="G95" i="17"/>
  <c r="G94" i="17"/>
  <c r="G93" i="17"/>
  <c r="G92" i="17"/>
  <c r="G91" i="17"/>
  <c r="G90" i="17"/>
  <c r="G88" i="17"/>
  <c r="G87" i="17"/>
  <c r="G86" i="17"/>
  <c r="G85" i="17"/>
  <c r="G84" i="17"/>
  <c r="G83" i="17"/>
  <c r="G81" i="17"/>
  <c r="G80" i="17"/>
  <c r="G79" i="17"/>
  <c r="G78" i="17"/>
  <c r="G76" i="17"/>
  <c r="G75" i="17"/>
  <c r="G74" i="17"/>
  <c r="G73" i="17"/>
  <c r="G72" i="17"/>
  <c r="G71" i="17"/>
  <c r="G70" i="17"/>
  <c r="G69" i="17"/>
  <c r="G67" i="17"/>
  <c r="G66" i="17"/>
  <c r="G65" i="17"/>
  <c r="G64" i="17"/>
  <c r="G62" i="17"/>
  <c r="G61" i="17"/>
  <c r="G54" i="17"/>
  <c r="G53" i="17"/>
  <c r="G52" i="17"/>
  <c r="G51" i="17"/>
  <c r="G50" i="17"/>
  <c r="G49" i="17"/>
  <c r="E49" i="17"/>
  <c r="E50" i="17"/>
  <c r="E51" i="17"/>
  <c r="E52" i="17"/>
  <c r="E53" i="17"/>
  <c r="G46" i="17"/>
  <c r="G45" i="17"/>
  <c r="G44" i="17"/>
  <c r="G43" i="17"/>
  <c r="G42" i="17"/>
  <c r="G39" i="17"/>
  <c r="G38" i="17"/>
  <c r="G37" i="17"/>
  <c r="G36" i="17"/>
  <c r="G35" i="17"/>
  <c r="G34" i="17"/>
  <c r="G33" i="17"/>
  <c r="G32" i="17"/>
  <c r="G29" i="17"/>
  <c r="G28" i="17"/>
  <c r="G27" i="17"/>
  <c r="G25" i="17"/>
  <c r="G24" i="17"/>
  <c r="G23" i="17"/>
  <c r="G22" i="17"/>
  <c r="G21" i="17"/>
  <c r="G126" i="16"/>
  <c r="G125" i="16"/>
  <c r="G123" i="16"/>
  <c r="G122" i="16"/>
  <c r="G121" i="16"/>
  <c r="G118" i="16"/>
  <c r="G117" i="16"/>
  <c r="G116" i="16"/>
  <c r="G115" i="16"/>
  <c r="G114" i="16"/>
  <c r="G113" i="16"/>
  <c r="G111" i="16"/>
  <c r="G110" i="16"/>
  <c r="G109" i="16"/>
  <c r="G103" i="16"/>
  <c r="G100" i="16"/>
  <c r="G99" i="16"/>
  <c r="G98" i="16"/>
  <c r="G97" i="16"/>
  <c r="G96" i="16"/>
  <c r="G95" i="16"/>
  <c r="G94" i="16"/>
  <c r="G93" i="16"/>
  <c r="G92" i="16"/>
  <c r="G91" i="16"/>
  <c r="G90" i="16"/>
  <c r="G88" i="16"/>
  <c r="G87" i="16"/>
  <c r="G86" i="16"/>
  <c r="G85" i="16"/>
  <c r="G84" i="16"/>
  <c r="G83" i="16"/>
  <c r="G81" i="16"/>
  <c r="G80" i="16"/>
  <c r="G79" i="16"/>
  <c r="G78" i="16"/>
  <c r="G76" i="16"/>
  <c r="G75" i="16"/>
  <c r="G74" i="16"/>
  <c r="G73" i="16"/>
  <c r="G72" i="16"/>
  <c r="G71" i="16"/>
  <c r="G70" i="16"/>
  <c r="G69" i="16"/>
  <c r="G67" i="16"/>
  <c r="G66" i="16"/>
  <c r="G65" i="16"/>
  <c r="G64" i="16"/>
  <c r="G62" i="16"/>
  <c r="G61" i="16"/>
  <c r="G54" i="16"/>
  <c r="G53" i="16"/>
  <c r="G52" i="16"/>
  <c r="G51" i="16"/>
  <c r="G50" i="16"/>
  <c r="G46" i="16"/>
  <c r="G45" i="16"/>
  <c r="G44" i="16"/>
  <c r="G43" i="16"/>
  <c r="G42" i="16"/>
  <c r="G39" i="16"/>
  <c r="G38" i="16"/>
  <c r="G37" i="16"/>
  <c r="G36" i="16"/>
  <c r="G35" i="16"/>
  <c r="G34" i="16"/>
  <c r="G33" i="16"/>
  <c r="G32" i="16"/>
  <c r="G29" i="16"/>
  <c r="G28" i="16"/>
  <c r="G27" i="16"/>
  <c r="G25" i="16"/>
  <c r="G24" i="16"/>
  <c r="G23" i="16"/>
  <c r="G22" i="16"/>
  <c r="G21" i="16"/>
  <c r="C31" i="9" l="1"/>
  <c r="K138" i="30" l="1"/>
  <c r="F23" i="40" l="1"/>
  <c r="AC50" i="21"/>
  <c r="K41" i="10" l="1"/>
  <c r="I35" i="10"/>
  <c r="I27" i="10"/>
  <c r="I33" i="13"/>
  <c r="I27" i="13"/>
  <c r="O41" i="10" l="1"/>
  <c r="M41" i="10"/>
  <c r="I42" i="10"/>
  <c r="AK78" i="18"/>
  <c r="AC110" i="18" l="1"/>
  <c r="F90" i="18" l="1"/>
  <c r="F82" i="19" l="1"/>
  <c r="F75" i="19"/>
  <c r="D75" i="19"/>
  <c r="F103" i="19"/>
  <c r="F104" i="19"/>
  <c r="F105" i="19"/>
  <c r="F106" i="19"/>
  <c r="F95" i="19"/>
  <c r="F96" i="19"/>
  <c r="F97" i="19"/>
  <c r="F98" i="19"/>
  <c r="F99" i="19"/>
  <c r="F100" i="19"/>
  <c r="F93" i="19"/>
  <c r="F92" i="19"/>
  <c r="F91" i="19"/>
  <c r="F85" i="19"/>
  <c r="F81" i="19"/>
  <c r="F80" i="19"/>
  <c r="F79" i="19"/>
  <c r="F78" i="19"/>
  <c r="F77" i="19"/>
  <c r="F76" i="19"/>
  <c r="F74" i="19"/>
  <c r="F73" i="19"/>
  <c r="F72" i="19"/>
  <c r="F70" i="19"/>
  <c r="F69" i="19"/>
  <c r="F68" i="19"/>
  <c r="F67" i="19"/>
  <c r="F66" i="19"/>
  <c r="F65" i="19"/>
  <c r="F63" i="19"/>
  <c r="F62" i="19"/>
  <c r="F61" i="19"/>
  <c r="F60" i="19"/>
  <c r="F58" i="19"/>
  <c r="F57" i="19"/>
  <c r="F56" i="19"/>
  <c r="F55" i="19"/>
  <c r="F54" i="19"/>
  <c r="F53" i="19"/>
  <c r="F52" i="19"/>
  <c r="F50" i="19"/>
  <c r="F49" i="19"/>
  <c r="F48" i="19"/>
  <c r="F47" i="19"/>
  <c r="F45" i="19"/>
  <c r="F38" i="19"/>
  <c r="F31" i="19"/>
  <c r="F32" i="19"/>
  <c r="F33" i="19"/>
  <c r="F34" i="19"/>
  <c r="F35" i="19"/>
  <c r="F21" i="19"/>
  <c r="F22" i="19"/>
  <c r="F23" i="19"/>
  <c r="F24" i="19"/>
  <c r="F25" i="19"/>
  <c r="F26" i="19"/>
  <c r="F27" i="19"/>
  <c r="F28" i="19"/>
  <c r="F18" i="19"/>
  <c r="AE75" i="19" l="1"/>
  <c r="AA16" i="22"/>
  <c r="G92" i="23" l="1"/>
  <c r="G96" i="23" s="1"/>
  <c r="G84" i="23"/>
  <c r="G83" i="23"/>
  <c r="G82" i="23"/>
  <c r="G81" i="23"/>
  <c r="G78" i="23"/>
  <c r="E118" i="16" s="1"/>
  <c r="G77" i="23"/>
  <c r="E117" i="16" s="1"/>
  <c r="G76" i="23"/>
  <c r="E116" i="16" s="1"/>
  <c r="G75" i="23"/>
  <c r="E115" i="16" s="1"/>
  <c r="G74" i="23"/>
  <c r="E114" i="16" s="1"/>
  <c r="G73" i="23"/>
  <c r="E113" i="16" s="1"/>
  <c r="G71" i="23"/>
  <c r="E111" i="16" s="1"/>
  <c r="G70" i="23"/>
  <c r="E110" i="16" s="1"/>
  <c r="G69" i="23"/>
  <c r="E109" i="16" s="1"/>
  <c r="G63" i="23"/>
  <c r="G60" i="23"/>
  <c r="G59" i="23"/>
  <c r="G58" i="23"/>
  <c r="G57" i="23"/>
  <c r="G56" i="23"/>
  <c r="G55" i="23"/>
  <c r="G54" i="23"/>
  <c r="G52" i="23"/>
  <c r="G51" i="23"/>
  <c r="G50" i="23"/>
  <c r="G49" i="23"/>
  <c r="G48" i="23"/>
  <c r="G46" i="23"/>
  <c r="G45" i="23"/>
  <c r="G44" i="23"/>
  <c r="G43" i="23"/>
  <c r="G42" i="23"/>
  <c r="G41" i="23"/>
  <c r="G39" i="23"/>
  <c r="G37" i="23"/>
  <c r="G30" i="23"/>
  <c r="G31" i="23" s="1"/>
  <c r="G27" i="23"/>
  <c r="G26" i="23"/>
  <c r="G25" i="23"/>
  <c r="G22" i="23"/>
  <c r="G21" i="23"/>
  <c r="G20" i="23"/>
  <c r="G79" i="23" l="1"/>
  <c r="G86" i="23" s="1"/>
  <c r="G61" i="23"/>
  <c r="G28" i="23"/>
  <c r="G23" i="23"/>
  <c r="G33" i="23" l="1"/>
  <c r="G65" i="23" s="1"/>
  <c r="G89" i="23" s="1"/>
  <c r="G101" i="23" s="1"/>
  <c r="E47" i="39" l="1"/>
  <c r="E38" i="39"/>
  <c r="E22" i="39"/>
  <c r="E30" i="39" s="1"/>
  <c r="F44" i="40"/>
  <c r="F37" i="40"/>
  <c r="F17" i="40"/>
  <c r="E50" i="39" l="1"/>
  <c r="F25" i="40"/>
  <c r="F47" i="40" s="1"/>
  <c r="E135" i="17" l="1"/>
  <c r="E134" i="17"/>
  <c r="E126" i="17"/>
  <c r="E125" i="17"/>
  <c r="E123" i="17"/>
  <c r="E122" i="17"/>
  <c r="E121" i="17"/>
  <c r="E118" i="17"/>
  <c r="E117" i="17"/>
  <c r="E116" i="17"/>
  <c r="E115" i="17"/>
  <c r="E114" i="17"/>
  <c r="E113" i="17"/>
  <c r="E111" i="17"/>
  <c r="E110" i="17"/>
  <c r="E109" i="17"/>
  <c r="E103" i="17"/>
  <c r="E100" i="17"/>
  <c r="E99" i="17"/>
  <c r="E98" i="17"/>
  <c r="E97" i="17"/>
  <c r="E96" i="17"/>
  <c r="E95" i="17"/>
  <c r="E94" i="17"/>
  <c r="E93" i="17"/>
  <c r="E92" i="17"/>
  <c r="E91" i="17"/>
  <c r="E90" i="17"/>
  <c r="E88" i="17"/>
  <c r="E87" i="17"/>
  <c r="E86" i="17"/>
  <c r="E85" i="17"/>
  <c r="E84" i="17"/>
  <c r="E83" i="17"/>
  <c r="E81" i="17"/>
  <c r="E80" i="17"/>
  <c r="E79" i="17"/>
  <c r="E78" i="17"/>
  <c r="E76" i="17"/>
  <c r="E75" i="17"/>
  <c r="E74" i="17"/>
  <c r="E73" i="17"/>
  <c r="E72" i="17"/>
  <c r="E71" i="17"/>
  <c r="E70" i="17"/>
  <c r="E69" i="17"/>
  <c r="E67" i="17"/>
  <c r="E66" i="17"/>
  <c r="E65" i="17"/>
  <c r="E64" i="17"/>
  <c r="E62" i="17"/>
  <c r="E61" i="17"/>
  <c r="E54" i="17"/>
  <c r="E46" i="17"/>
  <c r="E45" i="17"/>
  <c r="E44" i="17"/>
  <c r="E43" i="17"/>
  <c r="E42" i="17"/>
  <c r="E39" i="17"/>
  <c r="E38" i="17"/>
  <c r="E37" i="17"/>
  <c r="E36" i="17"/>
  <c r="E35" i="17"/>
  <c r="E34" i="17"/>
  <c r="E33" i="17"/>
  <c r="E32" i="17"/>
  <c r="E29" i="17"/>
  <c r="E28" i="17"/>
  <c r="E27" i="17"/>
  <c r="E25" i="17"/>
  <c r="E24" i="17"/>
  <c r="E23" i="17"/>
  <c r="E22" i="17"/>
  <c r="E21" i="17"/>
  <c r="E126" i="16"/>
  <c r="E125" i="16"/>
  <c r="E123" i="16"/>
  <c r="E122" i="16"/>
  <c r="E121" i="16"/>
  <c r="E103" i="16"/>
  <c r="E100" i="16"/>
  <c r="E99" i="16"/>
  <c r="E98" i="16"/>
  <c r="E97" i="16"/>
  <c r="E96" i="16"/>
  <c r="E95" i="16"/>
  <c r="E94" i="16"/>
  <c r="E93" i="16"/>
  <c r="E92" i="16"/>
  <c r="E91" i="16"/>
  <c r="E90" i="16"/>
  <c r="E88" i="16"/>
  <c r="E87" i="16"/>
  <c r="E86" i="16"/>
  <c r="E85" i="16"/>
  <c r="E84" i="16"/>
  <c r="E83" i="16"/>
  <c r="E81" i="16"/>
  <c r="E80" i="16"/>
  <c r="E79" i="16"/>
  <c r="E78" i="16"/>
  <c r="E76" i="16"/>
  <c r="E75" i="16"/>
  <c r="E74" i="16"/>
  <c r="E73" i="16"/>
  <c r="E72" i="16"/>
  <c r="E71" i="16"/>
  <c r="E70" i="16"/>
  <c r="E69" i="16"/>
  <c r="E67" i="16"/>
  <c r="E66" i="16"/>
  <c r="E65" i="16"/>
  <c r="E64" i="16"/>
  <c r="E62" i="16"/>
  <c r="E61" i="16"/>
  <c r="E54" i="16"/>
  <c r="E53" i="16"/>
  <c r="E52" i="16"/>
  <c r="E51" i="16"/>
  <c r="E50" i="16"/>
  <c r="E46" i="16"/>
  <c r="E45" i="16"/>
  <c r="E44" i="16"/>
  <c r="E43" i="16"/>
  <c r="E42" i="16"/>
  <c r="E39" i="16"/>
  <c r="E38" i="16"/>
  <c r="E37" i="16"/>
  <c r="E36" i="16"/>
  <c r="E35" i="16"/>
  <c r="E34" i="16"/>
  <c r="E33" i="16"/>
  <c r="E32" i="16"/>
  <c r="E29" i="16"/>
  <c r="E28" i="16"/>
  <c r="E27" i="16"/>
  <c r="E25" i="16"/>
  <c r="E24" i="16"/>
  <c r="E23" i="16"/>
  <c r="E22" i="16"/>
  <c r="E21" i="16"/>
  <c r="C48" i="8" l="1"/>
  <c r="C95" i="17" l="1"/>
  <c r="K109" i="30" l="1"/>
  <c r="K107" i="30" l="1"/>
  <c r="C39" i="13" l="1"/>
  <c r="M39" i="13" s="1"/>
  <c r="M16" i="34" l="1"/>
  <c r="M45" i="34"/>
  <c r="E88" i="30" l="1"/>
  <c r="E20" i="13" l="1"/>
  <c r="E21" i="13"/>
  <c r="E22" i="13"/>
  <c r="E23" i="13"/>
  <c r="E24" i="13"/>
  <c r="M61" i="34" l="1"/>
  <c r="D37" i="40" l="1"/>
  <c r="D44" i="40"/>
  <c r="D23" i="40"/>
  <c r="D17" i="40"/>
  <c r="C47" i="39"/>
  <c r="C38" i="39"/>
  <c r="C22" i="39"/>
  <c r="C30" i="39" s="1"/>
  <c r="C50" i="39" l="1"/>
  <c r="C52" i="39" s="1"/>
  <c r="E12" i="39" s="1"/>
  <c r="E52" i="39" s="1"/>
  <c r="G52" i="39" s="1"/>
  <c r="I12" i="39" s="1"/>
  <c r="I52" i="39" s="1"/>
  <c r="D25" i="40"/>
  <c r="D47" i="40" s="1"/>
  <c r="D49" i="40" s="1"/>
  <c r="F13" i="40" s="1"/>
  <c r="F49" i="40" s="1"/>
  <c r="H13" i="40" s="1"/>
  <c r="H49" i="40" s="1"/>
  <c r="J13" i="40" s="1"/>
  <c r="J49" i="40" s="1"/>
  <c r="F101" i="19" l="1"/>
  <c r="F108" i="19" s="1"/>
  <c r="H101" i="19"/>
  <c r="H108" i="19" s="1"/>
  <c r="J101" i="19"/>
  <c r="J108" i="19" s="1"/>
  <c r="R101" i="19"/>
  <c r="R108" i="19" s="1"/>
  <c r="X101" i="19"/>
  <c r="X108" i="19" s="1"/>
  <c r="F83" i="19"/>
  <c r="H83" i="19"/>
  <c r="J83" i="19"/>
  <c r="R83" i="19"/>
  <c r="X83" i="19"/>
  <c r="F39" i="19"/>
  <c r="H39" i="19"/>
  <c r="J39" i="19"/>
  <c r="R39" i="19"/>
  <c r="X39" i="19"/>
  <c r="F36" i="19"/>
  <c r="J36" i="19"/>
  <c r="R36" i="19"/>
  <c r="X36" i="19"/>
  <c r="Z36" i="19"/>
  <c r="F29" i="19"/>
  <c r="H29" i="19"/>
  <c r="J29" i="19"/>
  <c r="R29" i="19"/>
  <c r="X29" i="19"/>
  <c r="Z29" i="19"/>
  <c r="X41" i="19" l="1"/>
  <c r="X87" i="19" s="1"/>
  <c r="X111" i="19" s="1"/>
  <c r="R41" i="19"/>
  <c r="R87" i="19" s="1"/>
  <c r="R111" i="19" s="1"/>
  <c r="J41" i="19"/>
  <c r="J87" i="19" s="1"/>
  <c r="J111" i="19" s="1"/>
  <c r="H41" i="19"/>
  <c r="H87" i="19" s="1"/>
  <c r="H111" i="19" s="1"/>
  <c r="F41" i="19"/>
  <c r="F87" i="19" s="1"/>
  <c r="F111" i="19" s="1"/>
  <c r="C35" i="17" l="1"/>
  <c r="AB35" i="17" l="1"/>
  <c r="AH35" i="17" s="1"/>
  <c r="D24" i="19"/>
  <c r="AC25" i="20"/>
  <c r="AI25" i="20" s="1"/>
  <c r="AK25" i="20" s="1"/>
  <c r="V31" i="15"/>
  <c r="X31" i="15"/>
  <c r="AH31" i="15" s="1"/>
  <c r="C35" i="16" l="1"/>
  <c r="AB35" i="16" s="1"/>
  <c r="AE24" i="19"/>
  <c r="AK24" i="19" s="1"/>
  <c r="AH35" i="16" l="1"/>
  <c r="P60" i="35" l="1"/>
  <c r="N60" i="35"/>
  <c r="L60" i="35"/>
  <c r="J60" i="35"/>
  <c r="H60" i="35"/>
  <c r="D60" i="35"/>
  <c r="R58" i="35"/>
  <c r="V58" i="35" s="1"/>
  <c r="R57" i="35"/>
  <c r="V57" i="35" s="1"/>
  <c r="R56" i="35"/>
  <c r="V56" i="35" s="1"/>
  <c r="R54" i="35"/>
  <c r="V54" i="35" s="1"/>
  <c r="R53" i="35"/>
  <c r="V53" i="35" s="1"/>
  <c r="R52" i="35"/>
  <c r="V52" i="35" s="1"/>
  <c r="R51" i="35"/>
  <c r="V51" i="35" s="1"/>
  <c r="R50" i="35"/>
  <c r="V50" i="35" s="1"/>
  <c r="R49" i="35"/>
  <c r="V49" i="35" s="1"/>
  <c r="R48" i="35"/>
  <c r="V48" i="35" s="1"/>
  <c r="R47" i="35"/>
  <c r="V47" i="35" s="1"/>
  <c r="R46" i="35"/>
  <c r="V46" i="35" s="1"/>
  <c r="R45" i="35"/>
  <c r="V45" i="35" s="1"/>
  <c r="R44" i="35"/>
  <c r="V44" i="35" s="1"/>
  <c r="R42" i="35"/>
  <c r="V42" i="35" s="1"/>
  <c r="R41" i="35"/>
  <c r="V41" i="35" s="1"/>
  <c r="R40" i="35"/>
  <c r="V40" i="35" s="1"/>
  <c r="R38" i="35"/>
  <c r="V38" i="35" s="1"/>
  <c r="R36" i="35"/>
  <c r="V36" i="35" s="1"/>
  <c r="R35" i="35"/>
  <c r="V35" i="35" s="1"/>
  <c r="R34" i="35"/>
  <c r="V34" i="35" s="1"/>
  <c r="R33" i="35"/>
  <c r="V33" i="35" s="1"/>
  <c r="R32" i="35"/>
  <c r="V32" i="35" s="1"/>
  <c r="R31" i="35"/>
  <c r="V31" i="35" s="1"/>
  <c r="R30" i="35"/>
  <c r="V30" i="35" s="1"/>
  <c r="R29" i="35"/>
  <c r="V29" i="35" s="1"/>
  <c r="R28" i="35"/>
  <c r="V28" i="35" s="1"/>
  <c r="R27" i="35"/>
  <c r="V27" i="35" s="1"/>
  <c r="R26" i="35"/>
  <c r="V26" i="35" s="1"/>
  <c r="R25" i="35"/>
  <c r="V25" i="35" s="1"/>
  <c r="R24" i="35"/>
  <c r="V24" i="35" s="1"/>
  <c r="R23" i="35"/>
  <c r="V23" i="35" s="1"/>
  <c r="R22" i="35"/>
  <c r="V22" i="35" s="1"/>
  <c r="R21" i="35"/>
  <c r="V21" i="35" s="1"/>
  <c r="R20" i="35"/>
  <c r="V20" i="35" s="1"/>
  <c r="R19" i="35"/>
  <c r="V19" i="35" s="1"/>
  <c r="R18" i="35"/>
  <c r="V18" i="35" s="1"/>
  <c r="R17" i="35"/>
  <c r="V17" i="35" s="1"/>
  <c r="R15" i="35"/>
  <c r="R60" i="35" l="1"/>
  <c r="V15" i="35"/>
  <c r="V60" i="35" s="1"/>
  <c r="S63" i="34" l="1"/>
  <c r="Q63" i="34"/>
  <c r="K63" i="34"/>
  <c r="I63" i="34"/>
  <c r="G63" i="34"/>
  <c r="E63" i="34"/>
  <c r="C63" i="34"/>
  <c r="M60" i="34"/>
  <c r="M57" i="34"/>
  <c r="M56" i="34"/>
  <c r="M53" i="34"/>
  <c r="M52" i="34"/>
  <c r="M51" i="34"/>
  <c r="M50" i="34"/>
  <c r="M49" i="34"/>
  <c r="M48" i="34"/>
  <c r="M43" i="34"/>
  <c r="M41" i="34"/>
  <c r="M39" i="34"/>
  <c r="M38" i="34"/>
  <c r="M35" i="34"/>
  <c r="M34" i="34"/>
  <c r="M31" i="34"/>
  <c r="M30" i="34"/>
  <c r="M29" i="34"/>
  <c r="M26" i="34"/>
  <c r="M23" i="34"/>
  <c r="M22" i="34"/>
  <c r="M21" i="34"/>
  <c r="M20" i="34"/>
  <c r="M19" i="34"/>
  <c r="Q12" i="34"/>
  <c r="K12" i="34"/>
  <c r="I12" i="34"/>
  <c r="K11" i="34"/>
  <c r="S11" i="34" s="1"/>
  <c r="M12" i="34" l="1"/>
  <c r="S12" i="34" s="1"/>
  <c r="M63" i="34"/>
  <c r="AA30" i="26" l="1"/>
  <c r="Y96" i="23" l="1"/>
  <c r="Y79" i="23"/>
  <c r="Y31" i="23"/>
  <c r="Y28" i="23" l="1"/>
  <c r="Y23" i="23"/>
  <c r="Y61" i="23"/>
  <c r="Y86" i="23"/>
  <c r="AC48" i="20"/>
  <c r="Y33" i="23" l="1"/>
  <c r="Y65" i="23" s="1"/>
  <c r="Y89" i="23" s="1"/>
  <c r="Y101" i="23" s="1"/>
  <c r="AD11" i="2" l="1"/>
  <c r="U40" i="41" l="1"/>
  <c r="K151" i="30" l="1"/>
  <c r="K150" i="30"/>
  <c r="K148" i="30"/>
  <c r="K147" i="30"/>
  <c r="K146" i="30"/>
  <c r="K145" i="30"/>
  <c r="K149" i="30"/>
  <c r="K144" i="30"/>
  <c r="K143" i="30"/>
  <c r="K142" i="30"/>
  <c r="K141" i="30"/>
  <c r="K140" i="30"/>
  <c r="K139" i="30"/>
  <c r="K137" i="30"/>
  <c r="K132" i="30"/>
  <c r="K131" i="30"/>
  <c r="K130" i="30"/>
  <c r="K128" i="30"/>
  <c r="K127" i="30"/>
  <c r="K126" i="30"/>
  <c r="K125" i="30"/>
  <c r="K124" i="30"/>
  <c r="K123" i="30"/>
  <c r="K122" i="30"/>
  <c r="K121" i="30"/>
  <c r="K119" i="30"/>
  <c r="K118" i="30"/>
  <c r="K117" i="30"/>
  <c r="K116" i="30"/>
  <c r="K115" i="30"/>
  <c r="K114" i="30"/>
  <c r="W96" i="23" l="1"/>
  <c r="W31" i="23"/>
  <c r="P17" i="2" s="1"/>
  <c r="W28" i="23"/>
  <c r="P16" i="2" s="1"/>
  <c r="W23" i="23" l="1"/>
  <c r="P15" i="2" s="1"/>
  <c r="W61" i="23"/>
  <c r="P18" i="2" s="1"/>
  <c r="W79" i="23"/>
  <c r="W86" i="23" s="1"/>
  <c r="W33" i="23" l="1"/>
  <c r="W65" i="23" s="1"/>
  <c r="W89" i="23" s="1"/>
  <c r="W101" i="23" s="1"/>
  <c r="E21" i="10" l="1"/>
  <c r="E23" i="10"/>
  <c r="AE70" i="17" l="1"/>
  <c r="C70" i="17"/>
  <c r="AB70" i="17" l="1"/>
  <c r="AH70" i="17" s="1"/>
  <c r="AJ70" i="17" s="1"/>
  <c r="AH52" i="19" l="1"/>
  <c r="D52" i="19"/>
  <c r="AE52" i="19" s="1"/>
  <c r="AC53" i="20"/>
  <c r="AI53" i="20" s="1"/>
  <c r="AK53" i="20" s="1"/>
  <c r="AE70" i="16" l="1"/>
  <c r="AK52" i="19"/>
  <c r="AM52" i="19" s="1"/>
  <c r="C70" i="16"/>
  <c r="AB70" i="16" s="1"/>
  <c r="N23" i="40"/>
  <c r="N17" i="40"/>
  <c r="AH70" i="16" l="1"/>
  <c r="AJ70" i="16" s="1"/>
  <c r="N44" i="40"/>
  <c r="L38" i="39"/>
  <c r="L47" i="39"/>
  <c r="L22" i="39"/>
  <c r="L30" i="39" l="1"/>
  <c r="L50" i="39" s="1"/>
  <c r="U96" i="24" l="1"/>
  <c r="U79" i="24"/>
  <c r="U86" i="24" s="1"/>
  <c r="U61" i="24"/>
  <c r="U31" i="24"/>
  <c r="U28" i="24"/>
  <c r="U23" i="24"/>
  <c r="U77" i="25"/>
  <c r="U61" i="25"/>
  <c r="U68" i="25" s="1"/>
  <c r="U43" i="25"/>
  <c r="U47" i="25" s="1"/>
  <c r="U96" i="23"/>
  <c r="U31" i="23"/>
  <c r="U28" i="23" l="1"/>
  <c r="U33" i="24"/>
  <c r="U65" i="24" s="1"/>
  <c r="U89" i="24" s="1"/>
  <c r="U101" i="24" s="1"/>
  <c r="U103" i="24" s="1"/>
  <c r="U61" i="23"/>
  <c r="U23" i="23"/>
  <c r="U71" i="25"/>
  <c r="U81" i="25" s="1"/>
  <c r="U83" i="25" s="1"/>
  <c r="U79" i="23"/>
  <c r="U86" i="23" s="1"/>
  <c r="U33" i="23" l="1"/>
  <c r="U65" i="23" s="1"/>
  <c r="U89" i="23" s="1"/>
  <c r="U101" i="23" s="1"/>
  <c r="AL51" i="25" l="1"/>
  <c r="X13" i="15" l="1"/>
  <c r="V13" i="15"/>
  <c r="R13" i="15"/>
  <c r="P13" i="15"/>
  <c r="N13" i="15"/>
  <c r="L13" i="15"/>
  <c r="J13" i="15"/>
  <c r="H13" i="15"/>
  <c r="AD12" i="15"/>
  <c r="X12" i="15"/>
  <c r="R12" i="15"/>
  <c r="N12" i="15"/>
  <c r="J12" i="15"/>
  <c r="AD56" i="24" l="1"/>
  <c r="AJ56" i="24" s="1"/>
  <c r="AL56" i="24" s="1"/>
  <c r="E56" i="23"/>
  <c r="AL39" i="25"/>
  <c r="AD39" i="25"/>
  <c r="AJ39" i="25" s="1"/>
  <c r="AF56" i="23" l="1"/>
  <c r="AL56" i="23" s="1"/>
  <c r="AN56" i="23" s="1"/>
  <c r="AC47" i="21"/>
  <c r="AC66" i="21" l="1"/>
  <c r="R30" i="20" l="1"/>
  <c r="AC22" i="21" l="1"/>
  <c r="AC122" i="18" l="1"/>
  <c r="AC123" i="18"/>
  <c r="AC124" i="18"/>
  <c r="S96" i="23" l="1"/>
  <c r="S31" i="23"/>
  <c r="AD30" i="24"/>
  <c r="S61" i="23" l="1"/>
  <c r="S28" i="23"/>
  <c r="S79" i="23"/>
  <c r="S86" i="23" s="1"/>
  <c r="S23" i="23"/>
  <c r="S33" i="23" l="1"/>
  <c r="S65" i="23" s="1"/>
  <c r="S89" i="23" s="1"/>
  <c r="S101" i="23" s="1"/>
  <c r="A39" i="12" l="1"/>
  <c r="K108" i="30" l="1"/>
  <c r="K105" i="30"/>
  <c r="C31" i="13" l="1"/>
  <c r="C32" i="13"/>
  <c r="E26" i="13"/>
  <c r="E30" i="13"/>
  <c r="E31" i="13"/>
  <c r="E32" i="13"/>
  <c r="Q96" i="23" l="1"/>
  <c r="Q31" i="23"/>
  <c r="Q23" i="23" l="1"/>
  <c r="Q28" i="23"/>
  <c r="Q61" i="23"/>
  <c r="Q79" i="23"/>
  <c r="Q86" i="23" s="1"/>
  <c r="Q33" i="23" l="1"/>
  <c r="Q65" i="23" s="1"/>
  <c r="Q89" i="23" s="1"/>
  <c r="Q101" i="23" s="1"/>
  <c r="AL74" i="25" l="1"/>
  <c r="AL64" i="25"/>
  <c r="AL65" i="25"/>
  <c r="AL63" i="25"/>
  <c r="AL58" i="25"/>
  <c r="AL59" i="25"/>
  <c r="AL55" i="25"/>
  <c r="AL53" i="25"/>
  <c r="AL40" i="25"/>
  <c r="AL38" i="25"/>
  <c r="AL37" i="25"/>
  <c r="AL32" i="25"/>
  <c r="AL33" i="25"/>
  <c r="AL34" i="25"/>
  <c r="AL31" i="25"/>
  <c r="AL25" i="25"/>
  <c r="AL26" i="25"/>
  <c r="AL27" i="25"/>
  <c r="AL28" i="25"/>
  <c r="AL29" i="25"/>
  <c r="AL24" i="25"/>
  <c r="AL22" i="25"/>
  <c r="AL20" i="25"/>
  <c r="AL92" i="24"/>
  <c r="AL82" i="24"/>
  <c r="AL83" i="24"/>
  <c r="AL81" i="24"/>
  <c r="AL73" i="24"/>
  <c r="AL42" i="24"/>
  <c r="AL25" i="24"/>
  <c r="AN25" i="23"/>
  <c r="AI32" i="22"/>
  <c r="AI33" i="22"/>
  <c r="AI34" i="22"/>
  <c r="AI35" i="22"/>
  <c r="AI36" i="22"/>
  <c r="AI31" i="22"/>
  <c r="AK84" i="21"/>
  <c r="AK76" i="21"/>
  <c r="AK52" i="21"/>
  <c r="AK49" i="21"/>
  <c r="AK44" i="21"/>
  <c r="AK45" i="21"/>
  <c r="AK46" i="21"/>
  <c r="AK43" i="21"/>
  <c r="AK36" i="21"/>
  <c r="AK37" i="21"/>
  <c r="AK38" i="21"/>
  <c r="AK39" i="21"/>
  <c r="AK40" i="21"/>
  <c r="AK35" i="21"/>
  <c r="AK28" i="21"/>
  <c r="AK29" i="21"/>
  <c r="AK30" i="21"/>
  <c r="AK31" i="21"/>
  <c r="AK27" i="21"/>
  <c r="AK23" i="21"/>
  <c r="AK24" i="21"/>
  <c r="AK25" i="21"/>
  <c r="AK20" i="21"/>
  <c r="AK27" i="20"/>
  <c r="AK126" i="18"/>
  <c r="AK51" i="18"/>
  <c r="AK49" i="18"/>
  <c r="AK43" i="18"/>
  <c r="AK36" i="18"/>
  <c r="AK35" i="18"/>
  <c r="AK33" i="18"/>
  <c r="AK31" i="18"/>
  <c r="AE94" i="17" l="1"/>
  <c r="AD53" i="15" l="1"/>
  <c r="AB53" i="15"/>
  <c r="R53" i="15"/>
  <c r="P53" i="15"/>
  <c r="N53" i="15"/>
  <c r="L53" i="15"/>
  <c r="J53" i="15"/>
  <c r="H53" i="15"/>
  <c r="F53" i="15"/>
  <c r="D53" i="15"/>
  <c r="X52" i="15"/>
  <c r="AH52" i="15" s="1"/>
  <c r="AJ52" i="15" s="1"/>
  <c r="V52" i="15"/>
  <c r="X51" i="15"/>
  <c r="AH51" i="15" s="1"/>
  <c r="AJ51" i="15" s="1"/>
  <c r="V51" i="15"/>
  <c r="X50" i="15"/>
  <c r="AH50" i="15" s="1"/>
  <c r="AJ50" i="15" s="1"/>
  <c r="V50" i="15"/>
  <c r="X49" i="15"/>
  <c r="AH49" i="15" s="1"/>
  <c r="AJ49" i="15" s="1"/>
  <c r="V49" i="15"/>
  <c r="X48" i="15"/>
  <c r="AH48" i="15" s="1"/>
  <c r="AJ48" i="15" s="1"/>
  <c r="V48" i="15"/>
  <c r="X47" i="15"/>
  <c r="AH47" i="15" s="1"/>
  <c r="V47" i="15"/>
  <c r="AD44" i="15"/>
  <c r="AB44" i="15"/>
  <c r="R44" i="15"/>
  <c r="P44" i="15"/>
  <c r="N44" i="15"/>
  <c r="L44" i="15"/>
  <c r="H44" i="15"/>
  <c r="F44" i="15"/>
  <c r="D44" i="15"/>
  <c r="X43" i="15"/>
  <c r="AH43" i="15" s="1"/>
  <c r="AJ43" i="15" s="1"/>
  <c r="V43" i="15"/>
  <c r="X42" i="15"/>
  <c r="AH42" i="15" s="1"/>
  <c r="AJ42" i="15" s="1"/>
  <c r="V42" i="15"/>
  <c r="X41" i="15"/>
  <c r="AH41" i="15" s="1"/>
  <c r="AJ41" i="15" s="1"/>
  <c r="V41" i="15"/>
  <c r="X40" i="15"/>
  <c r="AH40" i="15" s="1"/>
  <c r="AJ40" i="15" s="1"/>
  <c r="V40" i="15"/>
  <c r="X39" i="15"/>
  <c r="V39" i="15"/>
  <c r="AD36" i="15"/>
  <c r="AB36" i="15"/>
  <c r="R36" i="15"/>
  <c r="P36" i="15"/>
  <c r="N36" i="15"/>
  <c r="L36" i="15"/>
  <c r="J36" i="15"/>
  <c r="H36" i="15"/>
  <c r="F36" i="15"/>
  <c r="D36" i="15"/>
  <c r="X35" i="15"/>
  <c r="AH35" i="15" s="1"/>
  <c r="AJ35" i="15" s="1"/>
  <c r="V35" i="15"/>
  <c r="X34" i="15"/>
  <c r="AH34" i="15" s="1"/>
  <c r="AJ34" i="15" s="1"/>
  <c r="V34" i="15"/>
  <c r="X33" i="15"/>
  <c r="AH33" i="15" s="1"/>
  <c r="AJ33" i="15" s="1"/>
  <c r="V33" i="15"/>
  <c r="X32" i="15"/>
  <c r="AH32" i="15" s="1"/>
  <c r="AJ32" i="15" s="1"/>
  <c r="V32"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X16" i="15"/>
  <c r="V16" i="15"/>
  <c r="AD55" i="15" l="1"/>
  <c r="V44" i="15"/>
  <c r="X44" i="15"/>
  <c r="AH44" i="15" s="1"/>
  <c r="AJ44" i="15" s="1"/>
  <c r="H55" i="15"/>
  <c r="P55" i="15"/>
  <c r="J55" i="15"/>
  <c r="AB55" i="15"/>
  <c r="AH16" i="15"/>
  <c r="AJ16" i="15" s="1"/>
  <c r="L55" i="15"/>
  <c r="AH19" i="15"/>
  <c r="AJ19" i="15" s="1"/>
  <c r="N55" i="15"/>
  <c r="D55" i="15"/>
  <c r="F55" i="15"/>
  <c r="V21" i="15"/>
  <c r="V25" i="15" s="1"/>
  <c r="AH39" i="15"/>
  <c r="AJ39" i="15" s="1"/>
  <c r="V53" i="15"/>
  <c r="R55" i="15"/>
  <c r="V36" i="15"/>
  <c r="X21" i="15"/>
  <c r="X36" i="15"/>
  <c r="AH36" i="15" s="1"/>
  <c r="AJ36" i="15" s="1"/>
  <c r="X53" i="15"/>
  <c r="AH53" i="15" s="1"/>
  <c r="AJ53" i="15" s="1"/>
  <c r="V55" i="15" l="1"/>
  <c r="X25" i="15"/>
  <c r="AH21" i="15"/>
  <c r="AJ21" i="15" s="1"/>
  <c r="AH25" i="15" l="1"/>
  <c r="AJ25" i="15" s="1"/>
  <c r="X55" i="15"/>
  <c r="AH55" i="15" s="1"/>
  <c r="AJ55" i="15" s="1"/>
  <c r="O96" i="23" l="1"/>
  <c r="O31" i="23"/>
  <c r="O23" i="23" l="1"/>
  <c r="O28" i="23"/>
  <c r="O61" i="23"/>
  <c r="O79" i="23"/>
  <c r="O86" i="23" s="1"/>
  <c r="O33" i="23" l="1"/>
  <c r="O65" i="23" s="1"/>
  <c r="O89" i="23" s="1"/>
  <c r="AD47" i="26" l="1"/>
  <c r="AC19" i="18" l="1"/>
  <c r="AC20" i="18"/>
  <c r="AC21" i="18"/>
  <c r="AC22" i="18"/>
  <c r="AC23" i="18"/>
  <c r="AC25" i="18"/>
  <c r="AC26" i="18"/>
  <c r="AC27" i="18"/>
  <c r="AC30" i="18"/>
  <c r="AC32" i="18"/>
  <c r="AC34" i="18"/>
  <c r="AC39" i="18"/>
  <c r="AC40" i="18"/>
  <c r="AC41" i="18"/>
  <c r="AC42" i="18"/>
  <c r="AC47" i="18"/>
  <c r="AC48" i="18"/>
  <c r="AC50" i="18"/>
  <c r="AC22" i="20" l="1"/>
  <c r="M96" i="23" l="1"/>
  <c r="M31" i="23"/>
  <c r="M61" i="23" l="1"/>
  <c r="M28" i="23"/>
  <c r="M79" i="23"/>
  <c r="M86" i="23" s="1"/>
  <c r="M23" i="23"/>
  <c r="M33" i="23" l="1"/>
  <c r="M65" i="23" s="1"/>
  <c r="M89" i="23" s="1"/>
  <c r="M101" i="23" s="1"/>
  <c r="J33" i="28" l="1"/>
  <c r="C135" i="17" l="1"/>
  <c r="AC127" i="18"/>
  <c r="AI127" i="18" s="1"/>
  <c r="AK127" i="18" s="1"/>
  <c r="AC63" i="21" l="1"/>
  <c r="O42" i="11" l="1"/>
  <c r="Z12" i="43" l="1"/>
  <c r="Z15" i="43"/>
  <c r="Z16" i="43" s="1"/>
  <c r="B16" i="43"/>
  <c r="D16" i="43"/>
  <c r="F16" i="43"/>
  <c r="H16" i="43"/>
  <c r="J16" i="43"/>
  <c r="L16" i="43"/>
  <c r="N16" i="43"/>
  <c r="P16" i="43"/>
  <c r="R16" i="43"/>
  <c r="T16" i="43"/>
  <c r="V16" i="43"/>
  <c r="X16" i="43"/>
  <c r="Z21" i="43"/>
  <c r="Z31" i="43"/>
  <c r="Z20" i="43"/>
  <c r="Z23" i="43"/>
  <c r="Z24" i="43"/>
  <c r="Z25" i="43"/>
  <c r="Z26" i="43"/>
  <c r="Z27" i="43"/>
  <c r="Z28" i="43"/>
  <c r="Z29" i="43"/>
  <c r="Z35" i="43"/>
  <c r="Z36" i="43" s="1"/>
  <c r="B36" i="43"/>
  <c r="D36" i="43"/>
  <c r="F36" i="43"/>
  <c r="H36" i="43"/>
  <c r="J36" i="43"/>
  <c r="L36" i="43"/>
  <c r="N36" i="43"/>
  <c r="P36" i="43"/>
  <c r="R36" i="43"/>
  <c r="T36" i="43"/>
  <c r="V36" i="43"/>
  <c r="X36" i="43"/>
  <c r="Z32" i="43" l="1"/>
  <c r="Z38" i="43" s="1"/>
  <c r="Z40" i="43" s="1"/>
  <c r="V38" i="43"/>
  <c r="F38" i="43"/>
  <c r="R38" i="43"/>
  <c r="J38" i="43"/>
  <c r="B38" i="43"/>
  <c r="B40" i="43" s="1"/>
  <c r="D12" i="43" s="1"/>
  <c r="N38" i="43"/>
  <c r="T38" i="43"/>
  <c r="L38" i="43"/>
  <c r="D38" i="43"/>
  <c r="X38" i="43"/>
  <c r="X40" i="43" s="1"/>
  <c r="P38" i="43"/>
  <c r="H38" i="43"/>
  <c r="D40" i="43" l="1"/>
  <c r="F12" i="43" l="1"/>
  <c r="F40" i="43" s="1"/>
  <c r="AD66" i="25"/>
  <c r="H12" i="43" l="1"/>
  <c r="H40" i="43" s="1"/>
  <c r="F23" i="26"/>
  <c r="J12" i="43" l="1"/>
  <c r="J40" i="43" s="1"/>
  <c r="I152" i="30"/>
  <c r="G152" i="30"/>
  <c r="E152" i="30"/>
  <c r="C152" i="30"/>
  <c r="L12" i="43" l="1"/>
  <c r="L40" i="43" s="1"/>
  <c r="E57" i="23"/>
  <c r="AF57" i="23"/>
  <c r="AL57" i="23" s="1"/>
  <c r="AN57" i="23" s="1"/>
  <c r="N12" i="43" l="1"/>
  <c r="N40" i="43" s="1"/>
  <c r="AJ57" i="24"/>
  <c r="AL57" i="24" s="1"/>
  <c r="P12" i="43" l="1"/>
  <c r="P40" i="43" s="1"/>
  <c r="AC42" i="21"/>
  <c r="AI50" i="21"/>
  <c r="AK50" i="21" s="1"/>
  <c r="H53" i="21"/>
  <c r="R12" i="43" l="1"/>
  <c r="R40" i="43" s="1"/>
  <c r="T40" i="43" s="1"/>
  <c r="V40" i="43" s="1"/>
  <c r="AA32" i="26"/>
  <c r="AA63" i="22" l="1"/>
  <c r="AD65" i="22" l="1"/>
  <c r="AD55" i="22"/>
  <c r="AD23" i="22"/>
  <c r="AD20" i="22"/>
  <c r="AD43" i="22"/>
  <c r="AD25" i="22" l="1"/>
  <c r="AD47" i="22" s="1"/>
  <c r="AD58" i="22" l="1"/>
  <c r="AD70" i="22" s="1"/>
  <c r="AD73" i="22" l="1"/>
  <c r="D24" i="18" l="1"/>
  <c r="D28" i="18" s="1"/>
  <c r="P27" i="11" l="1"/>
  <c r="N27" i="11"/>
  <c r="E27" i="11"/>
  <c r="C27" i="11"/>
  <c r="C35" i="11"/>
  <c r="E35" i="11"/>
  <c r="N35" i="11"/>
  <c r="P35" i="11"/>
  <c r="E39" i="11" l="1"/>
  <c r="AC115" i="20"/>
  <c r="J51" i="3" l="1"/>
  <c r="G26" i="11"/>
  <c r="D37" i="18"/>
  <c r="I26" i="11" l="1"/>
  <c r="K26" i="11"/>
  <c r="C20" i="10"/>
  <c r="C21" i="10"/>
  <c r="C22" i="10"/>
  <c r="C23" i="10"/>
  <c r="C24" i="10"/>
  <c r="C25" i="10"/>
  <c r="C26" i="10"/>
  <c r="C30" i="10"/>
  <c r="C31" i="10"/>
  <c r="C32" i="10"/>
  <c r="C34" i="10"/>
  <c r="E20" i="10"/>
  <c r="E22" i="10"/>
  <c r="E24" i="10"/>
  <c r="E25" i="10"/>
  <c r="E26" i="10"/>
  <c r="E30" i="10"/>
  <c r="E31" i="10"/>
  <c r="E32" i="10"/>
  <c r="E34" i="10"/>
  <c r="G86" i="4"/>
  <c r="E86" i="4"/>
  <c r="C20" i="7" l="1"/>
  <c r="D17" i="29"/>
  <c r="X65" i="22" l="1"/>
  <c r="X55" i="22"/>
  <c r="X43" i="22"/>
  <c r="X23" i="22"/>
  <c r="X20" i="22"/>
  <c r="V65" i="22"/>
  <c r="V55" i="22"/>
  <c r="V43" i="22"/>
  <c r="V23" i="22"/>
  <c r="V20" i="22"/>
  <c r="T65" i="22"/>
  <c r="T55" i="22"/>
  <c r="T43" i="22"/>
  <c r="L18" i="2" s="1"/>
  <c r="T23" i="22"/>
  <c r="L17" i="2" s="1"/>
  <c r="T20" i="22"/>
  <c r="L15" i="2" s="1"/>
  <c r="R65" i="22"/>
  <c r="R55" i="22"/>
  <c r="R43" i="22"/>
  <c r="R23" i="22"/>
  <c r="R20" i="22"/>
  <c r="P65" i="22"/>
  <c r="P55" i="22"/>
  <c r="P43" i="22"/>
  <c r="P23" i="22"/>
  <c r="P20" i="22"/>
  <c r="N65" i="22"/>
  <c r="N55" i="22"/>
  <c r="N43" i="22"/>
  <c r="N23" i="22"/>
  <c r="N20" i="22"/>
  <c r="L65" i="22"/>
  <c r="L55" i="22"/>
  <c r="L43" i="22"/>
  <c r="L23" i="22"/>
  <c r="L20" i="22"/>
  <c r="J65" i="22"/>
  <c r="J55" i="22"/>
  <c r="J43" i="22"/>
  <c r="J23" i="22"/>
  <c r="J20" i="22"/>
  <c r="H65" i="22"/>
  <c r="H55" i="22"/>
  <c r="H43" i="22"/>
  <c r="H23" i="22"/>
  <c r="H20" i="22"/>
  <c r="F65" i="22"/>
  <c r="F55" i="22"/>
  <c r="F43" i="22"/>
  <c r="L25" i="22" l="1"/>
  <c r="L47" i="22" s="1"/>
  <c r="L58" i="22" s="1"/>
  <c r="L70" i="22" s="1"/>
  <c r="J25" i="22"/>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J47" i="22" l="1"/>
  <c r="J58" i="22" s="1"/>
  <c r="J70" i="22" s="1"/>
  <c r="K82" i="30"/>
  <c r="K84" i="30" l="1"/>
  <c r="L12" i="39" l="1"/>
  <c r="AD74" i="24" l="1"/>
  <c r="E40" i="7" l="1"/>
  <c r="C40" i="7"/>
  <c r="G25" i="14" l="1"/>
  <c r="K25" i="14" l="1"/>
  <c r="G25" i="13"/>
  <c r="G40" i="7"/>
  <c r="K40" i="7" s="1"/>
  <c r="Y138" i="16"/>
  <c r="I40" i="7" l="1"/>
  <c r="D51" i="2" l="1"/>
  <c r="K133" i="30"/>
  <c r="G98" i="30" l="1"/>
  <c r="K87" i="30" l="1"/>
  <c r="AC59" i="20" l="1"/>
  <c r="AI42" i="23" l="1"/>
  <c r="AN42" i="23" s="1"/>
  <c r="E42" i="23"/>
  <c r="AF42" i="23" s="1"/>
  <c r="AD25" i="25"/>
  <c r="AJ25" i="25" s="1"/>
  <c r="AD42" i="24"/>
  <c r="AJ42" i="24" s="1"/>
  <c r="AL42" i="23" l="1"/>
  <c r="M178" i="42" l="1"/>
  <c r="AD41" i="2" l="1"/>
  <c r="AA44" i="3"/>
  <c r="AA36" i="3"/>
  <c r="AD75" i="24" l="1"/>
  <c r="E32" i="12" l="1"/>
  <c r="AC85" i="18"/>
  <c r="AI85" i="18" s="1"/>
  <c r="AK85" i="18" s="1"/>
  <c r="AC86" i="18"/>
  <c r="AI86" i="18" s="1"/>
  <c r="AK86" i="18" s="1"/>
  <c r="AE99" i="17"/>
  <c r="AE65" i="17"/>
  <c r="AA42" i="22" l="1"/>
  <c r="AG42" i="22" s="1"/>
  <c r="AI42" i="22" s="1"/>
  <c r="D43" i="22"/>
  <c r="B43" i="22"/>
  <c r="AA29" i="22"/>
  <c r="AG29" i="22" s="1"/>
  <c r="AI29" i="22" s="1"/>
  <c r="AE95" i="17" l="1"/>
  <c r="AC69" i="21" l="1"/>
  <c r="Y23" i="3" l="1"/>
  <c r="AN49" i="23" l="1"/>
  <c r="E49" i="23"/>
  <c r="AD32" i="25"/>
  <c r="AJ32" i="25" s="1"/>
  <c r="F49" i="23"/>
  <c r="AD49" i="24"/>
  <c r="AJ49" i="24" s="1"/>
  <c r="AL49" i="24" s="1"/>
  <c r="AF49" i="23" l="1"/>
  <c r="AL49" i="23" s="1"/>
  <c r="AC58" i="18"/>
  <c r="K113" i="30" l="1"/>
  <c r="AC70" i="18" l="1"/>
  <c r="K51" i="30"/>
  <c r="R84" i="20" l="1"/>
  <c r="P84" i="20" l="1"/>
  <c r="AH62" i="19"/>
  <c r="AH61" i="19"/>
  <c r="D62" i="19"/>
  <c r="AE62" i="19" s="1"/>
  <c r="D61" i="19"/>
  <c r="AE61" i="19" s="1"/>
  <c r="D60" i="19"/>
  <c r="AE60" i="19" s="1"/>
  <c r="AL25" i="23" l="1"/>
  <c r="E26" i="12" l="1"/>
  <c r="E36" i="12" s="1"/>
  <c r="C26" i="12"/>
  <c r="AG43" i="25"/>
  <c r="AA43" i="25"/>
  <c r="Y43" i="25"/>
  <c r="W43" i="25"/>
  <c r="S43" i="25"/>
  <c r="Q43" i="25"/>
  <c r="O43" i="25"/>
  <c r="M43" i="25"/>
  <c r="K43" i="25"/>
  <c r="I43" i="25"/>
  <c r="G43" i="25"/>
  <c r="E43" i="25"/>
  <c r="O27" i="14"/>
  <c r="M27" i="14"/>
  <c r="E27" i="14"/>
  <c r="A40" i="14" l="1"/>
  <c r="A40" i="13"/>
  <c r="A39" i="13"/>
  <c r="A42" i="11"/>
  <c r="A41" i="11"/>
  <c r="A42" i="10"/>
  <c r="A41" i="10"/>
  <c r="A49" i="9"/>
  <c r="A50" i="9"/>
  <c r="AD75" i="25" l="1"/>
  <c r="AJ75" i="25" s="1"/>
  <c r="AD74" i="25"/>
  <c r="Q31" i="14"/>
  <c r="U31" i="14" s="1"/>
  <c r="AD65" i="25"/>
  <c r="AD64" i="25"/>
  <c r="AD63" i="25"/>
  <c r="AD60" i="25"/>
  <c r="AL60" i="25" s="1"/>
  <c r="AD59" i="25"/>
  <c r="AD58" i="25"/>
  <c r="AD57" i="25"/>
  <c r="AD56" i="25"/>
  <c r="AD55" i="25"/>
  <c r="AD53" i="25"/>
  <c r="AD52" i="25"/>
  <c r="AD51" i="25"/>
  <c r="AD45" i="25"/>
  <c r="Q24" i="14" s="1"/>
  <c r="U24" i="14" s="1"/>
  <c r="AD42" i="25"/>
  <c r="AD41" i="25"/>
  <c r="AD40" i="25"/>
  <c r="AD38" i="25"/>
  <c r="AD37" i="25"/>
  <c r="AD35" i="25"/>
  <c r="AD34" i="25"/>
  <c r="AD33" i="25"/>
  <c r="AD31" i="25"/>
  <c r="AD29" i="25"/>
  <c r="AD28" i="25"/>
  <c r="AD27" i="25"/>
  <c r="AD26" i="25"/>
  <c r="AD24" i="25"/>
  <c r="AD22" i="25"/>
  <c r="AD20" i="25"/>
  <c r="AD94" i="24"/>
  <c r="G32" i="14" s="1"/>
  <c r="K32" i="14" s="1"/>
  <c r="AD92" i="24"/>
  <c r="AD84" i="24"/>
  <c r="AD83" i="24"/>
  <c r="AD82" i="24"/>
  <c r="AD81" i="24"/>
  <c r="AD78" i="24"/>
  <c r="AD77" i="24"/>
  <c r="AD76" i="24"/>
  <c r="AD73" i="24"/>
  <c r="AD71" i="24"/>
  <c r="AD70" i="24"/>
  <c r="AD69" i="24"/>
  <c r="AD63" i="24"/>
  <c r="AD54" i="24"/>
  <c r="AD25" i="24"/>
  <c r="AC76" i="21"/>
  <c r="AC75" i="21"/>
  <c r="R32" i="11" s="1"/>
  <c r="V32" i="11" s="1"/>
  <c r="AC74" i="21"/>
  <c r="AC73" i="21"/>
  <c r="AC70" i="21"/>
  <c r="AC68" i="21"/>
  <c r="AC67" i="21"/>
  <c r="AC65" i="21"/>
  <c r="AC62" i="21"/>
  <c r="AC61" i="21"/>
  <c r="AC52" i="21"/>
  <c r="AC51" i="21"/>
  <c r="AC49" i="21"/>
  <c r="AC48" i="21"/>
  <c r="AC46" i="21"/>
  <c r="AC45" i="21"/>
  <c r="AC44" i="21"/>
  <c r="AC43" i="21"/>
  <c r="AC40" i="21"/>
  <c r="AC39" i="21"/>
  <c r="AC38" i="21"/>
  <c r="AC37" i="21"/>
  <c r="AC36" i="21"/>
  <c r="AC35" i="21"/>
  <c r="AC33" i="21"/>
  <c r="AC32" i="21"/>
  <c r="AC31" i="21"/>
  <c r="AC30" i="21"/>
  <c r="AC29" i="21"/>
  <c r="AC28" i="21"/>
  <c r="AC27" i="21"/>
  <c r="AC25" i="21"/>
  <c r="AC24" i="21"/>
  <c r="AC23" i="21"/>
  <c r="AC20" i="21"/>
  <c r="G33" i="11"/>
  <c r="K33" i="11" s="1"/>
  <c r="AC106" i="20"/>
  <c r="G32" i="11" s="1"/>
  <c r="K32" i="11" s="1"/>
  <c r="AC104" i="20"/>
  <c r="AC101" i="20"/>
  <c r="AC100" i="20"/>
  <c r="AC99" i="20"/>
  <c r="AC98" i="20"/>
  <c r="AC97" i="20"/>
  <c r="AC96" i="20"/>
  <c r="AC94" i="20"/>
  <c r="AC93" i="20"/>
  <c r="AC92" i="20"/>
  <c r="AC86" i="20"/>
  <c r="G25" i="11" s="1"/>
  <c r="AC82" i="20"/>
  <c r="AC81" i="20"/>
  <c r="AC79" i="20"/>
  <c r="AI79" i="20" s="1"/>
  <c r="AK79" i="20" s="1"/>
  <c r="AC78" i="20"/>
  <c r="AC76" i="20"/>
  <c r="AC74" i="20"/>
  <c r="AC73" i="20"/>
  <c r="AC69" i="20"/>
  <c r="AC67" i="20"/>
  <c r="AI67" i="20" s="1"/>
  <c r="AK67" i="20" s="1"/>
  <c r="AC64" i="20"/>
  <c r="AC56" i="20"/>
  <c r="AC50" i="20"/>
  <c r="AC46" i="20"/>
  <c r="AC39" i="20"/>
  <c r="AC36" i="20"/>
  <c r="AC35" i="20"/>
  <c r="AC34" i="20"/>
  <c r="AC32" i="20"/>
  <c r="AC29" i="20"/>
  <c r="AC28" i="20"/>
  <c r="AC27" i="20"/>
  <c r="AC26" i="20"/>
  <c r="AC24" i="20"/>
  <c r="AC23" i="20"/>
  <c r="AC18" i="20"/>
  <c r="G20" i="11" s="1"/>
  <c r="AI54" i="23"/>
  <c r="Y47" i="17"/>
  <c r="W47" i="17"/>
  <c r="U47" i="17"/>
  <c r="S47" i="17"/>
  <c r="Q47" i="17"/>
  <c r="O47" i="17"/>
  <c r="AE28" i="16"/>
  <c r="C28" i="16"/>
  <c r="AE27" i="17"/>
  <c r="AE28" i="17"/>
  <c r="C28" i="17"/>
  <c r="C27" i="17"/>
  <c r="AE125" i="16"/>
  <c r="AE137" i="17"/>
  <c r="AE75" i="17"/>
  <c r="AE74" i="17"/>
  <c r="AE73" i="17"/>
  <c r="AE72" i="17"/>
  <c r="AE71" i="17"/>
  <c r="AE69" i="17"/>
  <c r="C75" i="17"/>
  <c r="C74" i="17"/>
  <c r="C73" i="17"/>
  <c r="C72" i="17"/>
  <c r="C71" i="17"/>
  <c r="AB71" i="17" s="1"/>
  <c r="C69" i="17"/>
  <c r="AE69" i="16"/>
  <c r="C69" i="16"/>
  <c r="AA36" i="22"/>
  <c r="AG36" i="22" s="1"/>
  <c r="AA35" i="22"/>
  <c r="AG35" i="22" s="1"/>
  <c r="AA34" i="22"/>
  <c r="AG34" i="22" s="1"/>
  <c r="AA33" i="22"/>
  <c r="AG33" i="22" s="1"/>
  <c r="AA32" i="22"/>
  <c r="AA31" i="22"/>
  <c r="AG31" i="22" s="1"/>
  <c r="AE53" i="17"/>
  <c r="AE52" i="17"/>
  <c r="D18" i="19"/>
  <c r="AE18" i="19" s="1"/>
  <c r="N53" i="21"/>
  <c r="N84" i="20"/>
  <c r="AE53" i="16"/>
  <c r="AE51" i="16"/>
  <c r="AE50" i="16"/>
  <c r="A6" i="10"/>
  <c r="C53" i="17"/>
  <c r="C52" i="17"/>
  <c r="C53" i="16"/>
  <c r="C51" i="16"/>
  <c r="C50" i="16"/>
  <c r="V34" i="11"/>
  <c r="AH82" i="19"/>
  <c r="AH81" i="19"/>
  <c r="AE99" i="16" s="1"/>
  <c r="AH80" i="19"/>
  <c r="AH79" i="19"/>
  <c r="AH78" i="19"/>
  <c r="AH77" i="19"/>
  <c r="AE95" i="16" s="1"/>
  <c r="AH76" i="19"/>
  <c r="AE94" i="16" s="1"/>
  <c r="AH75" i="19"/>
  <c r="AH74" i="19"/>
  <c r="AH73" i="19"/>
  <c r="AH72" i="19"/>
  <c r="AH70" i="19"/>
  <c r="AH69" i="19"/>
  <c r="AH68" i="19"/>
  <c r="AH67" i="19"/>
  <c r="AH66" i="19"/>
  <c r="AH65" i="19"/>
  <c r="AH63" i="19"/>
  <c r="AE73" i="16"/>
  <c r="AE72" i="16"/>
  <c r="AE65" i="16"/>
  <c r="AF30" i="20"/>
  <c r="AE9" i="21"/>
  <c r="AE9" i="20"/>
  <c r="I20" i="11" l="1"/>
  <c r="K20" i="11"/>
  <c r="I25" i="11"/>
  <c r="K25" i="11"/>
  <c r="G31" i="11"/>
  <c r="K31" i="11" s="1"/>
  <c r="R31" i="11"/>
  <c r="V31" i="11" s="1"/>
  <c r="C27" i="16"/>
  <c r="G24" i="14"/>
  <c r="K24" i="14" s="1"/>
  <c r="G26" i="14"/>
  <c r="G31" i="14"/>
  <c r="AJ94" i="24"/>
  <c r="AL94" i="24" s="1"/>
  <c r="AL75" i="25"/>
  <c r="Q32" i="14"/>
  <c r="AC53" i="21"/>
  <c r="R24" i="11" s="1"/>
  <c r="V24" i="11" s="1"/>
  <c r="AH83" i="19"/>
  <c r="N14" i="2"/>
  <c r="AI61" i="23"/>
  <c r="AE71" i="16"/>
  <c r="AE74" i="16"/>
  <c r="AG16" i="22"/>
  <c r="AI16" i="22" s="1"/>
  <c r="M26" i="17"/>
  <c r="M30" i="17" s="1"/>
  <c r="M40" i="17"/>
  <c r="M119" i="17"/>
  <c r="M128" i="17" s="1"/>
  <c r="M47" i="17"/>
  <c r="AD43" i="25"/>
  <c r="Q23" i="14" s="1"/>
  <c r="U23" i="14" s="1"/>
  <c r="M137" i="17"/>
  <c r="M101" i="17"/>
  <c r="M55" i="17"/>
  <c r="G20" i="12"/>
  <c r="AE75" i="16"/>
  <c r="AG32" i="22"/>
  <c r="AC116" i="20"/>
  <c r="G34" i="11" s="1"/>
  <c r="K34" i="11" s="1"/>
  <c r="AC84" i="21"/>
  <c r="AF28" i="18"/>
  <c r="AA17" i="3" s="1"/>
  <c r="AI32" i="21"/>
  <c r="AK32" i="21" s="1"/>
  <c r="K20" i="12" l="1"/>
  <c r="I20" i="12"/>
  <c r="G31" i="13"/>
  <c r="K31" i="14"/>
  <c r="G32" i="13"/>
  <c r="U32" i="14"/>
  <c r="K26" i="14"/>
  <c r="G24" i="13"/>
  <c r="M57" i="17"/>
  <c r="M105" i="17" s="1"/>
  <c r="M131" i="17" s="1"/>
  <c r="M141" i="17" s="1"/>
  <c r="A6" i="13" l="1"/>
  <c r="M246" i="42"/>
  <c r="M201" i="42"/>
  <c r="M191" i="42"/>
  <c r="M98" i="42"/>
  <c r="AA28" i="41"/>
  <c r="N13" i="40"/>
  <c r="H14" i="5"/>
  <c r="P14" i="5" s="1"/>
  <c r="L14" i="5"/>
  <c r="F15" i="5"/>
  <c r="H15" i="5"/>
  <c r="J15" i="5"/>
  <c r="L15" i="5"/>
  <c r="F21" i="5"/>
  <c r="N21" i="5"/>
  <c r="N29" i="5"/>
  <c r="P29" i="5"/>
  <c r="N37" i="5"/>
  <c r="P37" i="5"/>
  <c r="AD50" i="2" l="1"/>
  <c r="M196" i="42"/>
  <c r="M249" i="42" s="1"/>
  <c r="N37" i="40"/>
  <c r="N25" i="40"/>
  <c r="K47" i="17"/>
  <c r="P32" i="5"/>
  <c r="K138" i="16"/>
  <c r="F37" i="5"/>
  <c r="K26" i="16"/>
  <c r="K26" i="17"/>
  <c r="K30" i="17" s="1"/>
  <c r="K137" i="17"/>
  <c r="K119" i="17"/>
  <c r="K128" i="17" s="1"/>
  <c r="K40" i="17"/>
  <c r="N32" i="5"/>
  <c r="N42" i="5" s="1"/>
  <c r="N45" i="5" s="1"/>
  <c r="F29" i="5"/>
  <c r="F32" i="5" s="1"/>
  <c r="B37" i="5"/>
  <c r="B29" i="5"/>
  <c r="J21" i="5"/>
  <c r="B21" i="5"/>
  <c r="E30" i="23"/>
  <c r="AF30" i="23" s="1"/>
  <c r="E27" i="23"/>
  <c r="AF27" i="23" s="1"/>
  <c r="E26" i="23"/>
  <c r="AF26" i="23" s="1"/>
  <c r="E25" i="23"/>
  <c r="E22" i="23"/>
  <c r="AF22" i="23" s="1"/>
  <c r="E21" i="23"/>
  <c r="AF21" i="23" s="1"/>
  <c r="E20" i="23"/>
  <c r="AF20" i="23" s="1"/>
  <c r="AD37" i="24"/>
  <c r="L87" i="21"/>
  <c r="L71" i="21"/>
  <c r="L78" i="21" s="1"/>
  <c r="L53" i="21"/>
  <c r="L57" i="21" s="1"/>
  <c r="K55" i="17"/>
  <c r="P42" i="5" l="1"/>
  <c r="P45" i="5" s="1"/>
  <c r="N47" i="40"/>
  <c r="N49" i="40" s="1"/>
  <c r="J37" i="5"/>
  <c r="F42" i="5"/>
  <c r="K30" i="16"/>
  <c r="K101" i="17"/>
  <c r="K57" i="17"/>
  <c r="K55" i="16"/>
  <c r="J29" i="5"/>
  <c r="J32" i="5" s="1"/>
  <c r="B32" i="5"/>
  <c r="B42" i="5" s="1"/>
  <c r="L81" i="21"/>
  <c r="L91" i="21" s="1"/>
  <c r="L52" i="39" l="1"/>
  <c r="K47" i="16"/>
  <c r="J42" i="5"/>
  <c r="K105" i="17"/>
  <c r="K131" i="17" s="1"/>
  <c r="K141" i="17" s="1"/>
  <c r="K101" i="16"/>
  <c r="K40" i="16"/>
  <c r="K119" i="16"/>
  <c r="K128" i="16" s="1"/>
  <c r="K57" i="16" l="1"/>
  <c r="K105" i="16" s="1"/>
  <c r="K131" i="16" s="1"/>
  <c r="K142" i="16" s="1"/>
  <c r="AE136" i="16" l="1"/>
  <c r="AI31" i="23"/>
  <c r="Z40" i="20"/>
  <c r="X40" i="20"/>
  <c r="V40" i="20"/>
  <c r="H20" i="3" s="1"/>
  <c r="T40" i="20"/>
  <c r="R40" i="20"/>
  <c r="P40" i="20"/>
  <c r="N40" i="20"/>
  <c r="L40" i="20"/>
  <c r="J40" i="20"/>
  <c r="H40" i="20"/>
  <c r="F40" i="20"/>
  <c r="D40" i="20"/>
  <c r="Z37" i="20"/>
  <c r="X37" i="20"/>
  <c r="V37" i="20"/>
  <c r="H19" i="3" s="1"/>
  <c r="T37" i="20"/>
  <c r="R37" i="20"/>
  <c r="P37" i="20"/>
  <c r="N37" i="20"/>
  <c r="L37" i="20"/>
  <c r="J37" i="20"/>
  <c r="H37" i="20"/>
  <c r="F37" i="20"/>
  <c r="D37" i="20"/>
  <c r="Z30" i="20"/>
  <c r="X30" i="20"/>
  <c r="V30" i="20"/>
  <c r="H18" i="3" s="1"/>
  <c r="T30" i="20"/>
  <c r="P30" i="20"/>
  <c r="N30" i="20"/>
  <c r="L30" i="20"/>
  <c r="J30" i="20"/>
  <c r="H30" i="20"/>
  <c r="F30" i="20"/>
  <c r="D30" i="20"/>
  <c r="AF37" i="20"/>
  <c r="AF40" i="20"/>
  <c r="C52" i="16"/>
  <c r="C29" i="16"/>
  <c r="C25" i="16"/>
  <c r="C24" i="16"/>
  <c r="C23" i="16"/>
  <c r="C22" i="16"/>
  <c r="C21" i="16"/>
  <c r="J42" i="20" l="1"/>
  <c r="H42" i="20"/>
  <c r="D42" i="20"/>
  <c r="Z42" i="20"/>
  <c r="X42" i="20"/>
  <c r="V42" i="20"/>
  <c r="F42" i="20"/>
  <c r="T42" i="20"/>
  <c r="R42" i="20"/>
  <c r="P42" i="20"/>
  <c r="N42" i="20"/>
  <c r="L42" i="20"/>
  <c r="AF42" i="20"/>
  <c r="G38" i="12"/>
  <c r="C49" i="7"/>
  <c r="E49" i="7"/>
  <c r="I38" i="12" l="1"/>
  <c r="K38" i="12"/>
  <c r="I28" i="36"/>
  <c r="G28" i="36"/>
  <c r="Y40" i="41"/>
  <c r="W40" i="41"/>
  <c r="S40" i="41"/>
  <c r="Q40" i="41"/>
  <c r="O40" i="41"/>
  <c r="M40" i="41"/>
  <c r="K40" i="41"/>
  <c r="I40" i="41"/>
  <c r="G40" i="41"/>
  <c r="E40" i="41"/>
  <c r="C40" i="41"/>
  <c r="AA39" i="41"/>
  <c r="AA38" i="41"/>
  <c r="AA37" i="41"/>
  <c r="AA36" i="41"/>
  <c r="AA35" i="41"/>
  <c r="Y30" i="41"/>
  <c r="W30" i="41"/>
  <c r="U30" i="41"/>
  <c r="S30" i="41"/>
  <c r="Q30" i="41"/>
  <c r="O30" i="41"/>
  <c r="M30" i="41"/>
  <c r="K30" i="41"/>
  <c r="I30" i="41"/>
  <c r="G30" i="41"/>
  <c r="E30" i="41"/>
  <c r="C30" i="41"/>
  <c r="AA29" i="41"/>
  <c r="AA27" i="41"/>
  <c r="AA26" i="41"/>
  <c r="AA25" i="41"/>
  <c r="AA24" i="41"/>
  <c r="AA23" i="41"/>
  <c r="AA22" i="41"/>
  <c r="AA21" i="41"/>
  <c r="AA20" i="41"/>
  <c r="AA19" i="41"/>
  <c r="AA17" i="41"/>
  <c r="AA16" i="41"/>
  <c r="AA15" i="41"/>
  <c r="AA14" i="41"/>
  <c r="C43" i="41" l="1"/>
  <c r="S43" i="41"/>
  <c r="E43" i="41"/>
  <c r="M43" i="41"/>
  <c r="U43" i="41"/>
  <c r="G43" i="41"/>
  <c r="O43" i="41"/>
  <c r="W43" i="41"/>
  <c r="Q43" i="41"/>
  <c r="Y43" i="41"/>
  <c r="K43" i="41"/>
  <c r="AA30" i="41"/>
  <c r="I43" i="41"/>
  <c r="AA40" i="41"/>
  <c r="AA43" i="41" l="1"/>
  <c r="E25" i="13"/>
  <c r="E27" i="13" l="1"/>
  <c r="E33" i="10"/>
  <c r="C27" i="10" l="1"/>
  <c r="E27" i="10"/>
  <c r="C62" i="17"/>
  <c r="C93" i="16"/>
  <c r="AB93" i="16" s="1"/>
  <c r="AE100" i="17"/>
  <c r="AE98" i="17"/>
  <c r="AE97" i="17"/>
  <c r="AE96" i="17"/>
  <c r="AE93" i="17"/>
  <c r="AE92" i="17"/>
  <c r="AE91" i="17"/>
  <c r="AE90" i="17"/>
  <c r="AE88" i="17"/>
  <c r="AE87" i="17"/>
  <c r="AE86" i="17"/>
  <c r="AE85" i="17"/>
  <c r="AE84" i="17"/>
  <c r="AE83" i="17"/>
  <c r="AJ83" i="17" s="1"/>
  <c r="AE81" i="17"/>
  <c r="AE80" i="17"/>
  <c r="AE79" i="17"/>
  <c r="AE78" i="17"/>
  <c r="AE76" i="17"/>
  <c r="AE67" i="17"/>
  <c r="AE66" i="17"/>
  <c r="AE64" i="17"/>
  <c r="AE62" i="17"/>
  <c r="C100" i="17"/>
  <c r="C98" i="17"/>
  <c r="C97" i="17"/>
  <c r="C96" i="17"/>
  <c r="C93" i="17"/>
  <c r="C92" i="17"/>
  <c r="C91" i="17"/>
  <c r="C85" i="17"/>
  <c r="C84" i="17"/>
  <c r="C83" i="17"/>
  <c r="C80" i="17"/>
  <c r="C79" i="17"/>
  <c r="C78" i="17"/>
  <c r="C76" i="17"/>
  <c r="C65" i="17"/>
  <c r="C64" i="17"/>
  <c r="C94" i="17"/>
  <c r="AE33" i="17"/>
  <c r="AE38" i="17"/>
  <c r="AE36" i="17"/>
  <c r="AE46" i="17"/>
  <c r="AE43" i="17"/>
  <c r="AE126" i="17"/>
  <c r="AE125" i="17"/>
  <c r="AE122" i="17"/>
  <c r="AE123" i="17"/>
  <c r="AE121" i="17"/>
  <c r="AE118" i="17"/>
  <c r="AE117" i="17"/>
  <c r="AE116" i="17"/>
  <c r="AE115" i="17"/>
  <c r="AE114" i="17"/>
  <c r="AE113" i="17"/>
  <c r="AE111" i="17"/>
  <c r="AE110" i="17"/>
  <c r="AE109" i="17"/>
  <c r="C46" i="17"/>
  <c r="C43" i="17"/>
  <c r="C33" i="17"/>
  <c r="C36" i="17"/>
  <c r="C38" i="17"/>
  <c r="E39" i="23"/>
  <c r="S39" i="14"/>
  <c r="S22" i="14"/>
  <c r="S20" i="14"/>
  <c r="I39" i="14"/>
  <c r="AE62" i="16" l="1"/>
  <c r="AE61" i="16"/>
  <c r="AE61" i="17"/>
  <c r="AE119" i="17"/>
  <c r="AE128" i="17" s="1"/>
  <c r="AD49" i="2"/>
  <c r="AE135" i="16" s="1"/>
  <c r="C61" i="17"/>
  <c r="E37" i="23" l="1"/>
  <c r="AF37" i="23" s="1"/>
  <c r="E60" i="23"/>
  <c r="E59" i="23"/>
  <c r="E58" i="23"/>
  <c r="E55" i="23"/>
  <c r="E54" i="23"/>
  <c r="E52" i="23"/>
  <c r="E51" i="23"/>
  <c r="E50" i="23"/>
  <c r="E48" i="23"/>
  <c r="E46" i="23"/>
  <c r="E45" i="23"/>
  <c r="E44" i="23"/>
  <c r="E43" i="23"/>
  <c r="E41" i="23"/>
  <c r="AF41" i="23" s="1"/>
  <c r="AC49" i="20"/>
  <c r="AC70" i="20"/>
  <c r="I41" i="11"/>
  <c r="T23" i="11"/>
  <c r="T22" i="11"/>
  <c r="T21" i="11"/>
  <c r="T20" i="11"/>
  <c r="I42" i="9"/>
  <c r="I41" i="9"/>
  <c r="I40" i="9"/>
  <c r="AC51" i="20" l="1"/>
  <c r="AC57" i="20"/>
  <c r="AC62" i="20"/>
  <c r="AC77" i="20"/>
  <c r="AC54" i="20"/>
  <c r="AC61" i="20"/>
  <c r="AC58" i="20"/>
  <c r="AC80" i="20"/>
  <c r="AC71" i="20"/>
  <c r="AC68" i="20"/>
  <c r="AC83" i="20"/>
  <c r="AC55" i="20"/>
  <c r="C62" i="16"/>
  <c r="E61" i="23"/>
  <c r="J84" i="20"/>
  <c r="E31" i="7"/>
  <c r="E30" i="7"/>
  <c r="C31" i="7"/>
  <c r="C30" i="7"/>
  <c r="AC84" i="20" l="1"/>
  <c r="G24" i="11" s="1"/>
  <c r="E42" i="7"/>
  <c r="E41" i="7"/>
  <c r="E33" i="7"/>
  <c r="E32" i="7"/>
  <c r="E29" i="7"/>
  <c r="C25" i="7"/>
  <c r="C23" i="7"/>
  <c r="C21" i="7"/>
  <c r="C42" i="7"/>
  <c r="C32" i="7"/>
  <c r="E24" i="7"/>
  <c r="E25" i="7"/>
  <c r="E23" i="7"/>
  <c r="E22" i="7"/>
  <c r="E21" i="7"/>
  <c r="E20" i="7"/>
  <c r="C24" i="7"/>
  <c r="C22" i="7"/>
  <c r="C29" i="7"/>
  <c r="O33" i="14"/>
  <c r="M33" i="14"/>
  <c r="M37" i="14" s="1"/>
  <c r="C33" i="13"/>
  <c r="E33" i="13"/>
  <c r="I24" i="11" l="1"/>
  <c r="K24" i="11"/>
  <c r="E26" i="7"/>
  <c r="C26" i="7"/>
  <c r="E37" i="13"/>
  <c r="E40" i="13" s="1"/>
  <c r="E35" i="10" l="1"/>
  <c r="E39" i="10" s="1"/>
  <c r="E42" i="10" s="1"/>
  <c r="AB28" i="17" l="1"/>
  <c r="AB27" i="17"/>
  <c r="AF52" i="18"/>
  <c r="Z52" i="18"/>
  <c r="X52" i="18"/>
  <c r="V52" i="18"/>
  <c r="D17" i="2" s="1"/>
  <c r="T52" i="18"/>
  <c r="R52" i="18"/>
  <c r="P52" i="18"/>
  <c r="N52" i="18"/>
  <c r="L52" i="18"/>
  <c r="AF44" i="18"/>
  <c r="Z44" i="18"/>
  <c r="X44" i="18"/>
  <c r="V44" i="18"/>
  <c r="D16" i="2" s="1"/>
  <c r="T44" i="18"/>
  <c r="R44" i="18"/>
  <c r="P44" i="18"/>
  <c r="N44" i="18"/>
  <c r="L44" i="18"/>
  <c r="Y55" i="17" l="1"/>
  <c r="W55" i="17"/>
  <c r="U55" i="17"/>
  <c r="S55" i="17"/>
  <c r="Q55" i="17"/>
  <c r="O55" i="17"/>
  <c r="Y40" i="17"/>
  <c r="W40" i="17"/>
  <c r="U40" i="17"/>
  <c r="S40" i="17"/>
  <c r="Q40" i="17"/>
  <c r="O40" i="17"/>
  <c r="Y26" i="17"/>
  <c r="Y30" i="17" s="1"/>
  <c r="W26" i="17"/>
  <c r="W30" i="17" s="1"/>
  <c r="U26" i="17"/>
  <c r="U30" i="17" s="1"/>
  <c r="S26" i="17"/>
  <c r="S30" i="17" s="1"/>
  <c r="Q26" i="17"/>
  <c r="Q30" i="17" s="1"/>
  <c r="O26" i="17"/>
  <c r="O30" i="17" s="1"/>
  <c r="Y55" i="16"/>
  <c r="W55" i="16"/>
  <c r="U55" i="16"/>
  <c r="S55" i="16"/>
  <c r="Q55" i="16"/>
  <c r="O55" i="16"/>
  <c r="M55" i="16"/>
  <c r="Y47" i="16"/>
  <c r="W47" i="16"/>
  <c r="U47" i="16"/>
  <c r="S47" i="16"/>
  <c r="Q47" i="16"/>
  <c r="O47" i="16"/>
  <c r="M47" i="16"/>
  <c r="Y40" i="16"/>
  <c r="W40" i="16"/>
  <c r="U40" i="16"/>
  <c r="S40" i="16"/>
  <c r="Q40" i="16"/>
  <c r="O40" i="16"/>
  <c r="M40" i="16"/>
  <c r="Y26" i="16"/>
  <c r="Y30" i="16" s="1"/>
  <c r="W26" i="16"/>
  <c r="W30" i="16" s="1"/>
  <c r="U26" i="16"/>
  <c r="U30" i="16" s="1"/>
  <c r="S26" i="16"/>
  <c r="S30" i="16" s="1"/>
  <c r="Q26" i="16"/>
  <c r="Q30" i="16" s="1"/>
  <c r="O26" i="16"/>
  <c r="O30" i="16" s="1"/>
  <c r="M26" i="16"/>
  <c r="M30" i="16" s="1"/>
  <c r="AD31" i="24"/>
  <c r="AG31" i="24"/>
  <c r="AA31" i="24"/>
  <c r="Y31" i="24"/>
  <c r="W31" i="24"/>
  <c r="S31" i="24"/>
  <c r="Q31" i="24"/>
  <c r="O31" i="24"/>
  <c r="M31" i="24"/>
  <c r="K31" i="24"/>
  <c r="I31" i="24"/>
  <c r="G31" i="24"/>
  <c r="E31" i="24"/>
  <c r="AG23" i="24"/>
  <c r="AA23" i="24"/>
  <c r="Y23" i="24"/>
  <c r="W23" i="24"/>
  <c r="S23" i="24"/>
  <c r="Q23" i="24"/>
  <c r="O23" i="24"/>
  <c r="M23" i="24"/>
  <c r="K23" i="24"/>
  <c r="I23" i="24"/>
  <c r="G23" i="24"/>
  <c r="E23" i="24"/>
  <c r="AG28" i="24"/>
  <c r="AA28" i="24"/>
  <c r="Y28" i="24"/>
  <c r="W28" i="24"/>
  <c r="S28" i="24"/>
  <c r="Q28" i="24"/>
  <c r="O28" i="24"/>
  <c r="M28" i="24"/>
  <c r="K28" i="24"/>
  <c r="I28" i="24"/>
  <c r="G28" i="24"/>
  <c r="E28" i="24"/>
  <c r="AE49" i="16"/>
  <c r="AE52" i="16"/>
  <c r="AE54" i="17"/>
  <c r="AE51" i="17"/>
  <c r="AE50" i="17"/>
  <c r="AE49" i="17"/>
  <c r="AE45" i="17"/>
  <c r="AE44" i="17"/>
  <c r="AE42" i="17"/>
  <c r="AE39" i="17"/>
  <c r="AE37" i="17"/>
  <c r="AE34" i="17"/>
  <c r="AE32" i="17"/>
  <c r="AH28" i="17"/>
  <c r="AJ28" i="17" s="1"/>
  <c r="AH27" i="17"/>
  <c r="AJ27" i="17" s="1"/>
  <c r="AE29" i="17"/>
  <c r="AE25" i="17"/>
  <c r="AE24" i="17"/>
  <c r="AE23" i="17"/>
  <c r="AE22" i="17"/>
  <c r="AE21" i="17"/>
  <c r="AJ26" i="24"/>
  <c r="AL26" i="24" s="1"/>
  <c r="AJ25" i="24"/>
  <c r="C39" i="17"/>
  <c r="C54" i="17"/>
  <c r="C51" i="17"/>
  <c r="C50" i="17"/>
  <c r="C49" i="17"/>
  <c r="C45" i="17"/>
  <c r="C44" i="17"/>
  <c r="C42" i="17"/>
  <c r="C37" i="17"/>
  <c r="C34" i="17"/>
  <c r="C32" i="17"/>
  <c r="C25" i="17"/>
  <c r="C29" i="17"/>
  <c r="C24" i="17"/>
  <c r="C23" i="17"/>
  <c r="C22" i="17"/>
  <c r="C21" i="17"/>
  <c r="G22" i="14" l="1"/>
  <c r="W57" i="17"/>
  <c r="Y57" i="16"/>
  <c r="Y57" i="17"/>
  <c r="S57" i="17"/>
  <c r="U57" i="17"/>
  <c r="Q57" i="17"/>
  <c r="O57" i="17"/>
  <c r="O57" i="16"/>
  <c r="U57" i="16"/>
  <c r="W57" i="16"/>
  <c r="AE55" i="17"/>
  <c r="S57" i="16"/>
  <c r="Q57" i="16"/>
  <c r="AE47" i="17"/>
  <c r="AG33" i="24"/>
  <c r="G47" i="17"/>
  <c r="C47" i="17"/>
  <c r="E47" i="17"/>
  <c r="I47" i="17"/>
  <c r="M57" i="16"/>
  <c r="AB22" i="17"/>
  <c r="AH22" i="17" s="1"/>
  <c r="AJ22" i="17" s="1"/>
  <c r="AB25" i="17"/>
  <c r="AH25" i="17" s="1"/>
  <c r="AJ25" i="17" s="1"/>
  <c r="AB50" i="17"/>
  <c r="AH50" i="17" s="1"/>
  <c r="AJ50" i="17" s="1"/>
  <c r="AB29" i="17"/>
  <c r="AH29" i="17" s="1"/>
  <c r="AJ29" i="17" s="1"/>
  <c r="AE26" i="16"/>
  <c r="I26" i="16"/>
  <c r="AB21" i="17"/>
  <c r="AH21" i="17" s="1"/>
  <c r="AJ21" i="17" s="1"/>
  <c r="AB24" i="17"/>
  <c r="AH24" i="17" s="1"/>
  <c r="AJ24" i="17" s="1"/>
  <c r="AE26" i="17"/>
  <c r="AE30" i="17" s="1"/>
  <c r="AB49" i="17"/>
  <c r="AB23" i="17"/>
  <c r="AH23" i="17" s="1"/>
  <c r="AJ23" i="17" s="1"/>
  <c r="AB51" i="17"/>
  <c r="AH51" i="17" s="1"/>
  <c r="AJ51" i="17" s="1"/>
  <c r="I33" i="24"/>
  <c r="Q33" i="24"/>
  <c r="Y33" i="24"/>
  <c r="AB36" i="17"/>
  <c r="AH36" i="17" s="1"/>
  <c r="AJ36" i="17" s="1"/>
  <c r="E33" i="24"/>
  <c r="K33" i="24"/>
  <c r="S33" i="24"/>
  <c r="AA33" i="24"/>
  <c r="AJ30" i="24"/>
  <c r="AL30" i="24" s="1"/>
  <c r="AB44" i="17"/>
  <c r="AH44" i="17" s="1"/>
  <c r="AJ44" i="17" s="1"/>
  <c r="M33" i="24"/>
  <c r="G33" i="24"/>
  <c r="O33" i="24"/>
  <c r="W33" i="24"/>
  <c r="AB34" i="17"/>
  <c r="AH34" i="17" s="1"/>
  <c r="AJ34" i="17" s="1"/>
  <c r="AB54" i="17"/>
  <c r="AH54" i="17" s="1"/>
  <c r="AJ54" i="17" s="1"/>
  <c r="AB39" i="17"/>
  <c r="AH39" i="17" s="1"/>
  <c r="AJ39" i="17" s="1"/>
  <c r="AB33" i="17"/>
  <c r="AH33" i="17" s="1"/>
  <c r="AJ33" i="17" s="1"/>
  <c r="AB38" i="17"/>
  <c r="AH38" i="17" s="1"/>
  <c r="AB46" i="17"/>
  <c r="AH46" i="17" s="1"/>
  <c r="AJ46" i="17" s="1"/>
  <c r="AB53" i="17"/>
  <c r="AH53" i="17" s="1"/>
  <c r="AJ53" i="17" s="1"/>
  <c r="AB43" i="17"/>
  <c r="AE40" i="17"/>
  <c r="AB42" i="17"/>
  <c r="AB32" i="17"/>
  <c r="AB37" i="17"/>
  <c r="AH37" i="17" s="1"/>
  <c r="AJ37" i="17" s="1"/>
  <c r="AB45" i="17"/>
  <c r="AH45" i="17" s="1"/>
  <c r="AJ45" i="17" s="1"/>
  <c r="E26" i="17"/>
  <c r="E30" i="17" s="1"/>
  <c r="G26" i="17"/>
  <c r="G30" i="17" s="1"/>
  <c r="I26" i="17"/>
  <c r="I30" i="17" s="1"/>
  <c r="I40" i="17"/>
  <c r="E40" i="17"/>
  <c r="G40" i="17"/>
  <c r="C40" i="17"/>
  <c r="C26" i="17"/>
  <c r="C30" i="17" s="1"/>
  <c r="G22" i="13" l="1"/>
  <c r="K22" i="13" s="1"/>
  <c r="O22" i="13" s="1"/>
  <c r="K22" i="14"/>
  <c r="I22" i="14"/>
  <c r="AH42" i="17"/>
  <c r="AJ42" i="17" s="1"/>
  <c r="AB47" i="17"/>
  <c r="AE57" i="17"/>
  <c r="AJ31" i="24"/>
  <c r="AL31" i="24" s="1"/>
  <c r="AH43" i="17"/>
  <c r="AJ43" i="17" s="1"/>
  <c r="AH32" i="17"/>
  <c r="AJ32" i="17" s="1"/>
  <c r="AB40" i="17"/>
  <c r="AH49" i="17"/>
  <c r="AJ49" i="17" s="1"/>
  <c r="AB26" i="17"/>
  <c r="AB30" i="17" s="1"/>
  <c r="AI28" i="23"/>
  <c r="E28" i="23"/>
  <c r="AL27" i="23"/>
  <c r="AN27" i="23" s="1"/>
  <c r="E31" i="23"/>
  <c r="AI23" i="23"/>
  <c r="E23" i="23"/>
  <c r="AL22" i="23"/>
  <c r="AN22" i="23" s="1"/>
  <c r="AL21" i="23"/>
  <c r="AN21" i="23" s="1"/>
  <c r="AL20" i="23"/>
  <c r="AN20" i="23" s="1"/>
  <c r="AA20" i="3"/>
  <c r="AA22" i="22"/>
  <c r="AG22" i="22" s="1"/>
  <c r="AI22" i="22" s="1"/>
  <c r="AA19" i="22"/>
  <c r="AG19" i="22" s="1"/>
  <c r="AI19" i="22" s="1"/>
  <c r="D23" i="22"/>
  <c r="B23" i="22"/>
  <c r="D52" i="18"/>
  <c r="F52" i="18"/>
  <c r="H52" i="18"/>
  <c r="J52" i="18"/>
  <c r="D44" i="18"/>
  <c r="F44" i="18"/>
  <c r="H44" i="18"/>
  <c r="J44" i="18"/>
  <c r="B20" i="22"/>
  <c r="D20" i="22"/>
  <c r="AB52" i="16"/>
  <c r="AB49" i="16"/>
  <c r="AB29" i="16"/>
  <c r="AB28" i="16"/>
  <c r="AH28" i="16" s="1"/>
  <c r="AJ28" i="16" s="1"/>
  <c r="AB25" i="16"/>
  <c r="AB24" i="16"/>
  <c r="AB23" i="16"/>
  <c r="AB22" i="16"/>
  <c r="AB21" i="16"/>
  <c r="G26" i="16"/>
  <c r="E26" i="16"/>
  <c r="C26" i="16"/>
  <c r="C30" i="16" s="1"/>
  <c r="AJ42" i="25"/>
  <c r="AL42" i="25" s="1"/>
  <c r="AJ41" i="25"/>
  <c r="AL41" i="25" s="1"/>
  <c r="AJ40" i="25"/>
  <c r="AJ38" i="25"/>
  <c r="AJ37" i="25"/>
  <c r="AJ35" i="25"/>
  <c r="AL35" i="25" s="1"/>
  <c r="AJ34" i="25"/>
  <c r="AJ33" i="25"/>
  <c r="AJ31" i="25"/>
  <c r="AJ29" i="25"/>
  <c r="AJ28" i="25"/>
  <c r="AJ27" i="25"/>
  <c r="AJ26" i="25"/>
  <c r="AJ24" i="25"/>
  <c r="AJ22" i="25"/>
  <c r="AJ20" i="25"/>
  <c r="AJ59" i="24"/>
  <c r="AL59" i="24" s="1"/>
  <c r="AJ58" i="24"/>
  <c r="AL58" i="24" s="1"/>
  <c r="AJ55" i="24"/>
  <c r="AL55" i="24" s="1"/>
  <c r="AJ54" i="24"/>
  <c r="AL54" i="24" s="1"/>
  <c r="AJ52" i="24"/>
  <c r="AL52" i="24" s="1"/>
  <c r="AJ50" i="24"/>
  <c r="AL50" i="24" s="1"/>
  <c r="AJ46" i="24"/>
  <c r="AL46" i="24" s="1"/>
  <c r="AJ45" i="24"/>
  <c r="AL45" i="24" s="1"/>
  <c r="AJ43" i="24"/>
  <c r="AL43" i="24" s="1"/>
  <c r="AH85" i="19"/>
  <c r="AE103" i="16" s="1"/>
  <c r="AH106" i="19"/>
  <c r="AH105" i="19"/>
  <c r="AH104" i="19"/>
  <c r="AH103" i="19"/>
  <c r="AH100" i="19"/>
  <c r="AH99" i="19"/>
  <c r="AH98" i="19"/>
  <c r="AH97" i="19"/>
  <c r="AH96" i="19"/>
  <c r="AH95" i="19"/>
  <c r="AH93" i="19"/>
  <c r="AH92" i="19"/>
  <c r="AH91" i="19"/>
  <c r="AH27" i="19"/>
  <c r="AH26" i="19"/>
  <c r="AM26" i="19" s="1"/>
  <c r="AE90" i="16"/>
  <c r="AE67" i="16"/>
  <c r="D82" i="19"/>
  <c r="D81" i="19"/>
  <c r="AE81" i="19" s="1"/>
  <c r="D80" i="19"/>
  <c r="D79" i="19"/>
  <c r="D78" i="19"/>
  <c r="D77" i="19"/>
  <c r="D76" i="19"/>
  <c r="D74" i="19"/>
  <c r="D73" i="19"/>
  <c r="D72" i="19"/>
  <c r="AE72" i="19" s="1"/>
  <c r="D70" i="19"/>
  <c r="D69" i="19"/>
  <c r="D68" i="19"/>
  <c r="AE68" i="19" s="1"/>
  <c r="D67" i="19"/>
  <c r="D66" i="19"/>
  <c r="D65" i="19"/>
  <c r="D63" i="19"/>
  <c r="C80" i="16"/>
  <c r="C79" i="16"/>
  <c r="C78" i="16"/>
  <c r="D58" i="19"/>
  <c r="D57" i="19"/>
  <c r="D56" i="19"/>
  <c r="D55" i="19"/>
  <c r="D54" i="19"/>
  <c r="D53" i="19"/>
  <c r="D50" i="19"/>
  <c r="AE50" i="19" s="1"/>
  <c r="D49" i="19"/>
  <c r="AE49" i="19" s="1"/>
  <c r="D48" i="19"/>
  <c r="D47" i="19"/>
  <c r="AE47" i="19" s="1"/>
  <c r="D45" i="19"/>
  <c r="Z39" i="19"/>
  <c r="I55" i="17"/>
  <c r="I57" i="17" s="1"/>
  <c r="G55" i="17"/>
  <c r="G57" i="17" s="1"/>
  <c r="E55" i="17"/>
  <c r="E57" i="17" s="1"/>
  <c r="D38" i="19"/>
  <c r="AE38" i="19" s="1"/>
  <c r="D35" i="19"/>
  <c r="D34" i="19"/>
  <c r="D33" i="19"/>
  <c r="D32" i="19"/>
  <c r="D31" i="19"/>
  <c r="D28" i="19"/>
  <c r="D27" i="19"/>
  <c r="D26" i="19"/>
  <c r="D25" i="19"/>
  <c r="D23" i="19"/>
  <c r="D22" i="19"/>
  <c r="D21" i="19"/>
  <c r="AE21" i="19" s="1"/>
  <c r="I30" i="16"/>
  <c r="AF118" i="20"/>
  <c r="AI39" i="20"/>
  <c r="AK39" i="20" s="1"/>
  <c r="AI36" i="20"/>
  <c r="AK36" i="20" s="1"/>
  <c r="AI35" i="20"/>
  <c r="AK35" i="20" s="1"/>
  <c r="AI34" i="20"/>
  <c r="AK34" i="20" s="1"/>
  <c r="AI33" i="20"/>
  <c r="AK33" i="20" s="1"/>
  <c r="AA19" i="3"/>
  <c r="AI29" i="20"/>
  <c r="AK29" i="20" s="1"/>
  <c r="AI28" i="20"/>
  <c r="AI27" i="20"/>
  <c r="AI26" i="20"/>
  <c r="AK26" i="20" s="1"/>
  <c r="AI24" i="20"/>
  <c r="AK24" i="20" s="1"/>
  <c r="AI23" i="20"/>
  <c r="AK23" i="20" s="1"/>
  <c r="C88" i="17"/>
  <c r="C87" i="17"/>
  <c r="C81" i="17"/>
  <c r="E21" i="8"/>
  <c r="C34" i="16" l="1"/>
  <c r="AE23" i="19"/>
  <c r="AK23" i="19" s="1"/>
  <c r="AM23" i="19" s="1"/>
  <c r="C39" i="16"/>
  <c r="AB39" i="16" s="1"/>
  <c r="AE28" i="19"/>
  <c r="AK28" i="19" s="1"/>
  <c r="AM28" i="19" s="1"/>
  <c r="C45" i="16"/>
  <c r="AE34" i="19"/>
  <c r="AK34" i="19" s="1"/>
  <c r="AM34" i="19" s="1"/>
  <c r="C71" i="16"/>
  <c r="AE53" i="19"/>
  <c r="C85" i="16"/>
  <c r="AE67" i="19"/>
  <c r="C37" i="16"/>
  <c r="AB37" i="16" s="1"/>
  <c r="AE26" i="19"/>
  <c r="AK26" i="19" s="1"/>
  <c r="C43" i="16"/>
  <c r="AB43" i="16" s="1"/>
  <c r="AE32" i="19"/>
  <c r="AK32" i="19" s="1"/>
  <c r="AM32" i="19" s="1"/>
  <c r="C73" i="16"/>
  <c r="AE55" i="19"/>
  <c r="C83" i="16"/>
  <c r="AE65" i="19"/>
  <c r="C87" i="16"/>
  <c r="AE69" i="19"/>
  <c r="C92" i="16"/>
  <c r="AE74" i="19"/>
  <c r="C97" i="16"/>
  <c r="AE79" i="19"/>
  <c r="C33" i="16"/>
  <c r="AE22" i="19"/>
  <c r="AK22" i="19" s="1"/>
  <c r="AM22" i="19" s="1"/>
  <c r="C38" i="16"/>
  <c r="AE27" i="19"/>
  <c r="AK27" i="19" s="1"/>
  <c r="C44" i="16"/>
  <c r="AE33" i="19"/>
  <c r="AK33" i="19" s="1"/>
  <c r="AM33" i="19" s="1"/>
  <c r="C61" i="16"/>
  <c r="AE45" i="19"/>
  <c r="C74" i="16"/>
  <c r="AE56" i="19"/>
  <c r="C84" i="16"/>
  <c r="AE66" i="19"/>
  <c r="C88" i="16"/>
  <c r="AE70" i="19"/>
  <c r="C94" i="16"/>
  <c r="AE76" i="19"/>
  <c r="C98" i="16"/>
  <c r="AE80" i="19"/>
  <c r="C75" i="16"/>
  <c r="AE57" i="19"/>
  <c r="C95" i="16"/>
  <c r="AE77" i="19"/>
  <c r="C36" i="16"/>
  <c r="AB36" i="16" s="1"/>
  <c r="AE25" i="19"/>
  <c r="AK25" i="19" s="1"/>
  <c r="AM25" i="19" s="1"/>
  <c r="C42" i="16"/>
  <c r="AE31" i="19"/>
  <c r="AK31" i="19" s="1"/>
  <c r="AM31" i="19" s="1"/>
  <c r="C46" i="16"/>
  <c r="AB46" i="16" s="1"/>
  <c r="AE35" i="19"/>
  <c r="AK35" i="19" s="1"/>
  <c r="AM35" i="19" s="1"/>
  <c r="C65" i="16"/>
  <c r="AE48" i="19"/>
  <c r="C72" i="16"/>
  <c r="AE54" i="19"/>
  <c r="C76" i="16"/>
  <c r="AE58" i="19"/>
  <c r="C81" i="16"/>
  <c r="AE63" i="19"/>
  <c r="C91" i="16"/>
  <c r="AE73" i="19"/>
  <c r="C96" i="16"/>
  <c r="AE78" i="19"/>
  <c r="C100" i="16"/>
  <c r="AE82" i="19"/>
  <c r="C32" i="16"/>
  <c r="AB32" i="16" s="1"/>
  <c r="AK21" i="19"/>
  <c r="AM21" i="19" s="1"/>
  <c r="M22" i="13"/>
  <c r="C54" i="16"/>
  <c r="AB54" i="16" s="1"/>
  <c r="AD14" i="2"/>
  <c r="B25" i="22"/>
  <c r="B47" i="22" s="1"/>
  <c r="AH22" i="16"/>
  <c r="AJ22" i="16" s="1"/>
  <c r="AH23" i="16"/>
  <c r="AJ23" i="16" s="1"/>
  <c r="AH29" i="16"/>
  <c r="AJ29" i="16" s="1"/>
  <c r="AH21" i="16"/>
  <c r="AJ21" i="16" s="1"/>
  <c r="AH25" i="16"/>
  <c r="AJ25" i="16" s="1"/>
  <c r="AH24" i="16"/>
  <c r="AJ24" i="16" s="1"/>
  <c r="AH49" i="16"/>
  <c r="AJ49" i="16" s="1"/>
  <c r="D25" i="22"/>
  <c r="E30" i="16"/>
  <c r="AJ43" i="25"/>
  <c r="AL43" i="25" s="1"/>
  <c r="G30" i="16"/>
  <c r="AH47" i="17"/>
  <c r="AJ47" i="17" s="1"/>
  <c r="AB27" i="16"/>
  <c r="AE27" i="16"/>
  <c r="Z41" i="19"/>
  <c r="C47" i="16"/>
  <c r="G40" i="16"/>
  <c r="AL30" i="23"/>
  <c r="AN30" i="23" s="1"/>
  <c r="AF31" i="23"/>
  <c r="G47" i="16"/>
  <c r="E40" i="16"/>
  <c r="E47" i="16"/>
  <c r="E55" i="16"/>
  <c r="G55" i="16"/>
  <c r="AE66" i="16"/>
  <c r="AE78" i="16"/>
  <c r="AE87" i="16"/>
  <c r="AE92" i="16"/>
  <c r="AE100" i="16"/>
  <c r="AE39" i="16"/>
  <c r="AE45" i="16"/>
  <c r="AI32" i="20"/>
  <c r="AC37" i="20"/>
  <c r="AE76" i="16"/>
  <c r="AE81" i="16"/>
  <c r="AE91" i="16"/>
  <c r="AE38" i="16"/>
  <c r="AE44" i="16"/>
  <c r="AE54" i="16"/>
  <c r="AE64" i="16"/>
  <c r="AE80" i="16"/>
  <c r="AE85" i="16"/>
  <c r="AE98" i="16"/>
  <c r="AE37" i="16"/>
  <c r="AE43" i="16"/>
  <c r="AB34" i="16"/>
  <c r="AC30" i="20"/>
  <c r="AB38" i="16"/>
  <c r="AC40" i="20"/>
  <c r="AB45" i="16"/>
  <c r="AB51" i="16"/>
  <c r="AE96" i="16"/>
  <c r="AE34" i="16"/>
  <c r="AE86" i="16"/>
  <c r="AE79" i="16"/>
  <c r="AE84" i="16"/>
  <c r="AE88" i="16"/>
  <c r="AE97" i="16"/>
  <c r="AE36" i="16"/>
  <c r="AE46" i="16"/>
  <c r="AB53" i="16"/>
  <c r="AB33" i="16"/>
  <c r="C64" i="16"/>
  <c r="AB64" i="16" s="1"/>
  <c r="AE83" i="16"/>
  <c r="AB52" i="17"/>
  <c r="AB55" i="17" s="1"/>
  <c r="C55" i="17"/>
  <c r="C57" i="17" s="1"/>
  <c r="D39" i="19"/>
  <c r="AK38" i="19"/>
  <c r="AM38" i="19" s="1"/>
  <c r="I55" i="16"/>
  <c r="AB44" i="16"/>
  <c r="AH36" i="19"/>
  <c r="AD16" i="2" s="1"/>
  <c r="AE42" i="16"/>
  <c r="AH117" i="19"/>
  <c r="D36" i="19"/>
  <c r="AH39" i="19"/>
  <c r="AD17" i="2" s="1"/>
  <c r="D29" i="19"/>
  <c r="AH101" i="19"/>
  <c r="AH108" i="19" s="1"/>
  <c r="AH29" i="19"/>
  <c r="AB50" i="16"/>
  <c r="AH26" i="17"/>
  <c r="AJ26" i="17" s="1"/>
  <c r="AH40" i="17"/>
  <c r="AJ40" i="17" s="1"/>
  <c r="AH52" i="16"/>
  <c r="AJ52" i="16" s="1"/>
  <c r="E33" i="23"/>
  <c r="AI33" i="23"/>
  <c r="AF28" i="23"/>
  <c r="AL26" i="23"/>
  <c r="AN26" i="23" s="1"/>
  <c r="AF23" i="23"/>
  <c r="AA20" i="22"/>
  <c r="AA23" i="22"/>
  <c r="AB26" i="16"/>
  <c r="AJ60" i="24"/>
  <c r="AL60" i="24" s="1"/>
  <c r="AJ44" i="24"/>
  <c r="AL44" i="24" s="1"/>
  <c r="AJ48" i="24"/>
  <c r="AL48" i="24" s="1"/>
  <c r="AJ51" i="24"/>
  <c r="AL51" i="24" s="1"/>
  <c r="AJ41" i="24"/>
  <c r="AL41" i="24" s="1"/>
  <c r="AJ37" i="24"/>
  <c r="AL37" i="24" s="1"/>
  <c r="AJ39" i="24"/>
  <c r="AL39" i="24" s="1"/>
  <c r="AI18" i="20"/>
  <c r="AK18" i="20" s="1"/>
  <c r="AI22" i="20"/>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X37" i="18"/>
  <c r="V37" i="18"/>
  <c r="D15" i="2" s="1"/>
  <c r="T37" i="18"/>
  <c r="R37" i="18"/>
  <c r="N37" i="18"/>
  <c r="L37" i="18"/>
  <c r="J37" i="18"/>
  <c r="H37" i="18"/>
  <c r="F37" i="18"/>
  <c r="Z24" i="18"/>
  <c r="Z28" i="18" s="1"/>
  <c r="X24" i="18"/>
  <c r="X28" i="18" s="1"/>
  <c r="V24" i="18"/>
  <c r="T24" i="18"/>
  <c r="T28" i="18" s="1"/>
  <c r="R24" i="18"/>
  <c r="R28" i="18" s="1"/>
  <c r="P24" i="18"/>
  <c r="P28" i="18" s="1"/>
  <c r="N24" i="18"/>
  <c r="N28" i="18" s="1"/>
  <c r="L24" i="18"/>
  <c r="L28" i="18" s="1"/>
  <c r="J24" i="18"/>
  <c r="J28" i="18" s="1"/>
  <c r="H24" i="18"/>
  <c r="H28" i="18" s="1"/>
  <c r="F24" i="18"/>
  <c r="F28" i="18" s="1"/>
  <c r="AA15" i="3"/>
  <c r="Y15" i="3"/>
  <c r="F15" i="3"/>
  <c r="F14" i="3"/>
  <c r="D15" i="3"/>
  <c r="AB100" i="17"/>
  <c r="AE101" i="17"/>
  <c r="Y101" i="17"/>
  <c r="W101" i="17"/>
  <c r="U101" i="17"/>
  <c r="S101" i="17"/>
  <c r="Q101" i="17"/>
  <c r="O101" i="17"/>
  <c r="Y101" i="16"/>
  <c r="Y105" i="16" s="1"/>
  <c r="U101" i="16"/>
  <c r="S101" i="16"/>
  <c r="Q101" i="16"/>
  <c r="O101" i="16"/>
  <c r="M101" i="16"/>
  <c r="AF53" i="21"/>
  <c r="Z53" i="21"/>
  <c r="Z57" i="21" s="1"/>
  <c r="X53" i="21"/>
  <c r="V53" i="21"/>
  <c r="V57" i="21" s="1"/>
  <c r="T53" i="21"/>
  <c r="T57" i="21" s="1"/>
  <c r="R53" i="21"/>
  <c r="R57" i="21" s="1"/>
  <c r="P53" i="21"/>
  <c r="N57" i="21"/>
  <c r="J53" i="21"/>
  <c r="J57" i="21" s="1"/>
  <c r="H57" i="21"/>
  <c r="F53" i="21"/>
  <c r="F57" i="21" s="1"/>
  <c r="D53" i="21"/>
  <c r="D57" i="21" s="1"/>
  <c r="AF84" i="20"/>
  <c r="Z84" i="20"/>
  <c r="X84" i="20"/>
  <c r="V84" i="20"/>
  <c r="H21" i="3" s="1"/>
  <c r="T84" i="20"/>
  <c r="L84" i="20"/>
  <c r="H84" i="20"/>
  <c r="F84" i="20"/>
  <c r="D84" i="20"/>
  <c r="Z83" i="19"/>
  <c r="AF90" i="18"/>
  <c r="Z90" i="18"/>
  <c r="X90" i="18"/>
  <c r="V90" i="18"/>
  <c r="D18" i="2" s="1"/>
  <c r="T90" i="18"/>
  <c r="R90" i="18"/>
  <c r="P90" i="18"/>
  <c r="N90" i="18"/>
  <c r="L90" i="18"/>
  <c r="J90" i="18"/>
  <c r="H90" i="18"/>
  <c r="AA47" i="25"/>
  <c r="Y47" i="25"/>
  <c r="W47" i="25"/>
  <c r="S47" i="25"/>
  <c r="Q47" i="25"/>
  <c r="O47" i="25"/>
  <c r="M47" i="25"/>
  <c r="K47" i="25"/>
  <c r="I47" i="25"/>
  <c r="G47" i="25"/>
  <c r="E47" i="25"/>
  <c r="AG61" i="24"/>
  <c r="AD61" i="24"/>
  <c r="AA61" i="24"/>
  <c r="Y61" i="24"/>
  <c r="W61" i="24"/>
  <c r="S61" i="24"/>
  <c r="Q61" i="24"/>
  <c r="O61" i="24"/>
  <c r="M61" i="24"/>
  <c r="K61" i="24"/>
  <c r="I61" i="24"/>
  <c r="G61" i="24"/>
  <c r="E61" i="24"/>
  <c r="C40" i="16" l="1"/>
  <c r="C55" i="16"/>
  <c r="J20" i="3"/>
  <c r="G23" i="11"/>
  <c r="J19" i="3"/>
  <c r="G22" i="11"/>
  <c r="J18" i="3"/>
  <c r="G21" i="11"/>
  <c r="V28" i="18"/>
  <c r="G23" i="14"/>
  <c r="AI37" i="20"/>
  <c r="AK37" i="20" s="1"/>
  <c r="AK32" i="20"/>
  <c r="AI30" i="20"/>
  <c r="AK30" i="20" s="1"/>
  <c r="AK22" i="20"/>
  <c r="AF57" i="21"/>
  <c r="AK53" i="21"/>
  <c r="AH41" i="19"/>
  <c r="AH87" i="19" s="1"/>
  <c r="AH111" i="19" s="1"/>
  <c r="AH121" i="19" s="1"/>
  <c r="AH123" i="19" s="1"/>
  <c r="G20" i="10"/>
  <c r="K20" i="10" s="1"/>
  <c r="D88" i="20"/>
  <c r="X57" i="21"/>
  <c r="AA25" i="22"/>
  <c r="AI19" i="18"/>
  <c r="AK19" i="18" s="1"/>
  <c r="AC24" i="18"/>
  <c r="AC28" i="18" s="1"/>
  <c r="AB30" i="16"/>
  <c r="AH26" i="16"/>
  <c r="AJ26" i="16" s="1"/>
  <c r="AH38" i="16"/>
  <c r="AJ38" i="16" s="1"/>
  <c r="AK29" i="19"/>
  <c r="AM29" i="19" s="1"/>
  <c r="AI27" i="18"/>
  <c r="AK27" i="18" s="1"/>
  <c r="AH27" i="16"/>
  <c r="AJ27" i="16" s="1"/>
  <c r="AE30" i="16"/>
  <c r="Z87" i="19"/>
  <c r="AH30" i="17"/>
  <c r="AJ30" i="17" s="1"/>
  <c r="AB57" i="17"/>
  <c r="AH57" i="17" s="1"/>
  <c r="AJ57" i="17" s="1"/>
  <c r="AH37" i="16"/>
  <c r="AJ37" i="16" s="1"/>
  <c r="AH39" i="16"/>
  <c r="AJ39" i="16" s="1"/>
  <c r="AH46" i="16"/>
  <c r="AJ46" i="16" s="1"/>
  <c r="AI26" i="18"/>
  <c r="AK26" i="18" s="1"/>
  <c r="L88" i="20"/>
  <c r="AH54" i="16"/>
  <c r="AJ54" i="16" s="1"/>
  <c r="AH51" i="16"/>
  <c r="AJ51" i="16" s="1"/>
  <c r="E57" i="16"/>
  <c r="G57" i="16"/>
  <c r="AH33" i="16"/>
  <c r="AJ33" i="16" s="1"/>
  <c r="AH43" i="16"/>
  <c r="AJ43" i="16" s="1"/>
  <c r="AE47" i="16"/>
  <c r="AH53" i="16"/>
  <c r="AJ53" i="16" s="1"/>
  <c r="AE55" i="16"/>
  <c r="AH36" i="16"/>
  <c r="AJ36" i="16" s="1"/>
  <c r="AE40" i="16"/>
  <c r="AH45" i="16"/>
  <c r="AJ45" i="16" s="1"/>
  <c r="AH34" i="16"/>
  <c r="AJ34" i="16" s="1"/>
  <c r="AC42" i="20"/>
  <c r="AH44" i="16"/>
  <c r="AJ44" i="16" s="1"/>
  <c r="AI40" i="20"/>
  <c r="V88" i="20"/>
  <c r="AG47" i="25"/>
  <c r="H54" i="18"/>
  <c r="H94" i="18" s="1"/>
  <c r="R54" i="18"/>
  <c r="R94" i="18" s="1"/>
  <c r="Z54" i="18"/>
  <c r="Z94" i="18" s="1"/>
  <c r="F54" i="18"/>
  <c r="F94" i="18" s="1"/>
  <c r="AD15" i="2"/>
  <c r="P54" i="18"/>
  <c r="P94" i="18" s="1"/>
  <c r="X54" i="18"/>
  <c r="X94" i="18" s="1"/>
  <c r="D54" i="18"/>
  <c r="L54" i="18"/>
  <c r="L94" i="18" s="1"/>
  <c r="T54" i="18"/>
  <c r="T94" i="18" s="1"/>
  <c r="N54" i="18"/>
  <c r="N94" i="18" s="1"/>
  <c r="AI44" i="18"/>
  <c r="AI46" i="18"/>
  <c r="AK46" i="18" s="1"/>
  <c r="AC52" i="18"/>
  <c r="G23" i="9" s="1"/>
  <c r="K23" i="9" s="1"/>
  <c r="AC44" i="18"/>
  <c r="G22" i="9" s="1"/>
  <c r="K22" i="9" s="1"/>
  <c r="AK36" i="19"/>
  <c r="AM36" i="19" s="1"/>
  <c r="Z88" i="20"/>
  <c r="P88" i="20"/>
  <c r="T88" i="20"/>
  <c r="AH52" i="17"/>
  <c r="AJ52" i="17" s="1"/>
  <c r="AG23" i="22"/>
  <c r="AI23" i="22" s="1"/>
  <c r="G22" i="12"/>
  <c r="K22" i="12" s="1"/>
  <c r="N17" i="2"/>
  <c r="AG20" i="22"/>
  <c r="AI20" i="22" s="1"/>
  <c r="G21" i="12"/>
  <c r="N15" i="2"/>
  <c r="S23" i="14"/>
  <c r="F88" i="20"/>
  <c r="N88" i="20"/>
  <c r="AF88" i="20"/>
  <c r="X88" i="20"/>
  <c r="D41" i="19"/>
  <c r="AE36" i="19"/>
  <c r="J16" i="2" s="1"/>
  <c r="AB55" i="16"/>
  <c r="AH50" i="16"/>
  <c r="AJ50" i="16" s="1"/>
  <c r="R88" i="20"/>
  <c r="I40" i="16"/>
  <c r="AB40" i="16"/>
  <c r="AH32" i="16"/>
  <c r="AJ32" i="16" s="1"/>
  <c r="I47" i="16"/>
  <c r="AB42" i="16"/>
  <c r="H88" i="20"/>
  <c r="AL23" i="23"/>
  <c r="AN23" i="23" s="1"/>
  <c r="R15" i="2"/>
  <c r="AL31" i="23"/>
  <c r="AN31" i="23" s="1"/>
  <c r="R17" i="2"/>
  <c r="R16" i="2"/>
  <c r="W105" i="17"/>
  <c r="O105" i="17"/>
  <c r="S65" i="24"/>
  <c r="Q65" i="24"/>
  <c r="E65" i="24"/>
  <c r="M65" i="24"/>
  <c r="K65" i="24"/>
  <c r="AA65" i="24"/>
  <c r="I65" i="24"/>
  <c r="Y65" i="24"/>
  <c r="G65" i="24"/>
  <c r="O65" i="24"/>
  <c r="W65" i="24"/>
  <c r="AG65" i="24"/>
  <c r="U105" i="17"/>
  <c r="Q105" i="17"/>
  <c r="Y105" i="17"/>
  <c r="S105" i="17"/>
  <c r="AE105" i="17"/>
  <c r="AE131" i="17" s="1"/>
  <c r="AE141" i="17" s="1"/>
  <c r="AF33" i="23"/>
  <c r="AL33" i="23" s="1"/>
  <c r="AN33" i="23" s="1"/>
  <c r="AL28" i="23"/>
  <c r="AN28" i="23" s="1"/>
  <c r="AE101" i="16"/>
  <c r="M105" i="16"/>
  <c r="U105" i="16"/>
  <c r="S105" i="16"/>
  <c r="Q105" i="16"/>
  <c r="O105" i="16"/>
  <c r="AJ61" i="24"/>
  <c r="AL61" i="24" s="1"/>
  <c r="AK39" i="19"/>
  <c r="AM39" i="19" s="1"/>
  <c r="J14" i="2"/>
  <c r="AK18" i="19"/>
  <c r="AM18" i="19" s="1"/>
  <c r="J88" i="20"/>
  <c r="AE39" i="19"/>
  <c r="J17" i="2" s="1"/>
  <c r="AE29" i="19"/>
  <c r="J15" i="2" s="1"/>
  <c r="AF54" i="18"/>
  <c r="AF94" i="18" s="1"/>
  <c r="AI37" i="18"/>
  <c r="J54" i="18"/>
  <c r="J94" i="18" s="1"/>
  <c r="AC37" i="18"/>
  <c r="G21" i="9" s="1"/>
  <c r="K21" i="9" s="1"/>
  <c r="AB65" i="17"/>
  <c r="AB73" i="17"/>
  <c r="AB78" i="17"/>
  <c r="AB84" i="17"/>
  <c r="AB92" i="17"/>
  <c r="AB96" i="17"/>
  <c r="G101" i="17"/>
  <c r="AB64" i="17"/>
  <c r="AB72" i="17"/>
  <c r="AB76" i="17"/>
  <c r="AB81" i="17"/>
  <c r="AB88" i="17"/>
  <c r="AB95" i="17"/>
  <c r="AB62" i="17"/>
  <c r="AB75" i="17"/>
  <c r="AB80" i="17"/>
  <c r="AB87" i="17"/>
  <c r="AB94" i="17"/>
  <c r="AB98" i="17"/>
  <c r="AB61" i="17"/>
  <c r="AB69" i="17"/>
  <c r="AB74" i="17"/>
  <c r="AB79" i="17"/>
  <c r="AB85" i="17"/>
  <c r="AB93" i="17"/>
  <c r="AB97" i="17"/>
  <c r="E101" i="17"/>
  <c r="I101" i="17"/>
  <c r="C27" i="13"/>
  <c r="C125" i="16"/>
  <c r="C134" i="17"/>
  <c r="C126" i="17"/>
  <c r="C125" i="17"/>
  <c r="C123" i="17"/>
  <c r="C122" i="17"/>
  <c r="C121" i="17"/>
  <c r="C118" i="17"/>
  <c r="C117" i="17"/>
  <c r="C116" i="17"/>
  <c r="C115" i="17"/>
  <c r="C114" i="17"/>
  <c r="C113" i="17"/>
  <c r="C111" i="17"/>
  <c r="C110" i="17"/>
  <c r="C109" i="17"/>
  <c r="C103" i="17"/>
  <c r="AA43" i="3"/>
  <c r="AA41" i="3"/>
  <c r="AA40" i="3"/>
  <c r="AA39" i="3"/>
  <c r="AA35" i="3"/>
  <c r="AA34" i="3"/>
  <c r="AA33" i="3"/>
  <c r="AA32" i="3"/>
  <c r="D14" i="2" l="1"/>
  <c r="V14" i="2" s="1"/>
  <c r="K21" i="12"/>
  <c r="I21" i="12"/>
  <c r="AC54" i="18"/>
  <c r="C57" i="16"/>
  <c r="I22" i="11"/>
  <c r="K22" i="11"/>
  <c r="I23" i="11"/>
  <c r="K23" i="11"/>
  <c r="I21" i="11"/>
  <c r="K21" i="11"/>
  <c r="G23" i="13"/>
  <c r="K23" i="14"/>
  <c r="O20" i="10"/>
  <c r="M20" i="10"/>
  <c r="V54" i="18"/>
  <c r="V94" i="18" s="1"/>
  <c r="I23" i="14"/>
  <c r="AI42" i="20"/>
  <c r="AK42" i="20" s="1"/>
  <c r="AK40" i="20"/>
  <c r="G23" i="10"/>
  <c r="K23" i="10" s="1"/>
  <c r="G22" i="10"/>
  <c r="K22" i="10" s="1"/>
  <c r="W101" i="16"/>
  <c r="W105" i="16" s="1"/>
  <c r="AH30" i="16"/>
  <c r="AJ30" i="16" s="1"/>
  <c r="G20" i="9"/>
  <c r="K20" i="9" s="1"/>
  <c r="AI24" i="18"/>
  <c r="AG25" i="22"/>
  <c r="AI25" i="22" s="1"/>
  <c r="AE57" i="16"/>
  <c r="AI52" i="18"/>
  <c r="G21" i="10"/>
  <c r="K21" i="10" s="1"/>
  <c r="T33" i="11"/>
  <c r="C33" i="10"/>
  <c r="C37" i="13"/>
  <c r="C40" i="13" s="1"/>
  <c r="C41" i="7"/>
  <c r="I23" i="9"/>
  <c r="I21" i="9"/>
  <c r="I22" i="9"/>
  <c r="AH55" i="17"/>
  <c r="AJ55" i="17" s="1"/>
  <c r="I22" i="12"/>
  <c r="I57" i="16"/>
  <c r="AH42" i="16"/>
  <c r="AJ42" i="16" s="1"/>
  <c r="AB47" i="16"/>
  <c r="AB57" i="16" s="1"/>
  <c r="AH40" i="16"/>
  <c r="AJ40" i="16" s="1"/>
  <c r="AH55" i="16"/>
  <c r="AJ55" i="16" s="1"/>
  <c r="AK41" i="19"/>
  <c r="AM41" i="19" s="1"/>
  <c r="AE41" i="19"/>
  <c r="G105" i="17"/>
  <c r="E105" i="17"/>
  <c r="I105" i="17"/>
  <c r="K23" i="13" l="1"/>
  <c r="M22" i="10"/>
  <c r="O22" i="10"/>
  <c r="M23" i="10"/>
  <c r="O23" i="10"/>
  <c r="M21" i="10"/>
  <c r="O21" i="10"/>
  <c r="G23" i="7"/>
  <c r="K23" i="7" s="1"/>
  <c r="I20" i="9"/>
  <c r="AI28" i="18"/>
  <c r="AI54" i="18" s="1"/>
  <c r="AK24" i="18"/>
  <c r="C33" i="7"/>
  <c r="C35" i="10"/>
  <c r="C39" i="10" s="1"/>
  <c r="C42" i="10" s="1"/>
  <c r="G20" i="7"/>
  <c r="K20" i="7" s="1"/>
  <c r="AH47" i="16"/>
  <c r="AJ47" i="16" s="1"/>
  <c r="AI116" i="20"/>
  <c r="AK116" i="20" s="1"/>
  <c r="J52" i="3"/>
  <c r="M23" i="13" l="1"/>
  <c r="O23" i="13"/>
  <c r="I23" i="7"/>
  <c r="I20" i="7"/>
  <c r="AK28" i="18"/>
  <c r="AH57" i="16"/>
  <c r="AJ57" i="16" s="1"/>
  <c r="I34" i="11"/>
  <c r="AA31" i="3"/>
  <c r="AA29" i="3"/>
  <c r="AA28" i="3"/>
  <c r="AA27" i="3"/>
  <c r="AA22" i="3"/>
  <c r="AH100" i="17"/>
  <c r="AJ100" i="17" s="1"/>
  <c r="AH98" i="17"/>
  <c r="AJ98" i="17" s="1"/>
  <c r="AH97" i="17"/>
  <c r="AJ97" i="17" s="1"/>
  <c r="AH96" i="17"/>
  <c r="AJ96" i="17" s="1"/>
  <c r="AH95" i="17"/>
  <c r="AJ95" i="17" s="1"/>
  <c r="AH94" i="17"/>
  <c r="AJ94" i="17" s="1"/>
  <c r="AH93" i="17"/>
  <c r="AJ93" i="17" s="1"/>
  <c r="AH92" i="17"/>
  <c r="AJ92" i="17" s="1"/>
  <c r="AH88" i="17"/>
  <c r="AJ88" i="17" s="1"/>
  <c r="AH87" i="17"/>
  <c r="AJ87" i="17" s="1"/>
  <c r="AH85" i="17"/>
  <c r="AJ85" i="17" s="1"/>
  <c r="AH84" i="17"/>
  <c r="AJ84" i="17" s="1"/>
  <c r="AH81" i="17"/>
  <c r="AJ81" i="17" s="1"/>
  <c r="AH80" i="17"/>
  <c r="AJ80" i="17" s="1"/>
  <c r="AH79" i="17"/>
  <c r="AJ79" i="17" s="1"/>
  <c r="AH78" i="17"/>
  <c r="AJ78" i="17" s="1"/>
  <c r="AH76" i="17"/>
  <c r="AJ76" i="17" s="1"/>
  <c r="AH75" i="17"/>
  <c r="AJ75" i="17" s="1"/>
  <c r="AH74" i="17"/>
  <c r="AJ74" i="17" s="1"/>
  <c r="AH73" i="17"/>
  <c r="AJ73" i="17" s="1"/>
  <c r="AH72" i="17"/>
  <c r="AJ72" i="17" s="1"/>
  <c r="AH71" i="17"/>
  <c r="AJ71" i="17" s="1"/>
  <c r="AH69" i="17"/>
  <c r="AJ69" i="17" s="1"/>
  <c r="AH65" i="17"/>
  <c r="AJ65" i="17" s="1"/>
  <c r="AH64" i="17"/>
  <c r="AJ64" i="17" s="1"/>
  <c r="AH62" i="17"/>
  <c r="AJ62" i="17" s="1"/>
  <c r="AH61" i="17"/>
  <c r="AJ61" i="17" s="1"/>
  <c r="AI52" i="21" l="1"/>
  <c r="AI51" i="21"/>
  <c r="AK51" i="21" s="1"/>
  <c r="AI49" i="21"/>
  <c r="AI48" i="21"/>
  <c r="AK48" i="21" s="1"/>
  <c r="AI47" i="21"/>
  <c r="AK47" i="21" s="1"/>
  <c r="AI46" i="21"/>
  <c r="AI45" i="21"/>
  <c r="AI44" i="21"/>
  <c r="AI43" i="21"/>
  <c r="AI42" i="21"/>
  <c r="AK42" i="21" s="1"/>
  <c r="AI40" i="21"/>
  <c r="AI39" i="21"/>
  <c r="AI38" i="21"/>
  <c r="AI37" i="21"/>
  <c r="AI36" i="21"/>
  <c r="AI35" i="21"/>
  <c r="AI33" i="21"/>
  <c r="AK33" i="21" s="1"/>
  <c r="AI31" i="21"/>
  <c r="AI30" i="21"/>
  <c r="AI29" i="21"/>
  <c r="AI28" i="21"/>
  <c r="AI27" i="21"/>
  <c r="AI25" i="21"/>
  <c r="AI24" i="21"/>
  <c r="AI23" i="21"/>
  <c r="AI22" i="21"/>
  <c r="AK22" i="21" s="1"/>
  <c r="AI83" i="20"/>
  <c r="AK83" i="20" s="1"/>
  <c r="AI82" i="20"/>
  <c r="AK82" i="20" s="1"/>
  <c r="AI81" i="20"/>
  <c r="AK81" i="20" s="1"/>
  <c r="AI80" i="20"/>
  <c r="AK80" i="20" s="1"/>
  <c r="AI78" i="20"/>
  <c r="AK78" i="20" s="1"/>
  <c r="AI77" i="20"/>
  <c r="AK77" i="20" s="1"/>
  <c r="AI76" i="20"/>
  <c r="AK76" i="20" s="1"/>
  <c r="AI75" i="20"/>
  <c r="AK75" i="20" s="1"/>
  <c r="AI74" i="20"/>
  <c r="AK74" i="20" s="1"/>
  <c r="AI71" i="20"/>
  <c r="AK71" i="20" s="1"/>
  <c r="AI70" i="20"/>
  <c r="AK70" i="20" s="1"/>
  <c r="AI69" i="20"/>
  <c r="AK69" i="20" s="1"/>
  <c r="AI68" i="20"/>
  <c r="AK68" i="20" s="1"/>
  <c r="AI66" i="20"/>
  <c r="AI64" i="20"/>
  <c r="AK64" i="20" s="1"/>
  <c r="AI63" i="20"/>
  <c r="AK63" i="20" s="1"/>
  <c r="AI62" i="20"/>
  <c r="AK62" i="20" s="1"/>
  <c r="AI61" i="20"/>
  <c r="AK61" i="20" s="1"/>
  <c r="AI59" i="20"/>
  <c r="AK59" i="20" s="1"/>
  <c r="AI58" i="20"/>
  <c r="AK58" i="20" s="1"/>
  <c r="AI57" i="20"/>
  <c r="AK57" i="20" s="1"/>
  <c r="AI56" i="20"/>
  <c r="AK56" i="20" s="1"/>
  <c r="AI55" i="20"/>
  <c r="AK55" i="20" s="1"/>
  <c r="AI54" i="20"/>
  <c r="AK54" i="20" s="1"/>
  <c r="AI51" i="20"/>
  <c r="AK51" i="20" s="1"/>
  <c r="AI50" i="20"/>
  <c r="AK50" i="20" s="1"/>
  <c r="AI49" i="20"/>
  <c r="AK49" i="20" s="1"/>
  <c r="AI48" i="20"/>
  <c r="AK48" i="20" s="1"/>
  <c r="AI46" i="20"/>
  <c r="AK46" i="20" s="1"/>
  <c r="J117" i="19"/>
  <c r="AI85" i="21" l="1"/>
  <c r="AK85" i="21" s="1"/>
  <c r="AI20" i="21"/>
  <c r="G101" i="16"/>
  <c r="E101" i="16"/>
  <c r="AI73" i="20"/>
  <c r="AK73" i="20" s="1"/>
  <c r="AB81" i="16"/>
  <c r="AB73" i="16"/>
  <c r="AB97" i="16"/>
  <c r="AH64" i="16"/>
  <c r="AJ64" i="16" s="1"/>
  <c r="AB74" i="16"/>
  <c r="AB85" i="16"/>
  <c r="AB94" i="16"/>
  <c r="AB79" i="16"/>
  <c r="AB78" i="16"/>
  <c r="AB62" i="16"/>
  <c r="AB95" i="16"/>
  <c r="AB98" i="16"/>
  <c r="AB69" i="16"/>
  <c r="AB65" i="16"/>
  <c r="AB72" i="16"/>
  <c r="AB88" i="16"/>
  <c r="AB76" i="16"/>
  <c r="AB80" i="16"/>
  <c r="AB84" i="16"/>
  <c r="AB92" i="16"/>
  <c r="AB96" i="16"/>
  <c r="AB100" i="16"/>
  <c r="AB71" i="16"/>
  <c r="AH71" i="16" s="1"/>
  <c r="AJ71" i="16" s="1"/>
  <c r="AB75" i="16"/>
  <c r="AB87" i="16"/>
  <c r="J121" i="19" l="1"/>
  <c r="AH69" i="16"/>
  <c r="AJ69" i="16" s="1"/>
  <c r="AH93" i="16"/>
  <c r="AJ93" i="16" s="1"/>
  <c r="AH65" i="16"/>
  <c r="AJ65" i="16" s="1"/>
  <c r="AH100" i="16"/>
  <c r="AJ100" i="16" s="1"/>
  <c r="AH95" i="16"/>
  <c r="AJ95" i="16" s="1"/>
  <c r="AH94" i="16"/>
  <c r="AJ94" i="16" s="1"/>
  <c r="AH80" i="16"/>
  <c r="AJ80" i="16" s="1"/>
  <c r="AH79" i="16"/>
  <c r="AJ79" i="16" s="1"/>
  <c r="AH78" i="16"/>
  <c r="AJ78" i="16" s="1"/>
  <c r="AH96" i="16"/>
  <c r="AJ96" i="16" s="1"/>
  <c r="AH74" i="16"/>
  <c r="AJ74" i="16" s="1"/>
  <c r="AH62" i="16"/>
  <c r="AJ62" i="16" s="1"/>
  <c r="AH75" i="16"/>
  <c r="AJ75" i="16" s="1"/>
  <c r="AH92" i="16"/>
  <c r="AJ92" i="16" s="1"/>
  <c r="AH88" i="16"/>
  <c r="AJ88" i="16" s="1"/>
  <c r="AH98" i="16"/>
  <c r="AJ98" i="16" s="1"/>
  <c r="AH81" i="16"/>
  <c r="AJ81" i="16" s="1"/>
  <c r="AH87" i="16"/>
  <c r="AJ87" i="16" s="1"/>
  <c r="AH76" i="16"/>
  <c r="AJ76" i="16" s="1"/>
  <c r="AH73" i="16"/>
  <c r="AJ73" i="16" s="1"/>
  <c r="AH85" i="16"/>
  <c r="AJ85" i="16" s="1"/>
  <c r="AH84" i="16"/>
  <c r="AJ84" i="16" s="1"/>
  <c r="AH72" i="16"/>
  <c r="AJ72" i="16" s="1"/>
  <c r="AH97" i="16"/>
  <c r="AJ97" i="16" s="1"/>
  <c r="AI53" i="21"/>
  <c r="J21" i="3"/>
  <c r="AI84" i="20"/>
  <c r="AB61" i="16"/>
  <c r="I101" i="16"/>
  <c r="G27" i="11" l="1"/>
  <c r="K27" i="11"/>
  <c r="G24" i="10"/>
  <c r="K24" i="10" s="1"/>
  <c r="T24" i="11"/>
  <c r="AK84" i="20"/>
  <c r="AH61" i="16"/>
  <c r="AJ61" i="16" s="1"/>
  <c r="M24" i="10" l="1"/>
  <c r="O24" i="10"/>
  <c r="AA21" i="3"/>
  <c r="I32" i="14" l="1"/>
  <c r="N23" i="26"/>
  <c r="AA14" i="27"/>
  <c r="H44" i="5" s="1"/>
  <c r="AA17" i="27"/>
  <c r="AD19" i="27"/>
  <c r="AA25" i="27"/>
  <c r="AA27" i="27"/>
  <c r="AD29" i="27"/>
  <c r="AA40" i="27"/>
  <c r="AG40" i="27" s="1"/>
  <c r="AI40" i="27" s="1"/>
  <c r="AD42" i="27"/>
  <c r="AD33" i="28"/>
  <c r="AA32" i="28"/>
  <c r="AG32" i="28" s="1"/>
  <c r="AI32" i="28" s="1"/>
  <c r="AA31" i="28"/>
  <c r="AG31" i="28" s="1"/>
  <c r="AI31" i="28" s="1"/>
  <c r="AD25" i="28"/>
  <c r="AA24" i="28"/>
  <c r="AG24" i="28" s="1"/>
  <c r="AI24" i="28" s="1"/>
  <c r="AA23" i="28"/>
  <c r="AG23" i="28" s="1"/>
  <c r="AI23" i="28" s="1"/>
  <c r="AA22" i="28"/>
  <c r="AG22" i="28" s="1"/>
  <c r="AI22" i="28" s="1"/>
  <c r="AD17" i="28"/>
  <c r="AA16" i="28"/>
  <c r="D18" i="6" s="1"/>
  <c r="AA13" i="28"/>
  <c r="AA16" i="26"/>
  <c r="AA19" i="26"/>
  <c r="AA20" i="26"/>
  <c r="AA21" i="26"/>
  <c r="AD23" i="26"/>
  <c r="AA29" i="26"/>
  <c r="D26" i="5"/>
  <c r="AA31" i="26"/>
  <c r="AD34" i="26"/>
  <c r="AA44" i="26"/>
  <c r="AA45" i="26"/>
  <c r="AG45" i="26" s="1"/>
  <c r="AI45" i="26" s="1"/>
  <c r="A38" i="12"/>
  <c r="A49" i="8"/>
  <c r="A48" i="8"/>
  <c r="E41" i="8"/>
  <c r="C41" i="8"/>
  <c r="E40" i="8"/>
  <c r="C40" i="8"/>
  <c r="E33" i="8"/>
  <c r="E32" i="8"/>
  <c r="E31" i="8"/>
  <c r="E30" i="8"/>
  <c r="E29" i="8"/>
  <c r="C33" i="8"/>
  <c r="E25" i="8"/>
  <c r="C25" i="8"/>
  <c r="E24" i="8"/>
  <c r="E23" i="8"/>
  <c r="E22" i="8"/>
  <c r="E20" i="8"/>
  <c r="C43" i="9"/>
  <c r="C47" i="9" s="1"/>
  <c r="C32" i="12"/>
  <c r="C36" i="12" s="1"/>
  <c r="C39" i="12" s="1"/>
  <c r="AA34" i="26" l="1"/>
  <c r="E34" i="8"/>
  <c r="D36" i="5"/>
  <c r="AG16" i="26"/>
  <c r="AI16" i="26" s="1"/>
  <c r="D44" i="5"/>
  <c r="L44" i="5" s="1"/>
  <c r="S44" i="5" s="1"/>
  <c r="U44" i="5" s="1"/>
  <c r="D35" i="5"/>
  <c r="AA47" i="26"/>
  <c r="AG14" i="27"/>
  <c r="AI14" i="27" s="1"/>
  <c r="AG32" i="26"/>
  <c r="AI32" i="26" s="1"/>
  <c r="D28" i="5"/>
  <c r="L28" i="5" s="1"/>
  <c r="S28" i="5" s="1"/>
  <c r="U28" i="5" s="1"/>
  <c r="AG31" i="26"/>
  <c r="AI31" i="26" s="1"/>
  <c r="D27" i="5"/>
  <c r="AG30" i="26"/>
  <c r="AI30" i="26" s="1"/>
  <c r="AG29" i="26"/>
  <c r="AI29" i="26" s="1"/>
  <c r="D25" i="5"/>
  <c r="AG21" i="26"/>
  <c r="AI21" i="26" s="1"/>
  <c r="D20" i="5"/>
  <c r="L20" i="5" s="1"/>
  <c r="S20" i="5" s="1"/>
  <c r="U20" i="5" s="1"/>
  <c r="AG20" i="26"/>
  <c r="AI20" i="26" s="1"/>
  <c r="D19" i="5"/>
  <c r="L19" i="5" s="1"/>
  <c r="S19" i="5" s="1"/>
  <c r="U19" i="5" s="1"/>
  <c r="AG19" i="26"/>
  <c r="AI19" i="26" s="1"/>
  <c r="D18" i="5"/>
  <c r="C26" i="8"/>
  <c r="E26" i="8"/>
  <c r="H36" i="5"/>
  <c r="AG39" i="27"/>
  <c r="AI39" i="27" s="1"/>
  <c r="H35" i="5"/>
  <c r="AG27" i="27"/>
  <c r="AI27" i="27" s="1"/>
  <c r="H27" i="5"/>
  <c r="AG26" i="27"/>
  <c r="AI26" i="27" s="1"/>
  <c r="H26" i="5"/>
  <c r="L26" i="5" s="1"/>
  <c r="S26" i="5" s="1"/>
  <c r="U26" i="5" s="1"/>
  <c r="AG25" i="27"/>
  <c r="AI25" i="27" s="1"/>
  <c r="H25" i="5"/>
  <c r="AA19" i="27"/>
  <c r="H18" i="5"/>
  <c r="AD39" i="26"/>
  <c r="AD53" i="26" s="1"/>
  <c r="AD55" i="26" s="1"/>
  <c r="AG44" i="26"/>
  <c r="AI44" i="26" s="1"/>
  <c r="E42" i="8"/>
  <c r="C42" i="8"/>
  <c r="AA17" i="28"/>
  <c r="AG16" i="28"/>
  <c r="AI16" i="28" s="1"/>
  <c r="AD28" i="28"/>
  <c r="AD37" i="28" s="1"/>
  <c r="AD38" i="28" s="1"/>
  <c r="AG33" i="28"/>
  <c r="AI33" i="28" s="1"/>
  <c r="AD34" i="27"/>
  <c r="AD48" i="27" s="1"/>
  <c r="AD50" i="27" s="1"/>
  <c r="AA33" i="28"/>
  <c r="AA42" i="27"/>
  <c r="AG17" i="27"/>
  <c r="AI17" i="27" s="1"/>
  <c r="AA23" i="26"/>
  <c r="AA29" i="27"/>
  <c r="AG25" i="28"/>
  <c r="AI25" i="28" s="1"/>
  <c r="AA25" i="28"/>
  <c r="AG13" i="28"/>
  <c r="AI13" i="28" s="1"/>
  <c r="C34" i="8"/>
  <c r="C50" i="9"/>
  <c r="AA28" i="28" l="1"/>
  <c r="AA37" i="28" s="1"/>
  <c r="D37" i="5"/>
  <c r="L36" i="5"/>
  <c r="S36" i="5" s="1"/>
  <c r="U36" i="5" s="1"/>
  <c r="AG47" i="26"/>
  <c r="AI47" i="26" s="1"/>
  <c r="D29" i="5"/>
  <c r="L27" i="5"/>
  <c r="S27" i="5" s="1"/>
  <c r="U27" i="5" s="1"/>
  <c r="AG34" i="26"/>
  <c r="AI34" i="26" s="1"/>
  <c r="AG23" i="26"/>
  <c r="AI23" i="26" s="1"/>
  <c r="D21" i="5"/>
  <c r="AG17" i="28"/>
  <c r="AI17" i="28" s="1"/>
  <c r="H37" i="5"/>
  <c r="L35" i="5"/>
  <c r="AG42" i="27"/>
  <c r="AI42" i="27" s="1"/>
  <c r="H29" i="5"/>
  <c r="L25" i="5"/>
  <c r="AG29" i="27"/>
  <c r="AI29" i="27" s="1"/>
  <c r="H21" i="5"/>
  <c r="L18" i="5"/>
  <c r="AA34" i="27"/>
  <c r="AA48" i="27" s="1"/>
  <c r="AA50" i="27" s="1"/>
  <c r="AG50" i="27" s="1"/>
  <c r="AI50" i="27" s="1"/>
  <c r="AG19" i="27"/>
  <c r="AI19" i="27" s="1"/>
  <c r="AA39" i="26"/>
  <c r="C46" i="8"/>
  <c r="C49" i="8" s="1"/>
  <c r="C37" i="8"/>
  <c r="N39" i="11"/>
  <c r="N42" i="11" s="1"/>
  <c r="C39" i="11"/>
  <c r="C42" i="11" s="1"/>
  <c r="M40" i="14"/>
  <c r="AG37" i="28" l="1"/>
  <c r="AI37" i="28" s="1"/>
  <c r="AG28" i="28"/>
  <c r="AI28" i="28" s="1"/>
  <c r="D32" i="5"/>
  <c r="D42" i="5" s="1"/>
  <c r="D45" i="5" s="1"/>
  <c r="AG39" i="26"/>
  <c r="AI39" i="26" s="1"/>
  <c r="L37" i="5"/>
  <c r="S35" i="5"/>
  <c r="U35" i="5" s="1"/>
  <c r="S25" i="5"/>
  <c r="L29" i="5"/>
  <c r="H32" i="5"/>
  <c r="H42" i="5" s="1"/>
  <c r="H45" i="5" s="1"/>
  <c r="L21" i="5"/>
  <c r="S18" i="5"/>
  <c r="AG34" i="27"/>
  <c r="AI34" i="27" s="1"/>
  <c r="AA53" i="26"/>
  <c r="AA55" i="26" s="1"/>
  <c r="AG55" i="26" s="1"/>
  <c r="AI55" i="26" s="1"/>
  <c r="A6" i="14"/>
  <c r="A6" i="12"/>
  <c r="A6" i="11"/>
  <c r="A6" i="9"/>
  <c r="A6" i="8"/>
  <c r="AF60" i="23"/>
  <c r="AL60" i="23" s="1"/>
  <c r="AN60" i="23" s="1"/>
  <c r="AF59" i="23"/>
  <c r="AF58" i="23"/>
  <c r="AF55" i="23"/>
  <c r="AL55" i="23" s="1"/>
  <c r="AN55" i="23" s="1"/>
  <c r="AF54" i="23"/>
  <c r="AL54" i="23" s="1"/>
  <c r="AN54" i="23" s="1"/>
  <c r="AF52" i="23"/>
  <c r="AF51" i="23"/>
  <c r="AF50" i="23"/>
  <c r="AL50" i="23" s="1"/>
  <c r="AN50" i="23" s="1"/>
  <c r="AF48" i="23"/>
  <c r="AL48" i="23" s="1"/>
  <c r="AN48" i="23" s="1"/>
  <c r="AF46" i="23"/>
  <c r="AL46" i="23" s="1"/>
  <c r="AN46" i="23" s="1"/>
  <c r="AF45" i="23"/>
  <c r="AF44" i="23"/>
  <c r="AL44" i="23" s="1"/>
  <c r="AN44" i="23" s="1"/>
  <c r="AA41" i="22"/>
  <c r="AA39" i="22"/>
  <c r="AG39" i="22" s="1"/>
  <c r="AI39" i="22" s="1"/>
  <c r="AA38" i="22"/>
  <c r="AG38" i="22" s="1"/>
  <c r="AI38" i="22" s="1"/>
  <c r="AA37" i="22"/>
  <c r="AA38" i="28" l="1"/>
  <c r="AG38" i="28" s="1"/>
  <c r="AI38" i="28" s="1"/>
  <c r="AG41" i="22"/>
  <c r="AI41" i="22" s="1"/>
  <c r="AA43" i="22"/>
  <c r="AL39" i="23"/>
  <c r="AN39" i="23" s="1"/>
  <c r="AL58" i="23"/>
  <c r="AN58" i="23" s="1"/>
  <c r="AL43" i="23"/>
  <c r="AN43" i="23" s="1"/>
  <c r="AL51" i="23"/>
  <c r="AN51" i="23" s="1"/>
  <c r="AL41" i="23"/>
  <c r="AN41" i="23" s="1"/>
  <c r="AL52" i="23"/>
  <c r="AN52" i="23" s="1"/>
  <c r="AL59" i="23"/>
  <c r="AN59" i="23" s="1"/>
  <c r="AL45" i="23"/>
  <c r="AN45" i="23" s="1"/>
  <c r="AG53" i="26"/>
  <c r="AI53" i="26" s="1"/>
  <c r="S37" i="5"/>
  <c r="U37" i="5" s="1"/>
  <c r="U25" i="5"/>
  <c r="S29" i="5"/>
  <c r="U29" i="5" s="1"/>
  <c r="L32" i="5"/>
  <c r="L42" i="5" s="1"/>
  <c r="L45" i="5" s="1"/>
  <c r="S21" i="5"/>
  <c r="U18" i="5"/>
  <c r="AG37" i="22"/>
  <c r="AI37" i="22" s="1"/>
  <c r="AL37" i="23"/>
  <c r="AN37" i="23" s="1"/>
  <c r="AF61" i="23"/>
  <c r="AG48" i="27"/>
  <c r="AI48" i="27" s="1"/>
  <c r="D47" i="22"/>
  <c r="D83" i="19"/>
  <c r="S32" i="5" l="1"/>
  <c r="U32" i="5" s="1"/>
  <c r="AG43" i="22"/>
  <c r="AI43" i="22" s="1"/>
  <c r="U21" i="5"/>
  <c r="AL61" i="23"/>
  <c r="C37" i="14"/>
  <c r="C40" i="14" s="1"/>
  <c r="E39" i="12"/>
  <c r="S42" i="5" l="1"/>
  <c r="U42" i="5" s="1"/>
  <c r="AB12" i="17"/>
  <c r="S45" i="5" l="1"/>
  <c r="U45" i="5" s="1"/>
  <c r="Q26" i="14"/>
  <c r="U26" i="14" l="1"/>
  <c r="U27" i="14" s="1"/>
  <c r="G26" i="13"/>
  <c r="S26" i="14"/>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7" i="17"/>
  <c r="W137" i="17"/>
  <c r="U137" i="17"/>
  <c r="S137" i="17"/>
  <c r="Q137" i="17"/>
  <c r="O137" i="17"/>
  <c r="I137" i="17"/>
  <c r="G137" i="17"/>
  <c r="E137" i="17"/>
  <c r="AB135" i="17"/>
  <c r="AH135" i="17" s="1"/>
  <c r="AJ135" i="17" s="1"/>
  <c r="AB134" i="17"/>
  <c r="C137" i="17"/>
  <c r="AB126" i="17"/>
  <c r="AH126" i="17" s="1"/>
  <c r="AJ126" i="17" s="1"/>
  <c r="AB125" i="17"/>
  <c r="AH125" i="17" s="1"/>
  <c r="AJ125" i="17" s="1"/>
  <c r="AB123" i="17"/>
  <c r="AH123" i="17" s="1"/>
  <c r="AJ123" i="17" s="1"/>
  <c r="AB122" i="17"/>
  <c r="AH122" i="17" s="1"/>
  <c r="AJ122" i="17" s="1"/>
  <c r="AB121" i="17"/>
  <c r="AH121" i="17" s="1"/>
  <c r="AJ121" i="17" s="1"/>
  <c r="Y119" i="17"/>
  <c r="Y128" i="17" s="1"/>
  <c r="W119" i="17"/>
  <c r="W128" i="17" s="1"/>
  <c r="U119" i="17"/>
  <c r="U128" i="17" s="1"/>
  <c r="S119" i="17"/>
  <c r="S128" i="17" s="1"/>
  <c r="Q119" i="17"/>
  <c r="Q128" i="17" s="1"/>
  <c r="O119" i="17"/>
  <c r="O128" i="17" s="1"/>
  <c r="I119" i="17"/>
  <c r="I128" i="17" s="1"/>
  <c r="G119" i="17"/>
  <c r="G128" i="17" s="1"/>
  <c r="E119" i="17"/>
  <c r="E128" i="17" s="1"/>
  <c r="AB118" i="17"/>
  <c r="AH118" i="17" s="1"/>
  <c r="AJ118" i="17" s="1"/>
  <c r="AB117" i="17"/>
  <c r="AH117" i="17" s="1"/>
  <c r="AJ117" i="17" s="1"/>
  <c r="AB116" i="17"/>
  <c r="AH116" i="17" s="1"/>
  <c r="AJ116" i="17" s="1"/>
  <c r="AB115" i="17"/>
  <c r="AH115" i="17" s="1"/>
  <c r="AJ115" i="17" s="1"/>
  <c r="AB114" i="17"/>
  <c r="AH114" i="17" s="1"/>
  <c r="AJ114" i="17" s="1"/>
  <c r="AB113" i="17"/>
  <c r="AH113" i="17" s="1"/>
  <c r="AJ113" i="17" s="1"/>
  <c r="AB111" i="17"/>
  <c r="AH111" i="17" s="1"/>
  <c r="AJ111" i="17" s="1"/>
  <c r="AB110" i="17"/>
  <c r="AH110" i="17" s="1"/>
  <c r="AJ110" i="17" s="1"/>
  <c r="C119" i="17"/>
  <c r="C128" i="17" s="1"/>
  <c r="AB109" i="17"/>
  <c r="AB103" i="17"/>
  <c r="AH103" i="17" s="1"/>
  <c r="AJ103" i="17" s="1"/>
  <c r="AB16" i="17"/>
  <c r="AH16" i="17" s="1"/>
  <c r="AJ16" i="17" s="1"/>
  <c r="E43" i="9"/>
  <c r="E31" i="9"/>
  <c r="AH134" i="17" l="1"/>
  <c r="AB137" i="17"/>
  <c r="K25" i="13"/>
  <c r="S25" i="14"/>
  <c r="I25" i="14"/>
  <c r="S21" i="14"/>
  <c r="I131" i="17"/>
  <c r="I141" i="17" s="1"/>
  <c r="Q131" i="17"/>
  <c r="Q141" i="17" s="1"/>
  <c r="Y131" i="17"/>
  <c r="Y141" i="17" s="1"/>
  <c r="U131" i="17"/>
  <c r="U141" i="17" s="1"/>
  <c r="E131" i="17"/>
  <c r="E141" i="17" s="1"/>
  <c r="S131" i="17"/>
  <c r="S141" i="17" s="1"/>
  <c r="E33" i="14"/>
  <c r="E37" i="14" s="1"/>
  <c r="H48" i="3"/>
  <c r="H57" i="3" s="1"/>
  <c r="Y53" i="3"/>
  <c r="AA37" i="3"/>
  <c r="AA45" i="3" s="1"/>
  <c r="Y37" i="3"/>
  <c r="Y45" i="3" s="1"/>
  <c r="E37" i="8"/>
  <c r="E47" i="9"/>
  <c r="E50" i="9" s="1"/>
  <c r="AE143" i="17"/>
  <c r="AB119" i="17"/>
  <c r="AB128" i="17" s="1"/>
  <c r="AH109" i="17"/>
  <c r="AJ109" i="17" s="1"/>
  <c r="G131" i="17"/>
  <c r="G141" i="17" s="1"/>
  <c r="O131" i="17"/>
  <c r="O141" i="17" s="1"/>
  <c r="W131" i="17"/>
  <c r="W141" i="17" s="1"/>
  <c r="M25" i="13" l="1"/>
  <c r="O25" i="13"/>
  <c r="AH137" i="17"/>
  <c r="AJ137" i="17" s="1"/>
  <c r="AJ134" i="17"/>
  <c r="AH119" i="17"/>
  <c r="E49" i="8"/>
  <c r="P39" i="11"/>
  <c r="P42" i="11" s="1"/>
  <c r="E40" i="14"/>
  <c r="Y48" i="3"/>
  <c r="Y57" i="3" s="1"/>
  <c r="Y61" i="3" s="1"/>
  <c r="O37" i="14"/>
  <c r="O40" i="14" s="1"/>
  <c r="E42" i="11"/>
  <c r="AH128" i="17" l="1"/>
  <c r="AJ128" i="17" s="1"/>
  <c r="AJ119" i="17"/>
  <c r="AK47" i="19"/>
  <c r="AM47" i="19" s="1"/>
  <c r="AK48" i="19"/>
  <c r="AM48" i="19" s="1"/>
  <c r="AK50" i="19"/>
  <c r="AM50" i="19" s="1"/>
  <c r="AK54" i="19"/>
  <c r="AM54" i="19" s="1"/>
  <c r="AK55" i="19"/>
  <c r="AM55" i="19" s="1"/>
  <c r="AK57" i="19"/>
  <c r="AM57" i="19" s="1"/>
  <c r="AK61" i="19"/>
  <c r="AM61" i="19" s="1"/>
  <c r="AK66" i="19"/>
  <c r="AM66" i="19" s="1"/>
  <c r="AK68" i="19"/>
  <c r="AM68" i="19" s="1"/>
  <c r="AK69" i="19"/>
  <c r="AM69" i="19" s="1"/>
  <c r="AK70" i="19"/>
  <c r="AM70" i="19" s="1"/>
  <c r="AK73" i="19"/>
  <c r="AM73" i="19" s="1"/>
  <c r="AK75" i="19"/>
  <c r="AM75" i="19" s="1"/>
  <c r="AK76" i="19"/>
  <c r="AM76" i="19" s="1"/>
  <c r="AK77" i="19"/>
  <c r="AM77" i="19" s="1"/>
  <c r="AK79" i="19"/>
  <c r="AM79" i="19" s="1"/>
  <c r="AK82" i="19"/>
  <c r="AM82" i="19" s="1"/>
  <c r="AK81" i="19"/>
  <c r="AM81" i="19" s="1"/>
  <c r="AK62" i="19"/>
  <c r="AM62" i="19" s="1"/>
  <c r="AK53" i="19"/>
  <c r="AM53" i="19" s="1"/>
  <c r="AK65" i="19"/>
  <c r="AK60" i="19"/>
  <c r="AM60" i="19" s="1"/>
  <c r="AI88" i="18"/>
  <c r="AK88" i="18" s="1"/>
  <c r="AC87" i="18"/>
  <c r="AC84" i="18"/>
  <c r="AC83" i="18"/>
  <c r="AC79" i="18"/>
  <c r="AC78" i="18"/>
  <c r="AI78" i="18" s="1"/>
  <c r="AC76" i="18"/>
  <c r="AC75" i="18"/>
  <c r="AC73" i="18"/>
  <c r="AI73" i="18" s="1"/>
  <c r="AK73" i="18" s="1"/>
  <c r="AC72" i="18"/>
  <c r="AC71" i="18"/>
  <c r="AC69" i="18"/>
  <c r="AC68" i="18"/>
  <c r="AC67" i="18"/>
  <c r="AC66" i="18"/>
  <c r="AC62" i="18"/>
  <c r="AI62" i="18" s="1"/>
  <c r="AK62" i="18" s="1"/>
  <c r="AC61" i="18"/>
  <c r="AI61" i="18" s="1"/>
  <c r="AK61" i="18" s="1"/>
  <c r="AC59" i="18"/>
  <c r="C90" i="17" l="1"/>
  <c r="AB90" i="17" s="1"/>
  <c r="AH90" i="17" s="1"/>
  <c r="AJ90" i="17" s="1"/>
  <c r="C90" i="16"/>
  <c r="AB90" i="16" s="1"/>
  <c r="C86" i="17"/>
  <c r="AB86" i="17" s="1"/>
  <c r="AH86" i="17" s="1"/>
  <c r="AJ86" i="17" s="1"/>
  <c r="C86" i="16"/>
  <c r="AB86" i="16" s="1"/>
  <c r="C66" i="17"/>
  <c r="AB66" i="17" s="1"/>
  <c r="C66" i="16"/>
  <c r="C99" i="17"/>
  <c r="C99" i="16"/>
  <c r="AB99" i="16" s="1"/>
  <c r="C67" i="17"/>
  <c r="AB67" i="17" s="1"/>
  <c r="AH67" i="17" s="1"/>
  <c r="AJ67" i="17" s="1"/>
  <c r="C67" i="16"/>
  <c r="AB67" i="16" s="1"/>
  <c r="AB83" i="17"/>
  <c r="AH83" i="17" s="1"/>
  <c r="AB91" i="17"/>
  <c r="AH91" i="17" s="1"/>
  <c r="AJ91" i="17" s="1"/>
  <c r="AC64" i="18"/>
  <c r="AI64" i="18" s="1"/>
  <c r="AK64" i="18" s="1"/>
  <c r="AC63" i="18"/>
  <c r="AI63" i="18" s="1"/>
  <c r="AK63" i="18" s="1"/>
  <c r="AC77" i="18"/>
  <c r="AI77" i="18" s="1"/>
  <c r="AK77" i="18" s="1"/>
  <c r="AB91" i="16"/>
  <c r="AC81" i="18"/>
  <c r="AI81" i="18" s="1"/>
  <c r="AK81" i="18" s="1"/>
  <c r="AB83" i="16"/>
  <c r="AC89" i="18"/>
  <c r="AI89" i="18" s="1"/>
  <c r="AK89" i="18" s="1"/>
  <c r="AK80" i="19"/>
  <c r="AM80" i="19" s="1"/>
  <c r="AK78" i="19"/>
  <c r="AM78" i="19" s="1"/>
  <c r="AK74" i="19"/>
  <c r="AM74" i="19" s="1"/>
  <c r="AK72" i="19"/>
  <c r="AM72" i="19" s="1"/>
  <c r="AK67" i="19"/>
  <c r="AM67" i="19" s="1"/>
  <c r="AK63" i="19"/>
  <c r="AM63" i="19" s="1"/>
  <c r="AK58" i="19"/>
  <c r="AM58" i="19" s="1"/>
  <c r="AK56" i="19"/>
  <c r="AM56" i="19" s="1"/>
  <c r="AK49" i="19"/>
  <c r="AM49" i="19" s="1"/>
  <c r="AI87" i="18"/>
  <c r="AK87" i="18" s="1"/>
  <c r="AI84" i="18"/>
  <c r="AK84" i="18" s="1"/>
  <c r="AI83" i="18"/>
  <c r="AK83" i="18" s="1"/>
  <c r="AI79" i="18"/>
  <c r="AK79" i="18" s="1"/>
  <c r="AI76" i="18"/>
  <c r="AK76" i="18" s="1"/>
  <c r="AI75" i="18"/>
  <c r="AK75" i="18" s="1"/>
  <c r="AI72" i="18"/>
  <c r="AK72" i="18" s="1"/>
  <c r="AI71" i="18"/>
  <c r="AK71" i="18" s="1"/>
  <c r="AI70" i="18"/>
  <c r="AK70" i="18" s="1"/>
  <c r="AI69" i="18"/>
  <c r="AK69" i="18" s="1"/>
  <c r="AI68" i="18"/>
  <c r="AK68" i="18" s="1"/>
  <c r="AI67" i="18"/>
  <c r="AK67" i="18" s="1"/>
  <c r="AI66" i="18"/>
  <c r="AK66" i="18" s="1"/>
  <c r="AI59" i="18"/>
  <c r="AK59" i="18" s="1"/>
  <c r="AI58" i="18"/>
  <c r="AK58" i="18" s="1"/>
  <c r="D90" i="18"/>
  <c r="D94" i="18" l="1"/>
  <c r="D21" i="3"/>
  <c r="AH67" i="16"/>
  <c r="AJ67" i="16" s="1"/>
  <c r="AH99" i="16"/>
  <c r="AJ99" i="16" s="1"/>
  <c r="AH91" i="16"/>
  <c r="AJ91" i="16" s="1"/>
  <c r="AH90" i="16"/>
  <c r="AJ90" i="16" s="1"/>
  <c r="AH83" i="16"/>
  <c r="AJ83" i="16" s="1"/>
  <c r="AH86" i="16"/>
  <c r="AJ86" i="16" s="1"/>
  <c r="AE83" i="19"/>
  <c r="C101" i="17"/>
  <c r="C105" i="17" s="1"/>
  <c r="AB99" i="17"/>
  <c r="AH99" i="17" s="1"/>
  <c r="AJ99" i="17" s="1"/>
  <c r="AH66" i="17"/>
  <c r="AJ66" i="17" s="1"/>
  <c r="AB66" i="16"/>
  <c r="C101" i="16"/>
  <c r="AK45" i="19"/>
  <c r="AM45" i="19" s="1"/>
  <c r="AI90" i="18"/>
  <c r="AK90" i="18" s="1"/>
  <c r="AC90" i="18"/>
  <c r="G24" i="9" s="1"/>
  <c r="K24" i="9" s="1"/>
  <c r="I24" i="9" l="1"/>
  <c r="AB101" i="17"/>
  <c r="AB105" i="17" s="1"/>
  <c r="AH101" i="17"/>
  <c r="AJ101" i="17" s="1"/>
  <c r="AH66" i="16"/>
  <c r="AJ66" i="16" s="1"/>
  <c r="AB101" i="16"/>
  <c r="AK83" i="19"/>
  <c r="C131" i="17"/>
  <c r="C141" i="17" s="1"/>
  <c r="C143" i="17" s="1"/>
  <c r="E16" i="17" s="1"/>
  <c r="F18" i="2"/>
  <c r="E143" i="17" l="1"/>
  <c r="G16" i="17" s="1"/>
  <c r="AH105" i="17"/>
  <c r="AJ105" i="17" s="1"/>
  <c r="AH101" i="16"/>
  <c r="AJ101" i="16" s="1"/>
  <c r="F21" i="3"/>
  <c r="G143" i="17" l="1"/>
  <c r="I16" i="17" s="1"/>
  <c r="AB131" i="17"/>
  <c r="I143" i="17" l="1"/>
  <c r="K16" i="17" s="1"/>
  <c r="AH131" i="17"/>
  <c r="AJ131" i="17" s="1"/>
  <c r="AB141" i="17"/>
  <c r="K143" i="17" l="1"/>
  <c r="M16" i="17" s="1"/>
  <c r="AB143" i="17"/>
  <c r="AH143" i="17" s="1"/>
  <c r="AJ143" i="17" s="1"/>
  <c r="AH141" i="17"/>
  <c r="AJ141" i="17" s="1"/>
  <c r="M143" i="17" l="1"/>
  <c r="G105" i="16"/>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43" i="17" l="1"/>
  <c r="D37" i="3"/>
  <c r="D45" i="3" s="1"/>
  <c r="R27" i="3"/>
  <c r="R37" i="3" s="1"/>
  <c r="D53" i="3"/>
  <c r="R20" i="3"/>
  <c r="R52" i="3"/>
  <c r="D23" i="3"/>
  <c r="R18" i="3"/>
  <c r="R17" i="3"/>
  <c r="R40" i="3"/>
  <c r="L45" i="3"/>
  <c r="L53" i="3"/>
  <c r="R51" i="3"/>
  <c r="Q143" i="17" l="1"/>
  <c r="R45" i="3"/>
  <c r="D48" i="3"/>
  <c r="D57" i="3" s="1"/>
  <c r="R53" i="3"/>
  <c r="S143" i="17" l="1"/>
  <c r="G26" i="10"/>
  <c r="K26" i="10" s="1"/>
  <c r="L22" i="3"/>
  <c r="AF102" i="20"/>
  <c r="M26" i="10" l="1"/>
  <c r="O26" i="10"/>
  <c r="U143" i="17"/>
  <c r="AF109" i="20"/>
  <c r="I27" i="11"/>
  <c r="R22" i="3"/>
  <c r="R23" i="3" s="1"/>
  <c r="R48" i="3" s="1"/>
  <c r="R57" i="3" s="1"/>
  <c r="L23" i="3"/>
  <c r="L48" i="3" s="1"/>
  <c r="L57" i="3" s="1"/>
  <c r="G30" i="9"/>
  <c r="K30" i="9" s="1"/>
  <c r="AC98" i="18"/>
  <c r="AC99" i="18"/>
  <c r="AC100" i="18"/>
  <c r="AC102" i="18"/>
  <c r="AC103" i="18"/>
  <c r="AC104" i="18"/>
  <c r="AC105" i="18"/>
  <c r="AC106" i="18"/>
  <c r="AC107" i="18"/>
  <c r="F15" i="6"/>
  <c r="W143" i="17" l="1"/>
  <c r="Y143" i="17" s="1"/>
  <c r="I30" i="9"/>
  <c r="AI122" i="18"/>
  <c r="AK122" i="18" s="1"/>
  <c r="G28" i="9"/>
  <c r="K28" i="9" s="1"/>
  <c r="AI123" i="18"/>
  <c r="AK123" i="18" s="1"/>
  <c r="G29" i="9"/>
  <c r="K29" i="9" s="1"/>
  <c r="E105" i="16"/>
  <c r="AI124" i="18"/>
  <c r="AK124" i="18" s="1"/>
  <c r="I29" i="9" l="1"/>
  <c r="I28" i="9"/>
  <c r="X29" i="27"/>
  <c r="J40" i="3"/>
  <c r="J36" i="3"/>
  <c r="J35" i="3"/>
  <c r="J34" i="3"/>
  <c r="J33" i="3"/>
  <c r="J32" i="3"/>
  <c r="J31" i="3"/>
  <c r="J29" i="3"/>
  <c r="J28" i="3"/>
  <c r="J27" i="3"/>
  <c r="T32" i="11" l="1"/>
  <c r="J22" i="3"/>
  <c r="AC88" i="20"/>
  <c r="AK88" i="20" s="1"/>
  <c r="J44" i="3"/>
  <c r="T44" i="3" s="1"/>
  <c r="J41" i="3"/>
  <c r="J39" i="3"/>
  <c r="J37" i="3"/>
  <c r="AJ83" i="24"/>
  <c r="AJ82" i="24"/>
  <c r="AJ81" i="24"/>
  <c r="AJ78" i="24"/>
  <c r="AL78" i="24" s="1"/>
  <c r="AJ76" i="24"/>
  <c r="AL76" i="24" s="1"/>
  <c r="AJ75" i="24"/>
  <c r="AL75" i="24" s="1"/>
  <c r="AJ74" i="24"/>
  <c r="AL74" i="24" s="1"/>
  <c r="AJ73" i="24"/>
  <c r="AD28" i="24"/>
  <c r="G21" i="14" s="1"/>
  <c r="AG77" i="25"/>
  <c r="AA77" i="25"/>
  <c r="Y77" i="25"/>
  <c r="W77" i="25"/>
  <c r="S77" i="25"/>
  <c r="Q77" i="25"/>
  <c r="O77" i="25"/>
  <c r="M77" i="25"/>
  <c r="K77" i="25"/>
  <c r="I77" i="25"/>
  <c r="G77" i="25"/>
  <c r="E77" i="25"/>
  <c r="AG61" i="25"/>
  <c r="AA61" i="25"/>
  <c r="AA68" i="25" s="1"/>
  <c r="Y61" i="25"/>
  <c r="Y68" i="25" s="1"/>
  <c r="W61" i="25"/>
  <c r="W68" i="25" s="1"/>
  <c r="S61" i="25"/>
  <c r="S68" i="25" s="1"/>
  <c r="Q61" i="25"/>
  <c r="Q68" i="25" s="1"/>
  <c r="O61" i="25"/>
  <c r="O68" i="25" s="1"/>
  <c r="M61" i="25"/>
  <c r="M68" i="25" s="1"/>
  <c r="K61" i="25"/>
  <c r="K68" i="25" s="1"/>
  <c r="I61" i="25"/>
  <c r="I68" i="25" s="1"/>
  <c r="G61" i="25"/>
  <c r="G68" i="25" s="1"/>
  <c r="E61" i="25"/>
  <c r="AJ65" i="25"/>
  <c r="AJ64" i="25"/>
  <c r="AJ63" i="25"/>
  <c r="AJ59" i="25"/>
  <c r="AJ58" i="25"/>
  <c r="AJ57" i="25"/>
  <c r="AJ56" i="25"/>
  <c r="AL56" i="25" s="1"/>
  <c r="AJ55" i="25"/>
  <c r="AJ53" i="25"/>
  <c r="AJ51" i="25"/>
  <c r="AD47" i="25"/>
  <c r="AL47" i="25" s="1"/>
  <c r="AG96" i="24"/>
  <c r="AA96" i="24"/>
  <c r="Y96" i="24"/>
  <c r="W96" i="24"/>
  <c r="S96" i="24"/>
  <c r="Q96" i="24"/>
  <c r="O96" i="24"/>
  <c r="M96" i="24"/>
  <c r="K96" i="24"/>
  <c r="I96" i="24"/>
  <c r="G96" i="24"/>
  <c r="X47" i="26"/>
  <c r="V47" i="26"/>
  <c r="T47" i="26"/>
  <c r="R47" i="26"/>
  <c r="P47" i="26"/>
  <c r="N47" i="26"/>
  <c r="L47" i="26"/>
  <c r="J47" i="26"/>
  <c r="H47" i="26"/>
  <c r="F47" i="26"/>
  <c r="D47" i="26"/>
  <c r="B47" i="26"/>
  <c r="X34" i="26"/>
  <c r="V34" i="26"/>
  <c r="T34" i="26"/>
  <c r="R34" i="26"/>
  <c r="P34" i="26"/>
  <c r="N34" i="26"/>
  <c r="N39" i="26" s="1"/>
  <c r="L34" i="26"/>
  <c r="J34" i="26"/>
  <c r="H34" i="26"/>
  <c r="F34" i="26"/>
  <c r="D34" i="26"/>
  <c r="B34" i="26"/>
  <c r="X23" i="26"/>
  <c r="X39" i="26" s="1"/>
  <c r="X53" i="26" s="1"/>
  <c r="V23" i="26"/>
  <c r="T23" i="26"/>
  <c r="R23" i="26"/>
  <c r="P23" i="26"/>
  <c r="P39" i="26" s="1"/>
  <c r="P53" i="26" s="1"/>
  <c r="L23" i="26"/>
  <c r="J23" i="26"/>
  <c r="H23" i="26"/>
  <c r="H39" i="26" s="1"/>
  <c r="D23" i="26"/>
  <c r="B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P19" i="27"/>
  <c r="N19" i="27"/>
  <c r="L19" i="27"/>
  <c r="L34" i="27" s="1"/>
  <c r="J19" i="27"/>
  <c r="J34" i="27" s="1"/>
  <c r="H19" i="27"/>
  <c r="F19" i="27"/>
  <c r="D19" i="27"/>
  <c r="B19" i="27"/>
  <c r="B34" i="27" s="1"/>
  <c r="AD33" i="29"/>
  <c r="X33" i="29"/>
  <c r="V33" i="29"/>
  <c r="T33" i="29"/>
  <c r="R33" i="29"/>
  <c r="P33" i="29"/>
  <c r="N33" i="29"/>
  <c r="L33" i="29"/>
  <c r="J33" i="29"/>
  <c r="H33" i="29"/>
  <c r="F33" i="29"/>
  <c r="D33" i="29"/>
  <c r="B33" i="29"/>
  <c r="AA24" i="29"/>
  <c r="AG24" i="29" s="1"/>
  <c r="AI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P17" i="28"/>
  <c r="N17" i="28"/>
  <c r="L17" i="28"/>
  <c r="L28" i="28" s="1"/>
  <c r="J17" i="28"/>
  <c r="H17" i="28"/>
  <c r="F17" i="28"/>
  <c r="D17" i="28"/>
  <c r="B17" i="28"/>
  <c r="B25" i="29"/>
  <c r="AD17" i="29"/>
  <c r="X17" i="29"/>
  <c r="V17" i="29"/>
  <c r="T17" i="29"/>
  <c r="R17" i="29"/>
  <c r="N17" i="29"/>
  <c r="L17" i="29"/>
  <c r="J17" i="29"/>
  <c r="H17" i="29"/>
  <c r="F17" i="29"/>
  <c r="B17" i="29"/>
  <c r="J17" i="33"/>
  <c r="J16" i="33"/>
  <c r="J15" i="33"/>
  <c r="H18" i="33"/>
  <c r="F18" i="33"/>
  <c r="D18" i="33"/>
  <c r="J44" i="32"/>
  <c r="H44" i="32"/>
  <c r="D44" i="32"/>
  <c r="L43" i="32"/>
  <c r="L42" i="32"/>
  <c r="L41" i="32"/>
  <c r="L40" i="32"/>
  <c r="L39" i="32"/>
  <c r="L38" i="32"/>
  <c r="L37" i="32"/>
  <c r="L36" i="32"/>
  <c r="L35" i="32"/>
  <c r="L34" i="32"/>
  <c r="L33" i="32"/>
  <c r="L32" i="32"/>
  <c r="L31" i="32"/>
  <c r="L29" i="32"/>
  <c r="L28" i="32"/>
  <c r="L27" i="32"/>
  <c r="L20" i="32"/>
  <c r="J23" i="32"/>
  <c r="H23" i="32"/>
  <c r="F23" i="32"/>
  <c r="D23" i="32"/>
  <c r="J16" i="32"/>
  <c r="H16" i="32"/>
  <c r="F16" i="32"/>
  <c r="D16" i="32"/>
  <c r="L14" i="32"/>
  <c r="L16" i="32" s="1"/>
  <c r="K38" i="31"/>
  <c r="K37" i="31"/>
  <c r="K36" i="31"/>
  <c r="K35" i="31"/>
  <c r="K34" i="31"/>
  <c r="K33" i="31"/>
  <c r="K32" i="31"/>
  <c r="K31" i="31"/>
  <c r="K24" i="31"/>
  <c r="K23" i="31"/>
  <c r="K22" i="31"/>
  <c r="K21" i="31"/>
  <c r="K20" i="31"/>
  <c r="K19" i="31"/>
  <c r="K18" i="31"/>
  <c r="K17" i="31"/>
  <c r="I39" i="31"/>
  <c r="G39" i="31"/>
  <c r="E39" i="31"/>
  <c r="C39" i="31"/>
  <c r="I25" i="31"/>
  <c r="G25" i="31"/>
  <c r="C25" i="31"/>
  <c r="AG79" i="24"/>
  <c r="AG86" i="24" s="1"/>
  <c r="AA79" i="24"/>
  <c r="AA86" i="24" s="1"/>
  <c r="Y79" i="24"/>
  <c r="Y86" i="24" s="1"/>
  <c r="W79" i="24"/>
  <c r="W86" i="24" s="1"/>
  <c r="S79" i="24"/>
  <c r="S86" i="24" s="1"/>
  <c r="Q79" i="24"/>
  <c r="Q86" i="24" s="1"/>
  <c r="O79" i="24"/>
  <c r="O86" i="24" s="1"/>
  <c r="M79" i="24"/>
  <c r="M86" i="24" s="1"/>
  <c r="K79" i="24"/>
  <c r="K86" i="24" s="1"/>
  <c r="I79" i="24"/>
  <c r="I86" i="24" s="1"/>
  <c r="G79" i="24"/>
  <c r="G86" i="24" s="1"/>
  <c r="E96" i="24"/>
  <c r="E79" i="24"/>
  <c r="G31" i="12"/>
  <c r="K31" i="12" s="1"/>
  <c r="AA62" i="22"/>
  <c r="G25" i="12" s="1"/>
  <c r="K25" i="12" s="1"/>
  <c r="AA53" i="22"/>
  <c r="AA51" i="22"/>
  <c r="G29" i="12" s="1"/>
  <c r="K29" i="12" s="1"/>
  <c r="AG12" i="22"/>
  <c r="AI12" i="22" s="1"/>
  <c r="AA45" i="22"/>
  <c r="AA47" i="22" s="1"/>
  <c r="D65" i="22"/>
  <c r="D55" i="22"/>
  <c r="B65" i="22"/>
  <c r="B55" i="22"/>
  <c r="B58" i="22" s="1"/>
  <c r="AF87" i="21"/>
  <c r="AF71" i="21"/>
  <c r="Z87" i="21"/>
  <c r="X87" i="21"/>
  <c r="V87" i="21"/>
  <c r="T87" i="21"/>
  <c r="R87" i="21"/>
  <c r="P87" i="21"/>
  <c r="N87" i="21"/>
  <c r="J87" i="21"/>
  <c r="H87" i="21"/>
  <c r="F87" i="21"/>
  <c r="D87" i="21"/>
  <c r="AC102" i="20"/>
  <c r="G30" i="11" s="1"/>
  <c r="K30" i="11" s="1"/>
  <c r="Z118" i="20"/>
  <c r="X118" i="20"/>
  <c r="V118" i="20"/>
  <c r="T118" i="20"/>
  <c r="R118" i="20"/>
  <c r="P118" i="20"/>
  <c r="N118" i="20"/>
  <c r="L118" i="20"/>
  <c r="J118" i="20"/>
  <c r="H118" i="20"/>
  <c r="F118" i="20"/>
  <c r="Z102" i="20"/>
  <c r="Z109" i="20" s="1"/>
  <c r="X102" i="20"/>
  <c r="X109" i="20" s="1"/>
  <c r="V102" i="20"/>
  <c r="V109" i="20" s="1"/>
  <c r="T102" i="20"/>
  <c r="T109" i="20" s="1"/>
  <c r="T112" i="20" s="1"/>
  <c r="R102" i="20"/>
  <c r="R109" i="20" s="1"/>
  <c r="P102" i="20"/>
  <c r="P109" i="20" s="1"/>
  <c r="N102" i="20"/>
  <c r="N109" i="20" s="1"/>
  <c r="L102" i="20"/>
  <c r="L109" i="20" s="1"/>
  <c r="J102" i="20"/>
  <c r="J109" i="20" s="1"/>
  <c r="H102" i="20"/>
  <c r="H109" i="20" s="1"/>
  <c r="F102" i="20"/>
  <c r="F109" i="20" s="1"/>
  <c r="D118" i="20"/>
  <c r="D102" i="20"/>
  <c r="D109" i="20" s="1"/>
  <c r="D112" i="20" s="1"/>
  <c r="Z117" i="19"/>
  <c r="X117" i="19"/>
  <c r="T117" i="19"/>
  <c r="R117" i="19"/>
  <c r="P117" i="19"/>
  <c r="H117" i="19"/>
  <c r="F117" i="19"/>
  <c r="Z101" i="19"/>
  <c r="Z108" i="19" s="1"/>
  <c r="D117" i="19"/>
  <c r="AF132" i="18"/>
  <c r="AF108" i="18"/>
  <c r="AF114" i="18" s="1"/>
  <c r="R34" i="27" l="1"/>
  <c r="N53" i="26"/>
  <c r="N34" i="27"/>
  <c r="N48" i="27" s="1"/>
  <c r="L44" i="32"/>
  <c r="T122" i="20"/>
  <c r="T124" i="20" s="1"/>
  <c r="B28" i="28"/>
  <c r="B37" i="28" s="1"/>
  <c r="B38" i="28" s="1"/>
  <c r="D13" i="28" s="1"/>
  <c r="T39" i="26"/>
  <c r="T53" i="26" s="1"/>
  <c r="R28" i="28"/>
  <c r="R37" i="28" s="1"/>
  <c r="N28" i="28"/>
  <c r="N37" i="28" s="1"/>
  <c r="AK102" i="20"/>
  <c r="AF78" i="21"/>
  <c r="L37" i="28"/>
  <c r="I29" i="12"/>
  <c r="T28" i="28"/>
  <c r="T37" i="28" s="1"/>
  <c r="V37" i="28"/>
  <c r="X37" i="28"/>
  <c r="G32" i="10"/>
  <c r="K32" i="10" s="1"/>
  <c r="G33" i="10"/>
  <c r="K33" i="10" s="1"/>
  <c r="F34" i="27"/>
  <c r="F48" i="27" s="1"/>
  <c r="H28" i="28"/>
  <c r="H37" i="28" s="1"/>
  <c r="H121" i="19"/>
  <c r="E86" i="24"/>
  <c r="E89" i="24" s="1"/>
  <c r="E101" i="24" s="1"/>
  <c r="E103" i="24" s="1"/>
  <c r="G15" i="24" s="1"/>
  <c r="E68" i="25"/>
  <c r="E71" i="25" s="1"/>
  <c r="E81" i="25" s="1"/>
  <c r="E83" i="25" s="1"/>
  <c r="G15" i="25" s="1"/>
  <c r="V39" i="26"/>
  <c r="V53" i="26" s="1"/>
  <c r="T28" i="29"/>
  <c r="T37" i="29" s="1"/>
  <c r="R39" i="26"/>
  <c r="R53" i="26" s="1"/>
  <c r="X48" i="27"/>
  <c r="P28" i="28"/>
  <c r="P37" i="28" s="1"/>
  <c r="D34" i="27"/>
  <c r="D48" i="27" s="1"/>
  <c r="J47" i="32"/>
  <c r="N28" i="29"/>
  <c r="N37" i="29" s="1"/>
  <c r="B28" i="29"/>
  <c r="B37" i="29" s="1"/>
  <c r="B38" i="29" s="1"/>
  <c r="D13" i="29" s="1"/>
  <c r="H28" i="29"/>
  <c r="H37" i="29" s="1"/>
  <c r="P28" i="29"/>
  <c r="P37" i="29" s="1"/>
  <c r="X28" i="29"/>
  <c r="X37" i="29" s="1"/>
  <c r="V48" i="27"/>
  <c r="R28" i="29"/>
  <c r="R37" i="29" s="1"/>
  <c r="F28" i="29"/>
  <c r="F37" i="29" s="1"/>
  <c r="V28" i="29"/>
  <c r="V37" i="29" s="1"/>
  <c r="L28" i="29"/>
  <c r="L37" i="29" s="1"/>
  <c r="L39" i="26"/>
  <c r="I42" i="31"/>
  <c r="J28" i="29"/>
  <c r="J37" i="29" s="1"/>
  <c r="J28" i="28"/>
  <c r="J37" i="28" s="1"/>
  <c r="G31" i="10"/>
  <c r="K31" i="10" s="1"/>
  <c r="X121" i="19"/>
  <c r="D122" i="20"/>
  <c r="D124" i="20" s="1"/>
  <c r="F14" i="20" s="1"/>
  <c r="I24" i="14"/>
  <c r="I26" i="14"/>
  <c r="K26" i="13" s="1"/>
  <c r="I31" i="12"/>
  <c r="I25" i="12"/>
  <c r="AD23" i="24"/>
  <c r="G20" i="14" s="1"/>
  <c r="T31" i="11"/>
  <c r="I31" i="11"/>
  <c r="I32" i="11"/>
  <c r="I33" i="11"/>
  <c r="O101" i="23"/>
  <c r="AG45" i="22"/>
  <c r="AI45" i="22" s="1"/>
  <c r="G24" i="12"/>
  <c r="K24" i="12" s="1"/>
  <c r="D47" i="32"/>
  <c r="AG33" i="29"/>
  <c r="AI33" i="29" s="1"/>
  <c r="AG25" i="29"/>
  <c r="AI25" i="29" s="1"/>
  <c r="N112" i="20"/>
  <c r="N122" i="20" s="1"/>
  <c r="V112" i="20"/>
  <c r="V122" i="20" s="1"/>
  <c r="V124" i="20" s="1"/>
  <c r="L112" i="20"/>
  <c r="L122" i="20" s="1"/>
  <c r="P112" i="20"/>
  <c r="P122" i="20" s="1"/>
  <c r="P124" i="20" s="1"/>
  <c r="X112" i="20"/>
  <c r="X122" i="20" s="1"/>
  <c r="X124" i="20" s="1"/>
  <c r="R112" i="20"/>
  <c r="R122" i="20" s="1"/>
  <c r="R124" i="20" s="1"/>
  <c r="Z112" i="20"/>
  <c r="Z122" i="20" s="1"/>
  <c r="Z124" i="20" s="1"/>
  <c r="AJ77" i="25"/>
  <c r="AL77" i="25" s="1"/>
  <c r="AJ92" i="24"/>
  <c r="AD96" i="24"/>
  <c r="AJ96" i="24" s="1"/>
  <c r="AD44" i="3"/>
  <c r="AF44" i="3" s="1"/>
  <c r="G33" i="8"/>
  <c r="K33" i="8" s="1"/>
  <c r="J45" i="3"/>
  <c r="J112" i="20"/>
  <c r="J122" i="20" s="1"/>
  <c r="J23" i="3"/>
  <c r="Q89" i="24"/>
  <c r="Q101" i="24" s="1"/>
  <c r="Q103" i="24" s="1"/>
  <c r="K89" i="24"/>
  <c r="K101" i="24" s="1"/>
  <c r="S89" i="24"/>
  <c r="S101" i="24" s="1"/>
  <c r="S103" i="24" s="1"/>
  <c r="AA89" i="24"/>
  <c r="AA101" i="24" s="1"/>
  <c r="AA103" i="24" s="1"/>
  <c r="W89" i="24"/>
  <c r="W101" i="24" s="1"/>
  <c r="W103" i="24" s="1"/>
  <c r="M89" i="24"/>
  <c r="M101" i="24" s="1"/>
  <c r="Y89" i="24"/>
  <c r="Y101" i="24" s="1"/>
  <c r="Y103" i="24" s="1"/>
  <c r="O89" i="24"/>
  <c r="O101" i="24" s="1"/>
  <c r="AJ63" i="24"/>
  <c r="AL63" i="24" s="1"/>
  <c r="AJ84" i="24"/>
  <c r="AL84" i="24" s="1"/>
  <c r="O71" i="25"/>
  <c r="O81" i="25" s="1"/>
  <c r="M71" i="25"/>
  <c r="M81" i="25" s="1"/>
  <c r="W71" i="25"/>
  <c r="W81" i="25" s="1"/>
  <c r="W83" i="25" s="1"/>
  <c r="K71" i="25"/>
  <c r="K81" i="25" s="1"/>
  <c r="S71" i="25"/>
  <c r="S81" i="25" s="1"/>
  <c r="S83" i="25" s="1"/>
  <c r="AA71" i="25"/>
  <c r="AA81" i="25" s="1"/>
  <c r="AA83" i="25" s="1"/>
  <c r="Q71" i="25"/>
  <c r="Q81" i="25" s="1"/>
  <c r="Q83" i="25" s="1"/>
  <c r="Y71" i="25"/>
  <c r="Y81" i="25" s="1"/>
  <c r="Y83" i="25" s="1"/>
  <c r="AJ52" i="25"/>
  <c r="AL52" i="25" s="1"/>
  <c r="H53" i="26"/>
  <c r="B39" i="26"/>
  <c r="B53" i="26" s="1"/>
  <c r="B55" i="26" s="1"/>
  <c r="D16" i="26" s="1"/>
  <c r="J39" i="26"/>
  <c r="J53" i="26" s="1"/>
  <c r="J48" i="27"/>
  <c r="R48" i="27"/>
  <c r="L48" i="27"/>
  <c r="T48" i="27"/>
  <c r="H34" i="27"/>
  <c r="H48" i="27" s="1"/>
  <c r="P34" i="27"/>
  <c r="P48" i="27" s="1"/>
  <c r="B48" i="27"/>
  <c r="B50" i="27" s="1"/>
  <c r="D14" i="27" s="1"/>
  <c r="AD28" i="29"/>
  <c r="D28" i="29"/>
  <c r="D37" i="29" s="1"/>
  <c r="AA17" i="29"/>
  <c r="AG16" i="29"/>
  <c r="AI16" i="29" s="1"/>
  <c r="G23" i="12"/>
  <c r="K23" i="12" s="1"/>
  <c r="AG53" i="22"/>
  <c r="AI53" i="22" s="1"/>
  <c r="G30" i="12"/>
  <c r="K30" i="12" s="1"/>
  <c r="P121" i="19"/>
  <c r="R121" i="19"/>
  <c r="Z111" i="19"/>
  <c r="Z121" i="19" s="1"/>
  <c r="T121" i="19"/>
  <c r="F39" i="26"/>
  <c r="F53" i="26" s="1"/>
  <c r="AG63" i="22"/>
  <c r="AI63" i="22" s="1"/>
  <c r="AG62" i="22"/>
  <c r="AI62" i="22" s="1"/>
  <c r="F28" i="28"/>
  <c r="F37" i="28" s="1"/>
  <c r="H112" i="20"/>
  <c r="H122" i="20" s="1"/>
  <c r="I101" i="23"/>
  <c r="AJ66" i="25"/>
  <c r="AL66" i="25" s="1"/>
  <c r="I71" i="25"/>
  <c r="I81" i="25" s="1"/>
  <c r="AJ71" i="24"/>
  <c r="AL71" i="24" s="1"/>
  <c r="I89" i="24"/>
  <c r="I101" i="24" s="1"/>
  <c r="AJ20" i="24"/>
  <c r="AL20" i="24" s="1"/>
  <c r="AJ27" i="24"/>
  <c r="AL27" i="24" s="1"/>
  <c r="D58" i="22"/>
  <c r="D70" i="22" s="1"/>
  <c r="AJ93" i="24"/>
  <c r="AL93" i="24" s="1"/>
  <c r="AJ21" i="24"/>
  <c r="AL21" i="24" s="1"/>
  <c r="D39" i="26"/>
  <c r="D53" i="26" s="1"/>
  <c r="AJ22" i="24"/>
  <c r="AL22" i="24" s="1"/>
  <c r="D28" i="28"/>
  <c r="D37" i="28" s="1"/>
  <c r="AJ77" i="24"/>
  <c r="AL77" i="24" s="1"/>
  <c r="AJ70" i="24"/>
  <c r="AL70" i="24" s="1"/>
  <c r="AD79" i="24"/>
  <c r="G89" i="24"/>
  <c r="G101" i="24" s="1"/>
  <c r="G103" i="24" s="1"/>
  <c r="I15" i="24" s="1"/>
  <c r="AJ69" i="24"/>
  <c r="AL69" i="24" s="1"/>
  <c r="AD77" i="25"/>
  <c r="AJ60" i="25"/>
  <c r="AD61" i="25"/>
  <c r="Q30" i="14" s="1"/>
  <c r="U30" i="14" s="1"/>
  <c r="U33" i="14" s="1"/>
  <c r="U37" i="14" s="1"/>
  <c r="U40" i="14" s="1"/>
  <c r="G71" i="25"/>
  <c r="G81" i="25" s="1"/>
  <c r="G83" i="25" s="1"/>
  <c r="I15" i="25" s="1"/>
  <c r="AJ45" i="25"/>
  <c r="AL45" i="25" s="1"/>
  <c r="AA65" i="22"/>
  <c r="AA55" i="22"/>
  <c r="AG51" i="22"/>
  <c r="AI51" i="22" s="1"/>
  <c r="AF112" i="20"/>
  <c r="AF122" i="20" s="1"/>
  <c r="AF124" i="20" s="1"/>
  <c r="AI102" i="20"/>
  <c r="F112" i="20"/>
  <c r="F122" i="20" s="1"/>
  <c r="AC109" i="20"/>
  <c r="AK109" i="20" s="1"/>
  <c r="F121" i="19"/>
  <c r="H47" i="32"/>
  <c r="F47" i="32"/>
  <c r="L23" i="32"/>
  <c r="G42" i="31"/>
  <c r="E42" i="31"/>
  <c r="C42" i="31"/>
  <c r="AF117" i="18"/>
  <c r="AF136" i="18" s="1"/>
  <c r="AF138" i="18" s="1"/>
  <c r="AA33" i="29"/>
  <c r="AA25" i="29"/>
  <c r="J18" i="33"/>
  <c r="K39" i="31"/>
  <c r="K25" i="31"/>
  <c r="W138" i="16"/>
  <c r="M138" i="16"/>
  <c r="Y119" i="16"/>
  <c r="Y128" i="16" s="1"/>
  <c r="W119" i="16"/>
  <c r="W128" i="16" s="1"/>
  <c r="U119" i="16"/>
  <c r="U128" i="16" s="1"/>
  <c r="S119" i="16"/>
  <c r="S128" i="16" s="1"/>
  <c r="Q119" i="16"/>
  <c r="Q128" i="16" s="1"/>
  <c r="O119" i="16"/>
  <c r="O128" i="16" s="1"/>
  <c r="M119" i="16"/>
  <c r="M128" i="16" s="1"/>
  <c r="N34" i="6"/>
  <c r="N26" i="6"/>
  <c r="N19" i="6"/>
  <c r="N34" i="2"/>
  <c r="L34" i="2"/>
  <c r="K134" i="30"/>
  <c r="K135" i="30"/>
  <c r="K136" i="30"/>
  <c r="K120" i="30"/>
  <c r="I110" i="30"/>
  <c r="G110" i="30"/>
  <c r="E110" i="30"/>
  <c r="C110" i="30"/>
  <c r="K104" i="30"/>
  <c r="K106" i="30"/>
  <c r="K103" i="30"/>
  <c r="I98" i="30"/>
  <c r="E98" i="30"/>
  <c r="C98" i="30"/>
  <c r="K92" i="30"/>
  <c r="K93" i="30"/>
  <c r="K94" i="30"/>
  <c r="K95" i="30"/>
  <c r="K96" i="30"/>
  <c r="K97" i="30"/>
  <c r="K91" i="30"/>
  <c r="I88" i="30"/>
  <c r="G88" i="30"/>
  <c r="C88" i="30"/>
  <c r="K69" i="30"/>
  <c r="K70" i="30"/>
  <c r="K71" i="30"/>
  <c r="K72" i="30"/>
  <c r="K73" i="30"/>
  <c r="K75" i="30"/>
  <c r="K76" i="30"/>
  <c r="K77" i="30"/>
  <c r="K78" i="30"/>
  <c r="K79" i="30"/>
  <c r="K80" i="30"/>
  <c r="K81" i="30"/>
  <c r="K83" i="30"/>
  <c r="K68" i="30"/>
  <c r="K63" i="30"/>
  <c r="K64" i="30"/>
  <c r="K65" i="30"/>
  <c r="K66" i="30"/>
  <c r="K62" i="30"/>
  <c r="K36" i="30"/>
  <c r="K37" i="30"/>
  <c r="K38" i="30"/>
  <c r="K39" i="30"/>
  <c r="K40" i="30"/>
  <c r="K41" i="30"/>
  <c r="K42" i="30"/>
  <c r="K43" i="30"/>
  <c r="K44" i="30"/>
  <c r="K45" i="30"/>
  <c r="K46" i="30"/>
  <c r="K47" i="30"/>
  <c r="K48" i="30"/>
  <c r="K49" i="30"/>
  <c r="K50" i="30"/>
  <c r="K52" i="30"/>
  <c r="K53" i="30"/>
  <c r="K54" i="30"/>
  <c r="K55" i="30"/>
  <c r="K56" i="30"/>
  <c r="K57" i="30"/>
  <c r="K58" i="30"/>
  <c r="K34" i="30"/>
  <c r="K28" i="30"/>
  <c r="K29" i="30"/>
  <c r="K30" i="30"/>
  <c r="K31" i="30"/>
  <c r="K32" i="30"/>
  <c r="K27" i="30"/>
  <c r="AD37" i="29" l="1"/>
  <c r="I83" i="25"/>
  <c r="K15" i="25" s="1"/>
  <c r="K83" i="25" s="1"/>
  <c r="M15" i="25" s="1"/>
  <c r="M83" i="25" s="1"/>
  <c r="O15" i="25" s="1"/>
  <c r="O83" i="25" s="1"/>
  <c r="I103" i="24"/>
  <c r="K15" i="24" s="1"/>
  <c r="K103" i="24" s="1"/>
  <c r="M15" i="24" s="1"/>
  <c r="M103" i="24" s="1"/>
  <c r="O15" i="24" s="1"/>
  <c r="O103" i="24" s="1"/>
  <c r="M26" i="13"/>
  <c r="O26" i="13"/>
  <c r="F124" i="20"/>
  <c r="H14" i="20" s="1"/>
  <c r="H124" i="20" s="1"/>
  <c r="J14" i="20" s="1"/>
  <c r="J124" i="20" s="1"/>
  <c r="L14" i="20" s="1"/>
  <c r="L124" i="20" s="1"/>
  <c r="N14" i="20" s="1"/>
  <c r="G21" i="13"/>
  <c r="K21" i="14"/>
  <c r="M31" i="10"/>
  <c r="O31" i="10"/>
  <c r="M32" i="10"/>
  <c r="O32" i="10"/>
  <c r="M33" i="10"/>
  <c r="O33" i="10"/>
  <c r="K152" i="30"/>
  <c r="K88" i="30"/>
  <c r="K32" i="13"/>
  <c r="G30" i="14"/>
  <c r="I30" i="11"/>
  <c r="I35" i="11" s="1"/>
  <c r="I39" i="11" s="1"/>
  <c r="G35" i="11"/>
  <c r="AL61" i="25"/>
  <c r="K26" i="12"/>
  <c r="K35" i="11"/>
  <c r="K39" i="11" s="1"/>
  <c r="G32" i="12"/>
  <c r="K32" i="12"/>
  <c r="D55" i="26"/>
  <c r="F16" i="26" s="1"/>
  <c r="D38" i="28"/>
  <c r="F13" i="28" s="1"/>
  <c r="D50" i="27"/>
  <c r="F14" i="27" s="1"/>
  <c r="D38" i="29"/>
  <c r="F13" i="29" s="1"/>
  <c r="K110" i="30"/>
  <c r="G26" i="12"/>
  <c r="K24" i="13"/>
  <c r="Q27" i="14"/>
  <c r="L53" i="26"/>
  <c r="AG65" i="22"/>
  <c r="AI65" i="22" s="1"/>
  <c r="K31" i="13"/>
  <c r="S32" i="14"/>
  <c r="S31" i="14"/>
  <c r="AJ47" i="25"/>
  <c r="S24" i="14"/>
  <c r="S27" i="14" s="1"/>
  <c r="I21" i="14"/>
  <c r="I31" i="14"/>
  <c r="I30" i="12"/>
  <c r="I32" i="12" s="1"/>
  <c r="G32" i="7"/>
  <c r="K32" i="7" s="1"/>
  <c r="I24" i="12"/>
  <c r="I23" i="12"/>
  <c r="G24" i="7"/>
  <c r="K24" i="7" s="1"/>
  <c r="AJ28" i="24"/>
  <c r="AL28" i="24" s="1"/>
  <c r="AD33" i="24"/>
  <c r="AD65" i="24" s="1"/>
  <c r="AJ23" i="24"/>
  <c r="AL23" i="24" s="1"/>
  <c r="I33" i="8"/>
  <c r="AG47" i="22"/>
  <c r="AI47" i="22" s="1"/>
  <c r="AG17" i="29"/>
  <c r="AI17" i="29" s="1"/>
  <c r="U131" i="16"/>
  <c r="Q131" i="16"/>
  <c r="O131" i="16"/>
  <c r="W131" i="16"/>
  <c r="W142" i="16" s="1"/>
  <c r="M131" i="16"/>
  <c r="M142" i="16" s="1"/>
  <c r="S131" i="16"/>
  <c r="Y131" i="16"/>
  <c r="Y142" i="16" s="1"/>
  <c r="J48" i="3"/>
  <c r="AJ61" i="25"/>
  <c r="AD68" i="25"/>
  <c r="AD71" i="25" s="1"/>
  <c r="AA28" i="29"/>
  <c r="AA37" i="29" s="1"/>
  <c r="AJ79" i="24"/>
  <c r="AL79" i="24" s="1"/>
  <c r="AA58" i="22"/>
  <c r="AL96" i="24"/>
  <c r="AD86" i="24"/>
  <c r="K98" i="30"/>
  <c r="AG55" i="22"/>
  <c r="AI55" i="22" s="1"/>
  <c r="AI109" i="20"/>
  <c r="AC112" i="20"/>
  <c r="L47" i="32"/>
  <c r="N29" i="6"/>
  <c r="N39" i="6" s="1"/>
  <c r="N42" i="6" s="1"/>
  <c r="AG89" i="24"/>
  <c r="K42" i="31"/>
  <c r="X12" i="2"/>
  <c r="H24" i="6"/>
  <c r="AC14" i="18"/>
  <c r="AK37" i="18"/>
  <c r="AK52" i="18"/>
  <c r="AC92" i="18"/>
  <c r="G25" i="9" s="1"/>
  <c r="K25" i="9" s="1"/>
  <c r="AI99" i="18"/>
  <c r="AK99" i="18" s="1"/>
  <c r="AI100" i="18"/>
  <c r="AK100" i="18" s="1"/>
  <c r="AI102" i="18"/>
  <c r="AK102" i="18" s="1"/>
  <c r="AI103" i="18"/>
  <c r="AK103" i="18" s="1"/>
  <c r="AI104" i="18"/>
  <c r="AK104" i="18" s="1"/>
  <c r="AI105" i="18"/>
  <c r="AK105" i="18" s="1"/>
  <c r="AI106" i="18"/>
  <c r="AK106" i="18" s="1"/>
  <c r="AI107" i="18"/>
  <c r="AK107" i="18" s="1"/>
  <c r="D108" i="18"/>
  <c r="D114" i="18" s="1"/>
  <c r="F108" i="18"/>
  <c r="F114" i="18" s="1"/>
  <c r="H108" i="18"/>
  <c r="H114" i="18" s="1"/>
  <c r="J108" i="18"/>
  <c r="J114" i="18" s="1"/>
  <c r="L108" i="18"/>
  <c r="L114" i="18" s="1"/>
  <c r="N108" i="18"/>
  <c r="N114" i="18" s="1"/>
  <c r="P108" i="18"/>
  <c r="P114" i="18" s="1"/>
  <c r="R108" i="18"/>
  <c r="R114" i="18" s="1"/>
  <c r="T108" i="18"/>
  <c r="T114" i="18" s="1"/>
  <c r="V108" i="18"/>
  <c r="V114" i="18" s="1"/>
  <c r="X108" i="18"/>
  <c r="X114" i="18" s="1"/>
  <c r="Z108" i="18"/>
  <c r="Z114" i="18" s="1"/>
  <c r="AI110" i="18"/>
  <c r="AK110" i="18" s="1"/>
  <c r="AC111" i="18"/>
  <c r="AC112" i="18"/>
  <c r="AC121" i="18"/>
  <c r="G27" i="9" s="1"/>
  <c r="G41" i="7" s="1"/>
  <c r="AC125" i="18"/>
  <c r="AC126" i="18"/>
  <c r="AI126" i="18" s="1"/>
  <c r="AC128" i="18"/>
  <c r="AI129" i="18"/>
  <c r="AK129" i="18" s="1"/>
  <c r="D132" i="18"/>
  <c r="F132" i="18"/>
  <c r="H132" i="18"/>
  <c r="J132" i="18"/>
  <c r="L132" i="18"/>
  <c r="N132" i="18"/>
  <c r="P132" i="18"/>
  <c r="R132" i="18"/>
  <c r="T132" i="18"/>
  <c r="V132" i="18"/>
  <c r="X132" i="18"/>
  <c r="Z132" i="18"/>
  <c r="Z71" i="21"/>
  <c r="Z78" i="21" s="1"/>
  <c r="Z81" i="21" s="1"/>
  <c r="Z91" i="21" s="1"/>
  <c r="Z93" i="21" s="1"/>
  <c r="X71" i="21"/>
  <c r="X78" i="21" s="1"/>
  <c r="X81" i="21" s="1"/>
  <c r="X91" i="21" s="1"/>
  <c r="X93" i="21" s="1"/>
  <c r="V71" i="21"/>
  <c r="V78" i="21" s="1"/>
  <c r="V81" i="21" s="1"/>
  <c r="V91" i="21" s="1"/>
  <c r="V93" i="21" s="1"/>
  <c r="T71" i="21"/>
  <c r="T78" i="21" s="1"/>
  <c r="T81" i="21" s="1"/>
  <c r="T91" i="21" s="1"/>
  <c r="T93" i="21" s="1"/>
  <c r="R71" i="21"/>
  <c r="R78" i="21" s="1"/>
  <c r="P71" i="21"/>
  <c r="P78" i="21" s="1"/>
  <c r="N71" i="21"/>
  <c r="N78" i="21" s="1"/>
  <c r="N81" i="21" s="1"/>
  <c r="N91" i="21" s="1"/>
  <c r="J71" i="21"/>
  <c r="J78" i="21" s="1"/>
  <c r="J81" i="21" s="1"/>
  <c r="J91" i="21" s="1"/>
  <c r="H71" i="21"/>
  <c r="H78" i="21" s="1"/>
  <c r="H81" i="21" s="1"/>
  <c r="H91" i="21" s="1"/>
  <c r="D71" i="21"/>
  <c r="D78" i="21" s="1"/>
  <c r="F71" i="21"/>
  <c r="F78" i="21" s="1"/>
  <c r="F81" i="21" s="1"/>
  <c r="F91" i="21" s="1"/>
  <c r="AF81" i="21"/>
  <c r="AF91" i="21" s="1"/>
  <c r="AF93" i="21" s="1"/>
  <c r="AD38" i="29" l="1"/>
  <c r="N124" i="20"/>
  <c r="K36" i="12"/>
  <c r="K39" i="12" s="1"/>
  <c r="K21" i="13"/>
  <c r="M21" i="13" s="1"/>
  <c r="M32" i="13"/>
  <c r="O32" i="13"/>
  <c r="M31" i="13"/>
  <c r="O31" i="13"/>
  <c r="M24" i="13"/>
  <c r="O24" i="13"/>
  <c r="G30" i="13"/>
  <c r="K30" i="14"/>
  <c r="K33" i="14" s="1"/>
  <c r="G20" i="13"/>
  <c r="K20" i="14"/>
  <c r="K27" i="14" s="1"/>
  <c r="I20" i="14"/>
  <c r="K41" i="7"/>
  <c r="K27" i="9"/>
  <c r="G36" i="12"/>
  <c r="G39" i="12" s="1"/>
  <c r="G22" i="7"/>
  <c r="K22" i="7" s="1"/>
  <c r="G27" i="14"/>
  <c r="AA70" i="22"/>
  <c r="AA73" i="22" s="1"/>
  <c r="F50" i="2"/>
  <c r="G39" i="9"/>
  <c r="K39" i="9" s="1"/>
  <c r="F55" i="26"/>
  <c r="H16" i="26" s="1"/>
  <c r="F50" i="27"/>
  <c r="H14" i="27" s="1"/>
  <c r="F38" i="29"/>
  <c r="H13" i="29" s="1"/>
  <c r="F38" i="28"/>
  <c r="H13" i="28" s="1"/>
  <c r="AD81" i="25"/>
  <c r="P38" i="29"/>
  <c r="AI14" i="18"/>
  <c r="AK14" i="18" s="1"/>
  <c r="G49" i="9"/>
  <c r="K49" i="9" s="1"/>
  <c r="I27" i="9"/>
  <c r="I26" i="12"/>
  <c r="I36" i="12" s="1"/>
  <c r="I39" i="12" s="1"/>
  <c r="AG101" i="24"/>
  <c r="AG103" i="24" s="1"/>
  <c r="D81" i="21"/>
  <c r="D91" i="21" s="1"/>
  <c r="D93" i="21" s="1"/>
  <c r="F14" i="21" s="1"/>
  <c r="F93" i="21" s="1"/>
  <c r="H14" i="21" s="1"/>
  <c r="H93" i="21" s="1"/>
  <c r="J14" i="21" s="1"/>
  <c r="J93" i="21" s="1"/>
  <c r="L14" i="21" s="1"/>
  <c r="L93" i="21" s="1"/>
  <c r="N14" i="21" s="1"/>
  <c r="N93" i="21" s="1"/>
  <c r="R81" i="21"/>
  <c r="R91" i="21" s="1"/>
  <c r="R93" i="21" s="1"/>
  <c r="G33" i="7"/>
  <c r="K33" i="7" s="1"/>
  <c r="I25" i="9"/>
  <c r="G31" i="9"/>
  <c r="S30" i="14"/>
  <c r="S33" i="14" s="1"/>
  <c r="Q33" i="14"/>
  <c r="Q37" i="14" s="1"/>
  <c r="Q40" i="14" s="1"/>
  <c r="I30" i="14"/>
  <c r="I24" i="7"/>
  <c r="I32" i="7"/>
  <c r="AJ33" i="24"/>
  <c r="AL33" i="24" s="1"/>
  <c r="AI92" i="18"/>
  <c r="AK92" i="18" s="1"/>
  <c r="AC94" i="18"/>
  <c r="AG28" i="29"/>
  <c r="AI28" i="29" s="1"/>
  <c r="AI128" i="18"/>
  <c r="AK128" i="18" s="1"/>
  <c r="G38" i="9"/>
  <c r="K38" i="9" s="1"/>
  <c r="AI125" i="18"/>
  <c r="AK125" i="18" s="1"/>
  <c r="AI112" i="18"/>
  <c r="AK112" i="18" s="1"/>
  <c r="G36" i="9"/>
  <c r="K36" i="9" s="1"/>
  <c r="AI111" i="18"/>
  <c r="AK111" i="18" s="1"/>
  <c r="G35" i="9"/>
  <c r="K35" i="9" s="1"/>
  <c r="G33" i="14"/>
  <c r="AK44" i="18"/>
  <c r="X117" i="18"/>
  <c r="P117" i="18"/>
  <c r="H117" i="18"/>
  <c r="N117" i="18"/>
  <c r="V117" i="18"/>
  <c r="AD89" i="24"/>
  <c r="AD101" i="24" s="1"/>
  <c r="AD103" i="24" s="1"/>
  <c r="AJ86" i="24"/>
  <c r="AL86" i="24" s="1"/>
  <c r="AI121" i="18"/>
  <c r="AK121" i="18" s="1"/>
  <c r="F49" i="2"/>
  <c r="F51" i="3" s="1"/>
  <c r="F117" i="18"/>
  <c r="AI112" i="20"/>
  <c r="AK112" i="20" s="1"/>
  <c r="AC132" i="18"/>
  <c r="Z117" i="18"/>
  <c r="R117" i="18"/>
  <c r="J117" i="18"/>
  <c r="T117" i="18"/>
  <c r="L117" i="18"/>
  <c r="D117" i="18"/>
  <c r="AC108" i="18"/>
  <c r="AI98" i="18"/>
  <c r="AK98" i="18" s="1"/>
  <c r="AJ103" i="24" l="1"/>
  <c r="AL103" i="24" s="1"/>
  <c r="O21" i="13"/>
  <c r="AD83" i="25"/>
  <c r="I33" i="14"/>
  <c r="K30" i="13"/>
  <c r="I27" i="14"/>
  <c r="I22" i="7"/>
  <c r="G37" i="14"/>
  <c r="H38" i="29"/>
  <c r="J13" i="29" s="1"/>
  <c r="H50" i="27"/>
  <c r="J14" i="27" s="1"/>
  <c r="H38" i="28"/>
  <c r="J13" i="28" s="1"/>
  <c r="T38" i="28"/>
  <c r="R38" i="29"/>
  <c r="P50" i="27"/>
  <c r="G49" i="7"/>
  <c r="K49" i="7" s="1"/>
  <c r="I49" i="9"/>
  <c r="K31" i="9"/>
  <c r="I41" i="7"/>
  <c r="AI132" i="18"/>
  <c r="AK132" i="18" s="1"/>
  <c r="I33" i="7"/>
  <c r="I36" i="9"/>
  <c r="G31" i="7"/>
  <c r="K31" i="7" s="1"/>
  <c r="AI108" i="18"/>
  <c r="G34" i="9"/>
  <c r="K34" i="9" s="1"/>
  <c r="I38" i="9"/>
  <c r="I35" i="9"/>
  <c r="G30" i="7"/>
  <c r="K30" i="7" s="1"/>
  <c r="I39" i="9"/>
  <c r="K37" i="14"/>
  <c r="K40" i="14" s="1"/>
  <c r="S37" i="14"/>
  <c r="AJ65" i="24"/>
  <c r="AL65" i="24" s="1"/>
  <c r="H61" i="3"/>
  <c r="AK54" i="18"/>
  <c r="AG37" i="29"/>
  <c r="AI37" i="29" s="1"/>
  <c r="AG58" i="22"/>
  <c r="AJ89" i="24"/>
  <c r="AC114" i="18"/>
  <c r="P33" i="6"/>
  <c r="P32" i="6"/>
  <c r="H33" i="6"/>
  <c r="H32" i="6"/>
  <c r="F19" i="6"/>
  <c r="D33" i="6"/>
  <c r="D32" i="6"/>
  <c r="B19" i="6"/>
  <c r="AL89" i="24" l="1"/>
  <c r="AJ101" i="24"/>
  <c r="AL101" i="24" s="1"/>
  <c r="M30" i="13"/>
  <c r="M33" i="13" s="1"/>
  <c r="O30" i="13"/>
  <c r="O33" i="13" s="1"/>
  <c r="I37" i="14"/>
  <c r="I40" i="14" s="1"/>
  <c r="K33" i="13"/>
  <c r="G33" i="13"/>
  <c r="K20" i="13"/>
  <c r="G27" i="13"/>
  <c r="G21" i="7"/>
  <c r="K21" i="7" s="1"/>
  <c r="V38" i="28"/>
  <c r="X38" i="28" s="1"/>
  <c r="AG70" i="22"/>
  <c r="AI70" i="22" s="1"/>
  <c r="AI58" i="22"/>
  <c r="J38" i="28"/>
  <c r="L13" i="28" s="1"/>
  <c r="J38" i="29"/>
  <c r="L13" i="29" s="1"/>
  <c r="I49" i="7"/>
  <c r="H55" i="26"/>
  <c r="J16" i="26" s="1"/>
  <c r="T38" i="29"/>
  <c r="R55" i="26"/>
  <c r="R50" i="27"/>
  <c r="AK108" i="18"/>
  <c r="AI114" i="18"/>
  <c r="AK114" i="18" s="1"/>
  <c r="I31" i="7"/>
  <c r="I34" i="9"/>
  <c r="I43" i="9" s="1"/>
  <c r="K43" i="9"/>
  <c r="K47" i="9" s="1"/>
  <c r="K50" i="9" s="1"/>
  <c r="I30" i="7"/>
  <c r="S40" i="14"/>
  <c r="AI94" i="18"/>
  <c r="AK94" i="18" s="1"/>
  <c r="G40" i="14"/>
  <c r="AC117" i="18"/>
  <c r="AI117" i="18" s="1"/>
  <c r="D34" i="6"/>
  <c r="L33" i="6"/>
  <c r="S33" i="6" s="1"/>
  <c r="U33" i="6" s="1"/>
  <c r="F26" i="6"/>
  <c r="F29" i="6" s="1"/>
  <c r="F34" i="6"/>
  <c r="P34" i="6"/>
  <c r="U34" i="6" s="1"/>
  <c r="B34" i="6"/>
  <c r="J32" i="6"/>
  <c r="J33" i="6"/>
  <c r="H34" i="6"/>
  <c r="L32" i="6"/>
  <c r="S32" i="6" s="1"/>
  <c r="U32" i="6" s="1"/>
  <c r="G34" i="10"/>
  <c r="K34" i="10" s="1"/>
  <c r="O34" i="10" l="1"/>
  <c r="G42" i="7"/>
  <c r="K42" i="7" s="1"/>
  <c r="K43" i="7" s="1"/>
  <c r="O20" i="13"/>
  <c r="O27" i="13" s="1"/>
  <c r="O37" i="13" s="1"/>
  <c r="O40" i="13" s="1"/>
  <c r="M20" i="13"/>
  <c r="M27" i="13" s="1"/>
  <c r="M37" i="13" s="1"/>
  <c r="M40" i="13" s="1"/>
  <c r="M34" i="10"/>
  <c r="G37" i="13"/>
  <c r="G40" i="13" s="1"/>
  <c r="I21" i="7"/>
  <c r="K27" i="13"/>
  <c r="K37" i="13" s="1"/>
  <c r="K40" i="13" s="1"/>
  <c r="V38" i="29"/>
  <c r="X38" i="29" s="1"/>
  <c r="AG73" i="22"/>
  <c r="AI73" i="22" s="1"/>
  <c r="L38" i="29"/>
  <c r="L38" i="28"/>
  <c r="J50" i="27"/>
  <c r="L14" i="27" s="1"/>
  <c r="T50" i="27"/>
  <c r="T55" i="26"/>
  <c r="S34" i="6"/>
  <c r="T34" i="11"/>
  <c r="L34" i="6"/>
  <c r="F39" i="6"/>
  <c r="J34" i="6"/>
  <c r="N38" i="28" l="1"/>
  <c r="P38" i="28" s="1"/>
  <c r="R38" i="28" s="1"/>
  <c r="F42" i="6"/>
  <c r="N38" i="29"/>
  <c r="L50" i="27"/>
  <c r="J55" i="26"/>
  <c r="L16" i="26" s="1"/>
  <c r="V55" i="26"/>
  <c r="X55" i="26" s="1"/>
  <c r="V50" i="27"/>
  <c r="X50" i="27" s="1"/>
  <c r="I42" i="7"/>
  <c r="I43" i="7" s="1"/>
  <c r="G43" i="7"/>
  <c r="J41" i="6" l="1"/>
  <c r="F45" i="5"/>
  <c r="L55" i="26"/>
  <c r="N16" i="26" s="1"/>
  <c r="N57" i="2"/>
  <c r="N59" i="3" s="1"/>
  <c r="F57" i="2"/>
  <c r="N50" i="27" l="1"/>
  <c r="F59" i="3"/>
  <c r="T59" i="3" s="1"/>
  <c r="K13" i="30"/>
  <c r="K22" i="30"/>
  <c r="AD40" i="2"/>
  <c r="N55" i="26" l="1"/>
  <c r="P16" i="26" s="1"/>
  <c r="AD59" i="3"/>
  <c r="AF59" i="3" s="1"/>
  <c r="G48" i="8"/>
  <c r="K48" i="8" s="1"/>
  <c r="AI92" i="23"/>
  <c r="AN92" i="23" s="1"/>
  <c r="AE126" i="16"/>
  <c r="AI83" i="23"/>
  <c r="AN83" i="23" s="1"/>
  <c r="AI82" i="23"/>
  <c r="AN82" i="23" s="1"/>
  <c r="AI81" i="23"/>
  <c r="AN81" i="23" s="1"/>
  <c r="AI73" i="23"/>
  <c r="AN73" i="23" s="1"/>
  <c r="AI65" i="23"/>
  <c r="AI75" i="21"/>
  <c r="AK75" i="21" s="1"/>
  <c r="AI69" i="21"/>
  <c r="AK69" i="21" s="1"/>
  <c r="AI98" i="20"/>
  <c r="AK98" i="20" s="1"/>
  <c r="R26" i="11"/>
  <c r="V26" i="11" s="1"/>
  <c r="AI76" i="21"/>
  <c r="AI74" i="21"/>
  <c r="AK74" i="21" s="1"/>
  <c r="AI73" i="21"/>
  <c r="AK73" i="21" s="1"/>
  <c r="AI70" i="21"/>
  <c r="AK70" i="21" s="1"/>
  <c r="AI68" i="21"/>
  <c r="AK68" i="21" s="1"/>
  <c r="AI67" i="21"/>
  <c r="AK67" i="21" s="1"/>
  <c r="AI66" i="21"/>
  <c r="AK66" i="21" s="1"/>
  <c r="AI65" i="21"/>
  <c r="AK65" i="21" s="1"/>
  <c r="AI62" i="21"/>
  <c r="AK62" i="21" s="1"/>
  <c r="AI63" i="21"/>
  <c r="AK63" i="21" s="1"/>
  <c r="AI107" i="20"/>
  <c r="AK107" i="20" s="1"/>
  <c r="AI106" i="20"/>
  <c r="AK106" i="20" s="1"/>
  <c r="AI105" i="20"/>
  <c r="AK105" i="20" s="1"/>
  <c r="AI104" i="20"/>
  <c r="AK104" i="20" s="1"/>
  <c r="AI101" i="20"/>
  <c r="AK101" i="20" s="1"/>
  <c r="AI100" i="20"/>
  <c r="AK100" i="20" s="1"/>
  <c r="AI99" i="20"/>
  <c r="AK99" i="20" s="1"/>
  <c r="AI97" i="20"/>
  <c r="AK97" i="20" s="1"/>
  <c r="AI96" i="20"/>
  <c r="AK96" i="20" s="1"/>
  <c r="AI94" i="20"/>
  <c r="AK94" i="20" s="1"/>
  <c r="AI93" i="20"/>
  <c r="AK93" i="20" s="1"/>
  <c r="AI92" i="20"/>
  <c r="AK92" i="20" s="1"/>
  <c r="AI86" i="20"/>
  <c r="AK86" i="20" s="1"/>
  <c r="P55" i="26" l="1"/>
  <c r="AE116" i="16"/>
  <c r="AE114" i="16"/>
  <c r="AE111" i="16"/>
  <c r="AE110" i="16"/>
  <c r="AE109" i="16"/>
  <c r="AE117" i="16"/>
  <c r="AE118" i="16"/>
  <c r="AD33" i="2"/>
  <c r="AE122" i="16"/>
  <c r="AE115" i="16"/>
  <c r="AE121" i="16"/>
  <c r="AE113" i="16"/>
  <c r="AE123" i="16"/>
  <c r="I48" i="8"/>
  <c r="T26" i="11"/>
  <c r="AI88" i="20"/>
  <c r="J53" i="3"/>
  <c r="J57" i="3" s="1"/>
  <c r="J61" i="3" s="1"/>
  <c r="AC87" i="21"/>
  <c r="AK87" i="21" s="1"/>
  <c r="AI84" i="21"/>
  <c r="AI115" i="20"/>
  <c r="AK115" i="20" s="1"/>
  <c r="AC118" i="20"/>
  <c r="AD48" i="2"/>
  <c r="AI48" i="2" s="1"/>
  <c r="AI96" i="23"/>
  <c r="AI79" i="23"/>
  <c r="AI86" i="23" s="1"/>
  <c r="AI61" i="21"/>
  <c r="AK61" i="21" s="1"/>
  <c r="AC71" i="21"/>
  <c r="R30" i="11" s="1"/>
  <c r="V30" i="11" s="1"/>
  <c r="J44" i="5" l="1"/>
  <c r="J45" i="5" s="1"/>
  <c r="B45" i="5"/>
  <c r="V35" i="11"/>
  <c r="AK71" i="21"/>
  <c r="AC122" i="20"/>
  <c r="AC124" i="20" s="1"/>
  <c r="AI124" i="20" s="1"/>
  <c r="AK124" i="20" s="1"/>
  <c r="AK118" i="20"/>
  <c r="AE119" i="16"/>
  <c r="AI87" i="21"/>
  <c r="C43" i="7"/>
  <c r="AI118" i="20"/>
  <c r="AI122" i="20" s="1"/>
  <c r="AK122" i="20" s="1"/>
  <c r="G39" i="11"/>
  <c r="K42" i="11" s="1"/>
  <c r="AC78" i="21"/>
  <c r="AK78" i="21" s="1"/>
  <c r="AI71" i="21"/>
  <c r="AI89" i="23"/>
  <c r="G30" i="10" l="1"/>
  <c r="T30" i="11"/>
  <c r="T35" i="11" s="1"/>
  <c r="R35" i="11"/>
  <c r="AI101" i="23"/>
  <c r="C34" i="7"/>
  <c r="C47" i="7" s="1"/>
  <c r="C50" i="7" s="1"/>
  <c r="AI78" i="21"/>
  <c r="AD38" i="2"/>
  <c r="AD37" i="2"/>
  <c r="AD36" i="2"/>
  <c r="AD32" i="2"/>
  <c r="AD31" i="2"/>
  <c r="AD30" i="2"/>
  <c r="AD29" i="2"/>
  <c r="AD28" i="2"/>
  <c r="AD26" i="2"/>
  <c r="AD25" i="2"/>
  <c r="AD18" i="2"/>
  <c r="G29" i="7" l="1"/>
  <c r="K30" i="10"/>
  <c r="O30" i="10" s="1"/>
  <c r="O35" i="10" s="1"/>
  <c r="G35" i="10"/>
  <c r="AI103" i="23"/>
  <c r="C37" i="7"/>
  <c r="AD19" i="2"/>
  <c r="AA23" i="3"/>
  <c r="AA48" i="3" s="1"/>
  <c r="G42" i="11"/>
  <c r="I42" i="11"/>
  <c r="L51" i="2"/>
  <c r="AD24" i="2"/>
  <c r="L42" i="2"/>
  <c r="L20" i="2"/>
  <c r="J15" i="6"/>
  <c r="I29" i="7" l="1"/>
  <c r="K29" i="7"/>
  <c r="G34" i="7"/>
  <c r="M30" i="10"/>
  <c r="M35" i="10" s="1"/>
  <c r="K35" i="10"/>
  <c r="AA57" i="3"/>
  <c r="AA61" i="3" s="1"/>
  <c r="L45" i="2"/>
  <c r="L55" i="2" s="1"/>
  <c r="AA13" i="29"/>
  <c r="R57" i="2"/>
  <c r="E84" i="23"/>
  <c r="E92" i="23"/>
  <c r="P51" i="2" s="1"/>
  <c r="E83" i="23"/>
  <c r="E82" i="23"/>
  <c r="E81" i="23"/>
  <c r="E78" i="23"/>
  <c r="E77" i="23"/>
  <c r="E76" i="23"/>
  <c r="E75" i="23"/>
  <c r="E74" i="23"/>
  <c r="E73" i="23"/>
  <c r="E71" i="23"/>
  <c r="E70" i="23"/>
  <c r="E69" i="23"/>
  <c r="E63" i="23"/>
  <c r="D85" i="19"/>
  <c r="AE85" i="19" s="1"/>
  <c r="D106" i="19"/>
  <c r="AE106" i="19" s="1"/>
  <c r="D105" i="19"/>
  <c r="AE105" i="19" s="1"/>
  <c r="D104" i="19"/>
  <c r="AE104" i="19" s="1"/>
  <c r="D103" i="19"/>
  <c r="AE103" i="19" s="1"/>
  <c r="D100" i="19"/>
  <c r="AE100" i="19" s="1"/>
  <c r="D99" i="19"/>
  <c r="AE99" i="19" s="1"/>
  <c r="D98" i="19"/>
  <c r="AE98" i="19" s="1"/>
  <c r="D97" i="19"/>
  <c r="AE97" i="19" s="1"/>
  <c r="D96" i="19"/>
  <c r="AE96" i="19" s="1"/>
  <c r="D95" i="19"/>
  <c r="AE95" i="19" s="1"/>
  <c r="D93" i="19"/>
  <c r="AE93" i="19" s="1"/>
  <c r="D92" i="19"/>
  <c r="AE92" i="19" s="1"/>
  <c r="D91" i="19"/>
  <c r="AE91" i="19" s="1"/>
  <c r="E65" i="23" l="1"/>
  <c r="P20" i="2"/>
  <c r="D87" i="19"/>
  <c r="C103" i="16"/>
  <c r="C113" i="16"/>
  <c r="C117" i="16"/>
  <c r="C123" i="16"/>
  <c r="C111" i="16"/>
  <c r="C116" i="16"/>
  <c r="C122" i="16"/>
  <c r="C110" i="16"/>
  <c r="C115" i="16"/>
  <c r="C121" i="16"/>
  <c r="C126" i="16"/>
  <c r="C109" i="16"/>
  <c r="C114" i="16"/>
  <c r="C118" i="16"/>
  <c r="AG13" i="29"/>
  <c r="AI13" i="29" s="1"/>
  <c r="AA38" i="29"/>
  <c r="AG38" i="29" s="1"/>
  <c r="AI38" i="29" s="1"/>
  <c r="D101" i="19"/>
  <c r="D108" i="19" s="1"/>
  <c r="AF69" i="23"/>
  <c r="AL69" i="23" s="1"/>
  <c r="AN69" i="23" s="1"/>
  <c r="E79" i="23"/>
  <c r="E86" i="23" s="1"/>
  <c r="AF74" i="23"/>
  <c r="AL74" i="23" s="1"/>
  <c r="AN74" i="23" s="1"/>
  <c r="AF78" i="23"/>
  <c r="AL78" i="23" s="1"/>
  <c r="AN78" i="23" s="1"/>
  <c r="AF92" i="23"/>
  <c r="AL92" i="23" s="1"/>
  <c r="E96" i="23"/>
  <c r="AF63" i="23"/>
  <c r="AF77" i="23"/>
  <c r="AL77" i="23" s="1"/>
  <c r="AN77" i="23" s="1"/>
  <c r="AN61" i="23"/>
  <c r="AF71" i="23"/>
  <c r="AF76" i="23"/>
  <c r="AL76" i="23" s="1"/>
  <c r="AN76" i="23" s="1"/>
  <c r="AF82" i="23"/>
  <c r="AL82" i="23" s="1"/>
  <c r="AL93" i="23"/>
  <c r="AN93" i="23" s="1"/>
  <c r="AF73" i="23"/>
  <c r="AL73" i="23" s="1"/>
  <c r="AF83" i="23"/>
  <c r="AL83" i="23" s="1"/>
  <c r="AF70" i="23"/>
  <c r="AL70" i="23" s="1"/>
  <c r="AN70" i="23" s="1"/>
  <c r="AF75" i="23"/>
  <c r="AL75" i="23" s="1"/>
  <c r="AN75" i="23" s="1"/>
  <c r="AF81" i="23"/>
  <c r="AL81" i="23" s="1"/>
  <c r="AF84" i="23"/>
  <c r="AK96" i="19"/>
  <c r="AM96" i="19" s="1"/>
  <c r="AK106" i="19"/>
  <c r="AM106" i="19" s="1"/>
  <c r="AK99" i="19"/>
  <c r="AM99" i="19" s="1"/>
  <c r="AK93" i="19"/>
  <c r="AM93" i="19" s="1"/>
  <c r="AK100" i="19"/>
  <c r="AM100" i="19" s="1"/>
  <c r="AK105" i="19"/>
  <c r="AM105" i="19" s="1"/>
  <c r="AK92" i="19"/>
  <c r="AM92" i="19" s="1"/>
  <c r="AK97" i="19"/>
  <c r="AM97" i="19" s="1"/>
  <c r="AK103" i="19"/>
  <c r="AM103" i="19" s="1"/>
  <c r="AE87" i="19"/>
  <c r="AK104" i="19"/>
  <c r="AM104" i="19" s="1"/>
  <c r="AK98" i="19"/>
  <c r="AM98" i="19" s="1"/>
  <c r="AK115" i="19"/>
  <c r="AM115" i="19" s="1"/>
  <c r="AB51" i="2"/>
  <c r="AB34" i="2"/>
  <c r="AB42" i="2" s="1"/>
  <c r="AB20" i="2"/>
  <c r="X57" i="2"/>
  <c r="AI57" i="2" s="1"/>
  <c r="V48" i="2"/>
  <c r="K15" i="30"/>
  <c r="K16" i="30"/>
  <c r="K17" i="30"/>
  <c r="K18" i="30"/>
  <c r="K19" i="30"/>
  <c r="K20" i="30"/>
  <c r="K21" i="30"/>
  <c r="K14" i="30"/>
  <c r="I23" i="30"/>
  <c r="G23" i="30"/>
  <c r="E23" i="30"/>
  <c r="C23" i="30"/>
  <c r="Z136" i="18"/>
  <c r="X136" i="18"/>
  <c r="V136" i="18"/>
  <c r="T136" i="18"/>
  <c r="R136" i="18"/>
  <c r="P136" i="18"/>
  <c r="N136" i="18"/>
  <c r="L136" i="18"/>
  <c r="J136" i="18"/>
  <c r="H136" i="18"/>
  <c r="F136" i="18"/>
  <c r="AK95" i="19" l="1"/>
  <c r="AM95" i="19" s="1"/>
  <c r="AE101" i="19"/>
  <c r="C105" i="16"/>
  <c r="AB103" i="16"/>
  <c r="AL94" i="23"/>
  <c r="AN94" i="23" s="1"/>
  <c r="AF65" i="23"/>
  <c r="AK85" i="19"/>
  <c r="AM85" i="19" s="1"/>
  <c r="AL63" i="23"/>
  <c r="AN63" i="23" s="1"/>
  <c r="AM83" i="19"/>
  <c r="AK114" i="19"/>
  <c r="AM114" i="19" s="1"/>
  <c r="AE117" i="19"/>
  <c r="AK117" i="19" s="1"/>
  <c r="AM117" i="19" s="1"/>
  <c r="D111" i="19"/>
  <c r="D121" i="19" s="1"/>
  <c r="D123" i="19" s="1"/>
  <c r="E89" i="23"/>
  <c r="E101" i="23" s="1"/>
  <c r="E103" i="23" s="1"/>
  <c r="G15" i="23" s="1"/>
  <c r="AK91" i="19"/>
  <c r="AM91" i="19" s="1"/>
  <c r="AL84" i="23"/>
  <c r="AN84" i="23" s="1"/>
  <c r="AF79" i="23"/>
  <c r="AF86" i="23" s="1"/>
  <c r="AL71" i="23"/>
  <c r="AN71" i="23" s="1"/>
  <c r="AF96" i="23"/>
  <c r="AL96" i="23" s="1"/>
  <c r="AN96" i="23" s="1"/>
  <c r="P34" i="2"/>
  <c r="H51" i="2"/>
  <c r="H34" i="2"/>
  <c r="H42" i="2" s="1"/>
  <c r="H20" i="2"/>
  <c r="AG57" i="2"/>
  <c r="K23" i="30"/>
  <c r="AB45" i="2"/>
  <c r="AB55" i="2" s="1"/>
  <c r="AB59" i="2" s="1"/>
  <c r="D136" i="18"/>
  <c r="D138" i="18" s="1"/>
  <c r="F14" i="18" s="1"/>
  <c r="F138" i="18" l="1"/>
  <c r="H14" i="18" s="1"/>
  <c r="P42" i="2"/>
  <c r="P45" i="2" s="1"/>
  <c r="P55" i="2" s="1"/>
  <c r="AL79" i="23"/>
  <c r="AN79" i="23" s="1"/>
  <c r="AK101" i="19"/>
  <c r="AK87" i="19"/>
  <c r="AL65" i="23"/>
  <c r="F123" i="19"/>
  <c r="H45" i="2"/>
  <c r="H55" i="2" s="1"/>
  <c r="AE108" i="19"/>
  <c r="D42" i="2"/>
  <c r="AF89" i="23"/>
  <c r="AF101" i="23" s="1"/>
  <c r="AL101" i="23" s="1"/>
  <c r="AN101" i="23" s="1"/>
  <c r="D20" i="2"/>
  <c r="AN65" i="23" l="1"/>
  <c r="H138" i="18"/>
  <c r="G103" i="23"/>
  <c r="I15" i="23" s="1"/>
  <c r="AM87" i="19"/>
  <c r="AK108" i="19"/>
  <c r="AM108" i="19" s="1"/>
  <c r="AM101" i="19"/>
  <c r="AE111" i="19"/>
  <c r="AE121" i="19" s="1"/>
  <c r="AE123" i="19" s="1"/>
  <c r="H123" i="19"/>
  <c r="D45" i="2"/>
  <c r="D55" i="2" s="1"/>
  <c r="AG68" i="25"/>
  <c r="AM14" i="19"/>
  <c r="AK14" i="19"/>
  <c r="J14" i="18" l="1"/>
  <c r="J138" i="18" s="1"/>
  <c r="L138" i="18" s="1"/>
  <c r="N14" i="18" s="1"/>
  <c r="N138" i="18" s="1"/>
  <c r="AG71" i="25"/>
  <c r="AL71" i="25" s="1"/>
  <c r="AL68" i="25"/>
  <c r="AK111" i="19"/>
  <c r="AM111" i="19" s="1"/>
  <c r="J123" i="19"/>
  <c r="L14" i="19" s="1"/>
  <c r="AJ68" i="25"/>
  <c r="P138" i="18" l="1"/>
  <c r="AJ71" i="25"/>
  <c r="AG81" i="25"/>
  <c r="I103" i="23"/>
  <c r="K15" i="23" s="1"/>
  <c r="K103" i="23" s="1"/>
  <c r="M15" i="23" s="1"/>
  <c r="L123" i="19"/>
  <c r="N14" i="19" s="1"/>
  <c r="AK121" i="19"/>
  <c r="AM121" i="19" s="1"/>
  <c r="AK123" i="19"/>
  <c r="AM123" i="19" s="1"/>
  <c r="N123" i="19" l="1"/>
  <c r="AL81" i="25"/>
  <c r="AG83" i="25"/>
  <c r="AJ81" i="25"/>
  <c r="R138" i="18"/>
  <c r="T14" i="18" s="1"/>
  <c r="D59" i="3" l="1"/>
  <c r="D61" i="3" s="1"/>
  <c r="D59" i="2"/>
  <c r="AL83" i="25"/>
  <c r="AJ83" i="25"/>
  <c r="T138" i="18"/>
  <c r="V14" i="18" s="1"/>
  <c r="M103" i="23"/>
  <c r="O15" i="23" s="1"/>
  <c r="P123" i="19"/>
  <c r="V40" i="2"/>
  <c r="V138" i="18" l="1"/>
  <c r="R123" i="19"/>
  <c r="B26" i="6"/>
  <c r="B29" i="6" s="1"/>
  <c r="B39" i="6" s="1"/>
  <c r="B42" i="6" s="1"/>
  <c r="X138" i="18" l="1"/>
  <c r="Z138" i="18" s="1"/>
  <c r="O103" i="23"/>
  <c r="T123" i="19"/>
  <c r="C100" i="30"/>
  <c r="C154" i="30" s="1"/>
  <c r="H59" i="2" l="1"/>
  <c r="X123" i="19"/>
  <c r="Z123" i="19" s="1"/>
  <c r="E100" i="30"/>
  <c r="E154" i="30" s="1"/>
  <c r="I100" i="30"/>
  <c r="I154" i="30" s="1"/>
  <c r="G100" i="30"/>
  <c r="G154" i="30" s="1"/>
  <c r="Q103" i="23" l="1"/>
  <c r="K100" i="30"/>
  <c r="K154" i="30" s="1"/>
  <c r="E43" i="7" l="1"/>
  <c r="E34" i="7"/>
  <c r="S103" i="23" l="1"/>
  <c r="E37" i="7"/>
  <c r="E47" i="7"/>
  <c r="E50" i="7" s="1"/>
  <c r="U103" i="23" l="1"/>
  <c r="W103" i="23" s="1"/>
  <c r="AD51" i="2"/>
  <c r="AD20" i="2"/>
  <c r="AD34" i="2"/>
  <c r="AD42" i="2" s="1"/>
  <c r="P59" i="2" l="1"/>
  <c r="Y103" i="23"/>
  <c r="AE105" i="16"/>
  <c r="AE138"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9" i="6" l="1"/>
  <c r="L18" i="6"/>
  <c r="S18" i="6" s="1"/>
  <c r="U18" i="6" s="1"/>
  <c r="D26" i="6"/>
  <c r="S19" i="6" l="1"/>
  <c r="U19" i="6" s="1"/>
  <c r="D29" i="6"/>
  <c r="D39" i="6" s="1"/>
  <c r="D42" i="6" s="1"/>
  <c r="W29" i="27"/>
  <c r="AL15" i="23" l="1"/>
  <c r="AN15" i="23" s="1"/>
  <c r="AL103" i="23" l="1"/>
  <c r="R48" i="2"/>
  <c r="R30" i="2"/>
  <c r="R37" i="2"/>
  <c r="R36" i="2"/>
  <c r="R28" i="2"/>
  <c r="R38" i="2"/>
  <c r="R50" i="2"/>
  <c r="R41" i="2"/>
  <c r="R33" i="2"/>
  <c r="R32" i="2"/>
  <c r="R31" i="2"/>
  <c r="R29" i="2"/>
  <c r="R26" i="2"/>
  <c r="R24" i="2"/>
  <c r="R19" i="2"/>
  <c r="R18" i="2"/>
  <c r="R20" i="2" l="1"/>
  <c r="X48" i="2"/>
  <c r="R49" i="2"/>
  <c r="R51" i="2" s="1"/>
  <c r="R25" i="2"/>
  <c r="R34" i="2" s="1"/>
  <c r="R42" i="2" s="1"/>
  <c r="AB134" i="16" l="1"/>
  <c r="R45" i="2"/>
  <c r="R55" i="2" s="1"/>
  <c r="R59" i="2" s="1"/>
  <c r="AL86" i="23"/>
  <c r="AF103" i="23"/>
  <c r="AN103" i="23" s="1"/>
  <c r="AN86" i="23" l="1"/>
  <c r="AL89" i="23"/>
  <c r="AN89" i="23" s="1"/>
  <c r="AH134" i="16"/>
  <c r="AJ134" i="16" s="1"/>
  <c r="N50" i="2" l="1"/>
  <c r="N49" i="2"/>
  <c r="N51" i="3" s="1"/>
  <c r="N40" i="2"/>
  <c r="N37" i="2"/>
  <c r="N40" i="3" s="1"/>
  <c r="N19" i="2"/>
  <c r="N22" i="3" s="1"/>
  <c r="N18" i="2"/>
  <c r="N21" i="3" s="1"/>
  <c r="T21" i="3" s="1"/>
  <c r="N20" i="3"/>
  <c r="N18" i="3"/>
  <c r="N17" i="3"/>
  <c r="N52" i="3" l="1"/>
  <c r="X50" i="2"/>
  <c r="N23" i="3"/>
  <c r="G24" i="8"/>
  <c r="K24" i="8" s="1"/>
  <c r="AD21" i="3"/>
  <c r="AF21" i="3" s="1"/>
  <c r="X40" i="2"/>
  <c r="AI40" i="2" s="1"/>
  <c r="N43" i="3"/>
  <c r="T43" i="3" s="1"/>
  <c r="T51" i="3"/>
  <c r="N53" i="3"/>
  <c r="N42" i="2"/>
  <c r="N51" i="2"/>
  <c r="N20" i="2"/>
  <c r="I24" i="8" l="1"/>
  <c r="N45" i="3"/>
  <c r="N48" i="3" s="1"/>
  <c r="AG40" i="2"/>
  <c r="G40" i="8"/>
  <c r="K40" i="8" s="1"/>
  <c r="AD51" i="3"/>
  <c r="G32" i="8"/>
  <c r="K32" i="8" s="1"/>
  <c r="AD43" i="3"/>
  <c r="AF43" i="3" s="1"/>
  <c r="N45" i="2"/>
  <c r="N55" i="2" s="1"/>
  <c r="N59" i="2" s="1"/>
  <c r="N57" i="3" l="1"/>
  <c r="N61" i="3" s="1"/>
  <c r="I40" i="8"/>
  <c r="I32" i="8"/>
  <c r="AF51" i="3"/>
  <c r="V49" i="2" l="1"/>
  <c r="U135" i="16" s="1"/>
  <c r="V50" i="2"/>
  <c r="U136" i="16" s="1"/>
  <c r="S138" i="16" l="1"/>
  <c r="S142" i="16" s="1"/>
  <c r="Q138" i="16"/>
  <c r="Q142" i="16" s="1"/>
  <c r="O138" i="16"/>
  <c r="O142" i="16" s="1"/>
  <c r="V51" i="2"/>
  <c r="I138" i="16"/>
  <c r="E138" i="16"/>
  <c r="J50" i="2"/>
  <c r="J49" i="2"/>
  <c r="J51" i="2" l="1"/>
  <c r="V41" i="2" l="1"/>
  <c r="V17" i="2"/>
  <c r="V29" i="2"/>
  <c r="V32" i="2"/>
  <c r="V16" i="2"/>
  <c r="V25" i="2"/>
  <c r="V28" i="2"/>
  <c r="V37" i="2"/>
  <c r="J30" i="2"/>
  <c r="V30" i="2"/>
  <c r="V24" i="2"/>
  <c r="V31" i="2"/>
  <c r="J26" i="2"/>
  <c r="V26" i="2"/>
  <c r="V33" i="2"/>
  <c r="V15" i="2"/>
  <c r="J32" i="2"/>
  <c r="V18" i="2"/>
  <c r="I119" i="16" l="1"/>
  <c r="G119" i="16"/>
  <c r="E119" i="16"/>
  <c r="V34" i="2"/>
  <c r="J37" i="2"/>
  <c r="J31" i="2"/>
  <c r="J29" i="2"/>
  <c r="J28" i="2"/>
  <c r="V38" i="2"/>
  <c r="AB111" i="16"/>
  <c r="AB113" i="16"/>
  <c r="AB114" i="16"/>
  <c r="V19" i="2"/>
  <c r="V36" i="2"/>
  <c r="AB116" i="16"/>
  <c r="AB115" i="16"/>
  <c r="AB110" i="16"/>
  <c r="AB117" i="16"/>
  <c r="J33" i="2"/>
  <c r="J24" i="2"/>
  <c r="J41" i="2"/>
  <c r="X41" i="2" s="1"/>
  <c r="AI41" i="2" s="1"/>
  <c r="J25" i="2"/>
  <c r="I128" i="16" l="1"/>
  <c r="I105" i="16"/>
  <c r="G128" i="16"/>
  <c r="E128" i="16"/>
  <c r="V20" i="2"/>
  <c r="AB109" i="16"/>
  <c r="J34" i="2"/>
  <c r="V42" i="2"/>
  <c r="AG41" i="2"/>
  <c r="J36" i="2"/>
  <c r="J19" i="2"/>
  <c r="J38" i="2"/>
  <c r="J18" i="2"/>
  <c r="G131" i="16" l="1"/>
  <c r="G142" i="16" s="1"/>
  <c r="I131" i="16"/>
  <c r="I142" i="16" s="1"/>
  <c r="E131" i="16"/>
  <c r="E142" i="16" s="1"/>
  <c r="V45" i="2"/>
  <c r="V55" i="2" s="1"/>
  <c r="J20" i="2"/>
  <c r="J42" i="2"/>
  <c r="J45" i="2" l="1"/>
  <c r="J55" i="2" s="1"/>
  <c r="J59" i="2" s="1"/>
  <c r="F38" i="2"/>
  <c r="F41" i="3" s="1"/>
  <c r="T41" i="3" s="1"/>
  <c r="F37" i="2"/>
  <c r="F36" i="2"/>
  <c r="F33" i="2"/>
  <c r="F32" i="2"/>
  <c r="F31" i="2"/>
  <c r="F30" i="2"/>
  <c r="F29" i="2"/>
  <c r="F28"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8" i="2"/>
  <c r="AI18" i="2" s="1"/>
  <c r="X17" i="2"/>
  <c r="AI17" i="2" s="1"/>
  <c r="X15" i="2"/>
  <c r="AI15" i="2" s="1"/>
  <c r="F16" i="2"/>
  <c r="F24" i="2"/>
  <c r="F27" i="3" s="1"/>
  <c r="F25" i="2"/>
  <c r="F28" i="3" s="1"/>
  <c r="T28" i="3" s="1"/>
  <c r="AD28" i="3" s="1"/>
  <c r="AF28" i="3" s="1"/>
  <c r="F52" i="3"/>
  <c r="AG36" i="2" l="1"/>
  <c r="AI36" i="2"/>
  <c r="AG32" i="2"/>
  <c r="AI32" i="2"/>
  <c r="AG31" i="2"/>
  <c r="AI31" i="2"/>
  <c r="AG30" i="2"/>
  <c r="AI30" i="2"/>
  <c r="AG29" i="2"/>
  <c r="AI29" i="2"/>
  <c r="AG28" i="2"/>
  <c r="AI28" i="2"/>
  <c r="I31" i="8"/>
  <c r="AG33" i="2"/>
  <c r="AD18" i="3"/>
  <c r="AF18" i="3" s="1"/>
  <c r="G21" i="8"/>
  <c r="K21" i="8" s="1"/>
  <c r="F53" i="3"/>
  <c r="T52" i="3"/>
  <c r="AD52" i="3" s="1"/>
  <c r="AD53" i="3" s="1"/>
  <c r="T27" i="3"/>
  <c r="AD20" i="3"/>
  <c r="AF20" i="3" s="1"/>
  <c r="G23" i="8"/>
  <c r="K23" i="8" s="1"/>
  <c r="AG37" i="2"/>
  <c r="AD22" i="3"/>
  <c r="AF22" i="3" s="1"/>
  <c r="G25" i="8"/>
  <c r="K25" i="8" s="1"/>
  <c r="F19" i="3"/>
  <c r="T19" i="3" s="1"/>
  <c r="AD39" i="3"/>
  <c r="AF39" i="3" s="1"/>
  <c r="G30" i="8"/>
  <c r="K30" i="8" s="1"/>
  <c r="F51" i="2"/>
  <c r="X24" i="2"/>
  <c r="AI24" i="2" s="1"/>
  <c r="AG19" i="2"/>
  <c r="AI50" i="2"/>
  <c r="X49" i="2"/>
  <c r="AG38" i="2"/>
  <c r="X25" i="2"/>
  <c r="AI25" i="2" s="1"/>
  <c r="AG18" i="2"/>
  <c r="AG17" i="2"/>
  <c r="X16" i="2"/>
  <c r="AI16" i="2" s="1"/>
  <c r="AG15" i="2"/>
  <c r="F26" i="2"/>
  <c r="AI49" i="2" l="1"/>
  <c r="X51" i="2"/>
  <c r="I23" i="8"/>
  <c r="I30" i="8"/>
  <c r="I25" i="8"/>
  <c r="I21" i="8"/>
  <c r="I31" i="9"/>
  <c r="I47" i="9" s="1"/>
  <c r="I50" i="9" s="1"/>
  <c r="AD27" i="3"/>
  <c r="AF27" i="3" s="1"/>
  <c r="F34" i="2"/>
  <c r="F29" i="3"/>
  <c r="G22" i="8"/>
  <c r="K22" i="8" s="1"/>
  <c r="AD19" i="3"/>
  <c r="AF19" i="3" s="1"/>
  <c r="G41" i="8"/>
  <c r="T53" i="3"/>
  <c r="AG24" i="2"/>
  <c r="AG50" i="2"/>
  <c r="AG49" i="2"/>
  <c r="X26" i="2"/>
  <c r="AI26" i="2" s="1"/>
  <c r="AG25" i="2"/>
  <c r="AC136" i="18"/>
  <c r="AC138" i="18" s="1"/>
  <c r="AG16" i="2"/>
  <c r="U138" i="16" l="1"/>
  <c r="U142" i="16" s="1"/>
  <c r="AB135" i="16"/>
  <c r="K41" i="8"/>
  <c r="K42" i="8" s="1"/>
  <c r="I41" i="8"/>
  <c r="I42" i="8" s="1"/>
  <c r="I22" i="8"/>
  <c r="G42" i="8"/>
  <c r="AF52" i="3"/>
  <c r="AF53" i="3"/>
  <c r="F42" i="2"/>
  <c r="T29" i="3"/>
  <c r="F37" i="3"/>
  <c r="F45" i="3" s="1"/>
  <c r="AG26" i="2"/>
  <c r="AG34" i="2" s="1"/>
  <c r="AG42" i="2" s="1"/>
  <c r="X34" i="2"/>
  <c r="AI34" i="2" s="1"/>
  <c r="AE128" i="16"/>
  <c r="AE131" i="16" s="1"/>
  <c r="AB16" i="16"/>
  <c r="AH16" i="16" s="1"/>
  <c r="AJ16" i="16" s="1"/>
  <c r="K34" i="7" l="1"/>
  <c r="AD29" i="3"/>
  <c r="T37" i="3"/>
  <c r="G43" i="9"/>
  <c r="G47" i="9" s="1"/>
  <c r="X42" i="2"/>
  <c r="AI42" i="2" s="1"/>
  <c r="AE142" i="16" l="1"/>
  <c r="AE144" i="16" s="1"/>
  <c r="AF29" i="3"/>
  <c r="AD37" i="3"/>
  <c r="AD45" i="3" s="1"/>
  <c r="G29" i="8"/>
  <c r="K29" i="8" s="1"/>
  <c r="T45" i="3"/>
  <c r="J25" i="6"/>
  <c r="L24" i="6"/>
  <c r="S24" i="6" s="1"/>
  <c r="U24" i="6" s="1"/>
  <c r="J24" i="6"/>
  <c r="L23" i="6"/>
  <c r="S23" i="6" s="1"/>
  <c r="U23" i="6" s="1"/>
  <c r="J23" i="6"/>
  <c r="L19" i="6"/>
  <c r="J18" i="6"/>
  <c r="J19" i="6" s="1"/>
  <c r="L15" i="6"/>
  <c r="H15" i="6"/>
  <c r="L14" i="6"/>
  <c r="H14" i="6"/>
  <c r="P14" i="6" s="1"/>
  <c r="S26" i="6" l="1"/>
  <c r="U26" i="6" s="1"/>
  <c r="I29" i="8"/>
  <c r="I34" i="8" s="1"/>
  <c r="K34" i="8"/>
  <c r="AF37" i="3"/>
  <c r="AF45" i="3"/>
  <c r="G34" i="8"/>
  <c r="J26" i="6"/>
  <c r="J29" i="6" s="1"/>
  <c r="J39" i="6" s="1"/>
  <c r="J42" i="6" s="1"/>
  <c r="L26" i="6"/>
  <c r="L29" i="6" s="1"/>
  <c r="S29" i="6" s="1"/>
  <c r="U29" i="6" s="1"/>
  <c r="L39" i="6" l="1"/>
  <c r="L42" i="6" l="1"/>
  <c r="S39" i="6"/>
  <c r="U39" i="6" s="1"/>
  <c r="AB136" i="16"/>
  <c r="AB138" i="16" s="1"/>
  <c r="AG48" i="2"/>
  <c r="AB126" i="16"/>
  <c r="AB125" i="16"/>
  <c r="AB123" i="16"/>
  <c r="AB122" i="16"/>
  <c r="AB121" i="16"/>
  <c r="AH117" i="16"/>
  <c r="AJ117" i="16" s="1"/>
  <c r="AH116" i="16"/>
  <c r="AJ116" i="16" s="1"/>
  <c r="AH115" i="16"/>
  <c r="AJ115" i="16" s="1"/>
  <c r="AH114" i="16"/>
  <c r="AJ114" i="16" s="1"/>
  <c r="AH113" i="16"/>
  <c r="AJ113" i="16" s="1"/>
  <c r="AH111" i="16"/>
  <c r="AJ111" i="16" s="1"/>
  <c r="AH110" i="16"/>
  <c r="AJ110" i="16" s="1"/>
  <c r="V12" i="2"/>
  <c r="P12" i="2"/>
  <c r="N12" i="2"/>
  <c r="L12" i="2"/>
  <c r="J12" i="2"/>
  <c r="H12" i="2"/>
  <c r="AA14" i="3"/>
  <c r="X11" i="2"/>
  <c r="N11" i="2"/>
  <c r="J11" i="2"/>
  <c r="R11" i="2" s="1"/>
  <c r="S42" i="6" l="1"/>
  <c r="U42" i="6" s="1"/>
  <c r="AG51" i="2"/>
  <c r="AI51" i="2" s="1"/>
  <c r="C138" i="16"/>
  <c r="AB118" i="16"/>
  <c r="C119" i="16"/>
  <c r="C128" i="16" s="1"/>
  <c r="AH103" i="16"/>
  <c r="AJ103" i="16" s="1"/>
  <c r="AH123" i="16"/>
  <c r="AJ123" i="16" s="1"/>
  <c r="AH122" i="16"/>
  <c r="AJ122" i="16" s="1"/>
  <c r="AH125" i="16"/>
  <c r="AJ125" i="16" s="1"/>
  <c r="AH126" i="16"/>
  <c r="AJ126" i="16" s="1"/>
  <c r="AH121" i="16"/>
  <c r="AJ121" i="16" s="1"/>
  <c r="AH136" i="16"/>
  <c r="AJ136" i="16" s="1"/>
  <c r="AH109" i="16"/>
  <c r="AJ109" i="16" s="1"/>
  <c r="R12" i="2"/>
  <c r="AB119" i="16" l="1"/>
  <c r="AB128" i="16" s="1"/>
  <c r="AH135" i="16"/>
  <c r="AJ135" i="16" s="1"/>
  <c r="AH118" i="16"/>
  <c r="AJ118" i="16" s="1"/>
  <c r="AH138" i="16" l="1"/>
  <c r="AJ138" i="16" s="1"/>
  <c r="AH119" i="16"/>
  <c r="AJ119" i="16" s="1"/>
  <c r="AH128" i="16"/>
  <c r="AJ128" i="16" s="1"/>
  <c r="I34" i="7" l="1"/>
  <c r="F14" i="2"/>
  <c r="F17" i="3" l="1"/>
  <c r="X14" i="2"/>
  <c r="AI14" i="2" s="1"/>
  <c r="F20" i="2"/>
  <c r="F45" i="2" s="1"/>
  <c r="F55" i="2" s="1"/>
  <c r="F59" i="2" s="1"/>
  <c r="AI136" i="18"/>
  <c r="AK136" i="18" s="1"/>
  <c r="F23" i="3" l="1"/>
  <c r="F48" i="3" s="1"/>
  <c r="F57" i="3" s="1"/>
  <c r="F61" i="3" s="1"/>
  <c r="T17" i="3"/>
  <c r="AG14" i="2"/>
  <c r="AG20" i="2" s="1"/>
  <c r="C131" i="16"/>
  <c r="C142" i="16" s="1"/>
  <c r="C144" i="16" s="1"/>
  <c r="E16" i="16" s="1"/>
  <c r="AB105" i="16"/>
  <c r="X20" i="2"/>
  <c r="AI138" i="18"/>
  <c r="AK138" i="18" s="1"/>
  <c r="X45" i="2" l="1"/>
  <c r="AI45" i="2" s="1"/>
  <c r="AI20" i="2"/>
  <c r="E144" i="16"/>
  <c r="G16" i="16" s="1"/>
  <c r="AB131" i="16"/>
  <c r="G20" i="8"/>
  <c r="K20" i="8" s="1"/>
  <c r="AD17" i="3"/>
  <c r="AF17" i="3" s="1"/>
  <c r="T23" i="3"/>
  <c r="T48" i="3" s="1"/>
  <c r="T57" i="3" s="1"/>
  <c r="T61" i="3" s="1"/>
  <c r="AB142" i="16" l="1"/>
  <c r="AB144" i="16" s="1"/>
  <c r="X55" i="2"/>
  <c r="AI55" i="2" s="1"/>
  <c r="AG45" i="2"/>
  <c r="AG55" i="2" s="1"/>
  <c r="AG59" i="2" s="1"/>
  <c r="G26" i="8"/>
  <c r="G46" i="8" s="1"/>
  <c r="G49" i="8" s="1"/>
  <c r="K26" i="8"/>
  <c r="G144" i="16"/>
  <c r="I16" i="16" s="1"/>
  <c r="I20" i="8"/>
  <c r="I26" i="8" s="1"/>
  <c r="G50" i="9"/>
  <c r="AD23" i="3"/>
  <c r="AD48" i="3" s="1"/>
  <c r="AF48" i="3" s="1"/>
  <c r="X59" i="2" l="1"/>
  <c r="AI59" i="2" s="1"/>
  <c r="I144" i="16"/>
  <c r="K16" i="16" s="1"/>
  <c r="AD57" i="3"/>
  <c r="K46" i="8"/>
  <c r="K49" i="8" s="1"/>
  <c r="K37" i="8"/>
  <c r="AH105" i="16"/>
  <c r="AJ105" i="16" s="1"/>
  <c r="AF23" i="3"/>
  <c r="G37" i="8"/>
  <c r="AH131" i="16"/>
  <c r="AJ131" i="16" s="1"/>
  <c r="K144" i="16" l="1"/>
  <c r="M16" i="16" s="1"/>
  <c r="I46" i="8"/>
  <c r="I49" i="8" s="1"/>
  <c r="I37" i="8"/>
  <c r="AH142" i="16"/>
  <c r="AJ142" i="16" s="1"/>
  <c r="M144" i="16" l="1"/>
  <c r="AF57" i="3"/>
  <c r="AD61" i="3"/>
  <c r="AF61" i="3" s="1"/>
  <c r="AH144" i="16"/>
  <c r="AJ144" i="16" s="1"/>
  <c r="B70" i="22"/>
  <c r="B73" i="22" s="1"/>
  <c r="D12" i="22" s="1"/>
  <c r="O144" i="16" l="1"/>
  <c r="Q16" i="16" s="1"/>
  <c r="Q144" i="16" l="1"/>
  <c r="S16" i="16" s="1"/>
  <c r="D73" i="22"/>
  <c r="F12" i="22" s="1"/>
  <c r="S144" i="16" l="1"/>
  <c r="U16" i="16" s="1"/>
  <c r="R73" i="22"/>
  <c r="U144" i="16" l="1"/>
  <c r="F73" i="22"/>
  <c r="H12" i="22" s="1"/>
  <c r="T73" i="22"/>
  <c r="W144" i="16" l="1"/>
  <c r="Y144" i="16" s="1"/>
  <c r="V73" i="22"/>
  <c r="H73" i="22" l="1"/>
  <c r="J12" i="22" s="1"/>
  <c r="X73" i="22"/>
  <c r="J73" i="22" l="1"/>
  <c r="L12" i="22" s="1"/>
  <c r="L73" i="22" l="1"/>
  <c r="V57" i="2" l="1"/>
  <c r="V59" i="2" s="1"/>
  <c r="N73" i="22"/>
  <c r="P73" i="22" s="1"/>
  <c r="L59" i="3"/>
  <c r="L59" i="2"/>
  <c r="R59" i="3" l="1"/>
  <c r="R61" i="3" s="1"/>
  <c r="L61" i="3"/>
  <c r="P57" i="21"/>
  <c r="P81" i="21" s="1"/>
  <c r="P91" i="21" s="1"/>
  <c r="P93" i="21" s="1"/>
  <c r="AC55" i="21"/>
  <c r="AI55" i="21" s="1"/>
  <c r="AI57" i="21" s="1"/>
  <c r="AK55" i="21" l="1"/>
  <c r="R25" i="11"/>
  <c r="AC57" i="21"/>
  <c r="AK57" i="21" l="1"/>
  <c r="AC81" i="21"/>
  <c r="G25" i="10"/>
  <c r="V25" i="11"/>
  <c r="V27" i="11" s="1"/>
  <c r="V39" i="11" s="1"/>
  <c r="V42" i="11" s="1"/>
  <c r="T25" i="11"/>
  <c r="T27" i="11" s="1"/>
  <c r="T39" i="11" s="1"/>
  <c r="T42" i="11" s="1"/>
  <c r="R27" i="11"/>
  <c r="R39" i="11" s="1"/>
  <c r="R42" i="11" s="1"/>
  <c r="AC91" i="21" l="1"/>
  <c r="AK81" i="21"/>
  <c r="AI81" i="21"/>
  <c r="AI91" i="21" s="1"/>
  <c r="G27" i="10"/>
  <c r="G39" i="10" s="1"/>
  <c r="G25" i="7"/>
  <c r="K25" i="10"/>
  <c r="K39" i="10" l="1"/>
  <c r="K42" i="10" s="1"/>
  <c r="G42" i="10"/>
  <c r="K27" i="10"/>
  <c r="M25" i="10"/>
  <c r="M27" i="10" s="1"/>
  <c r="M39" i="10" s="1"/>
  <c r="M42" i="10" s="1"/>
  <c r="O25" i="10"/>
  <c r="O27" i="10" s="1"/>
  <c r="O39" i="10" s="1"/>
  <c r="O42" i="10" s="1"/>
  <c r="K25" i="7"/>
  <c r="K26" i="7" s="1"/>
  <c r="G26" i="7"/>
  <c r="I25" i="7"/>
  <c r="I26" i="7" s="1"/>
  <c r="AC93" i="21"/>
  <c r="AK91" i="21"/>
  <c r="G47" i="7" l="1"/>
  <c r="G50" i="7" s="1"/>
  <c r="G37" i="7"/>
  <c r="AI93" i="21"/>
  <c r="AK93" i="21"/>
  <c r="I47" i="7"/>
  <c r="I50" i="7" s="1"/>
  <c r="I37" i="7"/>
  <c r="K47" i="7"/>
  <c r="K50" i="7" s="1"/>
  <c r="K37" i="7"/>
</calcChain>
</file>

<file path=xl/sharedStrings.xml><?xml version="1.0" encoding="utf-8"?>
<sst xmlns="http://schemas.openxmlformats.org/spreadsheetml/2006/main" count="3824" uniqueCount="1603">
  <si>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</si>
  <si>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</si>
  <si>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</si>
  <si>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</si>
  <si>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</si>
  <si>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</si>
  <si>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</si>
  <si>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</si>
  <si>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</si>
  <si>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</si>
  <si>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</si>
  <si>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</si>
  <si>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</si>
  <si>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</si>
  <si>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</si>
  <si>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</si>
  <si>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</si>
  <si>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</si>
  <si>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</si>
  <si>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</si>
  <si>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</si>
  <si>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</si>
  <si>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</si>
  <si>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</si>
  <si>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</si>
  <si>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</si>
  <si>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</si>
  <si>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</si>
  <si>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</si>
  <si>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</si>
  <si>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</si>
  <si>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</si>
  <si>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</si>
  <si>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</si>
  <si>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</si>
  <si>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</si>
  <si>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</si>
  <si>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</si>
  <si>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</si>
  <si>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</si>
  <si>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</si>
  <si>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</si>
  <si>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</si>
  <si>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</si>
  <si>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</si>
  <si>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</si>
  <si>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</si>
  <si>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</si>
  <si>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</si>
  <si>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</si>
  <si>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</si>
  <si>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</si>
  <si>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</si>
  <si>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</si>
  <si>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</si>
  <si>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</si>
  <si>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</si>
  <si>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</si>
  <si>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</si>
  <si>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</si>
  <si>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</si>
  <si>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</si>
  <si>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</si>
  <si>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</si>
  <si>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</si>
  <si>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</si>
  <si>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</si>
  <si>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</si>
  <si>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</si>
  <si>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</si>
  <si>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</si>
  <si>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</si>
  <si>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</si>
  <si>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</si>
  <si>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</si>
  <si>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</si>
  <si>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</si>
  <si>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</si>
  <si>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</si>
  <si>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</si>
  <si>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</si>
  <si>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</si>
  <si>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</si>
  <si>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</si>
  <si>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</si>
  <si>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</si>
  <si>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</si>
  <si>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</si>
  <si>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</si>
  <si>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</si>
  <si>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</si>
  <si>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</si>
  <si>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</si>
  <si>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</si>
  <si>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</si>
  <si>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</si>
  <si>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</si>
  <si>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</si>
  <si>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</si>
  <si>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</si>
  <si>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</si>
  <si>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</si>
  <si>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</si>
  <si>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</si>
  <si>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</si>
  <si>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</si>
  <si>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</si>
  <si>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</si>
  <si>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</si>
  <si>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</si>
  <si>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</si>
  <si>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</si>
  <si>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</si>
  <si>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</si>
  <si>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</si>
  <si>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</si>
  <si>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</si>
  <si>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</si>
  <si>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</si>
  <si>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</si>
  <si>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</si>
  <si>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</si>
  <si>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</si>
  <si>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</si>
  <si>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</si>
  <si>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</si>
  <si>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</si>
  <si>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</si>
  <si>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</si>
  <si>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</si>
  <si>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</si>
  <si>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</si>
  <si>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</si>
  <si>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</si>
  <si>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</si>
  <si>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</si>
  <si>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</si>
  <si>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</si>
  <si>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</si>
  <si>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</si>
  <si>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</si>
  <si>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</si>
  <si>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</si>
  <si>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</si>
  <si>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</si>
  <si>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</si>
  <si>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</si>
  <si>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</si>
  <si>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</si>
  <si>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</si>
  <si>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</si>
  <si>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</si>
  <si>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</si>
  <si>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</si>
  <si>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</si>
  <si>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</si>
  <si>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</si>
  <si>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</si>
  <si>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</si>
  <si>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</si>
  <si>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</si>
  <si>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</si>
  <si>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</si>
  <si>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</si>
  <si>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</si>
  <si>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</si>
  <si>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</si>
  <si>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</si>
  <si>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</si>
  <si>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</si>
  <si>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</si>
  <si>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</si>
  <si>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</si>
  <si>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</si>
  <si>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</si>
  <si>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</si>
  <si>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</si>
  <si>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</si>
  <si>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</si>
  <si>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</si>
  <si>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</si>
  <si>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</si>
  <si>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</si>
  <si>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</si>
  <si>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</si>
  <si>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</si>
  <si>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</si>
  <si>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</si>
  <si>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</si>
  <si>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</si>
  <si>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</si>
  <si>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</si>
  <si>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</si>
  <si>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</si>
  <si>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</si>
  <si>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</si>
  <si>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</si>
  <si>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</si>
  <si>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</si>
  <si>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</si>
  <si>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</si>
  <si>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</si>
  <si>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</si>
  <si>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</si>
  <si>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</si>
  <si>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</si>
  <si>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</si>
  <si>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</si>
  <si>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</si>
  <si>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</si>
  <si>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</si>
  <si>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</si>
  <si>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</si>
  <si>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</si>
  <si>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</si>
  <si>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</si>
  <si>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</si>
  <si>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</si>
  <si>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</si>
  <si>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</si>
  <si>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</si>
  <si>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</si>
  <si>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</si>
  <si>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</si>
  <si>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</si>
  <si>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</si>
  <si>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</si>
  <si>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</si>
  <si>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</si>
  <si>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</si>
  <si>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</si>
  <si>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</si>
  <si>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</si>
  <si>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</si>
  <si>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</si>
  <si>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</si>
  <si>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</si>
  <si>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</si>
  <si>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</si>
  <si>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</si>
  <si>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</si>
  <si>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</si>
  <si>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</si>
  <si>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</si>
  <si>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</si>
  <si>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</si>
  <si>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</si>
  <si>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</si>
  <si>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</si>
  <si>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</si>
  <si>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</si>
  <si>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</si>
  <si>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</si>
  <si>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</si>
  <si>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</si>
  <si>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</si>
  <si>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</si>
  <si>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</si>
  <si>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</si>
  <si>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</si>
  <si>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</si>
  <si>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</si>
  <si>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</si>
  <si>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</si>
  <si>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</si>
  <si>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</si>
  <si>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</si>
  <si>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</si>
  <si>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</si>
  <si>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</si>
  <si>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</si>
  <si>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</si>
  <si>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</si>
  <si>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</si>
  <si>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</si>
  <si>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</si>
  <si>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</si>
  <si>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</si>
  <si>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</si>
  <si>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</si>
  <si>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</si>
  <si>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</si>
  <si>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</si>
  <si>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</si>
  <si>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</si>
  <si>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</si>
  <si>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</si>
  <si>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</si>
  <si>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</si>
  <si>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</si>
  <si>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</si>
  <si>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</si>
  <si>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</si>
  <si>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</si>
  <si>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</si>
  <si>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</si>
  <si>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</si>
  <si>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</si>
  <si>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</si>
  <si>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</si>
  <si>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</si>
  <si>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</si>
  <si>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</si>
  <si>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</si>
  <si>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</si>
  <si>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</si>
  <si>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</si>
  <si>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</si>
  <si>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</si>
  <si>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</si>
  <si>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</si>
  <si>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</si>
  <si>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</si>
  <si>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</si>
  <si>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</si>
  <si>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</si>
  <si>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</si>
  <si>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</si>
  <si>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</si>
  <si>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</si>
  <si>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</si>
  <si>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</si>
  <si>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</si>
  <si>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</si>
  <si>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</si>
  <si>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</si>
  <si>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</si>
  <si>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</si>
  <si>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</si>
  <si>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</si>
  <si>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</si>
  <si>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</si>
  <si>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</si>
  <si>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</si>
  <si>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</si>
  <si>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</si>
  <si>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</si>
  <si>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</si>
  <si>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</si>
  <si>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</si>
  <si>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</si>
  <si>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</si>
  <si>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</si>
  <si>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</si>
  <si>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</si>
  <si>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</si>
  <si>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</si>
  <si>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</si>
  <si>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</si>
  <si>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</si>
  <si>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</si>
  <si>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</si>
  <si>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</si>
  <si>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</si>
  <si>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</si>
  <si>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</si>
  <si>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</si>
  <si>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</si>
  <si>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</si>
  <si>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</si>
  <si>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</si>
  <si>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</si>
  <si>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</si>
  <si>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</si>
  <si>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</si>
  <si>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</si>
  <si>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</si>
  <si>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</si>
  <si>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</si>
  <si>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</si>
  <si>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</si>
  <si>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</si>
  <si>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</si>
  <si>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</si>
  <si>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</si>
  <si>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</si>
  <si>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</si>
  <si>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</si>
  <si>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</si>
  <si>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</si>
  <si>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</si>
  <si>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</si>
  <si>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</si>
  <si>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</si>
  <si>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</si>
  <si>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</si>
  <si>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</si>
  <si>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</si>
  <si>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</si>
  <si>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</si>
  <si>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</si>
  <si>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</si>
  <si>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</si>
  <si>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</si>
  <si>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</si>
  <si>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</si>
  <si>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</si>
  <si>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</si>
  <si>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</si>
  <si>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</si>
  <si>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</si>
  <si>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</si>
  <si>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</si>
  <si>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</si>
  <si>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</si>
  <si>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</si>
  <si>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</si>
  <si>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</si>
  <si>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</si>
  <si>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</si>
  <si>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</si>
  <si>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</si>
  <si>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</si>
  <si>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</si>
  <si>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</si>
  <si>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</si>
  <si>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</si>
  <si>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</si>
  <si>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</si>
  <si>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</si>
  <si>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</si>
  <si>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</si>
  <si>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</si>
  <si>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</si>
  <si>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</si>
  <si>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</si>
  <si>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</si>
  <si>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</si>
  <si>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</si>
  <si>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</si>
  <si>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</si>
  <si>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</si>
  <si>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</si>
  <si>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</si>
  <si>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</si>
  <si>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</si>
  <si>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</si>
  <si>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</si>
  <si>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</si>
  <si>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</si>
  <si>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</si>
  <si>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</si>
  <si>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</si>
  <si>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</si>
  <si>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</si>
  <si>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</si>
  <si>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</si>
  <si>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</si>
  <si>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</si>
  <si>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</si>
  <si>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</si>
  <si>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</si>
  <si>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</si>
  <si>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</si>
  <si>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</si>
  <si>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</si>
  <si>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</si>
  <si>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</si>
  <si>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</si>
  <si>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</si>
  <si>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</si>
  <si>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</si>
  <si>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</si>
  <si>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</si>
  <si>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</si>
  <si>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</si>
  <si>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</si>
  <si>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</si>
  <si>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</si>
  <si>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</si>
  <si>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</si>
  <si>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</si>
  <si>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</si>
  <si>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</si>
  <si>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</si>
  <si>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</si>
  <si>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</si>
  <si>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</si>
  <si>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</si>
  <si>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</si>
  <si>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</si>
  <si>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</si>
  <si>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</si>
  <si>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</si>
  <si>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</si>
  <si>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</si>
  <si>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</si>
  <si>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</si>
  <si>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</si>
  <si>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</si>
  <si>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</si>
  <si>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</si>
  <si>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</si>
  <si>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</si>
  <si>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</si>
  <si>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</si>
  <si>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</si>
  <si>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</si>
  <si>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</si>
  <si>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</si>
  <si>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</si>
  <si>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</si>
  <si>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</si>
  <si>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</si>
  <si>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</si>
  <si>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</si>
  <si>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</si>
  <si>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</si>
  <si>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</si>
  <si>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</si>
  <si>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</si>
  <si>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</si>
  <si>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</si>
  <si>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</si>
  <si>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</si>
  <si>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</si>
  <si>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</si>
  <si>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</si>
  <si>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</si>
  <si>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</si>
  <si>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</si>
  <si>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</si>
  <si>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</si>
  <si>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</si>
  <si>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</si>
  <si>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</si>
  <si>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</si>
  <si>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</si>
  <si>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</si>
  <si>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</si>
  <si>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</si>
  <si>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</si>
  <si>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</si>
  <si>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</si>
  <si>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</si>
  <si>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</si>
  <si>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</si>
  <si>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</si>
  <si>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</si>
  <si>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</si>
  <si>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</si>
  <si>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</si>
  <si>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</si>
  <si>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</si>
  <si>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</si>
  <si>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</si>
  <si>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</si>
  <si>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</si>
  <si>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</si>
  <si>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</si>
  <si>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</si>
  <si>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</si>
  <si>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</si>
  <si>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</si>
  <si>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</si>
  <si>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</si>
  <si>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</si>
  <si>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</si>
  <si>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</si>
  <si>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</si>
  <si>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</si>
  <si>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</si>
  <si>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</si>
  <si>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</si>
  <si>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</si>
  <si>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</si>
  <si>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</si>
  <si>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</si>
  <si>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</si>
  <si>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</si>
  <si>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</si>
  <si>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</si>
  <si>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</si>
  <si>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</si>
  <si>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</si>
  <si>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</si>
  <si>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</si>
  <si>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</si>
  <si>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</si>
  <si>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</si>
  <si>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</si>
  <si>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</si>
  <si>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</si>
  <si>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</si>
  <si>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</si>
  <si>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</si>
  <si>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</si>
  <si>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</si>
  <si>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</si>
  <si>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</si>
  <si>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</si>
  <si>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</si>
  <si>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</si>
  <si>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</si>
  <si>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</si>
  <si>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</si>
  <si>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</si>
  <si>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</si>
  <si>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</si>
  <si>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</si>
  <si>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</si>
  <si>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</si>
  <si>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</si>
  <si>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</si>
  <si>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</si>
  <si>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</si>
  <si>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</si>
  <si>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</si>
  <si>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</si>
  <si>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</si>
  <si>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</si>
  <si>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</si>
  <si>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</si>
  <si>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</si>
  <si>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</si>
  <si>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</si>
  <si>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</si>
  <si>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</si>
  <si>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</si>
  <si>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</si>
  <si>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</si>
  <si>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</si>
  <si>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</si>
  <si>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</si>
  <si>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</si>
  <si>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</si>
  <si>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</si>
  <si>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</si>
  <si>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</si>
  <si>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</si>
  <si>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</si>
  <si>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</si>
  <si>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</si>
  <si>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</si>
  <si>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</si>
  <si>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</si>
  <si>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</si>
  <si>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</si>
  <si>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</si>
  <si>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</si>
  <si>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</si>
  <si>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</si>
  <si>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</si>
  <si>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</si>
  <si>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</si>
  <si>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</si>
  <si>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</si>
  <si>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</si>
  <si>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</si>
  <si>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</si>
  <si>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</si>
  <si>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</si>
  <si>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</si>
  <si>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</si>
  <si>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</si>
  <si>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</si>
  <si>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</si>
  <si>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</si>
  <si>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</si>
  <si>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</si>
  <si>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</si>
  <si>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</si>
  <si>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</si>
  <si>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</si>
  <si>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</si>
  <si>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</si>
  <si>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</si>
  <si>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</si>
  <si>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</si>
  <si>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</si>
  <si>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</si>
  <si>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</si>
  <si>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</si>
  <si>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</si>
  <si>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</si>
  <si>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</si>
  <si>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</si>
  <si>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</si>
  <si>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</si>
  <si>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</si>
  <si>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</si>
  <si>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</si>
  <si>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</si>
  <si>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</si>
  <si>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</si>
  <si>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</si>
  <si>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</si>
  <si>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</si>
  <si>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</si>
  <si>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</si>
  <si>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</si>
  <si>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</si>
  <si>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</si>
  <si>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</si>
  <si>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</si>
  <si>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</si>
  <si>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</si>
  <si>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</si>
  <si>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</si>
  <si>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</si>
  <si>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</si>
  <si>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</si>
  <si>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</si>
  <si>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</si>
  <si>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</si>
  <si>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</si>
  <si>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</si>
  <si>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</si>
  <si>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</si>
  <si>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</si>
  <si>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</si>
  <si>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</si>
  <si>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</si>
  <si>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</si>
  <si>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</si>
  <si>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</si>
  <si>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</si>
  <si>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</si>
  <si>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</si>
  <si>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</si>
  <si>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</si>
  <si>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</si>
  <si>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</si>
  <si>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</si>
  <si>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</si>
  <si>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</si>
  <si>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</si>
  <si>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</si>
  <si>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</si>
  <si>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</si>
  <si>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</si>
  <si>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</si>
  <si>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</si>
  <si>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</si>
  <si>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</si>
  <si>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</si>
  <si>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</si>
  <si>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</si>
  <si>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</si>
  <si>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</si>
  <si>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</si>
  <si>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</si>
  <si>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</si>
  <si>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</si>
  <si>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</si>
  <si>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</si>
  <si>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</si>
  <si>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</si>
  <si>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</si>
  <si>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</si>
  <si>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</si>
  <si>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</si>
  <si>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</si>
  <si>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</si>
  <si>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</si>
  <si>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</si>
  <si>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</si>
  <si>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</si>
  <si>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</si>
  <si>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</si>
  <si>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</si>
  <si>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</si>
  <si>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</si>
  <si>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</si>
  <si>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</si>
  <si>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</si>
  <si>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</si>
  <si>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</si>
  <si>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</si>
  <si>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</si>
  <si>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</si>
  <si>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</si>
  <si>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</si>
  <si>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</si>
  <si>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</si>
  <si>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</si>
  <si>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</si>
  <si>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</si>
  <si>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</si>
  <si>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</si>
  <si>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</si>
  <si>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</si>
  <si>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</si>
  <si>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</si>
  <si>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</si>
  <si>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</si>
  <si>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</si>
  <si>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</si>
  <si>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</si>
  <si>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</si>
  <si>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</si>
  <si>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</si>
  <si>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</si>
  <si>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</si>
  <si>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</si>
  <si>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</si>
  <si>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</si>
  <si>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</si>
  <si>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</si>
  <si>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</si>
  <si>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</si>
  <si>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</si>
  <si>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</si>
  <si>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</si>
  <si>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</si>
  <si>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</si>
  <si>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</si>
  <si>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</si>
  <si>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</si>
  <si>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</si>
  <si>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</si>
  <si>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</si>
  <si>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</si>
  <si>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</si>
  <si>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</si>
  <si>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</si>
  <si>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</si>
  <si>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</si>
  <si>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</si>
  <si>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</si>
  <si>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</si>
  <si>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</si>
  <si>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</si>
  <si>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</si>
  <si>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</si>
  <si>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</si>
  <si>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</si>
  <si>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</si>
  <si>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</si>
  <si>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</si>
  <si>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</si>
  <si>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</si>
  <si>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</si>
  <si>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</si>
  <si>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</si>
  <si>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</si>
  <si>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</si>
  <si>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</si>
  <si>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</si>
  <si>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</si>
  <si>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</si>
  <si>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</si>
  <si>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</si>
  <si>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</si>
  <si>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</si>
  <si>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</si>
  <si>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</si>
  <si>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</si>
  <si>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</si>
  <si>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</si>
  <si>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</si>
  <si>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</si>
  <si>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</si>
  <si>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</si>
  <si>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</si>
  <si>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</si>
  <si>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</si>
  <si>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</si>
  <si>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</si>
  <si>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</si>
  <si>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</si>
  <si>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</si>
  <si>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</si>
  <si>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</si>
  <si>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</si>
  <si>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</si>
  <si>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</si>
  <si>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</si>
  <si>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</si>
  <si>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</si>
  <si>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</si>
  <si>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</si>
  <si>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</si>
  <si>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</si>
  <si>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</si>
  <si>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</si>
  <si>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</si>
  <si>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</si>
  <si>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</si>
  <si>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</si>
  <si>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</si>
  <si>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</si>
  <si>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</si>
  <si>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</si>
  <si>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</si>
  <si>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</si>
  <si>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</si>
  <si>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</si>
  <si>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</si>
  <si>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</si>
  <si>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</si>
  <si>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</si>
  <si>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</si>
  <si>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</si>
  <si>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</si>
  <si>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</si>
  <si>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</si>
  <si>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</si>
  <si>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</si>
  <si>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</si>
  <si>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</si>
  <si>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</si>
  <si>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</si>
  <si>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</si>
  <si>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</si>
  <si>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</si>
  <si>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</si>
  <si>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</si>
  <si>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</si>
  <si>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</si>
  <si>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</si>
  <si>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</si>
  <si>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</si>
  <si>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</si>
  <si>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</si>
  <si>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</si>
  <si>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</si>
  <si>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</si>
  <si>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</si>
  <si>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</si>
  <si>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</si>
  <si>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</si>
  <si>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</si>
  <si>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</si>
  <si>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</si>
  <si>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</si>
  <si>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</si>
  <si>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</si>
  <si>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</si>
  <si>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</si>
  <si>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</si>
  <si>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</si>
  <si>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</si>
  <si>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</si>
  <si>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</si>
  <si>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</si>
  <si>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</si>
  <si>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</si>
  <si>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</si>
  <si>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</si>
  <si>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</si>
  <si>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</si>
  <si>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</si>
  <si>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</si>
  <si>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</si>
  <si>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</si>
  <si>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</si>
  <si>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</si>
  <si>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</si>
  <si>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</si>
  <si>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</si>
  <si>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</si>
  <si>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</si>
  <si>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</si>
  <si>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</si>
  <si>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</si>
  <si>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</si>
  <si>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</si>
  <si>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</si>
  <si>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</si>
  <si>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</si>
  <si>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</si>
  <si>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</si>
  <si>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</si>
  <si>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</si>
  <si>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</si>
  <si>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</si>
  <si>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</si>
  <si>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</si>
  <si>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</si>
  <si>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</si>
  <si>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</si>
  <si>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</si>
  <si>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</si>
  <si>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</si>
  <si>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</si>
  <si>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</si>
  <si>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</si>
  <si>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</si>
  <si>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</si>
  <si>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</si>
  <si>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</si>
  <si>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</si>
  <si>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</si>
  <si>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</si>
  <si>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</si>
  <si>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</si>
  <si>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</si>
  <si>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</si>
  <si>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</si>
  <si>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</si>
  <si>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</si>
  <si>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</si>
  <si>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</si>
  <si>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</si>
  <si>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</si>
  <si>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</si>
  <si>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</si>
  <si>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</si>
  <si>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</si>
  <si>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</si>
  <si>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</si>
  <si>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</si>
  <si>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</si>
  <si>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</si>
  <si>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</si>
  <si>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</si>
  <si>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</si>
  <si>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</si>
  <si>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</si>
  <si>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</si>
  <si>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</si>
  <si>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</si>
  <si>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</si>
  <si>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</si>
  <si>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</si>
  <si>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</si>
  <si>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</si>
  <si>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</si>
  <si>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</si>
  <si>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</si>
  <si>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</si>
  <si>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</si>
  <si>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</si>
  <si>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</si>
  <si>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</si>
  <si>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</si>
  <si>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</si>
  <si>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</si>
  <si>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</si>
  <si>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</si>
  <si>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</si>
  <si>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</si>
  <si>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</si>
  <si>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</si>
  <si>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</si>
  <si>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</si>
  <si>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</si>
  <si>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</si>
  <si>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</si>
  <si>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</si>
  <si>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</si>
  <si>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</si>
  <si>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</si>
  <si>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</si>
  <si>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</si>
  <si>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</si>
  <si>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</si>
  <si>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</si>
  <si>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</si>
  <si>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</si>
  <si>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</si>
  <si>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</si>
  <si>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</si>
  <si>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</si>
  <si>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</si>
  <si>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</si>
  <si>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</si>
  <si>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</si>
  <si>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</si>
  <si>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</si>
  <si>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</si>
  <si>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</si>
  <si>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</si>
  <si>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</si>
  <si>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</si>
  <si>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</si>
  <si>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</si>
  <si>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</si>
  <si>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</si>
  <si>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</si>
  <si>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</si>
  <si>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</si>
  <si>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</si>
  <si>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</si>
  <si>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</si>
  <si>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</si>
  <si>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</si>
  <si>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</si>
  <si>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</si>
  <si>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</si>
  <si>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</si>
  <si>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</si>
  <si>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</si>
  <si>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</si>
  <si>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</si>
  <si>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</si>
  <si>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</si>
  <si>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</si>
  <si>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</si>
  <si>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</si>
  <si>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</si>
  <si>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</si>
  <si>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</si>
  <si>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</si>
  <si>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</si>
  <si>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</si>
  <si>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</si>
  <si>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</si>
  <si>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</si>
  <si>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</si>
  <si>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</si>
  <si>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</si>
  <si>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</si>
  <si>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</si>
  <si>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</si>
  <si>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</si>
  <si>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</si>
  <si>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</si>
  <si>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</si>
  <si>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</si>
  <si>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</si>
  <si>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</si>
  <si>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</si>
  <si>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</si>
  <si>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</si>
  <si>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</si>
  <si>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</si>
  <si>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</si>
  <si>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</si>
  <si>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</si>
  <si>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</si>
  <si>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</si>
  <si>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</si>
  <si>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</si>
  <si>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</si>
  <si>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</si>
  <si>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</si>
  <si>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</si>
  <si>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</si>
  <si>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</si>
  <si>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</si>
  <si>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</si>
  <si>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</si>
  <si>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</si>
  <si>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</si>
  <si>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</si>
  <si>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</si>
  <si>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</si>
  <si>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</si>
  <si>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</si>
  <si>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</si>
  <si>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</si>
  <si>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</si>
  <si>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</si>
  <si>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</si>
  <si>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</si>
  <si>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</si>
  <si>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</si>
  <si>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</si>
  <si>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</si>
  <si>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</si>
  <si>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</si>
  <si>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</si>
  <si>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</si>
  <si>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</si>
  <si>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</si>
  <si>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Miscellaneous Receipts:</t>
  </si>
  <si>
    <t xml:space="preserve">      Fines, Penalties and Forfeitures</t>
  </si>
  <si>
    <t xml:space="preserve">      Interest Earnings</t>
  </si>
  <si>
    <t xml:space="preserve">        Medical Care</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</si>
  <si>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</si>
  <si>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</si>
  <si>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</si>
  <si>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</si>
  <si>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</si>
  <si>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</si>
  <si>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</si>
  <si>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</si>
  <si>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</si>
  <si>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Receipts from Municipalities</t>
  </si>
  <si>
    <t xml:space="preserve">      Rentals</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</si>
  <si>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</si>
  <si>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</si>
  <si>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</si>
  <si>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</si>
  <si>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</si>
  <si>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</si>
  <si>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</si>
  <si>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</si>
  <si>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</si>
  <si>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</si>
  <si>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</si>
  <si>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</si>
  <si>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</si>
  <si>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</si>
  <si>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</si>
  <si>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</si>
  <si>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</si>
  <si>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</si>
  <si>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</si>
  <si>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</si>
  <si>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</si>
  <si>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</si>
  <si>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</si>
  <si>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</si>
  <si>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</si>
  <si>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</si>
  <si>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</si>
  <si>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</si>
  <si>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</si>
  <si>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</si>
  <si>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</si>
  <si>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</si>
  <si>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</si>
  <si>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</si>
  <si>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</si>
  <si>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</si>
  <si>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</si>
  <si>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</si>
  <si>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</si>
  <si>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</si>
  <si>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</si>
  <si>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</si>
  <si>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</si>
  <si>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</si>
  <si>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</si>
  <si>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</si>
  <si>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</si>
  <si>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</si>
  <si>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</si>
  <si>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</si>
  <si>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</si>
  <si>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</si>
  <si>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</si>
  <si>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</si>
  <si>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</si>
  <si>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</si>
  <si>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</si>
  <si>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</si>
  <si>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</si>
  <si>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</si>
  <si>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</si>
  <si>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</si>
  <si>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</si>
  <si>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</si>
  <si>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</si>
  <si>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</si>
  <si>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</si>
  <si>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</si>
  <si>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</si>
  <si>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</si>
  <si>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</si>
  <si>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</si>
  <si>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</si>
  <si>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</si>
  <si>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</si>
  <si>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</si>
  <si>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</si>
  <si>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for patients residing in State-Operated Health, Mental Hygiene and State University facilities.</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</si>
  <si>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</si>
  <si>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</si>
  <si>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</si>
  <si>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</si>
  <si>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</si>
  <si>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</si>
  <si>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</si>
  <si>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</si>
  <si>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</si>
  <si>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</si>
  <si>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</si>
  <si>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</si>
  <si>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</si>
  <si>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</si>
  <si>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</si>
  <si>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</si>
  <si>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</si>
  <si>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</si>
  <si>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</si>
  <si>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</si>
  <si>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</si>
  <si>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</si>
  <si>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</si>
  <si>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</si>
  <si>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</si>
  <si>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</si>
  <si>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</si>
  <si>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</si>
  <si>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</si>
  <si>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</si>
  <si>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</si>
  <si>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</si>
  <si>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</si>
  <si>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</si>
  <si>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</si>
  <si>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</si>
  <si>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</si>
  <si>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</si>
  <si>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</si>
  <si>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</si>
  <si>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</si>
  <si>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</si>
  <si>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</si>
  <si>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</si>
  <si>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</si>
  <si>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</si>
  <si>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</si>
  <si>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</si>
  <si>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</si>
  <si>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</si>
  <si>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</si>
  <si>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</si>
  <si>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</si>
  <si>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</si>
  <si>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</si>
  <si>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</si>
  <si>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</si>
  <si>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</si>
  <si>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</si>
  <si>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</si>
  <si>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</si>
  <si>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</si>
  <si>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</si>
  <si>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</si>
  <si>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</si>
  <si>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</si>
  <si>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</si>
  <si>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</si>
  <si>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</si>
  <si>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</si>
  <si>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</si>
  <si>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</si>
  <si>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</si>
  <si>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</si>
  <si>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</si>
  <si>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</si>
  <si>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</si>
  <si>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</si>
  <si>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</si>
  <si>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</si>
  <si>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</si>
  <si>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</si>
  <si>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</si>
  <si>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</si>
  <si>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</si>
  <si>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</si>
  <si>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</si>
  <si>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</si>
  <si>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</si>
  <si>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</si>
  <si>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</si>
  <si>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</si>
  <si>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</si>
  <si>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</si>
  <si>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</si>
  <si>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</si>
  <si>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</si>
  <si>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</si>
  <si>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</si>
  <si>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</si>
  <si>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DEBT ISSUED</t>
  </si>
  <si>
    <t xml:space="preserve">      Allocation of Month-End Balances </t>
  </si>
  <si>
    <t xml:space="preserve">Special Revenue - Federal  </t>
  </si>
  <si>
    <t xml:space="preserve">At month end, the following balances remained in agency escrow accounts.  For accounting purposes, </t>
  </si>
  <si>
    <t xml:space="preserve">adjustments have been made to reduce medical assistance spending and count these monies as financial    </t>
  </si>
  <si>
    <t>Banking Services Account</t>
  </si>
  <si>
    <t>A portion of Personal Income Tax receipts is transferred to the State Special Revenue School Tax Relief (STAR)</t>
  </si>
  <si>
    <t>Fund to be used to reimburse school districts for the STAR property tax exemptions for homeowners and payments</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</si>
  <si>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</si>
  <si>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</si>
  <si>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</si>
  <si>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</si>
  <si>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</si>
  <si>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AUDIT, COLLECTION, AND ENFORCEMENT PROGRAM</t>
  </si>
  <si>
    <t xml:space="preserve">     CIGARETTE STRIKE TASK FORCE</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</si>
  <si>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</si>
  <si>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</si>
  <si>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</si>
  <si>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</si>
  <si>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</si>
  <si>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</si>
  <si>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</si>
  <si>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</si>
  <si>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</si>
  <si>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</si>
  <si>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</si>
  <si>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</si>
  <si>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</si>
  <si>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Municipal Restructuring</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</si>
  <si>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</si>
  <si>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</si>
  <si>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</si>
  <si>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</si>
  <si>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</si>
  <si>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</si>
  <si>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</si>
  <si>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</si>
  <si>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</si>
  <si>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</si>
  <si>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</si>
  <si>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</si>
  <si>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</si>
  <si>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</si>
  <si>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</si>
  <si>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</si>
  <si>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</si>
  <si>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TOTAL APPROPRIATED AMOUNT</t>
  </si>
  <si>
    <t xml:space="preserve">         Consolidated Service Contract Refunding</t>
  </si>
  <si>
    <t xml:space="preserve">         DASNY Revenue Bond</t>
  </si>
  <si>
    <t xml:space="preserve">         State Department of Education Facilities</t>
  </si>
  <si>
    <t xml:space="preserve">         SUNY Community Colleges</t>
  </si>
  <si>
    <t xml:space="preserve">         SUNY Educational Facilities</t>
  </si>
  <si>
    <t xml:space="preserve">     Local Government Assistance Corporation</t>
  </si>
  <si>
    <t xml:space="preserve">         Center for Industrial Innovation at RPI</t>
  </si>
  <si>
    <t xml:space="preserve">         State Facilities and Equipment</t>
  </si>
  <si>
    <t xml:space="preserve">         Syracuse University Science and</t>
  </si>
  <si>
    <t xml:space="preserve">         Medical Marijuana </t>
  </si>
  <si>
    <t xml:space="preserve">  Environmental Quality (1972):</t>
  </si>
  <si>
    <t xml:space="preserve">           Land Acquisition/Development/Restoration/Forests</t>
  </si>
  <si>
    <t>STATE FISCAL YEAR ENDED MARCH 31, 2017</t>
  </si>
  <si>
    <t>FISCAL YEAR 2016-17</t>
  </si>
  <si>
    <t>FISCAL YEAR ENDED MARCH 31, 2017</t>
  </si>
  <si>
    <t>APR. 1, 2016</t>
  </si>
  <si>
    <t>FISCAL YEAR 2016-2017</t>
  </si>
  <si>
    <t xml:space="preserve">FISCAL YEAR 2016-17       </t>
  </si>
  <si>
    <t>2016-17</t>
  </si>
  <si>
    <t>IT CAPITAL FINANCING ACCT</t>
  </si>
  <si>
    <t>HEALTH-SPARC'S</t>
  </si>
  <si>
    <t>26001-26049</t>
  </si>
  <si>
    <t xml:space="preserve">FISCAL YEAR 2016-2017    </t>
  </si>
  <si>
    <t xml:space="preserve">FISCAL YEAR 2016-2017  </t>
  </si>
  <si>
    <t>(**)   Pursuant to Chapter 54, Laws of 2016-17, Part UU</t>
  </si>
  <si>
    <t>(2)</t>
  </si>
  <si>
    <t>THRUWAY AUTHORITY ACCT</t>
  </si>
  <si>
    <t>The balances reported here in Appendix F are the actual fund balances as of the close of business on the last day of the reporting month and do not include post-closing adjustments.</t>
  </si>
  <si>
    <t>Temporary Loans are authorized pursuant to Subdivision 5 of Section 4 of the State Finance Law and Chapter 54, Part UU, Section 1, of the Laws of 2016-17.</t>
  </si>
  <si>
    <t>REVENUE, PROCESSING &amp; RECONCILIATION</t>
  </si>
  <si>
    <t xml:space="preserve">     REVENUE, PROCESSING &amp; RECONCILIATION</t>
  </si>
  <si>
    <t xml:space="preserve">(*) Includes amounts appropriated in SFY 2016-17, as well as prior year appropriations that were reappropriated. </t>
  </si>
  <si>
    <t xml:space="preserve">State bond and note proceeds </t>
  </si>
  <si>
    <t xml:space="preserve">      Resiliency, Mitigation, Security and Emergency Response</t>
  </si>
  <si>
    <t>Eliminations</t>
  </si>
  <si>
    <t>Environmental Protection Fund</t>
  </si>
  <si>
    <t>MTA Operating Assistance Fund</t>
  </si>
  <si>
    <t>Mental Hygiene Program Fund</t>
  </si>
  <si>
    <t>Mental Hygiene Patient Income Account</t>
  </si>
  <si>
    <t>Federal Dept of Health &amp; Human Services Fund</t>
  </si>
  <si>
    <t>2016-2017</t>
  </si>
  <si>
    <t>Dedicated Infrastructure Investment Fund</t>
  </si>
  <si>
    <t xml:space="preserve">  Debt Service, Including Payments on  </t>
  </si>
  <si>
    <t xml:space="preserve">COMPARATIVE SCHEDULE OF TAX RECEIPTS    </t>
  </si>
  <si>
    <t xml:space="preserve">(Amounts in millions)        </t>
  </si>
  <si>
    <t>Unemployment Insurance Administration Fund</t>
  </si>
  <si>
    <t>Dedicated Highway &amp; Bridge Trust Fund</t>
  </si>
  <si>
    <t>Dedicated Mass Transportation - Railroad Account</t>
  </si>
  <si>
    <t>Dedicated Mass Transportation - Transit Authority Account</t>
  </si>
  <si>
    <t>Dedicated Mass Transportation (Non-MTA)</t>
  </si>
  <si>
    <t xml:space="preserve">  Medical Marihuana</t>
  </si>
  <si>
    <t xml:space="preserve">  23800-23899-Dedicated Miscellaneous State Special Revenue</t>
  </si>
  <si>
    <t>APRIL - JUNE</t>
  </si>
  <si>
    <t>1st Quarter</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</si>
  <si>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</si>
  <si>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</si>
  <si>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</si>
  <si>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STATE OPERATING FUNDS (***)</t>
  </si>
  <si>
    <t>(****)</t>
  </si>
  <si>
    <t xml:space="preserve">(***)    Includes transfers to the Department of Health Income Fund, the State University Income Fund and the Mental Hygiene Program Account representing payments </t>
  </si>
  <si>
    <t xml:space="preserve">  Transfers from Other Funds(***)</t>
  </si>
  <si>
    <t xml:space="preserve">  Transfers to Other Funds(***)</t>
  </si>
  <si>
    <t>SUNY - Hospital IFR</t>
  </si>
  <si>
    <t xml:space="preserve"> Plan (**)</t>
  </si>
  <si>
    <t>(*)  Intra-Fund transfer eliminations represent transfers from Capital Projects- State and Federal Funds.</t>
  </si>
  <si>
    <t>Hazardous Waste Remediation Oversight and Assistance Account</t>
  </si>
  <si>
    <t>April - June</t>
  </si>
  <si>
    <t>EMPIRE PLAZA GIFT SHOP</t>
  </si>
  <si>
    <t xml:space="preserve">      Information Technology/infrastructure for Behavioral Sciences</t>
  </si>
  <si>
    <t>Housing Debt Service Fund</t>
  </si>
  <si>
    <t xml:space="preserve">      Transportation Capital Plan</t>
  </si>
  <si>
    <t>Certificate of Need Account</t>
  </si>
  <si>
    <t>Dept of Labor - Fee &amp; Penalty Account</t>
  </si>
  <si>
    <t xml:space="preserve">Unemployment Insurance - Interest &amp; Penalty Account  </t>
  </si>
  <si>
    <t>Exhibit I Federal</t>
  </si>
  <si>
    <t>NEIGHBOR WORK PROJECT</t>
  </si>
  <si>
    <t>LAKE GEORGE PARK TRUST FUND</t>
  </si>
  <si>
    <t>Medicaid Recoveries - Audit</t>
  </si>
  <si>
    <t xml:space="preserve">SCHEDULE OF MONTH-END TEMPORARY LOANS OUTSTANDING(*)    </t>
  </si>
  <si>
    <t>Financial Crimes Revenue Account</t>
  </si>
  <si>
    <t>Transportation Surplus Property Account</t>
  </si>
  <si>
    <t>Professional Education Services Account</t>
  </si>
  <si>
    <t>Vital Records Management Fund</t>
  </si>
  <si>
    <t>2nd Quarter</t>
  </si>
  <si>
    <t>JULY - SEPTEMBER</t>
  </si>
  <si>
    <t>Examination &amp; Miscellaneous Revenue Account</t>
  </si>
  <si>
    <t>July - September</t>
  </si>
  <si>
    <t>(*)     Source:  2016-17 Enacted Budget dated May 13, 2016.</t>
  </si>
  <si>
    <r>
      <t>General Fund</t>
    </r>
    <r>
      <rPr>
        <b/>
        <sz val="9"/>
        <rFont val="Arial"/>
        <family val="2"/>
      </rPr>
      <t xml:space="preserve">  </t>
    </r>
    <r>
      <rPr>
        <sz val="9"/>
        <rFont val="Arial"/>
        <family val="2"/>
      </rPr>
      <t>“Transfers to Other Funds” are as follows:</t>
    </r>
  </si>
  <si>
    <t>Training and Education Program on OSH Fund</t>
  </si>
  <si>
    <t>Indigent Legal Services Fund</t>
  </si>
  <si>
    <t>Federal USDA/Food &amp; Nutrition Services Fund</t>
  </si>
  <si>
    <t>(*)      Intra-Fund transfer eliminations represent transfers between Special Revenue-State and Federal Funds.</t>
  </si>
  <si>
    <t>Exhibit A Notes</t>
  </si>
  <si>
    <r>
      <t xml:space="preserve">(*)    Fund created pursuant to Chapter 60, Laws of 2015-16, Part H and SFL  </t>
    </r>
    <r>
      <rPr>
        <sz val="12"/>
        <rFont val="Agency FB"/>
        <family val="2"/>
      </rPr>
      <t>§</t>
    </r>
    <r>
      <rPr>
        <sz val="12"/>
        <rFont val="Arial"/>
        <family val="2"/>
      </rPr>
      <t xml:space="preserve"> 93-b</t>
    </r>
  </si>
  <si>
    <t>Charter School Stimulus Fund</t>
  </si>
  <si>
    <t>Spinal Cord Injury Account</t>
  </si>
  <si>
    <t>Federal Education Fund</t>
  </si>
  <si>
    <t>Medical Marihuana Health Operation and Oversight</t>
  </si>
  <si>
    <t>Housing Program Fund</t>
  </si>
  <si>
    <t>Miscellaneous other Special Revenue Funds</t>
  </si>
  <si>
    <t xml:space="preserve">          Abandoned Property</t>
  </si>
  <si>
    <t xml:space="preserve">          Bottle Bill</t>
  </si>
  <si>
    <t xml:space="preserve">          Business </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</si>
  <si>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</si>
  <si>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</si>
  <si>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</si>
  <si>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</si>
  <si>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</si>
  <si>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</si>
  <si>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</si>
  <si>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</si>
  <si>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</si>
  <si>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</si>
  <si>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</si>
  <si>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</si>
  <si>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</si>
  <si>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</si>
  <si>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Rebates</t>
  </si>
  <si>
    <t xml:space="preserve">          Restitution and Settlements</t>
  </si>
  <si>
    <t xml:space="preserve">          Student Loans</t>
  </si>
  <si>
    <t xml:space="preserve">          All Other</t>
  </si>
  <si>
    <t xml:space="preserve">          Motor Vehicle</t>
  </si>
  <si>
    <t xml:space="preserve">          Recreational/Consumer</t>
  </si>
  <si>
    <t xml:space="preserve">          Business</t>
  </si>
  <si>
    <t xml:space="preserve">          Audit Fees</t>
  </si>
  <si>
    <t xml:space="preserve">          Casino</t>
  </si>
  <si>
    <t xml:space="preserve">          Lottery</t>
  </si>
  <si>
    <t xml:space="preserve">          Video Lottery</t>
  </si>
  <si>
    <t xml:space="preserve">          Bond Proceeds</t>
  </si>
  <si>
    <t xml:space="preserve">          Patient/Client Care Reimbursement</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</si>
  <si>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</si>
  <si>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</si>
  <si>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</si>
  <si>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</si>
  <si>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</si>
  <si>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</si>
  <si>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</si>
  <si>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Business</t>
  </si>
  <si>
    <t xml:space="preserve">         Medical Care</t>
  </si>
  <si>
    <t xml:space="preserve">         Public Utilities</t>
  </si>
  <si>
    <t xml:space="preserve">         Other</t>
  </si>
  <si>
    <t xml:space="preserve">         Abandoned Property</t>
  </si>
  <si>
    <t xml:space="preserve">         Bottle Bill</t>
  </si>
  <si>
    <t xml:space="preserve">Summary of Off-Budget Spending Report  </t>
  </si>
  <si>
    <t>Federal Employment &amp; Training Grants</t>
  </si>
  <si>
    <t>and Miscellaneous State Special Revenue Fund ($8.3m).</t>
  </si>
  <si>
    <t>Miscellaneous State Special Revenue Fund ($0.5m).</t>
  </si>
  <si>
    <r>
      <t>Special Revenue Funds</t>
    </r>
    <r>
      <rPr>
        <sz val="9"/>
        <rFont val="Arial"/>
        <family val="2"/>
      </rPr>
      <t xml:space="preserve">  “Transfers To Other Funds” includes transfers to Mental Health Services Fund </t>
    </r>
  </si>
  <si>
    <t>System Escrow Fund ($10.3m).</t>
  </si>
  <si>
    <t xml:space="preserve">for patients residing in State-operated Health and Mental Hygiene facilities, the General Debt Service Fund ($11.9m), </t>
  </si>
  <si>
    <t xml:space="preserve">     DASNY- MOE/Recast Receivables</t>
  </si>
  <si>
    <t>January 31, 2017</t>
  </si>
  <si>
    <t>JAN. 2017</t>
  </si>
  <si>
    <t>10 MOS. ENDED</t>
  </si>
  <si>
    <t>JAN. 31, 2017</t>
  </si>
  <si>
    <t>JAN. 2016</t>
  </si>
  <si>
    <t>JAN. 31, 2016</t>
  </si>
  <si>
    <t>FOR TEN MONTHS ENDED JANUARY 31, 2017</t>
  </si>
  <si>
    <t>Fund Balances (Deficits) at January 31, 2017</t>
  </si>
  <si>
    <t>(**)    Source:  2017-18 Executive Budget dated January 17, 2017.</t>
  </si>
  <si>
    <t>10 Months Ended January 31</t>
  </si>
  <si>
    <t xml:space="preserve">                                  10 Months Ended January 31</t>
  </si>
  <si>
    <t xml:space="preserve">FOR THE TEN MONTHS ENDED JANUARY 31, 2017      </t>
  </si>
  <si>
    <t>10 MONTHS ENDED JANUARY 31</t>
  </si>
  <si>
    <t>10 MONTHS ENDED</t>
  </si>
  <si>
    <t>JANUARY 31, 2017</t>
  </si>
  <si>
    <t>FOR THE MONTH OF JANUARY 2017</t>
  </si>
  <si>
    <t>JANUARY 1, 2017</t>
  </si>
  <si>
    <t>January 2017</t>
  </si>
  <si>
    <t xml:space="preserve">the current fiscal quarter.  As of January 31, 2017 - pursuant to a certification of the Budget Director - </t>
  </si>
  <si>
    <t>the reserve amount is ($343.4m), which was funded by a transfer from the General Fund.</t>
  </si>
  <si>
    <t>State Police Motor Vehicle Law Enforcement</t>
  </si>
  <si>
    <t>HESC Insurance Premium Account</t>
  </si>
  <si>
    <t>Workers Compensation Board Account</t>
  </si>
  <si>
    <t>Public Service Account</t>
  </si>
  <si>
    <t>Admin Adjudication Account</t>
  </si>
  <si>
    <t>System and Technology Account</t>
  </si>
  <si>
    <t>Patron Services Account</t>
  </si>
  <si>
    <t>Clean Air Fund</t>
  </si>
  <si>
    <t>ENCON Special Revenue Fund</t>
  </si>
  <si>
    <t>State Lottery Fund</t>
  </si>
  <si>
    <t xml:space="preserve">the General Debt Service Fund - Lease Purchase ($306.1m), the Revenue Bond Tax Fund ($191.2m) </t>
  </si>
  <si>
    <t>as of January 31, 2017.</t>
  </si>
  <si>
    <t xml:space="preserve">to homeowners for the STAR Property Rebate Program.  School Tax Relief payments were ($2,895.1m) </t>
  </si>
  <si>
    <r>
      <t>Capital Projects Funds</t>
    </r>
    <r>
      <rPr>
        <sz val="9"/>
        <rFont val="Arial"/>
        <family val="2"/>
      </rPr>
      <t xml:space="preserve"> “Transfers To Other Funds” includes transfers to the General Fund ($20.7m), </t>
    </r>
  </si>
  <si>
    <t xml:space="preserve">      Affordable and Homeless Housing</t>
  </si>
  <si>
    <t>10 Months Ended</t>
  </si>
  <si>
    <t xml:space="preserve">FOR THE MONTH OF JANUARY 2017     </t>
  </si>
  <si>
    <t>JANUARY 2017</t>
  </si>
  <si>
    <t>JANUARY 2016</t>
  </si>
  <si>
    <t xml:space="preserve">As of January 31, 2017, $9,010,335.57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</si>
  <si>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Actual reported transfer amounts include eliminations between Special Revenue - State and Federal Funds.  The Financial Plan reported</t>
  </si>
  <si>
    <t xml:space="preserve">         transfer amounts do not include eliminations.</t>
  </si>
  <si>
    <t>State University Income Fund ($312.5m), the Mental Hygiene Program Fund ($1,040.9m) and</t>
  </si>
  <si>
    <t xml:space="preserve">operated Health, Mental Hygiene and State University facilities to Debt Service funds ($11.1m), the </t>
  </si>
  <si>
    <t xml:space="preserve">and Department of Health Income Fund ($1,018.2m) representing the federal share of Medicaid payments </t>
  </si>
  <si>
    <t xml:space="preserve">of Health ($124.4m) and Mental Hygiene ($909.4m). </t>
  </si>
  <si>
    <t>October - December</t>
  </si>
  <si>
    <t>January</t>
  </si>
  <si>
    <t>10 Months Ended
January 31, 2017 (**)</t>
  </si>
  <si>
    <t xml:space="preserve">  24950-24999-Interactive Fantasy Sports</t>
  </si>
  <si>
    <t>3rd  Quarter</t>
  </si>
  <si>
    <t>OCTOBER - DECEMBER</t>
  </si>
  <si>
    <t>3rd Quarter</t>
  </si>
  <si>
    <t xml:space="preserve">Community Projects Fund ($1.0m), Capital Projects funds ($118.4m) and Medicaid Management Information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</si>
</sst>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0.00000_);\(#,##0.00000\)"/>
  </numFmts>
  <fonts count="204">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2"/>
      <color indexed="8"/>
      <name val="SWISS"/>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9"/>
      <name val="Arial"/>
      <family val="2"/>
    </font>
    <font>
      <sz val="7.5"/>
      <name val="Arial"/>
      <family val="2"/>
    </font>
    <font>
      <b/>
      <sz val="9"/>
      <name val="Arial"/>
      <family val="2"/>
    </font>
    <font>
      <sz val="9"/>
      <name val="Times New Roman"/>
      <family val="1"/>
    </font>
    <font>
      <sz val="12"/>
      <name val="Times New Roman"/>
      <family val="1"/>
    </font>
    <font>
      <b/>
      <sz val="12"/>
      <name val="Arial"/>
      <family val="2"/>
    </font>
    <font>
      <sz val="12"/>
      <color theme="0"/>
      <name val="Arial"/>
      <family val="2"/>
    </font>
    <font>
      <sz val="12"/>
      <name val="Arial"/>
      <family val="2"/>
    </font>
    <font>
      <b/>
      <sz val="12"/>
      <name val="Arial"/>
      <family val="2"/>
    </font>
    <font>
      <sz val="11"/>
      <name val="Arial"/>
      <family val="2"/>
    </font>
    <font>
      <sz val="7.5"/>
      <name val="Arial"/>
      <family val="2"/>
    </font>
    <font>
      <sz val="9"/>
      <name val="Arial"/>
      <family val="2"/>
    </font>
    <font>
      <sz val="9"/>
      <name val="Arial"/>
      <family val="2"/>
    </font>
    <font>
      <b/>
      <u/>
      <sz val="13"/>
      <name val="Arial"/>
      <family val="2"/>
    </font>
    <font>
      <sz val="9"/>
      <name val="Arial"/>
      <family val="2"/>
    </font>
    <font>
      <sz val="10"/>
      <name val="Arial"/>
      <family val="2"/>
    </font>
    <font>
      <sz val="9"/>
      <name val="Arial"/>
      <family val="2"/>
    </font>
    <font>
      <sz val="12"/>
      <name val="Agency FB"/>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64"/>
      </top>
      <bottom style="thin">
        <color auto="1"/>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29" fillId="6" borderId="4" applyNumberFormat="0" applyAlignment="0" applyProtection="0"/>
    <xf numFmtId="0" fontId="118" fillId="48" borderId="59" applyNumberFormat="0" applyAlignment="0" applyProtection="0"/>
    <xf numFmtId="0" fontId="118" fillId="48" borderId="59" applyNumberFormat="0" applyAlignment="0" applyProtection="0"/>
    <xf numFmtId="0" fontId="31" fillId="7" borderId="7" applyNumberFormat="0" applyAlignment="0" applyProtection="0"/>
    <xf numFmtId="0" fontId="114" fillId="49" borderId="60" applyNumberFormat="0" applyAlignment="0" applyProtection="0"/>
    <xf numFmtId="0" fontId="114" fillId="49" borderId="60" applyNumberFormat="0" applyAlignment="0" applyProtection="0"/>
    <xf numFmtId="0" fontId="33"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4" fillId="2"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21" fillId="0" borderId="1" applyNumberFormat="0" applyFill="0" applyAlignment="0" applyProtection="0"/>
    <xf numFmtId="0" fontId="121" fillId="0" borderId="61" applyNumberFormat="0" applyFill="0" applyAlignment="0" applyProtection="0"/>
    <xf numFmtId="0" fontId="121" fillId="0" borderId="61" applyNumberFormat="0" applyFill="0" applyAlignment="0" applyProtection="0"/>
    <xf numFmtId="0" fontId="22" fillId="0" borderId="2" applyNumberFormat="0" applyFill="0" applyAlignment="0" applyProtection="0"/>
    <xf numFmtId="0" fontId="122" fillId="0" borderId="62" applyNumberFormat="0" applyFill="0" applyAlignment="0" applyProtection="0"/>
    <xf numFmtId="0" fontId="122" fillId="0" borderId="62" applyNumberFormat="0" applyFill="0" applyAlignment="0" applyProtection="0"/>
    <xf numFmtId="0" fontId="23" fillId="0" borderId="3" applyNumberFormat="0" applyFill="0" applyAlignment="0" applyProtection="0"/>
    <xf numFmtId="0" fontId="123" fillId="0" borderId="63" applyNumberFormat="0" applyFill="0" applyAlignment="0" applyProtection="0"/>
    <xf numFmtId="0" fontId="123" fillId="0" borderId="63" applyNumberFormat="0" applyFill="0" applyAlignment="0" applyProtection="0"/>
    <xf numFmtId="0" fontId="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7" fillId="5" borderId="4" applyNumberFormat="0" applyAlignment="0" applyProtection="0"/>
    <xf numFmtId="0" fontId="124" fillId="51" borderId="59" applyNumberFormat="0" applyAlignment="0" applyProtection="0"/>
    <xf numFmtId="0" fontId="124" fillId="51" borderId="59" applyNumberFormat="0" applyAlignment="0" applyProtection="0"/>
    <xf numFmtId="0" fontId="30" fillId="0" borderId="6"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26" fillId="4" borderId="0" applyNumberFormat="0" applyBorder="0" applyAlignment="0" applyProtection="0"/>
    <xf numFmtId="0" fontId="126" fillId="52" borderId="0" applyNumberFormat="0" applyBorder="0" applyAlignment="0" applyProtection="0"/>
    <xf numFmtId="0" fontId="126" fillId="52" borderId="0" applyNumberFormat="0" applyBorder="0" applyAlignment="0" applyProtection="0"/>
    <xf numFmtId="0" fontId="19" fillId="0" borderId="0"/>
    <xf numFmtId="0" fontId="28" fillId="6" borderId="5" applyNumberFormat="0" applyAlignment="0" applyProtection="0"/>
    <xf numFmtId="0" fontId="127" fillId="48" borderId="65" applyNumberFormat="0" applyAlignment="0" applyProtection="0"/>
    <xf numFmtId="0" fontId="127" fillId="48" borderId="65" applyNumberFormat="0" applyAlignment="0" applyProtection="0"/>
    <xf numFmtId="0" fontId="20"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4" fillId="0" borderId="9" applyNumberFormat="0" applyFill="0" applyAlignment="0" applyProtection="0"/>
    <xf numFmtId="0" fontId="56" fillId="0" borderId="66" applyNumberFormat="0" applyFill="0" applyAlignment="0" applyProtection="0"/>
    <xf numFmtId="0" fontId="56" fillId="0" borderId="66" applyNumberFormat="0" applyFill="0" applyAlignment="0" applyProtection="0"/>
    <xf numFmtId="0" fontId="32"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47" fillId="0" borderId="0" applyNumberFormat="0" applyFill="0" applyBorder="0" applyAlignment="0" applyProtection="0">
      <alignment vertical="top"/>
      <protection locked="0"/>
    </xf>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6" fillId="0" borderId="0"/>
    <xf numFmtId="0" fontId="16" fillId="0" borderId="0"/>
    <xf numFmtId="0" fontId="16" fillId="0" borderId="0"/>
    <xf numFmtId="0" fontId="97"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0" fillId="0" borderId="0"/>
    <xf numFmtId="0" fontId="150" fillId="0" borderId="0"/>
    <xf numFmtId="0" fontId="16" fillId="0" borderId="0"/>
    <xf numFmtId="0" fontId="36" fillId="0" borderId="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2"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64"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05" fillId="33" borderId="75"/>
    <xf numFmtId="0" fontId="41" fillId="0" borderId="0"/>
    <xf numFmtId="0" fontId="105" fillId="33" borderId="75"/>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75" fillId="0" borderId="0"/>
    <xf numFmtId="0" fontId="105" fillId="33" borderId="85"/>
    <xf numFmtId="0" fontId="175" fillId="0" borderId="0"/>
    <xf numFmtId="0" fontId="12" fillId="0" borderId="0"/>
    <xf numFmtId="0" fontId="175" fillId="0" borderId="0"/>
    <xf numFmtId="0" fontId="175" fillId="0" borderId="0"/>
    <xf numFmtId="0" fontId="11"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1"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1" fillId="0" borderId="0"/>
    <xf numFmtId="0" fontId="176" fillId="0" borderId="0"/>
    <xf numFmtId="0" fontId="178" fillId="0" borderId="0"/>
    <xf numFmtId="0" fontId="175" fillId="0" borderId="0"/>
    <xf numFmtId="0" fontId="175" fillId="0" borderId="0"/>
    <xf numFmtId="0" fontId="10" fillId="0" borderId="0"/>
    <xf numFmtId="0" fontId="175" fillId="0" borderId="0"/>
    <xf numFmtId="0" fontId="175" fillId="0" borderId="0"/>
    <xf numFmtId="0" fontId="10" fillId="0" borderId="0"/>
    <xf numFmtId="0" fontId="10" fillId="0" borderId="0"/>
    <xf numFmtId="0" fontId="41" fillId="0" borderId="0"/>
    <xf numFmtId="0" fontId="9" fillId="0" borderId="0"/>
    <xf numFmtId="0" fontId="176" fillId="0" borderId="0"/>
    <xf numFmtId="0" fontId="176" fillId="0" borderId="0"/>
    <xf numFmtId="0" fontId="176" fillId="0" borderId="0"/>
    <xf numFmtId="0" fontId="180" fillId="0" borderId="0"/>
    <xf numFmtId="0" fontId="180" fillId="0" borderId="0"/>
    <xf numFmtId="0" fontId="8" fillId="0" borderId="0"/>
    <xf numFmtId="0" fontId="8" fillId="0" borderId="0"/>
    <xf numFmtId="43" fontId="41" fillId="0" borderId="0" applyFont="0" applyFill="0" applyBorder="0" applyAlignment="0" applyProtection="0"/>
    <xf numFmtId="0" fontId="8" fillId="0" borderId="0"/>
    <xf numFmtId="0" fontId="180" fillId="0" borderId="0"/>
    <xf numFmtId="0" fontId="180" fillId="0" borderId="0"/>
    <xf numFmtId="0" fontId="7" fillId="0" borderId="0"/>
    <xf numFmtId="0" fontId="7" fillId="0" borderId="0"/>
    <xf numFmtId="0" fontId="7" fillId="0" borderId="0"/>
    <xf numFmtId="0" fontId="180" fillId="0" borderId="0"/>
    <xf numFmtId="0" fontId="176" fillId="0" borderId="0"/>
    <xf numFmtId="0" fontId="6" fillId="0" borderId="0"/>
    <xf numFmtId="0" fontId="176" fillId="0" borderId="0"/>
    <xf numFmtId="0" fontId="176" fillId="0" borderId="0"/>
    <xf numFmtId="0" fontId="176" fillId="0" borderId="0"/>
    <xf numFmtId="0" fontId="6" fillId="0" borderId="0"/>
    <xf numFmtId="0" fontId="176" fillId="0" borderId="0"/>
    <xf numFmtId="0" fontId="176" fillId="0" borderId="0"/>
    <xf numFmtId="164" fontId="181"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18" fillId="48" borderId="90" applyNumberFormat="0" applyAlignment="0" applyProtection="0"/>
    <xf numFmtId="0" fontId="118" fillId="48" borderId="90" applyNumberFormat="0" applyAlignment="0" applyProtection="0"/>
    <xf numFmtId="0" fontId="124" fillId="51" borderId="90" applyNumberFormat="0" applyAlignment="0" applyProtection="0"/>
    <xf numFmtId="0" fontId="124" fillId="51" borderId="90" applyNumberFormat="0" applyAlignment="0" applyProtection="0"/>
    <xf numFmtId="0" fontId="6" fillId="0" borderId="0"/>
    <xf numFmtId="0" fontId="176" fillId="0" borderId="0"/>
    <xf numFmtId="0" fontId="127" fillId="48" borderId="91" applyNumberFormat="0" applyAlignment="0" applyProtection="0"/>
    <xf numFmtId="0" fontId="127" fillId="48" borderId="91" applyNumberFormat="0" applyAlignment="0" applyProtection="0"/>
    <xf numFmtId="0" fontId="56" fillId="0" borderId="92" applyNumberFormat="0" applyFill="0" applyAlignment="0" applyProtection="0"/>
    <xf numFmtId="0" fontId="56" fillId="0" borderId="92" applyNumberFormat="0" applyFill="0" applyAlignment="0" applyProtection="0"/>
    <xf numFmtId="0" fontId="180"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7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5"/>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76" fillId="0" borderId="0"/>
    <xf numFmtId="0" fontId="41" fillId="0" borderId="0"/>
    <xf numFmtId="0" fontId="6" fillId="0" borderId="0"/>
    <xf numFmtId="0" fontId="41" fillId="0" borderId="0"/>
    <xf numFmtId="0" fontId="41" fillId="0" borderId="0"/>
    <xf numFmtId="0" fontId="6" fillId="0" borderId="0"/>
    <xf numFmtId="0" fontId="6" fillId="0" borderId="0"/>
    <xf numFmtId="0" fontId="176" fillId="0" borderId="0"/>
    <xf numFmtId="0" fontId="6" fillId="0" borderId="0"/>
    <xf numFmtId="0" fontId="176"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82" fillId="0" borderId="0"/>
    <xf numFmtId="0" fontId="182"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83" fillId="0" borderId="0"/>
    <xf numFmtId="0" fontId="183" fillId="0" borderId="0"/>
    <xf numFmtId="0" fontId="4" fillId="0" borderId="0"/>
    <xf numFmtId="0" fontId="4" fillId="0" borderId="0"/>
    <xf numFmtId="0" fontId="183" fillId="0" borderId="0"/>
    <xf numFmtId="0" fontId="183" fillId="0" borderId="0"/>
    <xf numFmtId="0" fontId="183" fillId="0" borderId="0"/>
    <xf numFmtId="0" fontId="183" fillId="0" borderId="0"/>
    <xf numFmtId="0" fontId="183" fillId="0" borderId="0"/>
    <xf numFmtId="0" fontId="4" fillId="0" borderId="0"/>
    <xf numFmtId="0" fontId="185"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5"/>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193"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550">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alignment horizontal="center"/>
    </xf>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66" fontId="38" fillId="0" borderId="0" xfId="2" applyNumberFormat="1" applyFont="1" applyAlignment="1">
      <alignment horizont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66" fontId="38" fillId="0" borderId="47" xfId="2" applyNumberFormat="1" applyFont="1" applyBorder="1" applyAlignment="1">
      <alignment horizontal="center"/>
    </xf>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0" fontId="57" fillId="0" borderId="0" xfId="2" applyNumberFormat="1" applyFont="1" applyAlignment="1">
      <alignment horizontal="left"/>
    </xf>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5" fontId="135" fillId="0" borderId="0" xfId="2" applyNumberFormat="1" applyFont="1" applyFill="1" applyAlignment="1"/>
    <xf numFmtId="166" fontId="64" fillId="0" borderId="0" xfId="2" applyNumberFormat="1" applyFont="1" applyAlignment="1"/>
    <xf numFmtId="165" fontId="135"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0" xfId="740" applyNumberFormat="1" applyFont="1" applyAlignment="1">
      <alignment horizontal="left"/>
    </xf>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15"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7"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7"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38" fillId="0" borderId="0" xfId="8" applyFont="1" applyAlignment="1"/>
    <xf numFmtId="0" fontId="113"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3"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39" fillId="0" borderId="0" xfId="8" applyFont="1" applyAlignment="1">
      <alignment horizontal="left"/>
    </xf>
    <xf numFmtId="0" fontId="139" fillId="0" borderId="0" xfId="8" applyFont="1"/>
    <xf numFmtId="0" fontId="113" fillId="0" borderId="0" xfId="8" quotePrefix="1" applyFont="1" applyAlignment="1">
      <alignment horizontal="right"/>
    </xf>
    <xf numFmtId="0" fontId="139" fillId="0" borderId="0" xfId="8" applyFont="1" applyAlignment="1"/>
    <xf numFmtId="165" fontId="48" fillId="0" borderId="0" xfId="8" applyNumberFormat="1" applyFont="1" applyAlignment="1">
      <alignment horizontal="right"/>
    </xf>
    <xf numFmtId="0" fontId="140" fillId="0" borderId="0" xfId="8" applyFont="1"/>
    <xf numFmtId="0" fontId="113" fillId="0" borderId="0" xfId="8" applyFont="1" applyAlignment="1">
      <alignment horizontal="center"/>
    </xf>
    <xf numFmtId="189" fontId="48" fillId="0" borderId="0" xfId="8" quotePrefix="1" applyNumberFormat="1" applyFont="1"/>
    <xf numFmtId="3" fontId="48" fillId="0" borderId="0" xfId="8" quotePrefix="1" applyNumberFormat="1" applyFont="1"/>
    <xf numFmtId="0" fontId="48" fillId="0" borderId="0" xfId="8" applyFont="1" applyFill="1" applyAlignment="1"/>
    <xf numFmtId="3" fontId="48" fillId="0" borderId="0" xfId="8" quotePrefix="1" applyNumberFormat="1" applyFont="1" applyAlignment="1">
      <alignment horizontal="right"/>
    </xf>
    <xf numFmtId="3" fontId="48" fillId="0" borderId="0" xfId="8" quotePrefix="1" applyNumberFormat="1" applyFont="1" applyAlignment="1">
      <alignment horizontal="center"/>
    </xf>
    <xf numFmtId="0" fontId="48" fillId="0" borderId="0" xfId="8" applyFont="1" applyFill="1"/>
    <xf numFmtId="174" fontId="48" fillId="0" borderId="0" xfId="8" applyNumberFormat="1" applyFont="1" applyFill="1" applyAlignment="1"/>
    <xf numFmtId="170" fontId="48" fillId="0" borderId="0" xfId="8" applyNumberFormat="1" applyFont="1" applyFill="1" applyAlignment="1"/>
    <xf numFmtId="189" fontId="48" fillId="0" borderId="0" xfId="8" applyNumberFormat="1" applyFont="1" applyAlignment="1"/>
    <xf numFmtId="3" fontId="48" fillId="0" borderId="0" xfId="8" applyNumberFormat="1" applyFont="1"/>
    <xf numFmtId="170" fontId="139" fillId="0" borderId="0" xfId="8" applyNumberFormat="1" applyFont="1"/>
    <xf numFmtId="189" fontId="48" fillId="0" borderId="0" xfId="8" applyNumberFormat="1" applyFont="1" applyBorder="1"/>
    <xf numFmtId="0" fontId="48" fillId="0" borderId="0" xfId="8" quotePrefix="1" applyFont="1" applyAlignment="1">
      <alignment horizontal="left"/>
    </xf>
    <xf numFmtId="3" fontId="48" fillId="0" borderId="0" xfId="8" quotePrefix="1" applyNumberFormat="1" applyFont="1" applyBorder="1" applyAlignment="1">
      <alignment horizontal="center"/>
    </xf>
    <xf numFmtId="0" fontId="138" fillId="0" borderId="0" xfId="8" applyFont="1" applyAlignment="1">
      <alignment horizontal="center"/>
    </xf>
    <xf numFmtId="1" fontId="113" fillId="0" borderId="0" xfId="8" quotePrefix="1" applyNumberFormat="1" applyFont="1" applyAlignment="1">
      <alignment horizontal="right"/>
    </xf>
    <xf numFmtId="0" fontId="48" fillId="0" borderId="0" xfId="8" applyFont="1" applyBorder="1"/>
    <xf numFmtId="0" fontId="48" fillId="0" borderId="0" xfId="8" applyFont="1" applyFill="1" applyBorder="1" applyAlignment="1"/>
    <xf numFmtId="0" fontId="48" fillId="0" borderId="0" xfId="8" applyFont="1" applyFill="1" applyBorder="1"/>
    <xf numFmtId="0" fontId="139" fillId="0" borderId="0" xfId="8" applyFont="1" applyBorder="1"/>
    <xf numFmtId="192" fontId="48" fillId="0" borderId="0" xfId="8" applyNumberFormat="1" applyFont="1" applyBorder="1"/>
    <xf numFmtId="6" fontId="48" fillId="0" borderId="0" xfId="8" applyNumberFormat="1" applyFont="1" applyAlignment="1"/>
    <xf numFmtId="176" fontId="48" fillId="0" borderId="0" xfId="8" quotePrefix="1" applyNumberFormat="1" applyFont="1" applyAlignment="1">
      <alignment horizontal="right"/>
    </xf>
    <xf numFmtId="193" fontId="48" fillId="0" borderId="0" xfId="8" applyNumberFormat="1" applyFont="1"/>
    <xf numFmtId="176" fontId="48" fillId="0" borderId="0" xfId="8" quotePrefix="1" applyNumberFormat="1" applyFont="1" applyBorder="1" applyAlignme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69"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0"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7" xfId="860" applyNumberFormat="1" applyFont="1" applyBorder="1" applyAlignment="1"/>
    <xf numFmtId="0" fontId="141"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1"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2"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7"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0" fontId="41" fillId="0" borderId="0" xfId="0" applyNumberFormat="1" applyFont="1" applyFill="1"/>
    <xf numFmtId="0" fontId="41" fillId="0" borderId="0" xfId="0" applyNumberFormat="1" applyFont="1" applyFill="1" applyAlignment="1">
      <alignment horizontal="right"/>
    </xf>
    <xf numFmtId="0" fontId="42" fillId="0" borderId="0" xfId="0" applyNumberFormat="1" applyFont="1" applyFill="1"/>
    <xf numFmtId="7" fontId="41" fillId="0" borderId="0" xfId="0" applyNumberFormat="1" applyFont="1" applyFill="1"/>
    <xf numFmtId="39" fontId="41" fillId="0" borderId="0" xfId="0" applyNumberFormat="1" applyFont="1" applyFill="1"/>
    <xf numFmtId="39" fontId="41" fillId="0" borderId="0" xfId="0" applyNumberFormat="1" applyFont="1" applyFill="1" applyAlignment="1">
      <alignment horizontal="center"/>
    </xf>
    <xf numFmtId="39" fontId="41" fillId="0" borderId="0" xfId="0" applyNumberFormat="1" applyFont="1" applyFill="1" applyAlignment="1">
      <alignment horizontal="right"/>
    </xf>
    <xf numFmtId="43" fontId="41" fillId="0" borderId="0" xfId="0" applyNumberFormat="1" applyFont="1" applyFill="1" applyAlignment="1">
      <alignment horizontal="center"/>
    </xf>
    <xf numFmtId="0" fontId="42" fillId="0" borderId="0" xfId="0" applyNumberFormat="1" applyFont="1" applyFill="1" applyBorder="1"/>
    <xf numFmtId="39" fontId="42" fillId="0" borderId="0" xfId="0" applyNumberFormat="1" applyFont="1" applyFill="1" applyBorder="1"/>
    <xf numFmtId="0" fontId="41" fillId="0" borderId="0" xfId="0" applyNumberFormat="1" applyFont="1" applyFill="1" applyBorder="1"/>
    <xf numFmtId="39" fontId="41" fillId="0" borderId="0" xfId="0" quotePrefix="1" applyNumberFormat="1" applyFont="1" applyFill="1" applyAlignment="1">
      <alignment horizontal="center"/>
    </xf>
    <xf numFmtId="39" fontId="42" fillId="0" borderId="0" xfId="0" applyNumberFormat="1" applyFont="1" applyFill="1" applyBorder="1" applyAlignment="1">
      <alignment horizontal="right"/>
    </xf>
    <xf numFmtId="0" fontId="41" fillId="0" borderId="0" xfId="0" applyNumberFormat="1" applyFont="1" applyFill="1" applyBorder="1" applyAlignment="1">
      <alignment horizontal="right"/>
    </xf>
    <xf numFmtId="188" fontId="41" fillId="0" borderId="0" xfId="0" applyNumberFormat="1" applyFont="1" applyFill="1"/>
    <xf numFmtId="0" fontId="41" fillId="0" borderId="0" xfId="0" applyNumberFormat="1" applyFont="1" applyFill="1" applyAlignment="1"/>
    <xf numFmtId="0" fontId="41" fillId="0" borderId="0" xfId="0" applyNumberFormat="1" applyFont="1" applyFill="1" applyAlignment="1">
      <alignment horizontal="left" vertical="top"/>
    </xf>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3" fillId="0" borderId="0" xfId="0" applyNumberFormat="1" applyFont="1" applyAlignment="1" applyProtection="1">
      <protection locked="0"/>
    </xf>
    <xf numFmtId="166" fontId="130" fillId="0" borderId="0" xfId="0" applyNumberFormat="1" applyFont="1" applyBorder="1" applyAlignment="1" applyProtection="1">
      <protection locked="0"/>
    </xf>
    <xf numFmtId="166" fontId="143" fillId="0" borderId="0" xfId="0" applyNumberFormat="1" applyFont="1" applyBorder="1" applyAlignment="1" applyProtection="1">
      <protection locked="0"/>
    </xf>
    <xf numFmtId="165" fontId="143" fillId="0" borderId="0" xfId="0" applyNumberFormat="1" applyFont="1" applyBorder="1" applyAlignment="1" applyProtection="1">
      <protection locked="0"/>
    </xf>
    <xf numFmtId="165" fontId="143" fillId="0" borderId="0" xfId="0" applyNumberFormat="1" applyFont="1" applyAlignment="1" applyProtection="1">
      <protection locked="0"/>
    </xf>
    <xf numFmtId="166" fontId="144" fillId="0" borderId="0" xfId="0" applyNumberFormat="1" applyFont="1" applyAlignment="1" applyProtection="1">
      <protection locked="0"/>
    </xf>
    <xf numFmtId="165" fontId="145" fillId="0" borderId="0" xfId="0" applyNumberFormat="1" applyFont="1" applyBorder="1" applyAlignment="1" applyProtection="1">
      <protection locked="0"/>
    </xf>
    <xf numFmtId="165" fontId="130"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4" fillId="0" borderId="0" xfId="0" applyNumberFormat="1" applyFont="1" applyAlignment="1"/>
    <xf numFmtId="165" fontId="143" fillId="0" borderId="0" xfId="0" applyNumberFormat="1" applyFont="1" applyAlignment="1"/>
    <xf numFmtId="166" fontId="143" fillId="0" borderId="0" xfId="0" applyNumberFormat="1" applyFont="1" applyBorder="1" applyAlignment="1"/>
    <xf numFmtId="165" fontId="143" fillId="0" borderId="0" xfId="0" applyNumberFormat="1" applyFont="1" applyBorder="1" applyAlignment="1"/>
    <xf numFmtId="165" fontId="145" fillId="0" borderId="0" xfId="0" applyNumberFormat="1" applyFont="1" applyBorder="1" applyAlignment="1"/>
    <xf numFmtId="165" fontId="130"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46"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48"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4" fillId="0" borderId="0" xfId="1028" applyNumberFormat="1" applyFont="1" applyFill="1" applyBorder="1" applyAlignment="1">
      <alignment horizontal="right"/>
    </xf>
    <xf numFmtId="39" fontId="114" fillId="0" borderId="0" xfId="1028" applyNumberFormat="1" applyFont="1" applyFill="1" applyBorder="1" applyAlignment="1"/>
    <xf numFmtId="39" fontId="114"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8"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170" fontId="36" fillId="0" borderId="0" xfId="8" applyNumberFormat="1" applyFont="1"/>
    <xf numFmtId="174" fontId="36"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39"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4" fontId="42" fillId="0" borderId="0" xfId="1028" applyNumberFormat="1" applyFont="1" applyFill="1" applyBorder="1" applyAlignment="1"/>
    <xf numFmtId="0" fontId="82" fillId="0" borderId="0" xfId="1028" applyFont="1" applyAlignment="1">
      <alignment horizontal="right"/>
    </xf>
    <xf numFmtId="4" fontId="114"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4" fillId="0" borderId="0" xfId="1028" applyNumberFormat="1" applyFont="1" applyFill="1" applyBorder="1" applyAlignment="1"/>
    <xf numFmtId="4" fontId="86" fillId="0" borderId="0" xfId="1028" applyNumberFormat="1" applyFont="1" applyFill="1" applyBorder="1" applyAlignment="1"/>
    <xf numFmtId="4" fontId="114"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36"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6" fillId="0" borderId="0" xfId="836" applyNumberFormat="1" applyFont="1" applyBorder="1" applyAlignment="1"/>
    <xf numFmtId="181" fontId="66" fillId="0" borderId="17" xfId="836" applyNumberFormat="1" applyFont="1" applyBorder="1" applyAlignment="1">
      <alignment horizontal="right"/>
    </xf>
    <xf numFmtId="0" fontId="113" fillId="0" borderId="0" xfId="8" quotePrefix="1" applyFont="1" applyBorder="1" applyAlignment="1">
      <alignment horizontal="right"/>
    </xf>
    <xf numFmtId="0" fontId="140" fillId="0" borderId="0" xfId="8" applyFont="1" applyBorder="1"/>
    <xf numFmtId="0" fontId="36" fillId="0" borderId="0" xfId="8" applyFont="1" applyBorder="1" applyAlignment="1"/>
    <xf numFmtId="174" fontId="48" fillId="0" borderId="0" xfId="8" applyNumberFormat="1" applyFont="1" applyFill="1" applyBorder="1" applyAlignment="1"/>
    <xf numFmtId="170" fontId="48" fillId="0" borderId="0" xfId="8" applyNumberFormat="1" applyFont="1" applyFill="1" applyBorder="1" applyAlignment="1"/>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0"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10" xfId="836" applyNumberFormat="1" applyFont="1" applyFill="1" applyBorder="1" applyAlignment="1"/>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39" fontId="41" fillId="0" borderId="0" xfId="0" applyNumberFormat="1" applyFont="1" applyFill="1" applyAlignment="1"/>
    <xf numFmtId="39" fontId="41" fillId="0" borderId="0" xfId="0" applyNumberFormat="1" applyFont="1" applyFill="1" applyAlignment="1">
      <alignment horizontal="right" vertical="top"/>
    </xf>
    <xf numFmtId="39" fontId="41" fillId="0" borderId="0" xfId="0" applyNumberFormat="1" applyFont="1" applyFill="1" applyAlignment="1">
      <alignment horizontal="center" vertical="top"/>
    </xf>
    <xf numFmtId="0" fontId="41" fillId="0" borderId="0" xfId="0" quotePrefix="1" applyNumberFormat="1" applyFont="1" applyFill="1" applyAlignment="1"/>
    <xf numFmtId="0" fontId="41" fillId="0" borderId="0" xfId="0" applyNumberFormat="1" applyFont="1" applyFill="1" applyAlignment="1">
      <alignment horizontal="center" vertical="top"/>
    </xf>
    <xf numFmtId="0" fontId="154" fillId="0" borderId="0" xfId="0" applyNumberFormat="1" applyFont="1" applyFill="1"/>
    <xf numFmtId="0" fontId="155" fillId="0" borderId="0" xfId="0" applyNumberFormat="1" applyFont="1" applyFill="1"/>
    <xf numFmtId="0" fontId="155" fillId="0" borderId="0" xfId="0" applyNumberFormat="1" applyFont="1" applyFill="1" applyAlignment="1">
      <alignment horizontal="left"/>
    </xf>
    <xf numFmtId="0" fontId="155" fillId="0" borderId="0" xfId="0" applyNumberFormat="1" applyFont="1" applyFill="1" applyAlignment="1">
      <alignment horizontal="center"/>
    </xf>
    <xf numFmtId="0" fontId="155" fillId="0" borderId="0" xfId="0" quotePrefix="1" applyNumberFormat="1" applyFont="1" applyFill="1" applyAlignment="1">
      <alignment horizontal="center"/>
    </xf>
    <xf numFmtId="0" fontId="155" fillId="0" borderId="0" xfId="0" applyNumberFormat="1" applyFont="1" applyFill="1" applyAlignment="1">
      <alignment horizontal="centerContinuous"/>
    </xf>
    <xf numFmtId="0" fontId="155" fillId="0" borderId="67" xfId="0" applyNumberFormat="1" applyFont="1" applyFill="1" applyBorder="1" applyAlignment="1">
      <alignment horizontal="centerContinuous"/>
    </xf>
    <xf numFmtId="0" fontId="155" fillId="0" borderId="67" xfId="0" applyNumberFormat="1" applyFont="1" applyFill="1" applyBorder="1"/>
    <xf numFmtId="0" fontId="155" fillId="0" borderId="67" xfId="0" quotePrefix="1" applyNumberFormat="1" applyFont="1" applyFill="1" applyBorder="1" applyAlignment="1">
      <alignment horizontal="center"/>
    </xf>
    <xf numFmtId="49" fontId="155" fillId="0" borderId="67" xfId="0" applyNumberFormat="1" applyFont="1" applyFill="1" applyBorder="1" applyAlignment="1">
      <alignment horizontal="center"/>
    </xf>
    <xf numFmtId="49" fontId="155" fillId="0" borderId="67" xfId="0" quotePrefix="1" applyNumberFormat="1" applyFont="1" applyFill="1" applyBorder="1" applyAlignment="1">
      <alignment horizontal="center"/>
    </xf>
    <xf numFmtId="0" fontId="155" fillId="0" borderId="67" xfId="0" applyNumberFormat="1" applyFont="1" applyFill="1" applyBorder="1" applyAlignment="1">
      <alignment horizontal="center"/>
    </xf>
    <xf numFmtId="0" fontId="155" fillId="0" borderId="0" xfId="0" applyNumberFormat="1" applyFont="1" applyFill="1" applyBorder="1"/>
    <xf numFmtId="42" fontId="156" fillId="0" borderId="0" xfId="0" applyNumberFormat="1" applyFont="1" applyFill="1" applyAlignment="1">
      <alignment horizontal="right"/>
    </xf>
    <xf numFmtId="41" fontId="156" fillId="0" borderId="0" xfId="0" applyNumberFormat="1" applyFont="1" applyFill="1" applyAlignment="1">
      <alignment horizontal="center"/>
    </xf>
    <xf numFmtId="41" fontId="156" fillId="0" borderId="0" xfId="0" applyNumberFormat="1" applyFont="1" applyFill="1" applyAlignment="1">
      <alignment horizontal="right"/>
    </xf>
    <xf numFmtId="41" fontId="154" fillId="0" borderId="0" xfId="0" applyNumberFormat="1" applyFont="1" applyFill="1" applyAlignment="1">
      <alignment horizontal="right"/>
    </xf>
    <xf numFmtId="41" fontId="154" fillId="0" borderId="0" xfId="0" applyNumberFormat="1" applyFont="1" applyFill="1" applyBorder="1" applyAlignment="1">
      <alignment horizontal="right"/>
    </xf>
    <xf numFmtId="41" fontId="156" fillId="0" borderId="0" xfId="0" applyNumberFormat="1" applyFont="1" applyFill="1" applyBorder="1" applyAlignment="1">
      <alignment horizontal="right"/>
    </xf>
    <xf numFmtId="0" fontId="154" fillId="0" borderId="0" xfId="0" quotePrefix="1" applyNumberFormat="1" applyFont="1" applyFill="1"/>
    <xf numFmtId="37" fontId="154" fillId="0" borderId="0" xfId="0" applyNumberFormat="1" applyFont="1" applyFill="1"/>
    <xf numFmtId="0" fontId="154" fillId="0" borderId="0" xfId="0" applyNumberFormat="1" applyFont="1" applyFill="1" applyBorder="1"/>
    <xf numFmtId="0" fontId="155" fillId="0" borderId="0" xfId="0" applyNumberFormat="1" applyFont="1" applyFill="1" applyBorder="1" applyAlignment="1">
      <alignment horizontal="right"/>
    </xf>
    <xf numFmtId="0" fontId="155" fillId="0" borderId="0" xfId="0" applyNumberFormat="1" applyFont="1" applyFill="1" applyBorder="1" applyAlignment="1">
      <alignment horizontal="center"/>
    </xf>
    <xf numFmtId="42" fontId="156" fillId="0" borderId="0" xfId="0" applyNumberFormat="1" applyFont="1" applyFill="1" applyBorder="1" applyAlignment="1">
      <alignment horizontal="right"/>
    </xf>
    <xf numFmtId="0" fontId="154"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7"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2" fillId="0" borderId="0" xfId="2" applyNumberFormat="1" applyFont="1" applyBorder="1" applyAlignment="1"/>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0" fontId="160" fillId="0" borderId="0" xfId="2" applyFont="1" applyBorder="1" applyAlignment="1"/>
    <xf numFmtId="165" fontId="161" fillId="0" borderId="0" xfId="2" applyNumberFormat="1" applyFont="1" applyAlignment="1"/>
    <xf numFmtId="165" fontId="161"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7"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39" fontId="42" fillId="0" borderId="0" xfId="0" applyNumberFormat="1" applyFont="1" applyFill="1" applyAlignment="1">
      <alignment horizontal="right"/>
    </xf>
    <xf numFmtId="7" fontId="41" fillId="0" borderId="0" xfId="0" applyNumberFormat="1" applyFont="1" applyFill="1" applyAlignment="1">
      <alignment horizontal="right" vertical="top"/>
    </xf>
    <xf numFmtId="39" fontId="41" fillId="0" borderId="0" xfId="0" quotePrefix="1" applyNumberFormat="1" applyFont="1" applyFill="1" applyAlignment="1"/>
    <xf numFmtId="0" fontId="36" fillId="0" borderId="0" xfId="0" applyNumberFormat="1" applyFont="1" applyFill="1"/>
    <xf numFmtId="39" fontId="42" fillId="0" borderId="0" xfId="0" applyNumberFormat="1" applyFont="1" applyFill="1"/>
    <xf numFmtId="0" fontId="41" fillId="0" borderId="0" xfId="0" applyNumberFormat="1" applyFont="1" applyFill="1" applyBorder="1" applyAlignment="1"/>
    <xf numFmtId="0" fontId="41" fillId="0" borderId="0" xfId="0" applyNumberFormat="1" applyFont="1" applyFill="1" applyBorder="1" applyAlignment="1">
      <alignment horizontal="center" vertical="top"/>
    </xf>
    <xf numFmtId="39" fontId="41" fillId="0" borderId="0" xfId="0" applyNumberFormat="1" applyFont="1" applyFill="1" applyBorder="1"/>
    <xf numFmtId="39" fontId="41" fillId="0" borderId="0" xfId="0" applyNumberFormat="1" applyFont="1" applyFill="1" applyBorder="1" applyAlignment="1">
      <alignment horizontal="center"/>
    </xf>
    <xf numFmtId="39" fontId="41" fillId="0" borderId="0" xfId="0" applyNumberFormat="1" applyFont="1" applyFill="1" applyBorder="1" applyAlignment="1">
      <alignment horizontal="right"/>
    </xf>
    <xf numFmtId="39" fontId="41" fillId="0" borderId="0" xfId="0" quotePrefix="1" applyNumberFormat="1" applyFont="1" applyFill="1" applyBorder="1" applyAlignment="1">
      <alignment horizontal="center"/>
    </xf>
    <xf numFmtId="39" fontId="42" fillId="0" borderId="0" xfId="0" applyNumberFormat="1" applyFont="1" applyFill="1" applyBorder="1" applyAlignment="1">
      <alignment horizontal="center" vertical="top"/>
    </xf>
    <xf numFmtId="0" fontId="154" fillId="0" borderId="0" xfId="0" applyNumberFormat="1" applyFont="1" applyFill="1" applyAlignment="1"/>
    <xf numFmtId="0" fontId="155" fillId="0" borderId="0" xfId="0" applyNumberFormat="1" applyFont="1" applyFill="1" applyAlignment="1">
      <alignment horizontal="left" vertical="top"/>
    </xf>
    <xf numFmtId="0" fontId="154" fillId="0" borderId="0" xfId="0" quotePrefix="1" applyNumberFormat="1" applyFont="1" applyFill="1" applyAlignment="1"/>
    <xf numFmtId="0" fontId="155" fillId="0" borderId="0" xfId="0" applyNumberFormat="1" applyFont="1" applyFill="1" applyAlignment="1">
      <alignment horizontal="center" vertical="top"/>
    </xf>
    <xf numFmtId="0" fontId="155" fillId="0" borderId="0" xfId="0" applyNumberFormat="1" applyFont="1" applyFill="1" applyAlignment="1">
      <alignment horizontal="centerContinuous" vertical="top"/>
    </xf>
    <xf numFmtId="39" fontId="154" fillId="0" borderId="0" xfId="0" quotePrefix="1" applyNumberFormat="1" applyFont="1" applyFill="1" applyBorder="1" applyAlignment="1"/>
    <xf numFmtId="39" fontId="156" fillId="0" borderId="0" xfId="0" quotePrefix="1" applyNumberFormat="1" applyFont="1" applyFill="1" applyBorder="1" applyAlignment="1"/>
    <xf numFmtId="39" fontId="154" fillId="0" borderId="0" xfId="0" applyNumberFormat="1" applyFont="1" applyFill="1" applyBorder="1" applyAlignment="1"/>
    <xf numFmtId="0" fontId="156" fillId="0" borderId="0" xfId="0" applyNumberFormat="1" applyFont="1" applyFill="1" applyBorder="1" applyAlignment="1"/>
    <xf numFmtId="0" fontId="154" fillId="0" borderId="0" xfId="0" applyNumberFormat="1" applyFont="1" applyFill="1" applyBorder="1" applyAlignment="1"/>
    <xf numFmtId="42" fontId="156" fillId="0" borderId="0" xfId="0" applyNumberFormat="1" applyFont="1" applyFill="1" applyAlignment="1">
      <alignment horizontal="right" vertical="top"/>
    </xf>
    <xf numFmtId="0" fontId="156" fillId="0" borderId="0" xfId="0" applyNumberFormat="1" applyFont="1" applyFill="1" applyAlignment="1">
      <alignment horizontal="right"/>
    </xf>
    <xf numFmtId="41" fontId="156" fillId="0" borderId="0" xfId="0" applyNumberFormat="1" applyFont="1" applyFill="1" applyAlignment="1"/>
    <xf numFmtId="0" fontId="154" fillId="0" borderId="0" xfId="0" applyNumberFormat="1" applyFont="1" applyFill="1" applyAlignment="1">
      <alignment horizontal="left" vertical="top"/>
    </xf>
    <xf numFmtId="0" fontId="154" fillId="0" borderId="0" xfId="0" quotePrefix="1" applyNumberFormat="1" applyFont="1" applyFill="1" applyAlignment="1">
      <alignment horizontal="left" vertical="top"/>
    </xf>
    <xf numFmtId="0" fontId="154" fillId="0" borderId="0" xfId="0" quotePrefix="1" applyNumberFormat="1" applyFont="1" applyFill="1" applyBorder="1" applyAlignment="1"/>
    <xf numFmtId="41" fontId="154" fillId="0" borderId="0" xfId="0" applyNumberFormat="1" applyFont="1" applyFill="1" applyAlignment="1"/>
    <xf numFmtId="0" fontId="156" fillId="0" borderId="0" xfId="0" applyNumberFormat="1" applyFont="1" applyFill="1" applyAlignment="1"/>
    <xf numFmtId="0" fontId="155"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2" fillId="0" borderId="0" xfId="2" applyNumberFormat="1" applyFont="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170" fontId="38" fillId="0" borderId="73"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7" xfId="0" quotePrefix="1" applyNumberFormat="1" applyFont="1" applyBorder="1" applyAlignment="1">
      <alignment horizontal="right"/>
    </xf>
    <xf numFmtId="41" fontId="36" fillId="0" borderId="67"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4"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3" xfId="2" applyNumberFormat="1" applyFont="1" applyBorder="1" applyAlignment="1"/>
    <xf numFmtId="0" fontId="66" fillId="0" borderId="0" xfId="836" quotePrefix="1" applyNumberFormat="1" applyFont="1" applyFill="1" applyAlignment="1"/>
    <xf numFmtId="43" fontId="41" fillId="0" borderId="0" xfId="0" applyNumberFormat="1" applyFont="1" applyFill="1"/>
    <xf numFmtId="43" fontId="41" fillId="0" borderId="0" xfId="0" applyNumberFormat="1" applyFont="1" applyFill="1" applyAlignment="1"/>
    <xf numFmtId="191" fontId="162" fillId="0" borderId="0" xfId="11" applyNumberFormat="1" applyFont="1" applyAlignment="1">
      <alignment horizontal="right"/>
    </xf>
    <xf numFmtId="42" fontId="155" fillId="0" borderId="0" xfId="0" applyNumberFormat="1" applyFont="1" applyFill="1" applyAlignment="1">
      <alignment horizontal="right" vertical="top"/>
    </xf>
    <xf numFmtId="42" fontId="155" fillId="0" borderId="0" xfId="0" applyNumberFormat="1" applyFont="1" applyFill="1" applyAlignment="1">
      <alignment horizontal="right"/>
    </xf>
    <xf numFmtId="42" fontId="155"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xf>
    <xf numFmtId="164" fontId="36" fillId="0" borderId="0" xfId="0" applyFont="1" applyProtection="1"/>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16"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15"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Alignment="1">
      <alignment horizontal="lef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7"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3"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7"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2" fillId="0" borderId="0" xfId="0" applyNumberFormat="1" applyFont="1" applyFill="1"/>
    <xf numFmtId="43" fontId="41" fillId="0" borderId="0" xfId="0" applyNumberFormat="1" applyFont="1" applyFill="1" applyAlignment="1">
      <alignment horizontal="center" vertical="top"/>
    </xf>
    <xf numFmtId="43" fontId="41" fillId="0" borderId="0" xfId="0" applyNumberFormat="1" applyFont="1" applyFill="1" applyBorder="1" applyAlignment="1">
      <alignment horizontal="center"/>
    </xf>
    <xf numFmtId="43" fontId="42" fillId="0" borderId="0" xfId="0" applyNumberFormat="1" applyFont="1" applyFill="1" applyBorder="1" applyAlignment="1">
      <alignment horizontal="center" vertical="top"/>
    </xf>
    <xf numFmtId="43" fontId="41"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63"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0" fontId="42" fillId="0" borderId="0" xfId="8" applyFont="1" applyAlignment="1">
      <alignment horizontal="right"/>
    </xf>
    <xf numFmtId="194" fontId="42" fillId="0" borderId="0" xfId="8" quotePrefix="1" applyNumberFormat="1" applyFont="1" applyAlignment="1">
      <alignment horizontal="right"/>
    </xf>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7" xfId="2" applyNumberFormat="1" applyFont="1" applyBorder="1"/>
    <xf numFmtId="178" fontId="66" fillId="0" borderId="67" xfId="836" applyNumberFormat="1" applyFont="1" applyFill="1" applyBorder="1" applyAlignment="1">
      <alignment horizontal="right"/>
    </xf>
    <xf numFmtId="178" fontId="61" fillId="0" borderId="67" xfId="836" applyNumberFormat="1" applyFont="1" applyFill="1" applyBorder="1" applyAlignment="1"/>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7" xfId="2" applyNumberFormat="1" applyFont="1" applyBorder="1" applyAlignment="1">
      <alignment horizontal="right"/>
    </xf>
    <xf numFmtId="164" fontId="43" fillId="0" borderId="67"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7"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7"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65" fillId="0" borderId="0" xfId="2"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7" xfId="2" applyNumberFormat="1" applyFont="1" applyBorder="1" applyAlignment="1">
      <alignment horizontal="center"/>
    </xf>
    <xf numFmtId="164" fontId="36"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41" fontId="167" fillId="0" borderId="0" xfId="0" applyNumberFormat="1" applyFont="1" applyAlignment="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41" fontId="167" fillId="0" borderId="0" xfId="0" applyNumberFormat="1" applyFont="1" applyFill="1" applyBorder="1"/>
    <xf numFmtId="49" fontId="167" fillId="0" borderId="0" xfId="0" applyNumberFormat="1" applyFont="1" applyFill="1" applyAlignment="1">
      <alignment wrapText="1"/>
    </xf>
    <xf numFmtId="191" fontId="167" fillId="0" borderId="0" xfId="0" applyNumberFormat="1" applyFont="1" applyFill="1" applyBorder="1" applyAlignment="1">
      <alignment vertical="center"/>
    </xf>
    <xf numFmtId="0" fontId="167" fillId="0" borderId="0" xfId="0" applyNumberFormat="1" applyFont="1" applyBorder="1"/>
    <xf numFmtId="0" fontId="167"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16"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7" xfId="2" applyNumberFormat="1" applyFont="1" applyBorder="1" applyAlignment="1">
      <alignment horizontal="right"/>
    </xf>
    <xf numFmtId="170" fontId="36" fillId="0" borderId="67"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5" xfId="2" applyNumberFormat="1" applyFont="1" applyBorder="1" applyAlignment="1">
      <alignment horizontal="center"/>
    </xf>
    <xf numFmtId="37" fontId="41" fillId="0" borderId="75" xfId="2" applyNumberFormat="1" applyFont="1" applyBorder="1" applyAlignment="1"/>
    <xf numFmtId="37" fontId="36" fillId="0" borderId="75"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7"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5" xfId="2" applyNumberFormat="1" applyFont="1" applyBorder="1" applyAlignment="1"/>
    <xf numFmtId="174" fontId="36" fillId="0" borderId="0" xfId="2" quotePrefix="1" applyNumberFormat="1" applyFont="1" applyAlignment="1"/>
    <xf numFmtId="170" fontId="36" fillId="0" borderId="75" xfId="2" applyNumberFormat="1" applyFont="1" applyBorder="1" applyAlignment="1"/>
    <xf numFmtId="170" fontId="36" fillId="0" borderId="75" xfId="2" applyNumberFormat="1" applyFont="1" applyBorder="1" applyAlignment="1">
      <alignment horizontal="center"/>
    </xf>
    <xf numFmtId="170" fontId="43" fillId="0" borderId="75" xfId="2" applyNumberFormat="1" applyFont="1" applyBorder="1" applyAlignment="1"/>
    <xf numFmtId="170" fontId="43" fillId="0" borderId="28" xfId="2" applyNumberFormat="1" applyFont="1" applyBorder="1" applyAlignment="1"/>
    <xf numFmtId="174" fontId="43" fillId="0" borderId="75"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7"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5" xfId="2" applyNumberFormat="1" applyFont="1" applyBorder="1" applyAlignment="1"/>
    <xf numFmtId="170" fontId="58" fillId="0" borderId="67" xfId="2" applyNumberFormat="1" applyFont="1" applyBorder="1" applyAlignment="1">
      <alignment horizontal="right"/>
    </xf>
    <xf numFmtId="164" fontId="43" fillId="0" borderId="67"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6" xfId="2" applyNumberFormat="1" applyFont="1" applyBorder="1" applyAlignment="1"/>
    <xf numFmtId="170" fontId="59" fillId="0" borderId="77" xfId="2" applyNumberFormat="1" applyFont="1" applyBorder="1" applyAlignment="1"/>
    <xf numFmtId="170" fontId="58" fillId="0" borderId="76" xfId="2" applyNumberFormat="1" applyFont="1" applyBorder="1" applyAlignment="1"/>
    <xf numFmtId="164" fontId="36" fillId="0" borderId="67" xfId="2" quotePrefix="1" applyNumberFormat="1" applyFont="1" applyBorder="1" applyAlignment="1"/>
    <xf numFmtId="170" fontId="58" fillId="0" borderId="67" xfId="2" applyNumberFormat="1" applyFont="1" applyBorder="1" applyAlignment="1"/>
    <xf numFmtId="164" fontId="36" fillId="0" borderId="67" xfId="2" applyNumberFormat="1" applyFont="1" applyBorder="1" applyAlignment="1"/>
    <xf numFmtId="172" fontId="43" fillId="0" borderId="67"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7" xfId="0" applyNumberFormat="1" applyFont="1" applyBorder="1" applyAlignment="1" applyProtection="1">
      <protection locked="0"/>
    </xf>
    <xf numFmtId="0" fontId="43" fillId="0" borderId="0" xfId="2" applyNumberFormat="1" applyFont="1" applyAlignment="1">
      <alignment horizontal="right"/>
    </xf>
    <xf numFmtId="165" fontId="63" fillId="0" borderId="67" xfId="2" applyNumberFormat="1" applyFont="1" applyBorder="1" applyAlignment="1" applyProtection="1">
      <alignment horizontal="center"/>
      <protection locked="0"/>
    </xf>
    <xf numFmtId="165" fontId="63" fillId="0" borderId="67" xfId="2" applyNumberFormat="1" applyFont="1" applyBorder="1" applyAlignment="1" applyProtection="1">
      <protection locked="0"/>
    </xf>
    <xf numFmtId="0" fontId="64" fillId="0" borderId="67" xfId="2" applyNumberFormat="1" applyFont="1" applyBorder="1" applyAlignment="1"/>
    <xf numFmtId="0" fontId="43"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7" xfId="4" applyNumberFormat="1" applyFont="1" applyFill="1" applyBorder="1"/>
    <xf numFmtId="170" fontId="38" fillId="0" borderId="77"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1" fillId="0" borderId="0" xfId="2" applyNumberFormat="1" applyFont="1" applyBorder="1" applyAlignment="1"/>
    <xf numFmtId="37" fontId="43" fillId="0" borderId="77"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3"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3"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7"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7" xfId="4" applyNumberFormat="1" applyFont="1" applyFill="1" applyBorder="1"/>
    <xf numFmtId="166" fontId="38" fillId="0" borderId="77" xfId="4" applyNumberFormat="1" applyFont="1" applyFill="1" applyBorder="1"/>
    <xf numFmtId="170" fontId="43" fillId="0" borderId="16" xfId="5" applyNumberFormat="1" applyFont="1" applyFill="1" applyBorder="1"/>
    <xf numFmtId="170" fontId="43" fillId="0" borderId="77"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7" xfId="4" quotePrefix="1" applyNumberFormat="1" applyFont="1" applyBorder="1" applyAlignment="1">
      <alignment horizontal="center"/>
    </xf>
    <xf numFmtId="0" fontId="43" fillId="0" borderId="67"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7" xfId="2" quotePrefix="1" applyNumberFormat="1" applyFont="1" applyBorder="1" applyAlignment="1">
      <alignment horizontal="center"/>
    </xf>
    <xf numFmtId="165" fontId="43" fillId="0" borderId="67"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7"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7"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57" fillId="0" borderId="0" xfId="2" applyNumberFormat="1" applyFont="1" applyFill="1" applyAlignment="1"/>
    <xf numFmtId="165" fontId="158" fillId="0" borderId="0" xfId="2" applyNumberFormat="1" applyFont="1" applyFill="1" applyAlignment="1"/>
    <xf numFmtId="165" fontId="161"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59"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0" fillId="0" borderId="0" xfId="2" applyFont="1" applyFill="1" applyBorder="1" applyAlignment="1"/>
    <xf numFmtId="165" fontId="161"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7"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7"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7" xfId="2" applyNumberFormat="1" applyFont="1" applyFill="1" applyBorder="1" applyAlignment="1">
      <alignment horizontal="center"/>
    </xf>
    <xf numFmtId="170" fontId="43" fillId="0" borderId="77" xfId="2" applyNumberFormat="1" applyFont="1" applyFill="1" applyBorder="1" applyAlignment="1"/>
    <xf numFmtId="170" fontId="43" fillId="0" borderId="67"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7"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0"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7" xfId="1" applyNumberFormat="1" applyFont="1" applyFill="1" applyBorder="1" applyAlignment="1">
      <alignment horizontal="center"/>
    </xf>
    <xf numFmtId="170" fontId="0" fillId="0" borderId="19" xfId="2" applyNumberFormat="1" applyFont="1" applyFill="1" applyBorder="1" applyAlignment="1">
      <alignment horizontal="center"/>
    </xf>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99" fillId="0" borderId="0" xfId="1767" applyNumberFormat="1" applyFont="1" applyFill="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0"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69" fillId="0" borderId="0" xfId="2" applyNumberFormat="1" applyFont="1" applyBorder="1" applyAlignment="1"/>
    <xf numFmtId="169" fontId="169" fillId="0" borderId="0" xfId="2" applyNumberFormat="1" applyFont="1" applyBorder="1" applyAlignment="1" applyProtection="1">
      <alignment horizontal="right"/>
      <protection locked="0"/>
    </xf>
    <xf numFmtId="175" fontId="170" fillId="0" borderId="0" xfId="2" applyNumberFormat="1" applyFont="1" applyBorder="1" applyAlignment="1" applyProtection="1">
      <protection locked="0"/>
    </xf>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164" fontId="169" fillId="0" borderId="0" xfId="1940" applyNumberFormat="1" applyFont="1" applyAlignment="1"/>
    <xf numFmtId="175" fontId="170" fillId="0" borderId="0" xfId="2" applyNumberFormat="1" applyFont="1" applyBorder="1" applyAlignment="1"/>
    <xf numFmtId="170" fontId="170" fillId="0" borderId="0" xfId="1" applyNumberFormat="1" applyFont="1" applyAlignment="1">
      <alignment horizontal="center"/>
    </xf>
    <xf numFmtId="166" fontId="170" fillId="0" borderId="0" xfId="2" applyNumberFormat="1" applyFont="1" applyBorder="1"/>
    <xf numFmtId="170" fontId="170" fillId="0" borderId="67" xfId="1" applyNumberFormat="1" applyFont="1" applyBorder="1" applyAlignment="1">
      <alignment horizontal="center"/>
    </xf>
    <xf numFmtId="170" fontId="170" fillId="0" borderId="0" xfId="2" applyNumberFormat="1" applyFont="1" applyBorder="1" applyAlignment="1"/>
    <xf numFmtId="170" fontId="169" fillId="0" borderId="67" xfId="2" applyNumberFormat="1" applyFont="1" applyBorder="1" applyAlignment="1"/>
    <xf numFmtId="166" fontId="169" fillId="0" borderId="0" xfId="2" applyNumberFormat="1" applyFont="1" applyBorder="1" applyAlignment="1"/>
    <xf numFmtId="164" fontId="169" fillId="0" borderId="67"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70" fontId="170" fillId="0" borderId="67" xfId="2" applyNumberFormat="1" applyFont="1" applyBorder="1" applyAlignment="1"/>
    <xf numFmtId="164" fontId="170" fillId="0" borderId="67" xfId="1940" applyNumberFormat="1" applyFont="1" applyBorder="1" applyAlignment="1"/>
    <xf numFmtId="166" fontId="170" fillId="0" borderId="0" xfId="2" applyNumberFormat="1" applyFont="1" applyBorder="1" applyAlignment="1"/>
    <xf numFmtId="174"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74" fontId="169" fillId="0" borderId="17" xfId="2" applyNumberFormat="1" applyFont="1" applyBorder="1" applyAlignment="1"/>
    <xf numFmtId="164" fontId="169" fillId="0" borderId="17" xfId="1940" applyNumberFormat="1" applyFont="1" applyBorder="1" applyAlignment="1"/>
    <xf numFmtId="169" fontId="169" fillId="0" borderId="15" xfId="2" applyNumberFormat="1" applyFont="1" applyBorder="1" applyAlignment="1" applyProtection="1">
      <alignment horizontal="right"/>
      <protection locked="0"/>
    </xf>
    <xf numFmtId="175" fontId="170" fillId="0" borderId="15" xfId="2" applyNumberFormat="1"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174" fontId="169" fillId="0" borderId="0" xfId="2" quotePrefix="1" applyNumberFormat="1" applyFont="1" applyBorder="1" applyAlignment="1">
      <alignment horizontal="right"/>
    </xf>
    <xf numFmtId="175" fontId="170" fillId="0" borderId="0" xfId="2" applyNumberFormat="1"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70" fillId="0" borderId="0" xfId="2" quotePrefix="1" applyNumberFormat="1" applyFont="1" applyAlignment="1"/>
    <xf numFmtId="170" fontId="170" fillId="0" borderId="0" xfId="2" quotePrefix="1" applyNumberFormat="1" applyFont="1" applyBorder="1" applyAlignment="1"/>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2" xfId="2" applyNumberFormat="1" applyFont="1" applyBorder="1" applyAlignment="1"/>
    <xf numFmtId="166" fontId="169" fillId="0" borderId="0" xfId="2" applyNumberFormat="1" applyFont="1" applyBorder="1" applyAlignment="1">
      <alignment horizontal="right"/>
    </xf>
    <xf numFmtId="164" fontId="169" fillId="0" borderId="72" xfId="1940" applyNumberFormat="1" applyFont="1" applyBorder="1" applyAlignment="1"/>
    <xf numFmtId="170" fontId="169" fillId="0" borderId="0" xfId="2" applyNumberFormat="1" applyFont="1" applyBorder="1" applyAlignment="1"/>
    <xf numFmtId="174" fontId="169" fillId="0" borderId="35" xfId="2"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169" fillId="0" borderId="0" xfId="2" applyNumberFormat="1" applyFont="1" applyAlignment="1">
      <alignment horizontal="center"/>
    </xf>
    <xf numFmtId="0" fontId="169" fillId="0" borderId="10" xfId="2" applyNumberFormat="1" applyFont="1" applyBorder="1" applyAlignment="1">
      <alignment horizontal="center"/>
    </xf>
    <xf numFmtId="174" fontId="169" fillId="0" borderId="20" xfId="2" quotePrefix="1" applyNumberFormat="1" applyFont="1" applyBorder="1" applyAlignment="1">
      <alignment horizontal="right"/>
    </xf>
    <xf numFmtId="174" fontId="169" fillId="0" borderId="24" xfId="2" applyNumberFormat="1" applyFont="1" applyBorder="1" applyAlignment="1" applyProtection="1">
      <protection locked="0"/>
    </xf>
    <xf numFmtId="174" fontId="169" fillId="0" borderId="0" xfId="2" applyNumberFormat="1" applyFont="1" applyBorder="1" applyAlignment="1" applyProtection="1">
      <protection locked="0"/>
    </xf>
    <xf numFmtId="175" fontId="170" fillId="0" borderId="24" xfId="2" applyNumberFormat="1" applyFont="1" applyBorder="1" applyAlignment="1" applyProtection="1">
      <protection locked="0"/>
    </xf>
    <xf numFmtId="175" fontId="170" fillId="0" borderId="0" xfId="2" applyNumberFormat="1" applyFont="1" applyAlignment="1" applyProtection="1">
      <protection locked="0"/>
    </xf>
    <xf numFmtId="170" fontId="170" fillId="0" borderId="67" xfId="2" quotePrefix="1" applyNumberFormat="1" applyFont="1" applyBorder="1" applyAlignment="1"/>
    <xf numFmtId="170" fontId="170" fillId="0" borderId="24" xfId="2" applyNumberFormat="1" applyFont="1" applyBorder="1" applyAlignment="1" applyProtection="1">
      <protection locked="0"/>
    </xf>
    <xf numFmtId="170" fontId="170" fillId="0" borderId="0" xfId="2" applyNumberFormat="1" applyFont="1" applyAlignment="1" applyProtection="1">
      <protection locked="0"/>
    </xf>
    <xf numFmtId="170" fontId="170" fillId="0" borderId="10" xfId="2" quotePrefix="1" applyNumberFormat="1" applyFont="1" applyBorder="1" applyAlignment="1">
      <alignment horizontal="right"/>
    </xf>
    <xf numFmtId="170" fontId="169" fillId="0" borderId="24" xfId="2" applyNumberFormat="1" applyFont="1" applyBorder="1" applyAlignment="1" applyProtection="1">
      <protection locked="0"/>
    </xf>
    <xf numFmtId="170" fontId="169" fillId="0" borderId="21" xfId="2" applyNumberFormat="1" applyFont="1" applyBorder="1" applyAlignment="1" applyProtection="1">
      <protection locked="0"/>
    </xf>
    <xf numFmtId="170" fontId="170" fillId="0" borderId="20" xfId="2" applyNumberFormat="1" applyFont="1" applyBorder="1" applyAlignment="1"/>
    <xf numFmtId="170" fontId="170" fillId="0" borderId="0" xfId="2" applyNumberFormat="1" applyFont="1" applyBorder="1" applyAlignment="1" applyProtection="1">
      <protection locked="0"/>
    </xf>
    <xf numFmtId="170" fontId="170" fillId="0" borderId="24" xfId="2" applyNumberFormat="1" applyFont="1" applyBorder="1" applyAlignment="1" applyProtection="1">
      <alignment horizontal="center"/>
      <protection locked="0"/>
    </xf>
    <xf numFmtId="170" fontId="170" fillId="0" borderId="0" xfId="2" applyNumberFormat="1" applyFont="1" applyAlignment="1" applyProtection="1">
      <alignment horizontal="center"/>
      <protection locked="0"/>
    </xf>
    <xf numFmtId="170" fontId="169" fillId="0" borderId="10" xfId="2" quotePrefix="1" applyNumberFormat="1" applyFont="1" applyBorder="1" applyAlignment="1">
      <alignment horizontal="right"/>
    </xf>
    <xf numFmtId="170" fontId="169" fillId="0" borderId="0" xfId="2" applyNumberFormat="1" applyFont="1" applyBorder="1" applyAlignment="1" applyProtection="1">
      <protection locked="0"/>
    </xf>
    <xf numFmtId="170" fontId="170" fillId="0" borderId="24" xfId="2" applyNumberFormat="1" applyFont="1" applyBorder="1" applyAlignment="1">
      <alignment horizontal="center"/>
    </xf>
    <xf numFmtId="170" fontId="170" fillId="0" borderId="0" xfId="2" applyNumberFormat="1" applyFont="1" applyBorder="1" applyAlignment="1">
      <alignment horizontal="center"/>
    </xf>
    <xf numFmtId="170" fontId="169" fillId="0" borderId="20" xfId="2" quotePrefix="1" applyNumberFormat="1" applyFont="1" applyBorder="1" applyAlignment="1">
      <alignment horizontal="center"/>
    </xf>
    <xf numFmtId="170" fontId="169" fillId="0" borderId="24" xfId="2" applyNumberFormat="1" applyFont="1" applyBorder="1" applyAlignment="1" applyProtection="1">
      <alignment horizontal="right"/>
      <protection locked="0"/>
    </xf>
    <xf numFmtId="170" fontId="169" fillId="0" borderId="0" xfId="2" applyNumberFormat="1" applyFont="1" applyBorder="1" applyAlignment="1" applyProtection="1">
      <alignment horizontal="right"/>
      <protection locked="0"/>
    </xf>
    <xf numFmtId="170" fontId="169" fillId="0" borderId="18" xfId="2" applyNumberFormat="1" applyFont="1" applyBorder="1" applyAlignment="1"/>
    <xf numFmtId="174" fontId="169" fillId="0" borderId="20" xfId="2" applyNumberFormat="1" applyFont="1" applyBorder="1" applyAlignment="1"/>
    <xf numFmtId="174" fontId="169" fillId="0" borderId="18" xfId="2" applyNumberFormat="1" applyFont="1" applyBorder="1" applyAlignment="1"/>
    <xf numFmtId="166" fontId="170"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68"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0"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7" xfId="2" applyNumberFormat="1" applyFont="1" applyBorder="1" applyAlignment="1"/>
    <xf numFmtId="37" fontId="43" fillId="0" borderId="67" xfId="2" applyNumberFormat="1" applyFont="1" applyBorder="1" applyAlignment="1">
      <alignment horizontal="centerContinuous"/>
    </xf>
    <xf numFmtId="166" fontId="55" fillId="0" borderId="67" xfId="0" applyNumberFormat="1" applyFont="1" applyFill="1" applyBorder="1" applyAlignment="1"/>
    <xf numFmtId="165" fontId="39" fillId="0" borderId="67"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8"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79" xfId="2" applyNumberFormat="1" applyFont="1" applyBorder="1" applyAlignment="1"/>
    <xf numFmtId="37" fontId="43" fillId="0" borderId="27" xfId="2" applyNumberFormat="1" applyFont="1" applyBorder="1" applyAlignment="1"/>
    <xf numFmtId="37" fontId="43" fillId="0" borderId="80" xfId="2" applyNumberFormat="1" applyFont="1" applyBorder="1" applyAlignment="1">
      <alignment horizontal="center"/>
    </xf>
    <xf numFmtId="37" fontId="43" fillId="0" borderId="67"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187" fontId="43" fillId="0" borderId="51" xfId="1767" applyNumberFormat="1" applyFont="1" applyBorder="1" applyAlignment="1" applyProtection="1">
      <alignment horizontal="center"/>
      <protection locked="0"/>
    </xf>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36" fillId="0" borderId="0" xfId="1767" applyNumberFormat="1" applyFont="1" applyFill="1" applyAlignment="1" applyProtection="1"/>
    <xf numFmtId="0" fontId="97" fillId="0" borderId="0" xfId="1767" applyNumberFormat="1" applyFont="1" applyFill="1" applyAlignment="1" applyProtection="1"/>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Alignment="1">
      <alignment horizontal="right"/>
    </xf>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7"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8"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7"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7" xfId="1776" applyNumberFormat="1" applyFont="1" applyFill="1" applyBorder="1" applyAlignment="1"/>
    <xf numFmtId="43" fontId="43" fillId="0" borderId="67"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7" xfId="1776" applyNumberFormat="1" applyFont="1" applyFill="1" applyBorder="1" applyAlignment="1" applyProtection="1">
      <alignment horizontal="right"/>
    </xf>
    <xf numFmtId="43" fontId="36" fillId="0" borderId="18" xfId="1776" applyNumberFormat="1" applyFont="1" applyBorder="1" applyAlignment="1"/>
    <xf numFmtId="43" fontId="43" fillId="0" borderId="67"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7"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7"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7"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191" fontId="0" fillId="0" borderId="0" xfId="0" applyNumberFormat="1"/>
    <xf numFmtId="164" fontId="0" fillId="0" borderId="0" xfId="0" applyNumberFormat="1"/>
    <xf numFmtId="0" fontId="0" fillId="0" borderId="0" xfId="0" applyNumberFormat="1" applyAlignment="1"/>
    <xf numFmtId="0" fontId="48" fillId="0" borderId="0" xfId="1798" applyFont="1" applyAlignment="1">
      <alignment horizontal="left"/>
    </xf>
    <xf numFmtId="0" fontId="97" fillId="0" borderId="0" xfId="1798" applyFont="1"/>
    <xf numFmtId="0" fontId="48" fillId="0" borderId="0" xfId="1798" applyFont="1"/>
    <xf numFmtId="189" fontId="48" fillId="0" borderId="0" xfId="1798" applyNumberFormat="1" applyFont="1" applyBorder="1" applyAlignment="1"/>
    <xf numFmtId="189" fontId="48" fillId="0" borderId="0" xfId="1798" quotePrefix="1" applyNumberFormat="1" applyFont="1" applyAlignment="1">
      <alignment horizontal="right"/>
    </xf>
    <xf numFmtId="3" fontId="48" fillId="0" borderId="0" xfId="1798" quotePrefix="1" applyNumberFormat="1" applyFont="1" applyAlignment="1"/>
    <xf numFmtId="3" fontId="48" fillId="0" borderId="0" xfId="1798" quotePrefix="1" applyNumberFormat="1" applyFont="1" applyAlignment="1">
      <alignment horizontal="right"/>
    </xf>
    <xf numFmtId="3" fontId="48" fillId="0" borderId="0" xfId="1798" quotePrefix="1" applyNumberFormat="1" applyFont="1" applyAlignment="1">
      <alignment horizontal="center"/>
    </xf>
    <xf numFmtId="3" fontId="48" fillId="0" borderId="0" xfId="1798" quotePrefix="1" applyNumberFormat="1" applyFont="1" applyBorder="1" applyAlignment="1"/>
    <xf numFmtId="0" fontId="97" fillId="0" borderId="0" xfId="1798" applyFont="1" applyBorder="1"/>
    <xf numFmtId="3" fontId="48" fillId="0" borderId="0" xfId="1798" quotePrefix="1" applyNumberFormat="1" applyFont="1" applyBorder="1" applyAlignment="1">
      <alignment horizontal="center"/>
    </xf>
    <xf numFmtId="189" fontId="48" fillId="0" borderId="0" xfId="1798" applyNumberFormat="1" applyFont="1" applyBorder="1"/>
    <xf numFmtId="164" fontId="36" fillId="0" borderId="67"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7" xfId="2" quotePrefix="1" applyNumberFormat="1" applyFont="1" applyFill="1" applyBorder="1" applyAlignment="1">
      <alignment horizontal="center"/>
    </xf>
    <xf numFmtId="170" fontId="38" fillId="0" borderId="67" xfId="2" applyNumberFormat="1" applyFont="1" applyFill="1" applyBorder="1" applyAlignment="1"/>
    <xf numFmtId="174" fontId="41" fillId="0" borderId="0" xfId="4" applyNumberFormat="1" applyFont="1" applyFill="1"/>
    <xf numFmtId="0" fontId="113" fillId="0" borderId="0" xfId="1798" applyFont="1" applyAlignment="1">
      <alignment horizontal="center"/>
    </xf>
    <xf numFmtId="0" fontId="113" fillId="0" borderId="0" xfId="1798" applyFont="1" applyAlignment="1">
      <alignment horizontal="right"/>
    </xf>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0" fillId="0" borderId="67"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6" fillId="0" borderId="0" xfId="1776" applyNumberFormat="1" applyFont="1" applyFill="1" applyBorder="1" applyAlignment="1">
      <alignment horizontal="center"/>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7" xfId="0" applyNumberFormat="1" applyFont="1" applyFill="1" applyBorder="1" applyAlignment="1">
      <alignment horizontal="center"/>
    </xf>
    <xf numFmtId="174" fontId="43" fillId="0" borderId="0" xfId="6" applyNumberFormat="1" applyFont="1" applyFill="1" applyBorder="1" applyAlignment="1"/>
    <xf numFmtId="172" fontId="169"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7"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95" fontId="36" fillId="0" borderId="0" xfId="2" applyNumberFormat="1" applyFont="1" applyAlignment="1"/>
    <xf numFmtId="170" fontId="36" fillId="0" borderId="47" xfId="2" applyNumberFormat="1" applyFont="1" applyBorder="1" applyAlignment="1"/>
    <xf numFmtId="170" fontId="38" fillId="0" borderId="81" xfId="4" applyNumberFormat="1" applyFont="1" applyFill="1" applyBorder="1"/>
    <xf numFmtId="164" fontId="43" fillId="0" borderId="0" xfId="2" applyNumberFormat="1" applyFont="1" applyAlignment="1" applyProtection="1">
      <protection locked="0"/>
    </xf>
    <xf numFmtId="175" fontId="38" fillId="0" borderId="81"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1" xfId="4" applyNumberFormat="1" applyFont="1" applyFill="1" applyBorder="1"/>
    <xf numFmtId="170" fontId="43" fillId="0" borderId="45" xfId="5" applyNumberFormat="1" applyFont="1" applyFill="1" applyBorder="1"/>
    <xf numFmtId="0" fontId="43" fillId="0" borderId="0" xfId="2" applyNumberFormat="1" applyFont="1" applyAlignment="1">
      <alignment horizontal="left"/>
    </xf>
    <xf numFmtId="174" fontId="165" fillId="0" borderId="13" xfId="2" applyNumberFormat="1" applyFont="1" applyFill="1" applyBorder="1" applyAlignment="1"/>
    <xf numFmtId="174" fontId="165" fillId="0" borderId="21" xfId="2" applyNumberFormat="1" applyFont="1" applyFill="1" applyBorder="1" applyAlignment="1"/>
    <xf numFmtId="174" fontId="165" fillId="0" borderId="0" xfId="2" applyNumberFormat="1" applyFont="1" applyFill="1" applyBorder="1"/>
    <xf numFmtId="174" fontId="166"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7"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7"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72" fontId="43" fillId="0" borderId="67" xfId="0" applyNumberFormat="1" applyFont="1" applyBorder="1" applyAlignment="1" applyProtection="1">
      <protection locked="0"/>
    </xf>
    <xf numFmtId="164" fontId="61" fillId="0" borderId="0" xfId="1940" applyNumberFormat="1" applyFont="1" applyAlignment="1"/>
    <xf numFmtId="170" fontId="66" fillId="0" borderId="67" xfId="2" applyNumberFormat="1" applyFont="1" applyBorder="1" applyAlignment="1"/>
    <xf numFmtId="170" fontId="61" fillId="0" borderId="67" xfId="2" applyNumberFormat="1" applyFont="1" applyBorder="1" applyAlignment="1"/>
    <xf numFmtId="164" fontId="36" fillId="0" borderId="67" xfId="1940" applyNumberFormat="1" applyFont="1" applyBorder="1" applyAlignment="1"/>
    <xf numFmtId="39" fontId="36" fillId="0" borderId="0" xfId="2" applyNumberFormat="1" applyFont="1" applyBorder="1"/>
    <xf numFmtId="170" fontId="36" fillId="0" borderId="21" xfId="2" applyNumberFormat="1" applyFont="1" applyFill="1" applyBorder="1" applyAlignment="1"/>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172" fontId="36" fillId="0" borderId="0" xfId="0" applyNumberFormat="1" applyFont="1" applyBorder="1" applyAlignment="1" applyProtection="1">
      <protection locked="0"/>
    </xf>
    <xf numFmtId="170" fontId="38" fillId="0" borderId="10" xfId="2" applyNumberFormat="1" applyFont="1" applyFill="1" applyBorder="1" applyAlignment="1">
      <alignment horizontal="right"/>
    </xf>
    <xf numFmtId="0" fontId="66" fillId="0" borderId="0" xfId="2" applyNumberFormat="1" applyFont="1" applyFill="1" applyAlignment="1" applyProtection="1">
      <alignment horizontal="left" vertical="justify"/>
      <protection locked="0"/>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7"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2"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7" xfId="2" applyNumberFormat="1" applyFont="1" applyBorder="1" applyAlignment="1" applyProtection="1"/>
    <xf numFmtId="164" fontId="43" fillId="0" borderId="82"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7"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7"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7"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7"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7"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0"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2" fontId="43" fillId="0" borderId="35" xfId="2" applyNumberFormat="1" applyFont="1" applyBorder="1" applyAlignment="1"/>
    <xf numFmtId="170" fontId="0" fillId="0" borderId="0" xfId="0" applyNumberFormat="1" applyAlignment="1" applyProtection="1">
      <alignment horizontal="right"/>
      <protection locked="0"/>
    </xf>
    <xf numFmtId="172" fontId="169" fillId="0" borderId="35" xfId="1940" applyNumberFormat="1" applyFont="1" applyBorder="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65" fontId="36" fillId="0" borderId="0" xfId="2" quotePrefix="1" applyNumberFormat="1" applyFont="1" applyAlignment="1">
      <alignment horizontal="left"/>
    </xf>
    <xf numFmtId="170" fontId="38" fillId="0" borderId="85" xfId="2" applyNumberFormat="1" applyFont="1" applyFill="1" applyBorder="1" applyAlignment="1"/>
    <xf numFmtId="170" fontId="38" fillId="0" borderId="85" xfId="2" applyNumberFormat="1" applyFont="1" applyBorder="1" applyAlignment="1">
      <alignment horizontal="center"/>
    </xf>
    <xf numFmtId="195" fontId="0" fillId="0" borderId="0" xfId="2" applyNumberFormat="1" applyFont="1" applyAlignment="1"/>
    <xf numFmtId="0" fontId="165" fillId="0" borderId="0" xfId="2" applyNumberFormat="1" applyFont="1" applyAlignment="1"/>
    <xf numFmtId="0" fontId="36" fillId="0" borderId="0" xfId="1776" applyFont="1" applyAlignment="1"/>
    <xf numFmtId="0" fontId="36" fillId="0" borderId="0" xfId="1776" applyFill="1" applyAlignment="1"/>
    <xf numFmtId="170" fontId="36" fillId="0" borderId="85" xfId="2" applyNumberFormat="1" applyFont="1" applyFill="1" applyBorder="1" applyAlignment="1"/>
    <xf numFmtId="170" fontId="38" fillId="0" borderId="85" xfId="4" applyNumberFormat="1" applyFont="1" applyFill="1" applyBorder="1"/>
    <xf numFmtId="170" fontId="43" fillId="0" borderId="43" xfId="2" applyNumberFormat="1" applyFont="1" applyFill="1" applyBorder="1" applyAlignment="1"/>
    <xf numFmtId="170" fontId="43" fillId="0" borderId="43" xfId="2" applyNumberFormat="1" applyFont="1" applyBorder="1" applyAlignment="1"/>
    <xf numFmtId="170" fontId="36" fillId="0" borderId="67"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7"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70" fontId="0" fillId="0" borderId="84" xfId="2" applyNumberFormat="1" applyFont="1" applyBorder="1" applyAlignment="1">
      <alignment horizontal="center"/>
    </xf>
    <xf numFmtId="170" fontId="0" fillId="0" borderId="0" xfId="2" applyNumberFormat="1" applyFont="1" applyAlignment="1">
      <alignment horizontal="center"/>
    </xf>
    <xf numFmtId="170" fontId="179" fillId="0" borderId="0" xfId="2" applyNumberFormat="1" applyFont="1" applyAlignment="1"/>
    <xf numFmtId="170" fontId="179" fillId="0" borderId="67" xfId="2" applyNumberFormat="1" applyFont="1" applyBorder="1" applyAlignment="1"/>
    <xf numFmtId="170" fontId="179" fillId="0" borderId="0" xfId="2" applyNumberFormat="1" applyFont="1" applyAlignment="1">
      <alignment horizontal="center"/>
    </xf>
    <xf numFmtId="170" fontId="179" fillId="0" borderId="67" xfId="2" applyNumberFormat="1" applyFont="1" applyBorder="1" applyAlignment="1">
      <alignment horizontal="center"/>
    </xf>
    <xf numFmtId="198"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56" fillId="0" borderId="0" xfId="5488" applyNumberFormat="1" applyFont="1" applyFill="1" applyAlignment="1">
      <alignment horizontal="right"/>
    </xf>
    <xf numFmtId="41" fontId="156" fillId="0" borderId="0" xfId="5488" applyNumberFormat="1" applyFont="1" applyFill="1" applyAlignment="1">
      <alignment horizontal="right"/>
    </xf>
    <xf numFmtId="172" fontId="43" fillId="0" borderId="0" xfId="0" applyNumberFormat="1" applyFont="1" applyBorder="1" applyAlignment="1" applyProtection="1"/>
    <xf numFmtId="172" fontId="43" fillId="0" borderId="0" xfId="0" applyNumberFormat="1" applyFont="1" applyBorder="1" applyAlignment="1" applyProtection="1">
      <protection locked="0"/>
    </xf>
    <xf numFmtId="166" fontId="36" fillId="35" borderId="0" xfId="0" applyNumberFormat="1" applyFont="1" applyFill="1" applyBorder="1" applyAlignment="1">
      <alignment horizontal="left"/>
    </xf>
    <xf numFmtId="41" fontId="48" fillId="0" borderId="0" xfId="1798" applyNumberFormat="1" applyFont="1" applyBorder="1" applyAlignment="1">
      <alignment horizontal="center"/>
    </xf>
    <xf numFmtId="42" fontId="113" fillId="0" borderId="0" xfId="8" applyNumberFormat="1" applyFont="1" applyBorder="1"/>
    <xf numFmtId="0" fontId="97" fillId="0" borderId="0" xfId="8" applyFont="1"/>
    <xf numFmtId="0" fontId="139" fillId="0" borderId="0" xfId="8" applyFont="1" applyAlignment="1">
      <alignment horizontal="left"/>
    </xf>
    <xf numFmtId="0" fontId="139" fillId="0" borderId="0" xfId="8" applyFont="1"/>
    <xf numFmtId="0" fontId="36" fillId="0" borderId="0" xfId="8" applyFont="1"/>
    <xf numFmtId="0" fontId="36" fillId="0" borderId="0" xfId="8" applyFont="1" applyAlignment="1"/>
    <xf numFmtId="0" fontId="139" fillId="0" borderId="0" xfId="8" applyFont="1" applyAlignment="1"/>
    <xf numFmtId="3" fontId="48" fillId="0" borderId="0" xfId="8" quotePrefix="1" applyNumberFormat="1" applyFont="1" applyAlignment="1">
      <alignment horizontal="righ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7"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84"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7" xfId="0" applyNumberFormat="1" applyFont="1" applyBorder="1" applyAlignment="1">
      <alignment horizontal="centerContinuous"/>
    </xf>
    <xf numFmtId="165" fontId="36" fillId="0" borderId="67" xfId="0" applyNumberFormat="1" applyFont="1" applyBorder="1" applyAlignment="1">
      <alignment horizontal="centerContinuous"/>
    </xf>
    <xf numFmtId="165" fontId="43" fillId="0" borderId="67" xfId="0" quotePrefix="1" applyNumberFormat="1" applyFont="1" applyBorder="1" applyAlignment="1"/>
    <xf numFmtId="165" fontId="36" fillId="0" borderId="67" xfId="0" applyNumberFormat="1" applyFont="1" applyBorder="1" applyAlignment="1"/>
    <xf numFmtId="165" fontId="43" fillId="0" borderId="84" xfId="0" applyNumberFormat="1" applyFont="1" applyBorder="1" applyAlignment="1">
      <alignment horizontal="center"/>
    </xf>
    <xf numFmtId="165" fontId="43" fillId="0" borderId="84" xfId="0" quotePrefix="1" applyNumberFormat="1" applyFont="1" applyBorder="1" applyAlignment="1" applyProtection="1">
      <alignment horizontal="center"/>
      <protection locked="0"/>
    </xf>
    <xf numFmtId="0" fontId="43" fillId="0" borderId="84" xfId="0" applyNumberFormat="1" applyFont="1" applyBorder="1" applyAlignment="1" applyProtection="1">
      <alignment horizontal="center"/>
      <protection locked="0"/>
    </xf>
    <xf numFmtId="165" fontId="43" fillId="0" borderId="84" xfId="0" applyNumberFormat="1" applyFont="1" applyBorder="1" applyAlignment="1" applyProtection="1">
      <alignment horizontal="center"/>
    </xf>
    <xf numFmtId="0" fontId="43" fillId="0" borderId="84"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6" xfId="0" applyNumberFormat="1" applyFont="1" applyBorder="1" applyAlignment="1">
      <alignment horizontal="center"/>
    </xf>
    <xf numFmtId="165" fontId="43" fillId="0" borderId="84" xfId="0" quotePrefix="1" applyNumberFormat="1" applyFont="1" applyBorder="1" applyAlignment="1">
      <alignment horizontal="center"/>
    </xf>
    <xf numFmtId="0" fontId="43" fillId="0" borderId="84" xfId="0" applyNumberFormat="1" applyFont="1" applyBorder="1" applyAlignment="1">
      <alignment horizontal="center"/>
    </xf>
    <xf numFmtId="0" fontId="43" fillId="0" borderId="67"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7"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4"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7" xfId="0" applyNumberFormat="1" applyFont="1" applyBorder="1" applyAlignment="1" applyProtection="1"/>
    <xf numFmtId="170" fontId="36" fillId="0" borderId="67" xfId="0" quotePrefix="1" applyNumberFormat="1" applyFont="1" applyBorder="1" applyAlignment="1" applyProtection="1"/>
    <xf numFmtId="164" fontId="63" fillId="0" borderId="67" xfId="0" quotePrefix="1" applyNumberFormat="1" applyFont="1" applyBorder="1" applyAlignment="1" applyProtection="1">
      <alignment horizontal="right"/>
    </xf>
    <xf numFmtId="170" fontId="43" fillId="0" borderId="87"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4"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7" xfId="0" quotePrefix="1" applyNumberFormat="1" applyFont="1" applyBorder="1" applyAlignment="1" applyProtection="1"/>
    <xf numFmtId="164" fontId="64" fillId="0" borderId="67"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4" xfId="0" quotePrefix="1" applyNumberFormat="1" applyFont="1" applyBorder="1" applyAlignment="1" applyProtection="1">
      <alignment horizontal="center"/>
    </xf>
    <xf numFmtId="170" fontId="36" fillId="0" borderId="84"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4" xfId="0" quotePrefix="1" applyNumberFormat="1" applyFont="1" applyBorder="1" applyAlignment="1" applyProtection="1">
      <alignment horizontal="right"/>
    </xf>
    <xf numFmtId="164" fontId="63" fillId="0" borderId="67" xfId="0" applyNumberFormat="1" applyFont="1" applyBorder="1" applyAlignment="1" applyProtection="1"/>
    <xf numFmtId="0" fontId="43" fillId="0" borderId="0" xfId="0" quotePrefix="1" applyNumberFormat="1" applyFont="1" applyAlignment="1">
      <alignment horizontal="left"/>
    </xf>
    <xf numFmtId="170" fontId="43" fillId="0" borderId="84" xfId="0" applyNumberFormat="1" applyFont="1" applyBorder="1" applyAlignment="1" applyProtection="1"/>
    <xf numFmtId="170" fontId="43" fillId="0" borderId="88" xfId="0" applyNumberFormat="1" applyFont="1" applyBorder="1" applyAlignment="1" applyProtection="1"/>
    <xf numFmtId="164" fontId="64" fillId="0" borderId="88" xfId="0" applyNumberFormat="1" applyFont="1" applyBorder="1" applyAlignment="1" applyProtection="1"/>
    <xf numFmtId="170" fontId="36" fillId="0" borderId="84" xfId="0" applyNumberFormat="1" applyFont="1" applyBorder="1" applyAlignment="1" applyProtection="1"/>
    <xf numFmtId="170" fontId="36" fillId="0" borderId="84" xfId="0" applyNumberFormat="1" applyFont="1" applyBorder="1" applyAlignment="1"/>
    <xf numFmtId="170" fontId="36" fillId="0" borderId="84"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4" xfId="0" applyNumberFormat="1" applyFont="1" applyBorder="1" applyAlignment="1"/>
    <xf numFmtId="170" fontId="43" fillId="0" borderId="84" xfId="0" quotePrefix="1" applyNumberFormat="1" applyFont="1" applyBorder="1" applyAlignment="1" applyProtection="1">
      <alignment horizontal="center"/>
    </xf>
    <xf numFmtId="170" fontId="43" fillId="0" borderId="88"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4" xfId="0" quotePrefix="1" applyNumberFormat="1" applyFont="1" applyBorder="1" applyAlignment="1" applyProtection="1"/>
    <xf numFmtId="166" fontId="43" fillId="0" borderId="84" xfId="0" applyNumberFormat="1" applyFont="1" applyBorder="1" applyAlignment="1" applyProtection="1"/>
    <xf numFmtId="166" fontId="43" fillId="0" borderId="84" xfId="0" applyNumberFormat="1" applyFont="1" applyBorder="1" applyAlignment="1"/>
    <xf numFmtId="166" fontId="43" fillId="0" borderId="84"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6" xfId="0" applyNumberFormat="1" applyFont="1" applyBorder="1" applyAlignment="1" applyProtection="1"/>
    <xf numFmtId="164" fontId="64" fillId="0" borderId="86" xfId="0" applyNumberFormat="1" applyFont="1" applyBorder="1" applyAlignment="1" applyProtection="1"/>
    <xf numFmtId="174" fontId="43" fillId="0" borderId="83"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7" xfId="1940" applyNumberFormat="1" applyFont="1" applyBorder="1" applyAlignment="1"/>
    <xf numFmtId="172" fontId="36" fillId="0" borderId="0" xfId="1940" applyNumberFormat="1" applyFont="1" applyBorder="1" applyAlignment="1" applyProtection="1"/>
    <xf numFmtId="0" fontId="185" fillId="0" borderId="0" xfId="9967"/>
    <xf numFmtId="187" fontId="42" fillId="0" borderId="67" xfId="9967" applyNumberFormat="1" applyFont="1" applyFill="1" applyBorder="1" applyAlignment="1">
      <alignment horizontal="center"/>
    </xf>
    <xf numFmtId="0" fontId="41" fillId="0" borderId="0" xfId="9967" applyNumberFormat="1" applyFont="1" applyFill="1"/>
    <xf numFmtId="0" fontId="41" fillId="0" borderId="0" xfId="9967" applyNumberFormat="1" applyFont="1" applyFill="1" applyAlignment="1">
      <alignment horizontal="right"/>
    </xf>
    <xf numFmtId="0" fontId="41" fillId="0" borderId="0" xfId="9967" applyNumberFormat="1" applyFont="1" applyAlignment="1"/>
    <xf numFmtId="0" fontId="41" fillId="0" borderId="0" xfId="9967" applyNumberFormat="1" applyFont="1" applyFill="1" applyAlignment="1">
      <alignment horizontal="center"/>
    </xf>
    <xf numFmtId="0" fontId="42" fillId="0" borderId="67" xfId="9967" applyNumberFormat="1" applyFont="1" applyFill="1" applyBorder="1" applyAlignment="1">
      <alignment horizontal="center"/>
    </xf>
    <xf numFmtId="0" fontId="42" fillId="0" borderId="67" xfId="9967" applyNumberFormat="1" applyFont="1" applyBorder="1" applyAlignment="1">
      <alignment horizontal="center"/>
    </xf>
    <xf numFmtId="0" fontId="41" fillId="0" borderId="94" xfId="9967" applyNumberFormat="1" applyFont="1" applyFill="1" applyBorder="1"/>
    <xf numFmtId="0" fontId="42" fillId="0" borderId="67" xfId="9967" applyNumberFormat="1" applyFont="1" applyFill="1" applyBorder="1" applyAlignment="1">
      <alignment horizontal="centerContinuous"/>
    </xf>
    <xf numFmtId="0" fontId="42" fillId="0" borderId="0" xfId="9967" applyNumberFormat="1" applyFont="1" applyFill="1" applyAlignment="1">
      <alignment horizontal="center"/>
    </xf>
    <xf numFmtId="43" fontId="42" fillId="0" borderId="0" xfId="9967" applyNumberFormat="1" applyFont="1" applyFill="1" applyAlignment="1">
      <alignment horizontal="center"/>
    </xf>
    <xf numFmtId="0" fontId="41" fillId="0" borderId="74" xfId="9967" applyNumberFormat="1" applyFont="1" applyFill="1" applyBorder="1"/>
    <xf numFmtId="0" fontId="42" fillId="0" borderId="0" xfId="9967" quotePrefix="1" applyNumberFormat="1" applyFont="1" applyFill="1" applyAlignment="1">
      <alignment horizontal="center"/>
    </xf>
    <xf numFmtId="0" fontId="42" fillId="0" borderId="67" xfId="9967" quotePrefix="1" applyNumberFormat="1" applyFont="1" applyFill="1" applyBorder="1" applyAlignment="1">
      <alignment horizontal="center"/>
    </xf>
    <xf numFmtId="43" fontId="41" fillId="0" borderId="0" xfId="5497" quotePrefix="1" applyFont="1" applyFill="1" applyAlignment="1">
      <alignment horizontal="right"/>
    </xf>
    <xf numFmtId="43" fontId="41" fillId="0" borderId="0" xfId="5497" applyFont="1" applyFill="1" applyAlignment="1">
      <alignment horizontal="right"/>
    </xf>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7" xfId="5517" quotePrefix="1" applyNumberFormat="1" applyFont="1" applyBorder="1" applyAlignment="1">
      <alignment horizontal="center"/>
    </xf>
    <xf numFmtId="170" fontId="36" fillId="0" borderId="67" xfId="5517" applyNumberFormat="1" applyFont="1" applyFill="1" applyBorder="1"/>
    <xf numFmtId="170" fontId="36" fillId="0" borderId="67" xfId="1046" applyNumberFormat="1" applyFont="1" applyFill="1" applyBorder="1"/>
    <xf numFmtId="187" fontId="42" fillId="0" borderId="70"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0" fontId="189" fillId="0" borderId="0" xfId="8" applyFont="1"/>
    <xf numFmtId="0" fontId="186" fillId="0" borderId="0" xfId="8" applyFont="1"/>
    <xf numFmtId="0" fontId="190" fillId="0" borderId="0" xfId="8" applyFont="1"/>
    <xf numFmtId="0" fontId="148" fillId="0" borderId="0" xfId="1028" quotePrefix="1" applyNumberFormat="1" applyFont="1" applyFill="1" applyAlignment="1">
      <alignment horizontal="right"/>
    </xf>
    <xf numFmtId="4" fontId="43" fillId="0" borderId="0" xfId="1028" quotePrefix="1" applyNumberFormat="1" applyFont="1" applyFill="1" applyBorder="1" applyAlignment="1">
      <alignment horizontal="left"/>
    </xf>
    <xf numFmtId="0" fontId="66" fillId="0" borderId="0" xfId="2" applyNumberFormat="1" applyFont="1" applyFill="1" applyAlignment="1" applyProtection="1">
      <alignment vertical="justify"/>
      <protection locked="0"/>
    </xf>
    <xf numFmtId="0" fontId="43" fillId="0" borderId="0" xfId="2" applyNumberFormat="1" applyFont="1" applyAlignment="1">
      <alignment horizontal="left"/>
    </xf>
    <xf numFmtId="170" fontId="43" fillId="0" borderId="96" xfId="2" applyNumberFormat="1" applyFont="1" applyBorder="1" applyAlignment="1"/>
    <xf numFmtId="0" fontId="136" fillId="0" borderId="0" xfId="0" applyNumberFormat="1" applyFont="1"/>
    <xf numFmtId="0" fontId="1" fillId="0" borderId="0" xfId="0" applyNumberFormat="1" applyFont="1" applyAlignment="1"/>
    <xf numFmtId="0" fontId="1" fillId="0" borderId="0" xfId="0" applyNumberFormat="1" applyFont="1"/>
    <xf numFmtId="37" fontId="192" fillId="0" borderId="0" xfId="2" applyNumberFormat="1" applyFont="1" applyBorder="1" applyAlignment="1"/>
    <xf numFmtId="174" fontId="192" fillId="0" borderId="0" xfId="2" applyNumberFormat="1" applyFont="1"/>
    <xf numFmtId="170" fontId="47" fillId="0" borderId="0" xfId="2" applyNumberFormat="1" applyFont="1" applyAlignment="1"/>
    <xf numFmtId="170" fontId="148" fillId="0" borderId="67" xfId="2" applyNumberFormat="1" applyFont="1" applyBorder="1" applyAlignment="1"/>
    <xf numFmtId="170" fontId="47" fillId="0" borderId="20" xfId="2" applyNumberFormat="1" applyFont="1" applyBorder="1" applyAlignment="1"/>
    <xf numFmtId="170" fontId="148" fillId="0" borderId="20" xfId="2" applyNumberFormat="1" applyFont="1" applyBorder="1" applyAlignment="1"/>
    <xf numFmtId="170" fontId="148" fillId="0" borderId="0" xfId="2" applyNumberFormat="1" applyFont="1" applyBorder="1" applyAlignment="1"/>
    <xf numFmtId="170" fontId="47" fillId="0" borderId="0" xfId="2" applyNumberFormat="1" applyFont="1" applyBorder="1"/>
    <xf numFmtId="174" fontId="148"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67" fillId="0" borderId="0" xfId="0" applyNumberFormat="1" applyFont="1"/>
    <xf numFmtId="41" fontId="167" fillId="0" borderId="0" xfId="0" applyNumberFormat="1" applyFont="1" applyAlignment="1">
      <alignment horizontal="right" vertical="top"/>
    </xf>
    <xf numFmtId="0" fontId="110" fillId="0" borderId="0" xfId="0" applyNumberFormat="1" applyFont="1" applyAlignment="1">
      <alignment horizontal="center" vertical="top"/>
    </xf>
    <xf numFmtId="0" fontId="167" fillId="0" borderId="0" xfId="0" applyNumberFormat="1" applyFont="1" applyAlignment="1">
      <alignment horizontal="left" vertical="top" wrapText="1"/>
    </xf>
    <xf numFmtId="170" fontId="43" fillId="0" borderId="95"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5" xfId="0" quotePrefix="1" applyNumberFormat="1" applyFont="1" applyBorder="1" applyAlignment="1">
      <alignment horizontal="left"/>
    </xf>
    <xf numFmtId="170" fontId="43" fillId="0" borderId="95" xfId="0" applyNumberFormat="1" applyFont="1" applyBorder="1" applyAlignment="1"/>
    <xf numFmtId="174" fontId="43" fillId="0" borderId="95" xfId="0" applyNumberFormat="1" applyFont="1" applyBorder="1" applyAlignment="1"/>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Alignment="1">
      <alignment horizontal="right"/>
    </xf>
    <xf numFmtId="0" fontId="42" fillId="0" borderId="67"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41" fontId="42" fillId="0" borderId="0" xfId="0" applyNumberFormat="1" applyFont="1" applyFill="1" applyAlignment="1">
      <alignment horizontal="center"/>
    </xf>
    <xf numFmtId="191" fontId="41" fillId="0" borderId="0" xfId="0" applyNumberFormat="1" applyFont="1" applyFill="1" applyAlignment="1"/>
    <xf numFmtId="42" fontId="41" fillId="0" borderId="0" xfId="0" quotePrefix="1" applyNumberFormat="1" applyFont="1" applyFill="1" applyAlignment="1">
      <alignment horizontal="center"/>
    </xf>
    <xf numFmtId="41" fontId="41" fillId="0" borderId="0" xfId="0" quotePrefix="1" applyNumberFormat="1" applyFont="1" applyFill="1" applyAlignment="1">
      <alignment horizontal="center"/>
    </xf>
    <xf numFmtId="0" fontId="41" fillId="0" borderId="0" xfId="0" applyNumberFormat="1" applyFont="1" applyBorder="1" applyAlignment="1">
      <alignment horizontal="center" wrapText="1"/>
    </xf>
    <xf numFmtId="41" fontId="167" fillId="0" borderId="0" xfId="0" applyNumberFormat="1" applyFont="1" applyFill="1" applyAlignment="1"/>
    <xf numFmtId="191" fontId="167" fillId="0" borderId="0" xfId="0" applyNumberFormat="1" applyFont="1"/>
    <xf numFmtId="41" fontId="41" fillId="0" borderId="0" xfId="0" quotePrefix="1" applyNumberFormat="1" applyFont="1" applyFill="1" applyAlignment="1"/>
    <xf numFmtId="191" fontId="110" fillId="0" borderId="0" xfId="0" applyNumberFormat="1" applyFont="1" applyAlignment="1">
      <alignment horizontal="center" vertical="top"/>
    </xf>
    <xf numFmtId="191" fontId="167" fillId="0" borderId="0" xfId="0" applyNumberFormat="1" applyFont="1" applyAlignment="1"/>
    <xf numFmtId="41" fontId="110" fillId="0" borderId="0" xfId="0" applyNumberFormat="1" applyFont="1" applyAlignment="1">
      <alignment horizontal="right" vertical="top"/>
    </xf>
    <xf numFmtId="0" fontId="167"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0" fontId="167"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67" fillId="0" borderId="0" xfId="0" applyNumberFormat="1" applyFont="1" applyFill="1" applyBorder="1"/>
    <xf numFmtId="0" fontId="167"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191" fontId="110" fillId="0" borderId="86" xfId="0" applyNumberFormat="1" applyFont="1" applyBorder="1" applyAlignment="1">
      <alignment horizontal="right"/>
    </xf>
    <xf numFmtId="41" fontId="110" fillId="0" borderId="86" xfId="0" quotePrefix="1" applyNumberFormat="1" applyFont="1" applyFill="1" applyBorder="1" applyAlignment="1"/>
    <xf numFmtId="49" fontId="167" fillId="0" borderId="0" xfId="0" applyNumberFormat="1" applyFont="1" applyAlignment="1">
      <alignment vertical="center" wrapText="1"/>
    </xf>
    <xf numFmtId="49" fontId="167" fillId="0" borderId="0" xfId="0" applyNumberFormat="1" applyFont="1" applyAlignment="1">
      <alignment vertical="top" wrapText="1"/>
    </xf>
    <xf numFmtId="0" fontId="110" fillId="0" borderId="0" xfId="0" applyNumberFormat="1" applyFont="1" applyAlignment="1">
      <alignment horizontal="center" vertical="top" wrapText="1"/>
    </xf>
    <xf numFmtId="41" fontId="167" fillId="0" borderId="0" xfId="0" applyNumberFormat="1" applyFont="1" applyFill="1" applyBorder="1" applyAlignme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167" fillId="0" borderId="0" xfId="0" applyNumberFormat="1" applyFont="1" applyFill="1" applyAlignment="1">
      <alignment horizontal="left" wrapText="1"/>
    </xf>
    <xf numFmtId="172" fontId="61" fillId="0" borderId="0" xfId="0" applyNumberFormat="1" applyFont="1" applyBorder="1" applyAlignment="1" applyProtection="1"/>
    <xf numFmtId="0" fontId="58" fillId="0" borderId="0" xfId="2" quotePrefix="1" applyNumberFormat="1" applyFont="1" applyAlignment="1">
      <alignment horizontal="center"/>
    </xf>
    <xf numFmtId="43" fontId="36" fillId="0" borderId="0" xfId="17924" applyFont="1" applyFill="1" applyAlignment="1" applyProtection="1">
      <alignment horizontal="right"/>
      <protection locked="0"/>
    </xf>
    <xf numFmtId="44" fontId="41" fillId="0" borderId="0" xfId="0" applyNumberFormat="1" applyFont="1" applyFill="1" applyAlignment="1"/>
    <xf numFmtId="43" fontId="41" fillId="0" borderId="0" xfId="0" applyNumberFormat="1" applyFont="1" applyAlignment="1"/>
    <xf numFmtId="44" fontId="41" fillId="0" borderId="0" xfId="0" applyNumberFormat="1" applyFont="1" applyFill="1" applyAlignment="1">
      <alignment horizontal="right"/>
    </xf>
    <xf numFmtId="4" fontId="41" fillId="0" borderId="0" xfId="0" applyNumberFormat="1" applyFont="1" applyFill="1" applyAlignment="1">
      <alignment horizontal="right"/>
    </xf>
    <xf numFmtId="164" fontId="41" fillId="0" borderId="0" xfId="0" applyFont="1" applyFill="1" applyAlignment="1">
      <alignment horizontal="center"/>
    </xf>
    <xf numFmtId="43" fontId="41" fillId="0" borderId="0" xfId="0" applyNumberFormat="1" applyFont="1" applyFill="1" applyAlignment="1">
      <alignment horizontal="right"/>
    </xf>
    <xf numFmtId="43" fontId="41" fillId="0" borderId="0" xfId="0" applyNumberFormat="1" applyFont="1" applyAlignment="1">
      <alignment horizontal="right"/>
    </xf>
    <xf numFmtId="43" fontId="41" fillId="0" borderId="0" xfId="0" quotePrefix="1" applyNumberFormat="1" applyFont="1" applyFill="1" applyAlignment="1">
      <alignment horizontal="right"/>
    </xf>
    <xf numFmtId="0" fontId="41" fillId="0" borderId="0" xfId="0" applyNumberFormat="1" applyFont="1" applyFill="1" applyAlignment="1">
      <alignment horizontal="center"/>
    </xf>
    <xf numFmtId="164" fontId="43" fillId="0" borderId="0" xfId="1940" applyNumberFormat="1" applyFont="1" applyBorder="1" applyAlignment="1"/>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48" fillId="0" borderId="0" xfId="8" applyFont="1"/>
    <xf numFmtId="0" fontId="48" fillId="0" borderId="0" xfId="8" applyFont="1" applyFill="1" applyAlignment="1"/>
    <xf numFmtId="0" fontId="97" fillId="0" borderId="0" xfId="8" applyFont="1"/>
    <xf numFmtId="172" fontId="0" fillId="0" borderId="0" xfId="0" applyNumberFormat="1" applyFont="1" applyBorder="1" applyAlignment="1" applyProtection="1"/>
    <xf numFmtId="170" fontId="43" fillId="0" borderId="16" xfId="0" applyNumberFormat="1" applyFont="1" applyFill="1" applyBorder="1" applyAlignment="1" applyProtection="1"/>
    <xf numFmtId="170" fontId="43" fillId="0" borderId="67" xfId="2" applyNumberFormat="1" applyFont="1" applyFill="1" applyBorder="1" applyAlignment="1" applyProtection="1"/>
    <xf numFmtId="170" fontId="0" fillId="0" borderId="0" xfId="0" applyNumberFormat="1" applyFill="1"/>
    <xf numFmtId="170" fontId="38" fillId="0" borderId="95" xfId="2" applyNumberFormat="1" applyFont="1" applyBorder="1" applyAlignment="1">
      <alignment horizontal="center"/>
    </xf>
    <xf numFmtId="170" fontId="38" fillId="0" borderId="95"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quotePrefix="1" applyNumberFormat="1" applyFont="1" applyFill="1" applyAlignment="1"/>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49" fontId="43" fillId="0" borderId="0" xfId="1776" applyNumberFormat="1" applyFont="1" applyAlignment="1">
      <alignment horizontal="center"/>
    </xf>
    <xf numFmtId="43" fontId="43" fillId="0" borderId="88" xfId="1776" applyNumberFormat="1" applyFont="1" applyBorder="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42" fontId="43" fillId="0" borderId="83" xfId="840" applyNumberFormat="1" applyFont="1" applyBorder="1" applyAlignment="1"/>
    <xf numFmtId="37" fontId="36" fillId="0" borderId="86" xfId="840" applyNumberFormat="1" applyFont="1" applyBorder="1" applyAlignment="1"/>
    <xf numFmtId="41" fontId="36" fillId="0" borderId="86" xfId="11" applyNumberFormat="1" applyFont="1" applyBorder="1" applyAlignment="1"/>
    <xf numFmtId="41" fontId="36" fillId="0" borderId="86" xfId="840" quotePrefix="1" applyNumberFormat="1" applyFont="1" applyBorder="1" applyAlignment="1">
      <alignment horizontal="right"/>
    </xf>
    <xf numFmtId="41" fontId="36" fillId="0" borderId="86" xfId="840" quotePrefix="1" applyNumberFormat="1" applyFont="1" applyBorder="1" applyAlignment="1">
      <alignment horizontal="center"/>
    </xf>
    <xf numFmtId="41" fontId="36" fillId="0" borderId="86" xfId="840" applyNumberFormat="1" applyFont="1" applyBorder="1"/>
    <xf numFmtId="41" fontId="43" fillId="0" borderId="88" xfId="840" quotePrefix="1" applyNumberFormat="1" applyFont="1" applyBorder="1" applyAlignment="1"/>
    <xf numFmtId="41" fontId="43" fillId="0" borderId="88" xfId="840" applyNumberFormat="1" applyFont="1" applyFill="1" applyBorder="1" applyAlignment="1"/>
    <xf numFmtId="41" fontId="43" fillId="0" borderId="88" xfId="840" applyNumberFormat="1" applyFont="1" applyBorder="1" applyAlignment="1"/>
    <xf numFmtId="191" fontId="36" fillId="0" borderId="84" xfId="11" applyNumberFormat="1" applyFont="1" applyBorder="1" applyAlignment="1"/>
    <xf numFmtId="39" fontId="36" fillId="0" borderId="84" xfId="840" applyNumberFormat="1" applyFont="1" applyBorder="1" applyAlignment="1"/>
    <xf numFmtId="170" fontId="61" fillId="0" borderId="0" xfId="2" quotePrefix="1" applyNumberFormat="1" applyFont="1" applyFill="1" applyAlignment="1"/>
    <xf numFmtId="170" fontId="43" fillId="0" borderId="45" xfId="2" applyNumberFormat="1" applyFont="1" applyBorder="1" applyAlignment="1">
      <alignment horizontal="right"/>
    </xf>
    <xf numFmtId="170" fontId="43" fillId="0" borderId="84" xfId="0" applyNumberFormat="1" applyFont="1" applyBorder="1" applyAlignment="1" applyProtection="1">
      <protection locked="0"/>
    </xf>
    <xf numFmtId="170" fontId="43" fillId="0" borderId="84" xfId="0" quotePrefix="1" applyNumberFormat="1" applyFont="1" applyBorder="1" applyAlignment="1" applyProtection="1">
      <alignment horizontal="center"/>
      <protection locked="0"/>
    </xf>
    <xf numFmtId="174" fontId="43" fillId="0" borderId="83" xfId="0" applyNumberFormat="1" applyFont="1" applyBorder="1" applyAlignment="1" applyProtection="1">
      <protection locked="0"/>
    </xf>
    <xf numFmtId="174" fontId="43" fillId="0" borderId="0" xfId="0" applyNumberFormat="1" applyFont="1" applyAlignment="1">
      <alignment horizontal="center"/>
    </xf>
    <xf numFmtId="0" fontId="110" fillId="0" borderId="0" xfId="0" applyNumberFormat="1" applyFont="1" applyFill="1" applyAlignment="1">
      <alignment horizontal="center"/>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70" fontId="0" fillId="0" borderId="0" xfId="2" quotePrefix="1" applyNumberFormat="1" applyFont="1" applyAlignment="1"/>
    <xf numFmtId="178" fontId="66" fillId="0" borderId="0" xfId="836" applyNumberFormat="1" applyFont="1" applyFill="1" applyBorder="1" applyAlignment="1">
      <alignment horizontal="right"/>
    </xf>
    <xf numFmtId="0" fontId="167" fillId="0" borderId="0" xfId="0" applyNumberFormat="1" applyFont="1" applyFill="1" applyAlignment="1">
      <alignment horizontal="left" vertical="top" wrapText="1"/>
    </xf>
    <xf numFmtId="0" fontId="167" fillId="0" borderId="0" xfId="0" applyNumberFormat="1" applyFont="1" applyFill="1" applyBorder="1" applyAlignment="1">
      <alignment horizontal="left" vertical="top" wrapText="1"/>
    </xf>
    <xf numFmtId="173" fontId="38" fillId="0" borderId="0" xfId="0" applyNumberFormat="1" applyFont="1" applyAlignment="1" applyProtection="1">
      <protection locked="0"/>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61" fillId="0" borderId="0" xfId="2" quotePrefix="1" applyNumberFormat="1" applyFont="1" applyFill="1" applyAlignment="1">
      <alignment horizontal="right"/>
    </xf>
    <xf numFmtId="170" fontId="61" fillId="0" borderId="0" xfId="2" quotePrefix="1" applyNumberFormat="1" applyFont="1" applyFill="1" applyBorder="1" applyAlignment="1"/>
    <xf numFmtId="164" fontId="110" fillId="0" borderId="0" xfId="0" applyFont="1"/>
    <xf numFmtId="164" fontId="167" fillId="0" borderId="0" xfId="0" applyFont="1"/>
    <xf numFmtId="170" fontId="36" fillId="0" borderId="0" xfId="1" quotePrefix="1" applyNumberFormat="1" applyFont="1" applyFill="1" applyAlignment="1"/>
    <xf numFmtId="39" fontId="36" fillId="0" borderId="98" xfId="1776" applyNumberFormat="1" applyFont="1" applyFill="1" applyBorder="1" applyAlignment="1"/>
    <xf numFmtId="44" fontId="43" fillId="0" borderId="98" xfId="1776" applyNumberFormat="1" applyFont="1" applyFill="1" applyBorder="1" applyAlignment="1"/>
    <xf numFmtId="43" fontId="36" fillId="0" borderId="98" xfId="1776" applyNumberFormat="1" applyFont="1" applyFill="1" applyBorder="1" applyAlignment="1"/>
    <xf numFmtId="43" fontId="43" fillId="0" borderId="98" xfId="1776" applyNumberFormat="1" applyFont="1" applyFill="1" applyBorder="1" applyAlignment="1"/>
    <xf numFmtId="43" fontId="43" fillId="0" borderId="98" xfId="1776" applyNumberFormat="1" applyFont="1" applyFill="1" applyBorder="1" applyAlignment="1">
      <alignment horizontal="right"/>
    </xf>
    <xf numFmtId="43" fontId="36" fillId="0" borderId="98" xfId="1776" applyNumberFormat="1" applyFont="1" applyFill="1" applyBorder="1" applyAlignment="1" applyProtection="1"/>
    <xf numFmtId="43" fontId="36" fillId="0" borderId="98" xfId="1776" applyNumberFormat="1" applyFont="1" applyFill="1" applyBorder="1" applyAlignment="1" applyProtection="1">
      <alignment horizontal="right"/>
    </xf>
    <xf numFmtId="44" fontId="43" fillId="0" borderId="98" xfId="1776" applyNumberFormat="1" applyFont="1" applyFill="1" applyBorder="1" applyAlignment="1">
      <alignment horizontal="right"/>
    </xf>
    <xf numFmtId="43" fontId="36" fillId="0" borderId="0" xfId="17924" applyFont="1" applyBorder="1" applyAlignment="1" applyProtection="1">
      <alignment horizontal="right"/>
      <protection locked="0"/>
    </xf>
    <xf numFmtId="43" fontId="0" fillId="0" borderId="0" xfId="17924" applyFont="1" applyAlignment="1" applyProtection="1">
      <alignment horizontal="right"/>
      <protection locked="0"/>
    </xf>
    <xf numFmtId="43" fontId="43" fillId="0" borderId="0" xfId="17924" applyFont="1" applyFill="1" applyAlignment="1" applyProtection="1">
      <alignment horizontal="right"/>
      <protection locked="0"/>
    </xf>
    <xf numFmtId="43" fontId="36" fillId="0" borderId="0" xfId="17924" applyFont="1" applyAlignment="1" applyProtection="1">
      <alignment horizontal="right"/>
      <protection locked="0"/>
    </xf>
    <xf numFmtId="173" fontId="78" fillId="0" borderId="0" xfId="836" applyNumberFormat="1" applyFont="1" applyAlignment="1"/>
    <xf numFmtId="172" fontId="66" fillId="0" borderId="0" xfId="0" applyNumberFormat="1" applyFont="1" applyBorder="1" applyAlignment="1" applyProtection="1"/>
    <xf numFmtId="172" fontId="66" fillId="0" borderId="67" xfId="0" applyNumberFormat="1" applyFont="1" applyBorder="1" applyAlignment="1" applyProtection="1"/>
    <xf numFmtId="170" fontId="38" fillId="0" borderId="98" xfId="2" applyNumberFormat="1" applyFont="1" applyFill="1" applyBorder="1" applyAlignment="1"/>
    <xf numFmtId="170" fontId="38" fillId="0" borderId="98" xfId="2" applyNumberFormat="1" applyFont="1" applyBorder="1" applyAlignment="1">
      <alignment horizontal="center"/>
    </xf>
    <xf numFmtId="170" fontId="0" fillId="0" borderId="0" xfId="2" applyNumberFormat="1" applyFont="1" applyAlignment="1"/>
    <xf numFmtId="164" fontId="194" fillId="0" borderId="67" xfId="2" applyNumberFormat="1" applyFont="1" applyBorder="1" applyAlignment="1" applyProtection="1"/>
    <xf numFmtId="0" fontId="41" fillId="0" borderId="0" xfId="0" applyNumberFormat="1" applyFont="1" applyFill="1" applyBorder="1" applyAlignment="1">
      <alignment horizontal="left" vertical="top" wrapText="1"/>
    </xf>
    <xf numFmtId="170" fontId="36" fillId="0" borderId="0" xfId="4" applyNumberFormat="1" applyFont="1" applyFill="1" applyAlignment="1">
      <alignment horizontal="right"/>
    </xf>
    <xf numFmtId="178" fontId="36" fillId="0" borderId="0" xfId="1767" quotePrefix="1" applyNumberFormat="1" applyFont="1" applyFill="1" applyAlignment="1">
      <alignment horizontal="right"/>
    </xf>
    <xf numFmtId="165" fontId="195" fillId="0" borderId="0" xfId="840" applyNumberFormat="1" applyFont="1" applyAlignment="1"/>
    <xf numFmtId="0" fontId="42" fillId="0" borderId="67" xfId="9967" applyNumberFormat="1" applyFont="1" applyFill="1" applyBorder="1" applyAlignment="1" applyProtection="1">
      <alignment horizontal="center"/>
    </xf>
    <xf numFmtId="165" fontId="36" fillId="0" borderId="0" xfId="0" applyNumberFormat="1" applyFont="1" applyFill="1" applyProtection="1">
      <protection locked="0"/>
    </xf>
    <xf numFmtId="0" fontId="66" fillId="0" borderId="0" xfId="17029" quotePrefix="1" applyNumberFormat="1" applyFont="1" applyFill="1" applyAlignment="1">
      <alignment horizontal="left"/>
    </xf>
    <xf numFmtId="0" fontId="42" fillId="0" borderId="67" xfId="0" applyNumberFormat="1" applyFont="1" applyFill="1" applyBorder="1" applyAlignment="1">
      <alignment horizontal="center"/>
    </xf>
    <xf numFmtId="49" fontId="42" fillId="0" borderId="67" xfId="9967" applyNumberFormat="1" applyFont="1" applyFill="1" applyBorder="1" applyAlignment="1">
      <alignment horizontal="center"/>
    </xf>
    <xf numFmtId="0" fontId="41" fillId="0" borderId="74" xfId="0" applyNumberFormat="1" applyFont="1" applyFill="1" applyBorder="1"/>
    <xf numFmtId="0" fontId="41" fillId="0" borderId="74" xfId="0" applyNumberFormat="1" applyFont="1" applyFill="1" applyBorder="1" applyAlignment="1"/>
    <xf numFmtId="39" fontId="39" fillId="0" borderId="0" xfId="0" applyNumberFormat="1" applyFont="1" applyFill="1" applyAlignment="1">
      <alignment horizontal="right"/>
    </xf>
    <xf numFmtId="39" fontId="42" fillId="0" borderId="0" xfId="0" applyNumberFormat="1" applyFont="1" applyFill="1" applyAlignment="1">
      <alignment horizontal="right" vertical="top"/>
    </xf>
    <xf numFmtId="39" fontId="41" fillId="0" borderId="0" xfId="0" applyNumberFormat="1" applyFont="1" applyFill="1" applyBorder="1" applyAlignment="1"/>
    <xf numFmtId="39" fontId="41" fillId="0" borderId="67" xfId="0" quotePrefix="1" applyNumberFormat="1" applyFont="1" applyFill="1" applyBorder="1" applyAlignment="1">
      <alignment horizontal="center"/>
    </xf>
    <xf numFmtId="39" fontId="41" fillId="0" borderId="0" xfId="0" quotePrefix="1" applyNumberFormat="1" applyFont="1" applyFill="1" applyBorder="1" applyAlignment="1">
      <alignment horizontal="right"/>
    </xf>
    <xf numFmtId="4" fontId="41" fillId="0" borderId="0" xfId="0" applyNumberFormat="1" applyFont="1" applyFill="1" applyBorder="1" applyAlignment="1">
      <alignment horizontal="right"/>
    </xf>
    <xf numFmtId="43" fontId="41" fillId="0" borderId="0" xfId="0" applyNumberFormat="1" applyFont="1" applyFill="1" applyBorder="1" applyAlignment="1"/>
    <xf numFmtId="0" fontId="42" fillId="0" borderId="0" xfId="0" applyNumberFormat="1" applyFont="1" applyFill="1" applyAlignment="1">
      <alignment horizontal="right"/>
    </xf>
    <xf numFmtId="44" fontId="42" fillId="0" borderId="89" xfId="0" applyNumberFormat="1" applyFont="1" applyFill="1" applyBorder="1" applyAlignment="1">
      <alignment horizontal="right"/>
    </xf>
    <xf numFmtId="0" fontId="42" fillId="0" borderId="0" xfId="0" applyNumberFormat="1" applyFont="1" applyFill="1" applyAlignment="1"/>
    <xf numFmtId="0" fontId="42" fillId="0" borderId="50" xfId="0" applyNumberFormat="1" applyFont="1" applyFill="1" applyBorder="1" applyAlignment="1"/>
    <xf numFmtId="7" fontId="42" fillId="0" borderId="0" xfId="0" applyNumberFormat="1" applyFont="1" applyFill="1"/>
    <xf numFmtId="0" fontId="36" fillId="0" borderId="0" xfId="0" applyNumberFormat="1" applyFont="1" applyFill="1" applyBorder="1"/>
    <xf numFmtId="0" fontId="42" fillId="0" borderId="0" xfId="0" quotePrefix="1" applyNumberFormat="1" applyFont="1" applyFill="1" applyAlignment="1"/>
    <xf numFmtId="0"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1" fillId="0" borderId="0" xfId="0" applyNumberFormat="1" applyFont="1" applyFill="1" applyAlignment="1">
      <alignment horizontal="right" vertical="top"/>
    </xf>
    <xf numFmtId="7" fontId="42" fillId="0" borderId="0" xfId="0" applyNumberFormat="1" applyFont="1" applyFill="1" applyAlignment="1">
      <alignment horizontal="right" vertical="top"/>
    </xf>
    <xf numFmtId="49" fontId="41" fillId="0" borderId="0" xfId="0" applyNumberFormat="1" applyFont="1" applyFill="1" applyAlignment="1">
      <alignment horizontal="left" vertical="top"/>
    </xf>
    <xf numFmtId="188" fontId="41" fillId="0" borderId="0" xfId="0" applyNumberFormat="1" applyFont="1" applyFill="1" applyAlignment="1">
      <alignment horizontal="center" vertical="top"/>
    </xf>
    <xf numFmtId="188" fontId="41" fillId="0" borderId="0" xfId="0" applyNumberFormat="1" applyFont="1" applyFill="1" applyAlignment="1">
      <alignment horizontal="right" vertical="top"/>
    </xf>
    <xf numFmtId="0" fontId="41" fillId="0" borderId="0" xfId="5508" applyFont="1" applyFill="1" applyBorder="1"/>
    <xf numFmtId="0" fontId="43" fillId="0" borderId="0" xfId="5508" applyFont="1" applyFill="1" applyBorder="1"/>
    <xf numFmtId="0" fontId="42" fillId="0" borderId="0" xfId="5508" applyFont="1" applyFill="1" applyBorder="1"/>
    <xf numFmtId="0" fontId="155" fillId="0" borderId="97" xfId="0" applyNumberFormat="1" applyFont="1" applyFill="1" applyBorder="1" applyAlignment="1">
      <alignment horizontal="center"/>
    </xf>
    <xf numFmtId="0" fontId="41" fillId="0" borderId="0" xfId="5508" applyFont="1" applyFill="1" applyBorder="1" applyAlignment="1">
      <alignment horizontal="center"/>
    </xf>
    <xf numFmtId="37" fontId="41" fillId="0" borderId="0" xfId="5508" applyNumberFormat="1" applyFont="1" applyFill="1" applyBorder="1"/>
    <xf numFmtId="0" fontId="36" fillId="0" borderId="0" xfId="5508" applyNumberFormat="1" applyFont="1" applyFill="1" applyBorder="1" applyAlignment="1"/>
    <xf numFmtId="42" fontId="155" fillId="0" borderId="89" xfId="0" applyNumberFormat="1" applyFont="1" applyFill="1" applyBorder="1" applyAlignment="1">
      <alignment horizontal="right" vertical="top"/>
    </xf>
    <xf numFmtId="0" fontId="36" fillId="0" borderId="0" xfId="5508" applyFont="1" applyFill="1" applyBorder="1" applyAlignment="1"/>
    <xf numFmtId="0" fontId="41" fillId="0" borderId="67" xfId="0" applyNumberFormat="1" applyFont="1" applyFill="1" applyBorder="1"/>
    <xf numFmtId="170" fontId="36" fillId="0" borderId="0" xfId="2" quotePrefix="1" applyNumberFormat="1" applyFont="1" applyFill="1" applyBorder="1" applyAlignment="1"/>
    <xf numFmtId="170" fontId="36" fillId="0" borderId="67" xfId="2" applyNumberFormat="1" applyFont="1" applyFill="1" applyBorder="1" applyAlignment="1"/>
    <xf numFmtId="170" fontId="36" fillId="0" borderId="10" xfId="2" quotePrefix="1" applyNumberFormat="1" applyFont="1" applyFill="1" applyBorder="1" applyAlignment="1"/>
    <xf numFmtId="170" fontId="43" fillId="0" borderId="10" xfId="2" quotePrefix="1" applyNumberFormat="1" applyFont="1" applyFill="1" applyBorder="1" applyAlignment="1"/>
    <xf numFmtId="170" fontId="43" fillId="0" borderId="0" xfId="2" applyNumberFormat="1" applyFont="1" applyFill="1" applyAlignment="1">
      <alignment vertical="center"/>
    </xf>
    <xf numFmtId="4" fontId="43" fillId="36" borderId="99" xfId="1028" applyNumberFormat="1" applyFont="1" applyFill="1" applyBorder="1" applyAlignment="1">
      <alignment horizontal="center"/>
    </xf>
    <xf numFmtId="4" fontId="43" fillId="36" borderId="99" xfId="1028" quotePrefix="1" applyNumberFormat="1" applyFont="1" applyFill="1" applyBorder="1" applyAlignment="1">
      <alignment horizontal="center"/>
    </xf>
    <xf numFmtId="4" fontId="43" fillId="36" borderId="99" xfId="0" applyNumberFormat="1" applyFont="1" applyFill="1" applyBorder="1" applyAlignment="1">
      <alignment horizontal="center"/>
    </xf>
    <xf numFmtId="170" fontId="41" fillId="0" borderId="0" xfId="4" quotePrefix="1" applyNumberFormat="1" applyFont="1" applyFill="1" applyAlignment="1">
      <alignment horizontal="left"/>
    </xf>
    <xf numFmtId="183" fontId="78" fillId="0" borderId="0" xfId="836" applyNumberFormat="1" applyFont="1" applyAlignment="1"/>
    <xf numFmtId="182" fontId="78" fillId="0" borderId="0" xfId="836" applyNumberFormat="1" applyFont="1" applyAlignment="1">
      <alignment horizontal="left"/>
    </xf>
    <xf numFmtId="182" fontId="78" fillId="0" borderId="0" xfId="836" applyNumberFormat="1" applyFont="1" applyAlignment="1"/>
    <xf numFmtId="172" fontId="43" fillId="0" borderId="67" xfId="1940" applyNumberFormat="1" applyFont="1" applyBorder="1" applyAlignment="1" applyProtection="1"/>
    <xf numFmtId="0" fontId="196" fillId="0" borderId="0" xfId="8" applyFont="1" applyFill="1" applyAlignment="1">
      <alignment horizontal="left"/>
    </xf>
    <xf numFmtId="0" fontId="139" fillId="0" borderId="0" xfId="8" applyFont="1" applyFill="1" applyAlignment="1"/>
    <xf numFmtId="0" fontId="139" fillId="0" borderId="0" xfId="8" applyFont="1" applyFill="1"/>
    <xf numFmtId="0" fontId="36" fillId="0" borderId="0" xfId="8" applyFont="1" applyFill="1"/>
    <xf numFmtId="192" fontId="48" fillId="0" borderId="0" xfId="8" quotePrefix="1" applyNumberFormat="1" applyFont="1" applyFill="1" applyAlignment="1">
      <alignment horizontal="right"/>
    </xf>
    <xf numFmtId="166" fontId="48" fillId="0" borderId="0" xfId="8" quotePrefix="1" applyNumberFormat="1" applyFont="1" applyFill="1" applyAlignment="1">
      <alignment horizontal="right"/>
    </xf>
    <xf numFmtId="0" fontId="36" fillId="0" borderId="0" xfId="8" applyFont="1" applyFill="1" applyAlignment="1"/>
    <xf numFmtId="166" fontId="48" fillId="0" borderId="0" xfId="8" applyNumberFormat="1" applyFont="1" applyFill="1" applyAlignment="1">
      <alignment horizontal="right" vertical="top"/>
    </xf>
    <xf numFmtId="0" fontId="97" fillId="0" borderId="0" xfId="8" applyFont="1" applyFill="1"/>
    <xf numFmtId="0" fontId="48" fillId="0" borderId="0" xfId="8" applyFont="1" applyFill="1" applyAlignment="1">
      <alignment horizontal="left"/>
    </xf>
    <xf numFmtId="0" fontId="165" fillId="0" borderId="0" xfId="8" applyFont="1" applyFill="1"/>
    <xf numFmtId="165" fontId="48" fillId="0" borderId="0" xfId="8" quotePrefix="1" applyNumberFormat="1" applyFont="1" applyFill="1" applyAlignment="1">
      <alignment horizontal="right"/>
    </xf>
    <xf numFmtId="0" fontId="48" fillId="0" borderId="0" xfId="8" quotePrefix="1" applyFont="1" applyFill="1" applyAlignment="1"/>
    <xf numFmtId="0" fontId="140" fillId="0" borderId="0" xfId="8" applyFont="1" applyFill="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87" fillId="0" borderId="0" xfId="8" applyFont="1" applyFill="1" applyAlignment="1">
      <alignment horizontal="left"/>
    </xf>
    <xf numFmtId="0" fontId="139" fillId="0" borderId="0" xfId="8" applyFont="1" applyFill="1" applyAlignment="1">
      <alignment horizontal="center" vertical="top"/>
    </xf>
    <xf numFmtId="0" fontId="188" fillId="0" borderId="0" xfId="8" applyFont="1" applyFill="1" applyAlignment="1">
      <alignment horizontal="center" vertical="top"/>
    </xf>
    <xf numFmtId="0" fontId="188" fillId="0" borderId="0" xfId="8" quotePrefix="1" applyNumberFormat="1" applyFont="1" applyFill="1" applyAlignment="1">
      <alignment horizontal="center"/>
    </xf>
    <xf numFmtId="0" fontId="190" fillId="0" borderId="0" xfId="8" applyFont="1" applyFill="1" applyAlignment="1"/>
    <xf numFmtId="0" fontId="0" fillId="0" borderId="0" xfId="8" applyFont="1" applyFill="1"/>
    <xf numFmtId="0" fontId="186" fillId="0" borderId="0" xfId="8" applyFont="1" applyFill="1" applyAlignment="1"/>
    <xf numFmtId="42" fontId="186" fillId="0" borderId="0" xfId="8" applyNumberFormat="1" applyFont="1" applyFill="1" applyAlignment="1">
      <alignment horizontal="right"/>
    </xf>
    <xf numFmtId="41" fontId="186" fillId="0" borderId="0" xfId="8" applyNumberFormat="1" applyFont="1" applyFill="1" applyAlignment="1">
      <alignment horizontal="center"/>
    </xf>
    <xf numFmtId="41" fontId="186" fillId="0" borderId="0" xfId="8" applyNumberFormat="1" applyFont="1" applyFill="1" applyAlignment="1">
      <alignment horizontal="right"/>
    </xf>
    <xf numFmtId="41" fontId="0" fillId="0" borderId="0" xfId="8" applyNumberFormat="1" applyFont="1" applyFill="1" applyAlignment="1">
      <alignment horizontal="right" vertical="top"/>
    </xf>
    <xf numFmtId="41" fontId="48" fillId="0" borderId="0" xfId="8" applyNumberFormat="1" applyFont="1" applyFill="1" applyAlignment="1">
      <alignment horizontal="center"/>
    </xf>
    <xf numFmtId="42" fontId="188" fillId="0" borderId="89" xfId="8" applyNumberFormat="1" applyFont="1" applyFill="1" applyBorder="1"/>
    <xf numFmtId="0" fontId="191" fillId="0" borderId="0" xfId="8" applyFont="1" applyFill="1"/>
    <xf numFmtId="42" fontId="188" fillId="0" borderId="89" xfId="8" applyNumberFormat="1" applyFont="1" applyFill="1" applyBorder="1" applyAlignment="1"/>
    <xf numFmtId="0" fontId="113" fillId="0" borderId="0" xfId="8" quotePrefix="1" applyFont="1" applyFill="1" applyAlignment="1">
      <alignment horizontal="right"/>
    </xf>
    <xf numFmtId="172" fontId="36" fillId="0" borderId="0" xfId="2" applyNumberFormat="1" applyFont="1" applyAlignment="1" applyProtection="1">
      <protection locked="0"/>
    </xf>
    <xf numFmtId="0" fontId="147" fillId="0" borderId="0" xfId="861" applyNumberFormat="1" applyBorder="1" applyAlignment="1" applyProtection="1"/>
    <xf numFmtId="164" fontId="170" fillId="0" borderId="0" xfId="0" applyNumberFormat="1" applyFont="1" applyBorder="1" applyAlignment="1" applyProtection="1"/>
    <xf numFmtId="164" fontId="170" fillId="0" borderId="67" xfId="0" applyNumberFormat="1" applyFont="1" applyBorder="1" applyAlignment="1" applyProtection="1"/>
    <xf numFmtId="0" fontId="43" fillId="0" borderId="0" xfId="1776" applyNumberFormat="1" applyFont="1" applyAlignment="1">
      <alignment horizontal="center"/>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3" fontId="43" fillId="0" borderId="96" xfId="1776" applyNumberFormat="1" applyFont="1" applyFill="1" applyBorder="1" applyAlignment="1"/>
    <xf numFmtId="0" fontId="43" fillId="0" borderId="67" xfId="2" applyFont="1" applyFill="1" applyBorder="1" applyAlignment="1">
      <alignment horizontal="center"/>
    </xf>
    <xf numFmtId="0" fontId="36" fillId="0" borderId="67" xfId="2" applyFont="1" applyFill="1" applyBorder="1" applyAlignment="1">
      <alignment horizontal="center"/>
    </xf>
    <xf numFmtId="43" fontId="36" fillId="0" borderId="0" xfId="2" quotePrefix="1" applyNumberFormat="1" applyFont="1" applyAlignment="1">
      <alignment horizontal="center"/>
    </xf>
    <xf numFmtId="37" fontId="43" fillId="0" borderId="67" xfId="2" quotePrefix="1" applyNumberFormat="1" applyFont="1" applyBorder="1" applyAlignment="1">
      <alignment horizontal="center"/>
    </xf>
    <xf numFmtId="37" fontId="65" fillId="0" borderId="0" xfId="2" applyNumberFormat="1" applyFont="1" applyFill="1"/>
    <xf numFmtId="37" fontId="41" fillId="0" borderId="20" xfId="2" applyNumberFormat="1" applyFont="1" applyFill="1" applyBorder="1" applyAlignment="1"/>
    <xf numFmtId="37" fontId="36" fillId="0" borderId="0" xfId="2" applyNumberFormat="1" applyFont="1" applyFill="1" applyAlignment="1"/>
    <xf numFmtId="170" fontId="43" fillId="0" borderId="0" xfId="2" quotePrefix="1" applyNumberFormat="1" applyFont="1" applyFill="1" applyBorder="1" applyAlignment="1">
      <alignment horizontal="center"/>
    </xf>
    <xf numFmtId="37" fontId="36" fillId="0" borderId="0" xfId="2" quotePrefix="1" applyNumberFormat="1" applyFont="1" applyFill="1" applyAlignment="1">
      <alignment horizontal="center"/>
    </xf>
    <xf numFmtId="42" fontId="186" fillId="0" borderId="0" xfId="8" quotePrefix="1" applyNumberFormat="1" applyFont="1" applyFill="1" applyAlignment="1">
      <alignment horizontal="right"/>
    </xf>
    <xf numFmtId="37" fontId="186" fillId="0" borderId="0" xfId="8" applyNumberFormat="1" applyFont="1" applyFill="1" applyAlignment="1"/>
    <xf numFmtId="41" fontId="186" fillId="0" borderId="0" xfId="8" quotePrefix="1" applyNumberFormat="1" applyFont="1" applyFill="1" applyAlignment="1">
      <alignment horizontal="right"/>
    </xf>
    <xf numFmtId="41" fontId="186" fillId="0" borderId="0" xfId="8" quotePrefix="1" applyNumberFormat="1" applyFont="1" applyFill="1" applyAlignment="1">
      <alignment horizontal="center"/>
    </xf>
    <xf numFmtId="39" fontId="43" fillId="0" borderId="67" xfId="1776" applyNumberFormat="1" applyFont="1" applyBorder="1" applyAlignment="1">
      <alignment horizontal="center"/>
    </xf>
    <xf numFmtId="172" fontId="0" fillId="0" borderId="0" xfId="0" applyNumberFormat="1" applyProtection="1">
      <protection locked="0"/>
    </xf>
    <xf numFmtId="41" fontId="42" fillId="0" borderId="0" xfId="0" applyNumberFormat="1" applyFont="1" applyFill="1"/>
    <xf numFmtId="41" fontId="41" fillId="0" borderId="0" xfId="0" applyNumberFormat="1" applyFont="1" applyFill="1"/>
    <xf numFmtId="49" fontId="42" fillId="0" borderId="67" xfId="0" applyNumberFormat="1" applyFont="1" applyFill="1" applyBorder="1" applyAlignment="1">
      <alignment horizontal="center" wrapText="1"/>
    </xf>
    <xf numFmtId="42" fontId="110" fillId="0" borderId="0" xfId="1773" applyNumberFormat="1" applyFont="1" applyFill="1"/>
    <xf numFmtId="191" fontId="41" fillId="0" borderId="0" xfId="0" applyNumberFormat="1" applyFont="1" applyFill="1"/>
    <xf numFmtId="41" fontId="41" fillId="0" borderId="0" xfId="0" applyNumberFormat="1" applyFont="1" applyFill="1" applyBorder="1" applyAlignment="1"/>
    <xf numFmtId="41" fontId="41" fillId="0" borderId="0" xfId="0" applyNumberFormat="1" applyFont="1" applyBorder="1"/>
    <xf numFmtId="191" fontId="41" fillId="0" borderId="0" xfId="0" applyNumberFormat="1" applyFont="1" applyBorder="1"/>
    <xf numFmtId="164" fontId="167" fillId="0" borderId="0" xfId="0" applyFont="1" applyFill="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191" fontId="42" fillId="0" borderId="0" xfId="0" applyNumberFormat="1" applyFont="1" applyFill="1" applyAlignment="1">
      <alignment horizontal="center"/>
    </xf>
    <xf numFmtId="41" fontId="42" fillId="0" borderId="0" xfId="0" applyNumberFormat="1" applyFont="1" applyFill="1" applyAlignment="1"/>
    <xf numFmtId="41" fontId="41" fillId="0" borderId="0" xfId="0" applyNumberFormat="1" applyFont="1" applyFill="1" applyAlignment="1"/>
    <xf numFmtId="164" fontId="41" fillId="0" borderId="0" xfId="0" applyFont="1" applyFill="1"/>
    <xf numFmtId="164" fontId="41" fillId="0" borderId="0" xfId="0" applyFont="1"/>
    <xf numFmtId="3" fontId="42" fillId="0" borderId="0" xfId="0" applyNumberFormat="1" applyFont="1"/>
    <xf numFmtId="41" fontId="110" fillId="0" borderId="86" xfId="0" applyNumberFormat="1" applyFont="1" applyBorder="1"/>
    <xf numFmtId="0" fontId="41" fillId="0" borderId="0" xfId="0" applyNumberFormat="1" applyFont="1" applyBorder="1" applyAlignment="1">
      <alignment horizontal="left"/>
    </xf>
    <xf numFmtId="41" fontId="167" fillId="0" borderId="0" xfId="0" applyNumberFormat="1" applyFont="1" applyFill="1" applyAlignment="1">
      <alignment horizontal="right" vertical="center"/>
    </xf>
    <xf numFmtId="167" fontId="36" fillId="0" borderId="0" xfId="2" quotePrefix="1" applyNumberFormat="1" applyFont="1" applyAlignment="1">
      <alignment horizontal="center"/>
    </xf>
    <xf numFmtId="195" fontId="36" fillId="0" borderId="0" xfId="2" quotePrefix="1" applyNumberFormat="1" applyFont="1" applyAlignment="1">
      <alignment horizontal="center"/>
    </xf>
    <xf numFmtId="172" fontId="43" fillId="0" borderId="83" xfId="2" applyNumberFormat="1" applyFont="1" applyBorder="1" applyAlignment="1" applyProtection="1"/>
    <xf numFmtId="0" fontId="138" fillId="0" borderId="0" xfId="8" applyFont="1" applyFill="1" applyAlignment="1"/>
    <xf numFmtId="169" fontId="48" fillId="0" borderId="0" xfId="8" quotePrefix="1" applyNumberFormat="1" applyFont="1" applyFill="1" applyAlignment="1">
      <alignment horizontal="right"/>
    </xf>
    <xf numFmtId="166" fontId="48" fillId="0" borderId="0" xfId="8" quotePrefix="1" applyNumberFormat="1" applyFont="1" applyFill="1" applyAlignment="1"/>
    <xf numFmtId="166" fontId="48" fillId="0" borderId="0" xfId="8" applyNumberFormat="1" applyFont="1" applyFill="1" applyAlignment="1">
      <alignment horizontal="right"/>
    </xf>
    <xf numFmtId="0" fontId="198" fillId="0" borderId="0" xfId="8" applyFont="1" applyFill="1" applyAlignment="1">
      <alignment horizontal="left"/>
    </xf>
    <xf numFmtId="166" fontId="198" fillId="0" borderId="0" xfId="8" applyNumberFormat="1" applyFont="1" applyFill="1" applyAlignment="1">
      <alignment horizontal="right" vertical="top"/>
    </xf>
    <xf numFmtId="192" fontId="48" fillId="0" borderId="0" xfId="8" applyNumberFormat="1" applyFont="1" applyFill="1" applyAlignment="1">
      <alignment horizontal="right"/>
    </xf>
    <xf numFmtId="41" fontId="36" fillId="0" borderId="0" xfId="8" applyNumberFormat="1" applyFont="1" applyFill="1" applyAlignment="1">
      <alignment horizontal="right"/>
    </xf>
    <xf numFmtId="0" fontId="196" fillId="0" borderId="0" xfId="8" applyFont="1" applyFill="1" applyAlignment="1">
      <alignment horizontal="left" vertical="top"/>
    </xf>
    <xf numFmtId="170" fontId="186" fillId="0" borderId="0" xfId="8" quotePrefix="1" applyNumberFormat="1" applyFont="1" applyFill="1" applyAlignment="1">
      <alignment horizontal="right"/>
    </xf>
    <xf numFmtId="0" fontId="197" fillId="0" borderId="0" xfId="8" applyFont="1" applyFill="1" applyAlignment="1"/>
    <xf numFmtId="0" fontId="197" fillId="0" borderId="0" xfId="8" applyFont="1" applyFill="1" applyAlignment="1">
      <alignment horizontal="left"/>
    </xf>
    <xf numFmtId="170" fontId="43" fillId="0" borderId="0" xfId="2" applyNumberFormat="1" applyFont="1"/>
    <xf numFmtId="43" fontId="36" fillId="0" borderId="0" xfId="0" applyNumberFormat="1" applyFont="1" applyFill="1" applyAlignment="1">
      <alignment horizontal="right"/>
    </xf>
    <xf numFmtId="172" fontId="36" fillId="0" borderId="0" xfId="2" applyNumberFormat="1" applyFont="1" applyBorder="1"/>
    <xf numFmtId="172" fontId="43" fillId="0" borderId="10" xfId="2" applyNumberFormat="1" applyFont="1" applyBorder="1" applyAlignment="1"/>
    <xf numFmtId="0" fontId="43" fillId="0" borderId="0" xfId="2" applyNumberFormat="1" applyFont="1" applyAlignment="1">
      <alignment horizontal="left"/>
    </xf>
    <xf numFmtId="174" fontId="43" fillId="0" borderId="28" xfId="2" applyNumberFormat="1" applyFont="1" applyBorder="1" applyAlignment="1"/>
    <xf numFmtId="165" fontId="43" fillId="0" borderId="15" xfId="2" applyNumberFormat="1" applyFont="1" applyBorder="1" applyAlignment="1"/>
    <xf numFmtId="172" fontId="43" fillId="0" borderId="0" xfId="2" applyNumberFormat="1" applyFont="1" applyBorder="1" applyAlignment="1" applyProtection="1"/>
    <xf numFmtId="172" fontId="43" fillId="0" borderId="67" xfId="2" applyNumberFormat="1" applyFont="1" applyBorder="1" applyAlignment="1" applyProtection="1"/>
    <xf numFmtId="174" fontId="43" fillId="0" borderId="83" xfId="2" applyNumberFormat="1" applyFont="1" applyBorder="1" applyAlignment="1"/>
    <xf numFmtId="174" fontId="43" fillId="0" borderId="0" xfId="2" applyNumberFormat="1" applyFont="1" applyBorder="1" applyAlignment="1">
      <alignment horizontal="center"/>
    </xf>
    <xf numFmtId="174" fontId="43" fillId="0" borderId="0" xfId="2" quotePrefix="1" applyNumberFormat="1" applyFont="1" applyBorder="1" applyAlignment="1">
      <alignment horizontal="center"/>
    </xf>
    <xf numFmtId="170" fontId="36" fillId="0" borderId="28" xfId="2" applyNumberFormat="1" applyFont="1" applyBorder="1" applyAlignment="1">
      <alignment horizontal="right"/>
    </xf>
    <xf numFmtId="170" fontId="36" fillId="0" borderId="47" xfId="2" applyNumberFormat="1" applyFont="1" applyBorder="1" applyAlignment="1">
      <alignment horizontal="center"/>
    </xf>
    <xf numFmtId="174" fontId="43" fillId="0" borderId="83" xfId="2" applyNumberFormat="1" applyFont="1" applyFill="1" applyBorder="1" applyAlignment="1"/>
    <xf numFmtId="170" fontId="38" fillId="0" borderId="76" xfId="2" applyNumberFormat="1" applyFont="1" applyBorder="1" applyAlignment="1"/>
    <xf numFmtId="170" fontId="43" fillId="0" borderId="76" xfId="2" applyNumberFormat="1" applyFont="1" applyBorder="1" applyAlignment="1"/>
    <xf numFmtId="164" fontId="43" fillId="0" borderId="0" xfId="2" applyNumberFormat="1" applyFont="1" applyAlignment="1" applyProtection="1"/>
    <xf numFmtId="174" fontId="43" fillId="0" borderId="15" xfId="2" applyNumberFormat="1" applyFont="1" applyFill="1" applyBorder="1" applyAlignment="1"/>
    <xf numFmtId="174" fontId="43" fillId="0" borderId="21" xfId="2" applyNumberFormat="1" applyFont="1" applyFill="1" applyBorder="1" applyAlignment="1"/>
    <xf numFmtId="172" fontId="43" fillId="0" borderId="46" xfId="0" applyNumberFormat="1" applyFont="1" applyBorder="1" applyAlignment="1" applyProtection="1"/>
    <xf numFmtId="172" fontId="43" fillId="0" borderId="83" xfId="0" applyNumberFormat="1" applyFont="1" applyBorder="1" applyAlignment="1" applyProtection="1"/>
    <xf numFmtId="174" fontId="43" fillId="0" borderId="0" xfId="2" applyNumberFormat="1" applyFont="1" applyFill="1" applyAlignment="1">
      <alignment horizontal="right"/>
    </xf>
    <xf numFmtId="170" fontId="36" fillId="0" borderId="77" xfId="2" applyNumberFormat="1" applyFont="1" applyFill="1" applyBorder="1" applyAlignment="1"/>
    <xf numFmtId="170" fontId="36" fillId="0" borderId="15" xfId="2" applyNumberFormat="1" applyFont="1" applyFill="1" applyBorder="1" applyAlignment="1">
      <alignment horizontal="right"/>
    </xf>
    <xf numFmtId="174" fontId="43" fillId="0" borderId="28" xfId="2" applyNumberFormat="1" applyFont="1" applyFill="1" applyBorder="1" applyAlignment="1"/>
    <xf numFmtId="174" fontId="43" fillId="0" borderId="83" xfId="2" applyNumberFormat="1" applyFont="1" applyFill="1" applyBorder="1"/>
    <xf numFmtId="170" fontId="43" fillId="0" borderId="67" xfId="6" applyNumberFormat="1" applyFont="1" applyFill="1" applyBorder="1" applyAlignment="1"/>
    <xf numFmtId="166" fontId="43" fillId="0" borderId="0" xfId="2" applyNumberFormat="1" applyFont="1" applyAlignment="1">
      <alignment horizontal="right"/>
    </xf>
    <xf numFmtId="170" fontId="43" fillId="0" borderId="0" xfId="1" applyNumberFormat="1" applyFont="1" applyBorder="1" applyAlignment="1"/>
    <xf numFmtId="0" fontId="43" fillId="0" borderId="0" xfId="2" applyNumberFormat="1" applyFont="1" applyAlignment="1">
      <alignment horizontal="left"/>
    </xf>
    <xf numFmtId="182" fontId="199" fillId="0" borderId="0" xfId="836" quotePrefix="1" applyNumberFormat="1" applyFont="1" applyAlignment="1">
      <alignment horizontal="left"/>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0" fillId="0" borderId="0" xfId="2" applyNumberFormat="1" applyFont="1" applyFill="1" applyBorder="1" applyAlignment="1">
      <alignment horizontal="right"/>
    </xf>
    <xf numFmtId="170" fontId="36" fillId="0" borderId="0" xfId="0" applyNumberFormat="1" applyFont="1" applyFill="1" applyAlignment="1" applyProtection="1">
      <alignment horizontal="right"/>
      <protection locked="0"/>
    </xf>
    <xf numFmtId="43" fontId="43" fillId="0" borderId="97" xfId="1776" applyNumberFormat="1" applyFont="1" applyBorder="1" applyAlignment="1"/>
    <xf numFmtId="43" fontId="36" fillId="0" borderId="84" xfId="1776" applyNumberFormat="1" applyFont="1" applyBorder="1" applyAlignment="1"/>
    <xf numFmtId="44" fontId="43" fillId="0" borderId="83" xfId="1776" applyNumberFormat="1" applyFont="1" applyBorder="1" applyAlignment="1"/>
    <xf numFmtId="165" fontId="41" fillId="0" borderId="10" xfId="2" applyNumberFormat="1" applyFont="1" applyFill="1" applyBorder="1" applyAlignment="1"/>
    <xf numFmtId="165" fontId="42" fillId="0" borderId="0" xfId="2" applyNumberFormat="1" applyFont="1" applyFill="1" applyAlignment="1"/>
    <xf numFmtId="165" fontId="38" fillId="0" borderId="20" xfId="2" applyNumberFormat="1" applyFont="1" applyFill="1" applyBorder="1" applyAlignment="1"/>
    <xf numFmtId="166" fontId="38" fillId="0" borderId="20" xfId="2" applyNumberFormat="1" applyFont="1" applyFill="1" applyBorder="1" applyAlignment="1"/>
    <xf numFmtId="168" fontId="38" fillId="0" borderId="0" xfId="2" applyNumberFormat="1" applyFont="1" applyFill="1" applyAlignment="1"/>
    <xf numFmtId="43" fontId="43" fillId="0" borderId="100" xfId="1776" applyNumberFormat="1" applyFont="1" applyFill="1" applyBorder="1" applyAlignment="1"/>
    <xf numFmtId="43" fontId="43" fillId="0" borderId="97" xfId="1776" applyNumberFormat="1" applyFont="1" applyFill="1" applyBorder="1" applyAlignment="1"/>
    <xf numFmtId="44" fontId="43" fillId="0" borderId="83" xfId="1776" applyNumberFormat="1" applyFont="1" applyFill="1" applyBorder="1" applyAlignment="1">
      <alignment horizontal="right"/>
    </xf>
    <xf numFmtId="178" fontId="66" fillId="0" borderId="0" xfId="740" quotePrefix="1" applyNumberFormat="1" applyFont="1" applyFill="1" applyAlignment="1">
      <alignment horizontal="right"/>
    </xf>
    <xf numFmtId="0" fontId="84" fillId="0" borderId="0" xfId="740" applyFont="1" applyFill="1" applyAlignment="1">
      <alignment horizontal="right"/>
    </xf>
    <xf numFmtId="178" fontId="43" fillId="0" borderId="0" xfId="740" applyNumberFormat="1" applyFont="1" applyFill="1" applyBorder="1" applyAlignment="1">
      <alignment horizontal="center"/>
    </xf>
    <xf numFmtId="178" fontId="43" fillId="0" borderId="43" xfId="740" applyNumberFormat="1" applyFont="1" applyFill="1" applyBorder="1" applyAlignment="1">
      <alignment horizontal="center"/>
    </xf>
    <xf numFmtId="178" fontId="43" fillId="0" borderId="10" xfId="740" applyNumberFormat="1" applyFont="1" applyFill="1" applyBorder="1" applyAlignment="1">
      <alignment horizontal="center"/>
    </xf>
    <xf numFmtId="180" fontId="43" fillId="0" borderId="10" xfId="740" quotePrefix="1" applyNumberFormat="1" applyFont="1" applyFill="1" applyBorder="1" applyAlignment="1">
      <alignment horizontal="center"/>
    </xf>
    <xf numFmtId="180" fontId="43" fillId="0" borderId="0" xfId="740" quotePrefix="1" applyNumberFormat="1" applyFont="1" applyFill="1" applyBorder="1" applyAlignment="1">
      <alignment horizontal="center"/>
    </xf>
    <xf numFmtId="181" fontId="36" fillId="0" borderId="0" xfId="1767" applyNumberFormat="1" applyFont="1" applyFill="1" applyBorder="1" applyAlignment="1">
      <alignment horizontal="right"/>
    </xf>
    <xf numFmtId="178" fontId="36" fillId="0" borderId="0" xfId="1767" applyNumberFormat="1" applyFont="1" applyFill="1" applyBorder="1" applyAlignment="1">
      <alignment horizontal="center"/>
    </xf>
    <xf numFmtId="178" fontId="41" fillId="0" borderId="0" xfId="1767" applyNumberFormat="1" applyFont="1" applyFill="1" applyAlignment="1"/>
    <xf numFmtId="0" fontId="97" fillId="0" borderId="0" xfId="1767" applyFont="1" applyFill="1"/>
    <xf numFmtId="178" fontId="43" fillId="0" borderId="10" xfId="740" applyNumberFormat="1" applyFont="1" applyFill="1" applyBorder="1" applyAlignment="1"/>
    <xf numFmtId="0" fontId="97" fillId="0" borderId="0" xfId="740" applyFont="1" applyFill="1" applyBorder="1"/>
    <xf numFmtId="164" fontId="43" fillId="0" borderId="83" xfId="0" applyNumberFormat="1" applyFont="1" applyBorder="1" applyAlignment="1" applyProtection="1"/>
    <xf numFmtId="182" fontId="0" fillId="0" borderId="0" xfId="836" applyNumberFormat="1" applyFont="1" applyFill="1" applyAlignment="1"/>
    <xf numFmtId="0" fontId="200" fillId="0" borderId="0" xfId="8" applyFont="1" applyAlignment="1">
      <alignment horizontal="left"/>
    </xf>
    <xf numFmtId="0" fontId="200" fillId="0" borderId="0" xfId="8" applyFont="1" applyAlignment="1"/>
    <xf numFmtId="0" fontId="200" fillId="0" borderId="0" xfId="8" applyFont="1"/>
    <xf numFmtId="166" fontId="200" fillId="0" borderId="0" xfId="8" applyNumberFormat="1" applyFont="1" applyAlignment="1">
      <alignment horizontal="right" vertical="top"/>
    </xf>
    <xf numFmtId="169" fontId="200" fillId="0" borderId="0" xfId="8" applyNumberFormat="1" applyFont="1" applyAlignment="1">
      <alignment horizontal="right" vertical="top"/>
    </xf>
    <xf numFmtId="178" fontId="201" fillId="0" borderId="0" xfId="1767" applyNumberFormat="1" applyFont="1" applyFill="1" applyAlignment="1">
      <alignment horizontal="center"/>
    </xf>
    <xf numFmtId="178" fontId="0" fillId="0" borderId="0" xfId="1767" applyNumberFormat="1" applyFont="1" applyFill="1" applyAlignment="1">
      <alignment horizontal="center" vertical="top"/>
    </xf>
    <xf numFmtId="178" fontId="36" fillId="0" borderId="0" xfId="0" applyNumberFormat="1" applyFont="1" applyFill="1" applyAlignment="1">
      <alignment horizontal="center"/>
    </xf>
    <xf numFmtId="164" fontId="36" fillId="0" borderId="0" xfId="0" applyFont="1" applyFill="1"/>
    <xf numFmtId="170" fontId="36" fillId="0" borderId="0" xfId="0" quotePrefix="1" applyNumberFormat="1" applyFont="1" applyFill="1" applyAlignment="1" applyProtection="1">
      <alignment horizontal="right"/>
      <protection locked="0"/>
    </xf>
    <xf numFmtId="41" fontId="41" fillId="0" borderId="0" xfId="0" applyNumberFormat="1" applyFont="1" applyBorder="1" applyAlignment="1"/>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1" fontId="41" fillId="0" borderId="0" xfId="0" applyNumberFormat="1" applyFont="1" applyAlignment="1">
      <alignment horizontal="right" vertic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89"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41" fontId="167" fillId="0" borderId="0" xfId="0" applyNumberFormat="1" applyFont="1" applyFill="1" applyBorder="1" applyAlignment="1">
      <alignment horizontal="right" vertical="top"/>
    </xf>
    <xf numFmtId="41" fontId="167" fillId="0" borderId="0" xfId="0" applyNumberFormat="1" applyFont="1" applyFill="1" applyBorder="1" applyAlignment="1">
      <alignment horizontal="right" vertical="center"/>
    </xf>
    <xf numFmtId="41" fontId="167" fillId="0" borderId="0" xfId="0" applyNumberFormat="1" applyFont="1" applyBorder="1"/>
    <xf numFmtId="42" fontId="110" fillId="0" borderId="0" xfId="0" applyNumberFormat="1" applyFont="1" applyFill="1" applyBorder="1" applyAlignment="1">
      <alignment horizontal="right"/>
    </xf>
    <xf numFmtId="42" fontId="110" fillId="0" borderId="0" xfId="0" applyNumberFormat="1" applyFont="1" applyFill="1" applyBorder="1" applyAlignment="1">
      <alignment horizontal="center"/>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0" fontId="202" fillId="0" borderId="0" xfId="8" applyFont="1" applyFill="1" applyAlignment="1"/>
    <xf numFmtId="44" fontId="41" fillId="0" borderId="0" xfId="0" applyNumberFormat="1" applyFont="1" applyFill="1" applyAlignment="1" applyProtection="1">
      <alignment horizontal="right"/>
      <protection locked="0"/>
    </xf>
    <xf numFmtId="0" fontId="83" fillId="0" borderId="0" xfId="0" applyNumberFormat="1" applyFont="1" applyFill="1" applyAlignment="1" applyProtection="1">
      <alignment horizontal="right"/>
      <protection locked="0"/>
    </xf>
    <xf numFmtId="39" fontId="41" fillId="0" borderId="0" xfId="0" applyNumberFormat="1" applyFont="1" applyFill="1" applyAlignment="1" applyProtection="1">
      <alignment horizontal="right"/>
      <protection locked="0"/>
    </xf>
    <xf numFmtId="0" fontId="83" fillId="0" borderId="0" xfId="0" applyNumberFormat="1" applyFont="1" applyFill="1" applyAlignment="1" applyProtection="1">
      <protection locked="0"/>
    </xf>
    <xf numFmtId="43" fontId="41" fillId="0" borderId="0" xfId="0" applyNumberFormat="1" applyFont="1" applyFill="1" applyAlignment="1" applyProtection="1">
      <protection locked="0"/>
    </xf>
    <xf numFmtId="43" fontId="83" fillId="0" borderId="0" xfId="0" applyNumberFormat="1" applyFont="1" applyFill="1" applyAlignment="1" applyProtection="1">
      <alignment horizontal="right"/>
      <protection locked="0"/>
    </xf>
    <xf numFmtId="43" fontId="41" fillId="0" borderId="0" xfId="0" applyNumberFormat="1" applyFont="1" applyFill="1" applyAlignment="1" applyProtection="1">
      <alignment horizontal="right"/>
      <protection locked="0"/>
    </xf>
    <xf numFmtId="43" fontId="82" fillId="0" borderId="0" xfId="0" applyNumberFormat="1" applyFont="1" applyFill="1" applyAlignment="1" applyProtection="1">
      <protection locked="0"/>
    </xf>
    <xf numFmtId="43" fontId="41" fillId="0" borderId="0" xfId="5497" quotePrefix="1" applyNumberFormat="1" applyFont="1" applyFill="1" applyAlignment="1" applyProtection="1">
      <alignment horizontal="right"/>
      <protection locked="0"/>
    </xf>
    <xf numFmtId="43" fontId="41" fillId="0" borderId="0" xfId="5497" applyNumberFormat="1" applyFont="1" applyFill="1" applyAlignment="1" applyProtection="1">
      <alignment horizontal="right"/>
      <protection locked="0"/>
    </xf>
    <xf numFmtId="43" fontId="0" fillId="0" borderId="0" xfId="0" applyNumberFormat="1" applyFill="1" applyAlignment="1" applyProtection="1">
      <alignment horizontal="right"/>
      <protection locked="0"/>
    </xf>
    <xf numFmtId="43" fontId="0" fillId="0" borderId="0" xfId="0" applyNumberFormat="1" applyFill="1" applyAlignment="1" applyProtection="1">
      <protection locked="0"/>
    </xf>
    <xf numFmtId="0" fontId="41" fillId="0" borderId="0" xfId="0" applyNumberFormat="1" applyFont="1" applyFill="1" applyProtection="1">
      <protection locked="0"/>
    </xf>
    <xf numFmtId="43" fontId="41" fillId="0" borderId="0" xfId="0" applyNumberFormat="1" applyFont="1" applyFill="1" applyProtection="1">
      <protection locked="0"/>
    </xf>
    <xf numFmtId="43" fontId="41" fillId="0" borderId="0" xfId="0" quotePrefix="1" applyNumberFormat="1" applyFont="1" applyFill="1" applyBorder="1" applyAlignment="1" applyProtection="1">
      <alignment horizontal="right"/>
      <protection locked="0"/>
    </xf>
    <xf numFmtId="181" fontId="76" fillId="0" borderId="0" xfId="836" quotePrefix="1" applyNumberFormat="1" applyFont="1" applyFill="1" applyBorder="1" applyAlignment="1"/>
    <xf numFmtId="0" fontId="94" fillId="0" borderId="0" xfId="2" applyNumberFormat="1" applyFont="1" applyFill="1" applyAlignment="1"/>
    <xf numFmtId="0" fontId="66" fillId="0" borderId="0" xfId="2" applyNumberFormat="1" applyFont="1" applyFill="1" applyAlignment="1"/>
    <xf numFmtId="0" fontId="66" fillId="0" borderId="10" xfId="2" quotePrefix="1" applyNumberFormat="1" applyFont="1" applyFill="1" applyBorder="1" applyAlignment="1">
      <alignment horizontal="center"/>
    </xf>
    <xf numFmtId="174" fontId="66" fillId="0" borderId="20" xfId="2" quotePrefix="1" applyNumberFormat="1" applyFont="1" applyFill="1" applyBorder="1" applyAlignment="1">
      <alignment horizontal="right"/>
    </xf>
    <xf numFmtId="174" fontId="61" fillId="0" borderId="0" xfId="2" applyNumberFormat="1" applyFont="1" applyFill="1" applyAlignment="1" applyProtection="1">
      <protection locked="0"/>
    </xf>
    <xf numFmtId="170" fontId="66" fillId="0" borderId="20" xfId="2" applyNumberFormat="1" applyFont="1" applyFill="1" applyBorder="1" applyAlignment="1">
      <alignment horizontal="right"/>
    </xf>
    <xf numFmtId="170" fontId="61" fillId="0" borderId="2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10" xfId="2" quotePrefix="1" applyNumberFormat="1" applyFont="1" applyFill="1" applyBorder="1" applyAlignment="1">
      <alignment horizontal="center"/>
    </xf>
    <xf numFmtId="170" fontId="66" fillId="0" borderId="0" xfId="2" quotePrefix="1" applyNumberFormat="1" applyFont="1" applyFill="1" applyAlignment="1">
      <alignment horizontal="right"/>
    </xf>
    <xf numFmtId="170" fontId="66" fillId="0" borderId="10" xfId="2" quotePrefix="1" applyNumberFormat="1" applyFont="1" applyFill="1" applyBorder="1" applyAlignment="1"/>
    <xf numFmtId="170" fontId="61" fillId="0" borderId="0" xfId="2" quotePrefix="1" applyNumberFormat="1" applyFont="1" applyFill="1" applyAlignment="1">
      <alignment horizontal="center"/>
    </xf>
    <xf numFmtId="170" fontId="66" fillId="0" borderId="20" xfId="2"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95" fillId="0" borderId="0" xfId="2" applyNumberFormat="1" applyFont="1" applyFill="1" applyAlignment="1"/>
    <xf numFmtId="178" fontId="61" fillId="0" borderId="0" xfId="836" quotePrefix="1" applyNumberFormat="1" applyFont="1" applyFill="1" applyAlignment="1"/>
    <xf numFmtId="178" fontId="61" fillId="0" borderId="0" xfId="836" quotePrefix="1" applyNumberFormat="1" applyFont="1" applyFill="1" applyAlignment="1">
      <alignment horizontal="right"/>
    </xf>
    <xf numFmtId="178" fontId="61" fillId="0" borderId="0" xfId="836" quotePrefix="1" applyNumberFormat="1" applyFont="1" applyFill="1" applyAlignment="1">
      <alignment horizontal="center"/>
    </xf>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5" fontId="61" fillId="0" borderId="0" xfId="2" applyNumberFormat="1" applyFont="1" applyFill="1" applyAlignment="1" applyProtection="1">
      <protection locked="0"/>
    </xf>
    <xf numFmtId="170" fontId="61" fillId="0" borderId="10" xfId="2" quotePrefix="1" applyNumberFormat="1" applyFont="1" applyFill="1" applyBorder="1" applyAlignment="1"/>
    <xf numFmtId="170" fontId="66" fillId="0" borderId="0" xfId="2" quotePrefix="1" applyNumberFormat="1" applyFont="1" applyFill="1" applyAlignment="1">
      <alignment horizontal="center"/>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166" fontId="48" fillId="0" borderId="0" xfId="8" quotePrefix="1" applyNumberFormat="1" applyFont="1" applyAlignment="1">
      <alignment horizontal="right"/>
    </xf>
    <xf numFmtId="0" fontId="48" fillId="0" borderId="0" xfId="8" applyNumberFormat="1" applyFont="1" applyFill="1" applyBorder="1" applyAlignment="1" applyProtection="1"/>
    <xf numFmtId="178" fontId="36" fillId="0" borderId="0" xfId="1767" quotePrefix="1" applyNumberFormat="1" applyFont="1" applyFill="1" applyAlignment="1"/>
    <xf numFmtId="178" fontId="61" fillId="0" borderId="0" xfId="836" applyNumberFormat="1" applyFont="1" applyFill="1"/>
    <xf numFmtId="178" fontId="61" fillId="0" borderId="0" xfId="836" applyNumberFormat="1" applyFont="1" applyFill="1" applyAlignment="1">
      <alignment horizontal="center"/>
    </xf>
    <xf numFmtId="175" fontId="43" fillId="0" borderId="10" xfId="4" applyNumberFormat="1" applyFont="1" applyFill="1" applyBorder="1" applyAlignment="1">
      <alignment horizontal="center"/>
    </xf>
    <xf numFmtId="165" fontId="78" fillId="0" borderId="0" xfId="2" applyNumberFormat="1" applyFont="1" applyFill="1" applyAlignment="1"/>
    <xf numFmtId="165" fontId="75" fillId="0" borderId="0" xfId="2" applyNumberFormat="1" applyFont="1" applyFill="1" applyAlignment="1"/>
    <xf numFmtId="165" fontId="66" fillId="0" borderId="0" xfId="2" applyNumberFormat="1" applyFont="1" applyFill="1" applyAlignment="1"/>
    <xf numFmtId="0" fontId="66" fillId="0" borderId="0" xfId="2" quotePrefix="1" applyNumberFormat="1" applyFont="1" applyFill="1" applyAlignment="1">
      <alignment horizontal="center"/>
    </xf>
    <xf numFmtId="165" fontId="61" fillId="0" borderId="20" xfId="2" applyNumberFormat="1" applyFont="1" applyFill="1" applyBorder="1" applyAlignment="1"/>
    <xf numFmtId="174" fontId="66" fillId="0" borderId="0" xfId="2" applyNumberFormat="1" applyFont="1" applyFill="1" applyAlignment="1"/>
    <xf numFmtId="175" fontId="61" fillId="0" borderId="0" xfId="2" applyNumberFormat="1" applyFont="1" applyFill="1" applyAlignment="1"/>
    <xf numFmtId="175" fontId="61" fillId="0" borderId="20" xfId="2" applyNumberFormat="1" applyFont="1" applyFill="1" applyBorder="1" applyAlignment="1"/>
    <xf numFmtId="175" fontId="61" fillId="0" borderId="36" xfId="2" applyNumberFormat="1" applyFont="1" applyFill="1" applyBorder="1" applyAlignment="1"/>
    <xf numFmtId="166" fontId="65" fillId="0" borderId="0" xfId="2" applyNumberFormat="1" applyFont="1" applyFill="1" applyAlignment="1"/>
    <xf numFmtId="166" fontId="59" fillId="0" borderId="0" xfId="2" applyNumberFormat="1" applyFont="1" applyFill="1" applyAlignment="1"/>
    <xf numFmtId="166" fontId="76" fillId="0" borderId="0" xfId="2" applyNumberFormat="1" applyFont="1" applyFill="1" applyAlignment="1"/>
    <xf numFmtId="166" fontId="79" fillId="0" borderId="0" xfId="2" applyNumberFormat="1" applyFont="1" applyFill="1" applyAlignment="1"/>
    <xf numFmtId="166" fontId="79" fillId="0" borderId="0" xfId="2"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66" fontId="76" fillId="0" borderId="0" xfId="2" applyNumberFormat="1" applyFont="1" applyFill="1" applyAlignment="1">
      <alignment horizontal="right"/>
    </xf>
    <xf numFmtId="170" fontId="76" fillId="0" borderId="20" xfId="2" applyNumberFormat="1" applyFont="1" applyFill="1" applyBorder="1" applyAlignment="1">
      <alignment horizontal="right"/>
    </xf>
    <xf numFmtId="170" fontId="76" fillId="0" borderId="0" xfId="2" applyNumberFormat="1" applyFont="1" applyFill="1" applyAlignment="1">
      <alignment horizontal="right"/>
    </xf>
    <xf numFmtId="170" fontId="61" fillId="0" borderId="0" xfId="2" applyNumberFormat="1" applyFont="1" applyFill="1" applyAlignment="1">
      <alignment horizontal="center"/>
    </xf>
    <xf numFmtId="170" fontId="79" fillId="0" borderId="0" xfId="2" applyNumberFormat="1" applyFont="1" applyFill="1" applyAlignment="1">
      <alignment horizontal="center"/>
    </xf>
    <xf numFmtId="166" fontId="79" fillId="0" borderId="20" xfId="2" applyNumberFormat="1" applyFont="1" applyFill="1" applyBorder="1" applyAlignment="1">
      <alignment horizontal="right"/>
    </xf>
    <xf numFmtId="166" fontId="78" fillId="0" borderId="36" xfId="2" applyNumberFormat="1" applyFont="1" applyFill="1" applyBorder="1" applyAlignment="1"/>
    <xf numFmtId="170" fontId="38" fillId="0" borderId="67" xfId="4" quotePrefix="1" applyNumberFormat="1" applyFont="1" applyFill="1" applyBorder="1" applyAlignment="1">
      <alignment horizontal="center"/>
    </xf>
    <xf numFmtId="41" fontId="167" fillId="0" borderId="0" xfId="0" applyNumberFormat="1" applyFont="1" applyFill="1" applyAlignment="1">
      <alignment horizontal="right" vertical="top"/>
    </xf>
    <xf numFmtId="0" fontId="167" fillId="0" borderId="0" xfId="0" quotePrefix="1" applyNumberFormat="1" applyFont="1" applyFill="1" applyBorder="1" applyAlignment="1"/>
    <xf numFmtId="0" fontId="167" fillId="0" borderId="0" xfId="0" applyNumberFormat="1" applyFont="1" applyFill="1" applyBorder="1"/>
    <xf numFmtId="41" fontId="167" fillId="0" borderId="0" xfId="0" applyNumberFormat="1" applyFont="1" applyBorder="1" applyAlignment="1">
      <alignment horizontal="right" vertical="top"/>
    </xf>
    <xf numFmtId="42" fontId="110" fillId="0" borderId="0" xfId="0" applyNumberFormat="1" applyFont="1" applyFill="1" applyBorder="1" applyAlignment="1">
      <alignment horizontal="right" vertical="top"/>
    </xf>
    <xf numFmtId="178" fontId="43" fillId="0" borderId="67" xfId="740" quotePrefix="1" applyNumberFormat="1" applyFont="1" applyFill="1" applyBorder="1" applyAlignment="1">
      <alignment horizontal="center"/>
    </xf>
    <xf numFmtId="178" fontId="43" fillId="0" borderId="0" xfId="740" quotePrefix="1" applyNumberFormat="1" applyFont="1" applyFill="1" applyBorder="1" applyAlignment="1">
      <alignment horizontal="center"/>
    </xf>
    <xf numFmtId="178" fontId="36" fillId="0" borderId="0" xfId="740" quotePrefix="1" applyNumberFormat="1" applyFont="1" applyFill="1" applyAlignment="1"/>
    <xf numFmtId="172" fontId="170" fillId="0" borderId="0" xfId="2" applyNumberFormat="1" applyFont="1" applyAlignment="1"/>
    <xf numFmtId="172" fontId="61" fillId="0" borderId="67" xfId="0" applyNumberFormat="1" applyFont="1" applyBorder="1" applyAlignment="1" applyProtection="1"/>
    <xf numFmtId="172" fontId="66" fillId="0" borderId="67" xfId="0" applyNumberFormat="1" applyFont="1" applyBorder="1"/>
    <xf numFmtId="172" fontId="170" fillId="0" borderId="0" xfId="1940" applyNumberFormat="1" applyFont="1" applyAlignment="1"/>
    <xf numFmtId="172" fontId="61" fillId="0" borderId="0" xfId="0" applyNumberFormat="1" applyFont="1"/>
    <xf numFmtId="172" fontId="169" fillId="0" borderId="72" xfId="1940" applyNumberFormat="1" applyFont="1" applyBorder="1" applyAlignment="1"/>
    <xf numFmtId="172" fontId="169" fillId="0" borderId="67" xfId="1940" applyNumberFormat="1" applyFont="1" applyBorder="1" applyAlignment="1"/>
    <xf numFmtId="172" fontId="66" fillId="0" borderId="0" xfId="1940" applyNumberFormat="1" applyFont="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1" fontId="167" fillId="0" borderId="0" xfId="0" applyNumberFormat="1" applyFont="1" applyAlignment="1">
      <alignment horizontal="right"/>
    </xf>
    <xf numFmtId="41" fontId="42" fillId="0" borderId="0" xfId="1773" applyNumberFormat="1" applyFont="1" applyFill="1" applyAlignment="1">
      <alignment horizontal="right"/>
    </xf>
    <xf numFmtId="41" fontId="41" fillId="0" borderId="0" xfId="1773" applyNumberFormat="1" applyFont="1" applyFill="1" applyAlignment="1">
      <alignment horizontal="right"/>
    </xf>
    <xf numFmtId="41" fontId="42" fillId="0" borderId="67" xfId="0" applyNumberFormat="1" applyFont="1" applyFill="1" applyBorder="1" applyAlignment="1">
      <alignment horizontal="center" wrapText="1"/>
    </xf>
    <xf numFmtId="191" fontId="110" fillId="0" borderId="0" xfId="24945" applyNumberFormat="1" applyFont="1" applyFill="1"/>
    <xf numFmtId="191" fontId="167" fillId="0" borderId="0" xfId="24945" applyNumberFormat="1" applyFont="1" applyFill="1"/>
    <xf numFmtId="41" fontId="41" fillId="0" borderId="0" xfId="0" quotePrefix="1" applyNumberFormat="1" applyFont="1" applyFill="1" applyAlignment="1">
      <alignment horizontal="right"/>
    </xf>
    <xf numFmtId="42" fontId="42" fillId="0" borderId="89" xfId="0" applyNumberFormat="1" applyFont="1" applyFill="1" applyBorder="1" applyAlignment="1">
      <alignment horizontal="right" vertical="top"/>
    </xf>
    <xf numFmtId="41" fontId="167" fillId="0" borderId="0" xfId="0" quotePrefix="1" applyNumberFormat="1" applyFont="1" applyFill="1" applyAlignment="1">
      <alignment horizontal="right"/>
    </xf>
    <xf numFmtId="41" fontId="167" fillId="0" borderId="0" xfId="0" quotePrefix="1" applyNumberFormat="1" applyFont="1" applyFill="1" applyAlignment="1">
      <alignment horizontal="center"/>
    </xf>
    <xf numFmtId="43" fontId="43" fillId="0" borderId="101" xfId="1776" applyNumberFormat="1" applyFont="1" applyBorder="1" applyAlignment="1"/>
    <xf numFmtId="43" fontId="59" fillId="0" borderId="0" xfId="2" applyNumberFormat="1" applyFont="1" applyAlignment="1">
      <alignment horizontal="right"/>
    </xf>
    <xf numFmtId="187" fontId="43" fillId="0" borderId="51" xfId="1767" applyNumberFormat="1" applyFont="1" applyFill="1" applyBorder="1" applyAlignment="1" applyProtection="1">
      <alignment horizontal="center"/>
      <protection locked="0"/>
    </xf>
    <xf numFmtId="0" fontId="48" fillId="0" borderId="0" xfId="0" applyNumberFormat="1" applyFont="1" applyFill="1" applyBorder="1" applyAlignment="1" applyProtection="1"/>
    <xf numFmtId="0" fontId="48" fillId="0" borderId="0" xfId="8" applyFont="1" applyAlignment="1">
      <alignment horizontal="left" vertical="top"/>
    </xf>
    <xf numFmtId="166" fontId="48" fillId="0" borderId="0" xfId="8" applyNumberFormat="1" applyFont="1" applyAlignment="1">
      <alignment horizontal="right" vertical="top"/>
    </xf>
    <xf numFmtId="170" fontId="36" fillId="0" borderId="0" xfId="0" applyNumberFormat="1" applyFont="1" applyFill="1" applyAlignment="1" applyProtection="1">
      <alignment horizontal="right"/>
    </xf>
    <xf numFmtId="170" fontId="43" fillId="0" borderId="10" xfId="0" applyNumberFormat="1" applyFont="1" applyFill="1" applyBorder="1" applyAlignment="1" applyProtection="1"/>
    <xf numFmtId="0" fontId="43" fillId="0" borderId="10" xfId="2" quotePrefix="1" applyNumberFormat="1" applyFont="1" applyFill="1" applyBorder="1" applyAlignment="1">
      <alignment horizontal="center"/>
    </xf>
    <xf numFmtId="0" fontId="43" fillId="0" borderId="10" xfId="2" quotePrefix="1" applyNumberFormat="1" applyFont="1" applyBorder="1" applyAlignment="1">
      <alignment horizontal="center"/>
    </xf>
    <xf numFmtId="0" fontId="113" fillId="0" borderId="0" xfId="8" quotePrefix="1" applyFont="1" applyAlignment="1">
      <alignment horizontal="right" vertical="top"/>
    </xf>
    <xf numFmtId="0" fontId="139" fillId="0" borderId="0" xfId="8" applyFont="1" applyAlignment="1">
      <alignment horizontal="left" vertical="top"/>
    </xf>
    <xf numFmtId="0" fontId="139" fillId="0" borderId="0" xfId="8" applyFont="1" applyBorder="1" applyAlignment="1">
      <alignment horizontal="left"/>
    </xf>
    <xf numFmtId="0" fontId="139" fillId="0" borderId="0" xfId="8" applyFont="1" applyFill="1" applyBorder="1" applyAlignment="1">
      <alignment horizontal="left"/>
    </xf>
    <xf numFmtId="0" fontId="139" fillId="0" borderId="0" xfId="8" applyFont="1" applyFill="1" applyBorder="1" applyAlignment="1"/>
    <xf numFmtId="0" fontId="48" fillId="0" borderId="0" xfId="8" applyFont="1" applyFill="1" applyBorder="1" applyAlignment="1">
      <alignment horizontal="left"/>
    </xf>
    <xf numFmtId="170" fontId="36" fillId="0" borderId="0" xfId="4" applyNumberFormat="1" applyFont="1" applyFill="1"/>
    <xf numFmtId="165" fontId="36" fillId="0" borderId="0" xfId="2" applyNumberFormat="1" applyFont="1" applyBorder="1" applyProtection="1">
      <protection locked="0"/>
    </xf>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67" xfId="0" applyNumberFormat="1" applyFont="1" applyBorder="1" applyAlignment="1" applyProtection="1">
      <alignment horizontal="left"/>
      <protection locked="0"/>
    </xf>
    <xf numFmtId="164" fontId="36" fillId="0" borderId="67"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7"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7" xfId="2" applyFont="1" applyFill="1" applyBorder="1" applyAlignment="1">
      <alignment horizontal="center"/>
    </xf>
    <xf numFmtId="0" fontId="43" fillId="0" borderId="67"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7" xfId="2" applyNumberFormat="1" applyFont="1" applyBorder="1" applyAlignment="1" applyProtection="1">
      <alignment horizontal="left"/>
      <protection locked="0"/>
    </xf>
    <xf numFmtId="0" fontId="43" fillId="0" borderId="10" xfId="2" quotePrefix="1" applyNumberFormat="1" applyFont="1" applyFill="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10" xfId="2" quotePrefix="1" applyNumberFormat="1" applyFont="1" applyBorder="1" applyAlignment="1">
      <alignment horizontal="center"/>
    </xf>
    <xf numFmtId="0" fontId="0" fillId="0" borderId="10" xfId="2" applyFont="1" applyBorder="1" applyAlignment="1"/>
    <xf numFmtId="166" fontId="66" fillId="0" borderId="67" xfId="2" applyNumberFormat="1" applyFont="1" applyBorder="1" applyAlignment="1" applyProtection="1">
      <alignment horizontal="center"/>
      <protection locked="0"/>
    </xf>
    <xf numFmtId="165" fontId="66" fillId="0" borderId="67"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7"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7" xfId="2" quotePrefix="1" applyNumberFormat="1" applyFont="1" applyBorder="1" applyAlignment="1">
      <alignment horizontal="center"/>
    </xf>
    <xf numFmtId="182" fontId="41" fillId="0" borderId="0" xfId="836" quotePrefix="1" applyNumberFormat="1" applyFont="1" applyAlignment="1">
      <alignment horizontal="justify" vertical="top"/>
    </xf>
    <xf numFmtId="0" fontId="38" fillId="0" borderId="0" xfId="836" applyAlignment="1">
      <alignment horizontal="justify"/>
    </xf>
    <xf numFmtId="182" fontId="41" fillId="0" borderId="0" xfId="836" quotePrefix="1" applyNumberFormat="1" applyFont="1" applyFill="1" applyAlignment="1">
      <alignment horizontal="justify" vertical="top" wrapText="1"/>
    </xf>
    <xf numFmtId="0" fontId="38" fillId="0" borderId="0" xfId="836" applyFont="1" applyFill="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50558</xdr:colOff>
      <xdr:row>0</xdr:row>
      <xdr:rowOff>0</xdr:rowOff>
    </xdr:from>
    <xdr:to>
      <xdr:col>1</xdr:col>
      <xdr:colOff>1355483</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50558" y="0"/>
          <a:ext cx="1491372" cy="14994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workbookViewId="0"/>
  </sheetViews>
  <sheetFormatPr defaultColWidth="8.88671875" defaultRowHeight="12.75"/>
  <cols>
    <col min="1" max="1" width="2.21875" style="1063" customWidth="1"/>
    <col min="2" max="2" width="22.77734375" style="1063" customWidth="1"/>
    <col min="3" max="3" width="6" style="1063" customWidth="1"/>
    <col min="4" max="4" width="24.109375" style="1063" customWidth="1"/>
    <col min="5" max="6" width="12.44140625" style="1063" customWidth="1"/>
    <col min="7" max="7" width="4" style="1063" customWidth="1"/>
    <col min="8" max="8" width="12.44140625" style="1063" customWidth="1"/>
    <col min="9" max="9" width="12" style="1063" customWidth="1"/>
    <col min="10" max="10" width="3.88671875" style="1063" customWidth="1"/>
    <col min="11" max="11" width="28.44140625" style="1063" customWidth="1"/>
    <col min="12" max="16384" width="8.88671875" style="1063"/>
  </cols>
  <sheetData>
    <row r="1" spans="1:10" s="1060" customFormat="1">
      <c r="A1" s="1058"/>
      <c r="B1" s="1058"/>
      <c r="C1" s="1058"/>
      <c r="D1" s="1058"/>
      <c r="E1" s="1058"/>
      <c r="F1" s="1058"/>
      <c r="G1" s="1058"/>
      <c r="H1" s="1058"/>
      <c r="I1" s="1058"/>
      <c r="J1" s="1059"/>
    </row>
    <row r="2" spans="1:10" s="1060" customFormat="1">
      <c r="A2" s="1058"/>
      <c r="B2" s="1058"/>
      <c r="C2" s="1058"/>
      <c r="D2" s="1058"/>
      <c r="E2" s="1058"/>
      <c r="F2" s="1058"/>
      <c r="G2" s="1058"/>
      <c r="H2" s="1058"/>
      <c r="I2" s="1058"/>
      <c r="J2" s="1059"/>
    </row>
    <row r="3" spans="1:10" s="1060" customFormat="1">
      <c r="A3" s="1058"/>
      <c r="B3" s="1058"/>
      <c r="C3" s="1058"/>
      <c r="D3" s="1058"/>
      <c r="E3" s="1058"/>
      <c r="F3" s="1058"/>
      <c r="G3" s="1058"/>
      <c r="H3" s="1058"/>
      <c r="I3" s="1058"/>
      <c r="J3" s="1059"/>
    </row>
    <row r="4" spans="1:10" s="1060" customFormat="1">
      <c r="A4" s="1058" t="s">
        <v>1047</v>
      </c>
      <c r="B4" s="1058"/>
      <c r="C4" s="1058"/>
      <c r="D4" s="1058"/>
      <c r="E4" s="1058"/>
      <c r="F4" s="1058"/>
      <c r="G4" s="1058"/>
      <c r="H4" s="1058"/>
      <c r="I4" s="1494" t="s">
        <v>1043</v>
      </c>
      <c r="J4" s="1059"/>
    </row>
    <row r="5" spans="1:10" ht="18">
      <c r="A5" s="1058" t="s">
        <v>1045</v>
      </c>
      <c r="B5" s="1061"/>
      <c r="C5" s="1061"/>
      <c r="D5" s="1061"/>
      <c r="E5" s="1061"/>
      <c r="F5" s="1061"/>
      <c r="G5" s="1061"/>
      <c r="H5" s="1061"/>
      <c r="I5" s="1494" t="s">
        <v>1044</v>
      </c>
      <c r="J5" s="1062"/>
    </row>
    <row r="6" spans="1:10" ht="18">
      <c r="A6" s="1058" t="s">
        <v>907</v>
      </c>
      <c r="B6" s="1061"/>
      <c r="C6" s="1061"/>
      <c r="D6" s="1061"/>
      <c r="E6" s="1061"/>
      <c r="F6" s="1061"/>
      <c r="G6" s="1061"/>
      <c r="H6" s="1061"/>
      <c r="I6" s="1061"/>
      <c r="J6" s="1062"/>
    </row>
    <row r="7" spans="1:10" ht="18">
      <c r="A7" s="1058" t="s">
        <v>908</v>
      </c>
      <c r="B7" s="1061"/>
      <c r="C7" s="1061"/>
      <c r="D7" s="1061"/>
      <c r="E7" s="1061"/>
      <c r="F7" s="1061"/>
      <c r="G7" s="1061"/>
      <c r="H7" s="1061"/>
      <c r="I7" s="1061"/>
      <c r="J7" s="1062"/>
    </row>
    <row r="8" spans="1:10" ht="18.75" thickBot="1">
      <c r="A8" s="1061"/>
      <c r="B8" s="1061"/>
      <c r="C8" s="1061"/>
      <c r="D8" s="1061"/>
      <c r="E8" s="1061"/>
      <c r="F8" s="1061"/>
      <c r="G8" s="1061"/>
      <c r="H8" s="1061"/>
      <c r="I8" s="1061"/>
      <c r="J8" s="1062"/>
    </row>
    <row r="9" spans="1:10" ht="18.75" thickTop="1">
      <c r="A9" s="1064" t="s">
        <v>909</v>
      </c>
      <c r="B9" s="1065"/>
      <c r="C9" s="1065"/>
      <c r="D9" s="1065"/>
      <c r="E9" s="1065"/>
      <c r="F9" s="1065"/>
      <c r="G9" s="1065"/>
      <c r="H9" s="1065"/>
      <c r="I9" s="1065"/>
      <c r="J9" s="1066"/>
    </row>
    <row r="10" spans="1:10" ht="18.75" thickBot="1">
      <c r="A10" s="2939" t="s">
        <v>1549</v>
      </c>
      <c r="B10" s="1061"/>
      <c r="C10" s="1061"/>
      <c r="D10" s="1061"/>
      <c r="E10" s="1061"/>
      <c r="F10" s="1061"/>
      <c r="G10" s="1061"/>
      <c r="H10" s="1061"/>
      <c r="I10" s="1061"/>
      <c r="J10" s="1066"/>
    </row>
    <row r="11" spans="1:10" ht="18.75" thickTop="1">
      <c r="A11" s="1067"/>
      <c r="B11" s="1068"/>
      <c r="C11" s="1068"/>
      <c r="D11" s="1068"/>
      <c r="E11" s="1068"/>
      <c r="F11" s="1068"/>
      <c r="G11" s="1068"/>
      <c r="H11" s="1068"/>
      <c r="I11" s="1068"/>
      <c r="J11" s="1069"/>
    </row>
    <row r="12" spans="1:10">
      <c r="A12" s="1058" t="s">
        <v>910</v>
      </c>
      <c r="B12" s="1061"/>
      <c r="C12" s="1061"/>
      <c r="D12" s="1061"/>
      <c r="E12" s="1058"/>
      <c r="F12" s="1058"/>
      <c r="G12" s="1058"/>
      <c r="H12" s="1061"/>
      <c r="I12" s="1061"/>
      <c r="J12" s="1070"/>
    </row>
    <row r="13" spans="1:10">
      <c r="A13" s="1060"/>
      <c r="J13" s="1070"/>
    </row>
    <row r="14" spans="1:10">
      <c r="A14" s="1060" t="s">
        <v>911</v>
      </c>
      <c r="B14" s="1073"/>
      <c r="J14" s="1071"/>
    </row>
    <row r="15" spans="1:10">
      <c r="A15" s="1060"/>
      <c r="B15" s="1179"/>
      <c r="J15" s="1071"/>
    </row>
    <row r="16" spans="1:10">
      <c r="A16" s="1060"/>
      <c r="B16" s="2573" t="s">
        <v>944</v>
      </c>
      <c r="D16" s="1072" t="s">
        <v>912</v>
      </c>
      <c r="F16" s="1073"/>
      <c r="J16" s="1180">
        <v>2</v>
      </c>
    </row>
    <row r="17" spans="1:255">
      <c r="A17" s="1060"/>
      <c r="B17" s="2573" t="s">
        <v>945</v>
      </c>
      <c r="D17" s="1063" t="s">
        <v>1287</v>
      </c>
      <c r="E17" s="1075"/>
      <c r="F17" s="1076"/>
      <c r="G17" s="1075"/>
      <c r="H17" s="1075"/>
      <c r="I17" s="1075"/>
      <c r="J17" s="1180">
        <v>3</v>
      </c>
      <c r="M17" s="1077"/>
    </row>
    <row r="18" spans="1:255">
      <c r="A18" s="1078"/>
      <c r="B18" s="2568" t="s">
        <v>1490</v>
      </c>
      <c r="D18" s="1080" t="s">
        <v>1088</v>
      </c>
      <c r="E18" s="1072"/>
      <c r="F18" s="1072"/>
      <c r="G18" s="1072"/>
      <c r="H18" s="1072"/>
      <c r="I18" s="1072"/>
      <c r="J18" s="1180">
        <v>4</v>
      </c>
    </row>
    <row r="19" spans="1:255">
      <c r="A19" s="1060"/>
      <c r="B19" s="2568" t="s">
        <v>946</v>
      </c>
      <c r="D19" s="1079" t="s">
        <v>913</v>
      </c>
      <c r="E19" s="1079"/>
      <c r="F19" s="1079"/>
      <c r="G19" s="1079"/>
      <c r="H19" s="1079"/>
      <c r="I19" s="1079"/>
      <c r="J19" s="1180">
        <v>6</v>
      </c>
      <c r="M19" s="1077"/>
    </row>
    <row r="20" spans="1:255">
      <c r="A20" s="1060"/>
      <c r="B20" s="2568" t="s">
        <v>947</v>
      </c>
      <c r="D20" s="1079" t="s">
        <v>914</v>
      </c>
      <c r="E20" s="1079"/>
      <c r="F20" s="1079"/>
      <c r="G20" s="1079"/>
      <c r="H20" s="1079"/>
      <c r="I20" s="1079"/>
      <c r="J20" s="1180">
        <v>7</v>
      </c>
      <c r="M20" s="1077"/>
    </row>
    <row r="21" spans="1:255">
      <c r="A21" s="1060"/>
      <c r="B21" s="2568" t="s">
        <v>1250</v>
      </c>
      <c r="D21" s="1080" t="s">
        <v>1288</v>
      </c>
      <c r="E21" s="1079"/>
      <c r="F21" s="1079"/>
      <c r="G21" s="1079"/>
      <c r="H21" s="1079"/>
      <c r="I21" s="1079"/>
      <c r="J21" s="1180">
        <v>8</v>
      </c>
      <c r="M21" s="1077"/>
    </row>
    <row r="22" spans="1:255">
      <c r="A22" s="1060"/>
      <c r="B22" s="2568" t="s">
        <v>1251</v>
      </c>
      <c r="D22" s="1080" t="s">
        <v>1289</v>
      </c>
      <c r="E22" s="1079"/>
      <c r="F22" s="1079"/>
      <c r="G22" s="1079"/>
      <c r="H22" s="1079"/>
      <c r="I22" s="1079"/>
      <c r="J22" s="1180">
        <v>9</v>
      </c>
      <c r="M22" s="1077"/>
    </row>
    <row r="23" spans="1:255">
      <c r="A23" s="1060"/>
      <c r="B23" s="2568" t="s">
        <v>1252</v>
      </c>
      <c r="D23" s="1080" t="s">
        <v>1296</v>
      </c>
      <c r="E23" s="1079"/>
      <c r="F23" s="1079"/>
      <c r="G23" s="1079"/>
      <c r="H23" s="1079"/>
      <c r="I23" s="1079"/>
      <c r="J23" s="1180">
        <v>10</v>
      </c>
      <c r="M23" s="1077"/>
    </row>
    <row r="24" spans="1:255">
      <c r="A24" s="1060"/>
      <c r="B24" s="2568" t="s">
        <v>1253</v>
      </c>
      <c r="D24" s="1080" t="s">
        <v>1290</v>
      </c>
      <c r="E24" s="1079"/>
      <c r="F24" s="1079"/>
      <c r="G24" s="1079"/>
      <c r="H24" s="1079"/>
      <c r="I24" s="1079"/>
      <c r="J24" s="1180">
        <v>11</v>
      </c>
      <c r="M24" s="1077"/>
    </row>
    <row r="25" spans="1:255">
      <c r="A25" s="1060"/>
      <c r="B25" s="2568" t="s">
        <v>1254</v>
      </c>
      <c r="D25" s="1080" t="s">
        <v>1291</v>
      </c>
      <c r="E25" s="1079"/>
      <c r="F25" s="1079"/>
      <c r="G25" s="1079"/>
      <c r="H25" s="1079"/>
      <c r="I25" s="1079"/>
      <c r="J25" s="1180">
        <v>12</v>
      </c>
      <c r="M25" s="1077"/>
    </row>
    <row r="26" spans="1:255">
      <c r="A26" s="1060"/>
      <c r="B26" s="2568" t="s">
        <v>1255</v>
      </c>
      <c r="D26" s="1080" t="s">
        <v>1292</v>
      </c>
      <c r="E26" s="1079"/>
      <c r="F26" s="1079"/>
      <c r="G26" s="1079"/>
      <c r="H26" s="1079"/>
      <c r="I26" s="1079"/>
      <c r="J26" s="1180">
        <v>13</v>
      </c>
      <c r="M26" s="1077"/>
    </row>
    <row r="27" spans="1:255">
      <c r="A27" s="1060"/>
      <c r="B27" s="2568" t="s">
        <v>1256</v>
      </c>
      <c r="D27" s="1080" t="s">
        <v>1293</v>
      </c>
      <c r="E27" s="1079"/>
      <c r="F27" s="1079"/>
      <c r="G27" s="1079"/>
      <c r="H27" s="1079"/>
      <c r="I27" s="1079"/>
      <c r="J27" s="1180">
        <v>14</v>
      </c>
      <c r="M27" s="1077"/>
    </row>
    <row r="28" spans="1:255">
      <c r="A28" s="1060"/>
      <c r="B28" s="2568" t="s">
        <v>1257</v>
      </c>
      <c r="D28" s="1080" t="s">
        <v>1294</v>
      </c>
      <c r="E28" s="1079"/>
      <c r="F28" s="1079"/>
      <c r="G28" s="1079"/>
      <c r="H28" s="1079"/>
      <c r="I28" s="1079"/>
      <c r="J28" s="1180">
        <v>15</v>
      </c>
      <c r="M28" s="1077"/>
    </row>
    <row r="29" spans="1:255">
      <c r="A29" s="1060"/>
      <c r="B29" s="2568" t="s">
        <v>948</v>
      </c>
      <c r="D29" s="1081" t="s">
        <v>915</v>
      </c>
      <c r="E29" s="1079"/>
      <c r="F29" s="1079"/>
      <c r="G29" s="1079"/>
      <c r="H29" s="1079"/>
      <c r="I29" s="1079"/>
      <c r="J29" s="1180">
        <v>16</v>
      </c>
      <c r="M29" s="1077"/>
    </row>
    <row r="30" spans="1:255">
      <c r="A30" s="1060"/>
      <c r="B30" s="2573" t="s">
        <v>966</v>
      </c>
      <c r="D30" s="1080" t="s">
        <v>1295</v>
      </c>
      <c r="E30" s="1080"/>
      <c r="F30" s="1080"/>
      <c r="G30" s="1080"/>
      <c r="H30" s="1080"/>
      <c r="I30" s="1080"/>
      <c r="J30" s="1180">
        <v>17</v>
      </c>
      <c r="K30" s="1060"/>
      <c r="L30" s="1060"/>
      <c r="M30" s="1060"/>
      <c r="N30" s="1060"/>
      <c r="O30" s="1060"/>
      <c r="P30" s="1060"/>
      <c r="Q30" s="1060"/>
      <c r="R30" s="1060"/>
      <c r="S30" s="1060"/>
      <c r="T30" s="1060"/>
      <c r="U30" s="1060"/>
      <c r="V30" s="1060"/>
      <c r="W30" s="1060"/>
      <c r="X30" s="1060"/>
      <c r="Y30" s="1060"/>
      <c r="Z30" s="1060"/>
      <c r="AA30" s="1060"/>
      <c r="AB30" s="1060"/>
      <c r="AC30" s="1060"/>
      <c r="AD30" s="1060"/>
      <c r="AE30" s="1060"/>
      <c r="AF30" s="1060"/>
      <c r="AG30" s="1060"/>
      <c r="AH30" s="1060"/>
      <c r="AI30" s="1060"/>
      <c r="AJ30" s="1060"/>
      <c r="AK30" s="1060"/>
      <c r="AL30" s="1060"/>
      <c r="AM30" s="1060"/>
      <c r="AN30" s="1060"/>
      <c r="AO30" s="1060"/>
      <c r="AP30" s="1060"/>
      <c r="AQ30" s="1060"/>
      <c r="AR30" s="1060"/>
      <c r="AS30" s="1060"/>
      <c r="AT30" s="1060"/>
      <c r="AU30" s="1060"/>
      <c r="AV30" s="1060"/>
      <c r="AW30" s="1060"/>
      <c r="AX30" s="1060"/>
      <c r="AY30" s="1060"/>
      <c r="AZ30" s="1060"/>
      <c r="BA30" s="1060"/>
      <c r="BB30" s="1060"/>
      <c r="BC30" s="1060"/>
      <c r="BD30" s="1060"/>
      <c r="BE30" s="1060"/>
      <c r="BF30" s="1060"/>
      <c r="BG30" s="1060"/>
      <c r="BH30" s="1060"/>
      <c r="BI30" s="1060"/>
      <c r="BJ30" s="1060"/>
      <c r="BK30" s="1060"/>
      <c r="BL30" s="1060"/>
      <c r="BM30" s="1060"/>
      <c r="BN30" s="1060"/>
      <c r="BO30" s="1060"/>
      <c r="BP30" s="1060"/>
      <c r="BQ30" s="1060"/>
      <c r="BR30" s="1060"/>
      <c r="BS30" s="1060"/>
      <c r="BT30" s="1060"/>
      <c r="BU30" s="1060"/>
      <c r="BV30" s="1060"/>
      <c r="BW30" s="1060"/>
      <c r="BX30" s="1060"/>
      <c r="BY30" s="1060"/>
      <c r="BZ30" s="1060"/>
      <c r="CA30" s="1060"/>
      <c r="CB30" s="1060"/>
      <c r="CC30" s="1060"/>
      <c r="CD30" s="1060"/>
      <c r="CE30" s="1060"/>
      <c r="CF30" s="1060"/>
      <c r="CG30" s="1060"/>
      <c r="CH30" s="1060"/>
      <c r="CI30" s="1060"/>
      <c r="CJ30" s="1060"/>
      <c r="CK30" s="1060"/>
      <c r="CL30" s="1060"/>
      <c r="CM30" s="1060"/>
      <c r="CN30" s="1060"/>
      <c r="CO30" s="1060"/>
      <c r="CP30" s="1060"/>
      <c r="CQ30" s="1060"/>
      <c r="CR30" s="1060"/>
      <c r="CS30" s="1060"/>
      <c r="CT30" s="1060"/>
      <c r="CU30" s="1060"/>
      <c r="CV30" s="1060"/>
      <c r="CW30" s="1060"/>
      <c r="CX30" s="1060"/>
      <c r="CY30" s="1060"/>
      <c r="CZ30" s="1060"/>
      <c r="DA30" s="1060"/>
      <c r="DB30" s="1060"/>
      <c r="DC30" s="1060"/>
      <c r="DD30" s="1060"/>
      <c r="DE30" s="1060"/>
      <c r="DF30" s="1060"/>
      <c r="DG30" s="1060"/>
      <c r="DH30" s="1060"/>
      <c r="DI30" s="1060"/>
      <c r="DJ30" s="1060"/>
      <c r="DK30" s="1060"/>
      <c r="DL30" s="1060"/>
      <c r="DM30" s="1060"/>
      <c r="DN30" s="1060"/>
      <c r="DO30" s="1060"/>
      <c r="DP30" s="1060"/>
      <c r="DQ30" s="1060"/>
      <c r="DR30" s="1060"/>
      <c r="DS30" s="1060"/>
      <c r="DT30" s="1060"/>
      <c r="DU30" s="1060"/>
      <c r="DV30" s="1060"/>
      <c r="DW30" s="1060"/>
      <c r="DX30" s="1060"/>
      <c r="DY30" s="1060"/>
      <c r="DZ30" s="1060"/>
      <c r="EA30" s="1060"/>
      <c r="EB30" s="1060"/>
      <c r="EC30" s="1060"/>
      <c r="ED30" s="1060"/>
      <c r="EE30" s="1060"/>
      <c r="EF30" s="1060"/>
      <c r="EG30" s="1060"/>
      <c r="EH30" s="1060"/>
      <c r="EI30" s="1060"/>
      <c r="EJ30" s="1060"/>
      <c r="EK30" s="1060"/>
      <c r="EL30" s="1060"/>
      <c r="EM30" s="1060"/>
      <c r="EN30" s="1060"/>
      <c r="EO30" s="1060"/>
      <c r="EP30" s="1060"/>
      <c r="EQ30" s="1060"/>
      <c r="ER30" s="1060"/>
      <c r="ES30" s="1060"/>
      <c r="ET30" s="1060"/>
      <c r="EU30" s="1060"/>
      <c r="EV30" s="1060"/>
      <c r="EW30" s="1060"/>
      <c r="EX30" s="1060"/>
      <c r="EY30" s="1060"/>
      <c r="EZ30" s="1060"/>
      <c r="FA30" s="1060"/>
      <c r="FB30" s="1060"/>
      <c r="FC30" s="1060"/>
      <c r="FD30" s="1060"/>
      <c r="FE30" s="1060"/>
      <c r="FF30" s="1060"/>
      <c r="FG30" s="1060"/>
      <c r="FH30" s="1060"/>
      <c r="FI30" s="1060"/>
      <c r="FJ30" s="1060"/>
      <c r="FK30" s="1060"/>
      <c r="FL30" s="1060"/>
      <c r="FM30" s="1060"/>
      <c r="FN30" s="1060"/>
      <c r="FO30" s="1060"/>
      <c r="FP30" s="1060"/>
      <c r="FQ30" s="1060"/>
      <c r="FR30" s="1060"/>
      <c r="FS30" s="1060"/>
      <c r="FT30" s="1060"/>
      <c r="FU30" s="1060"/>
      <c r="FV30" s="1060"/>
      <c r="FW30" s="1060"/>
      <c r="FX30" s="1060"/>
      <c r="FY30" s="1060"/>
      <c r="FZ30" s="1060"/>
      <c r="GA30" s="1060"/>
      <c r="GB30" s="1060"/>
      <c r="GC30" s="1060"/>
      <c r="GD30" s="1060"/>
      <c r="GE30" s="1060"/>
      <c r="GF30" s="1060"/>
      <c r="GG30" s="1060"/>
      <c r="GH30" s="1060"/>
      <c r="GI30" s="1060"/>
      <c r="GJ30" s="1060"/>
      <c r="GK30" s="1060"/>
      <c r="GL30" s="1060"/>
      <c r="GM30" s="1060"/>
      <c r="GN30" s="1060"/>
      <c r="GO30" s="1060"/>
      <c r="GP30" s="1060"/>
      <c r="GQ30" s="1060"/>
      <c r="GR30" s="1060"/>
      <c r="GS30" s="1060"/>
      <c r="GT30" s="1060"/>
      <c r="GU30" s="1060"/>
      <c r="GV30" s="1060"/>
      <c r="GW30" s="1060"/>
      <c r="GX30" s="1060"/>
      <c r="GY30" s="1060"/>
      <c r="GZ30" s="1060"/>
      <c r="HA30" s="1060"/>
      <c r="HB30" s="1060"/>
      <c r="HC30" s="1060"/>
      <c r="HD30" s="1060"/>
      <c r="HE30" s="1060"/>
      <c r="HF30" s="1060"/>
      <c r="HG30" s="1060"/>
      <c r="HH30" s="1060"/>
      <c r="HI30" s="1060"/>
      <c r="HJ30" s="1060"/>
      <c r="HK30" s="1060"/>
      <c r="HL30" s="1060"/>
      <c r="HM30" s="1060"/>
      <c r="HN30" s="1060"/>
      <c r="HO30" s="1060"/>
      <c r="HP30" s="1060"/>
      <c r="HQ30" s="1060"/>
      <c r="HR30" s="1060"/>
      <c r="HS30" s="1060"/>
      <c r="HT30" s="1060"/>
      <c r="HU30" s="1060"/>
      <c r="HV30" s="1060"/>
      <c r="HW30" s="1060"/>
      <c r="HX30" s="1060"/>
      <c r="HY30" s="1060"/>
      <c r="HZ30" s="1060"/>
      <c r="IA30" s="1060"/>
      <c r="IB30" s="1060"/>
      <c r="IC30" s="1060"/>
      <c r="ID30" s="1060"/>
      <c r="IE30" s="1060"/>
      <c r="IF30" s="1060"/>
      <c r="IG30" s="1060"/>
      <c r="IH30" s="1060"/>
      <c r="II30" s="1060"/>
      <c r="IJ30" s="1060"/>
      <c r="IK30" s="1060"/>
      <c r="IL30" s="1060"/>
      <c r="IM30" s="1060"/>
      <c r="IN30" s="1060"/>
      <c r="IO30" s="1060"/>
      <c r="IP30" s="1060"/>
      <c r="IQ30" s="1060"/>
      <c r="IR30" s="1060"/>
      <c r="IS30" s="1060"/>
      <c r="IT30" s="1060"/>
      <c r="IU30" s="1060"/>
    </row>
    <row r="31" spans="1:255">
      <c r="A31" s="1060"/>
      <c r="B31" s="2568" t="s">
        <v>1258</v>
      </c>
      <c r="D31" s="1080" t="s">
        <v>1287</v>
      </c>
      <c r="E31" s="1075"/>
      <c r="F31" s="1075"/>
      <c r="G31" s="1075"/>
      <c r="H31" s="1075"/>
      <c r="I31" s="1075"/>
      <c r="J31" s="1180">
        <v>19</v>
      </c>
      <c r="K31" s="1060"/>
      <c r="L31" s="1060"/>
      <c r="M31" s="1060"/>
      <c r="N31" s="1060"/>
      <c r="O31" s="1060"/>
      <c r="P31" s="1060"/>
      <c r="Q31" s="1060"/>
      <c r="R31" s="1060"/>
      <c r="S31" s="1060"/>
      <c r="T31" s="1060"/>
      <c r="U31" s="1060"/>
      <c r="V31" s="1060"/>
      <c r="W31" s="1060"/>
      <c r="X31" s="1060"/>
      <c r="Y31" s="1060"/>
      <c r="Z31" s="1060"/>
      <c r="AA31" s="1060"/>
      <c r="AB31" s="1060"/>
      <c r="AC31" s="1060"/>
      <c r="AD31" s="1060"/>
      <c r="AE31" s="1060"/>
      <c r="AF31" s="1060"/>
      <c r="AG31" s="1060"/>
      <c r="AH31" s="1060"/>
      <c r="AI31" s="1060"/>
      <c r="AJ31" s="1060"/>
      <c r="AK31" s="1060"/>
      <c r="AL31" s="1060"/>
      <c r="AM31" s="1060"/>
      <c r="AN31" s="1060"/>
      <c r="AO31" s="1060"/>
      <c r="AP31" s="1060"/>
      <c r="AQ31" s="1060"/>
      <c r="AR31" s="1060"/>
      <c r="AS31" s="1060"/>
      <c r="AT31" s="1060"/>
      <c r="AU31" s="1060"/>
      <c r="AV31" s="1060"/>
      <c r="AW31" s="1060"/>
      <c r="AX31" s="1060"/>
      <c r="AY31" s="1060"/>
      <c r="AZ31" s="1060"/>
      <c r="BA31" s="1060"/>
      <c r="BB31" s="1060"/>
      <c r="BC31" s="1060"/>
      <c r="BD31" s="1060"/>
      <c r="BE31" s="1060"/>
      <c r="BF31" s="1060"/>
      <c r="BG31" s="1060"/>
      <c r="BH31" s="1060"/>
      <c r="BI31" s="1060"/>
      <c r="BJ31" s="1060"/>
      <c r="BK31" s="1060"/>
      <c r="BL31" s="1060"/>
      <c r="BM31" s="1060"/>
      <c r="BN31" s="1060"/>
      <c r="BO31" s="1060"/>
      <c r="BP31" s="1060"/>
      <c r="BQ31" s="1060"/>
      <c r="BR31" s="1060"/>
      <c r="BS31" s="1060"/>
      <c r="BT31" s="1060"/>
      <c r="BU31" s="1060"/>
      <c r="BV31" s="1060"/>
      <c r="BW31" s="1060"/>
      <c r="BX31" s="1060"/>
      <c r="BY31" s="1060"/>
      <c r="BZ31" s="1060"/>
      <c r="CA31" s="1060"/>
      <c r="CB31" s="1060"/>
      <c r="CC31" s="1060"/>
      <c r="CD31" s="1060"/>
      <c r="CE31" s="1060"/>
      <c r="CF31" s="1060"/>
      <c r="CG31" s="1060"/>
      <c r="CH31" s="1060"/>
      <c r="CI31" s="1060"/>
      <c r="CJ31" s="1060"/>
      <c r="CK31" s="1060"/>
      <c r="CL31" s="1060"/>
      <c r="CM31" s="1060"/>
      <c r="CN31" s="1060"/>
      <c r="CO31" s="1060"/>
      <c r="CP31" s="1060"/>
      <c r="CQ31" s="1060"/>
      <c r="CR31" s="1060"/>
      <c r="CS31" s="1060"/>
      <c r="CT31" s="1060"/>
      <c r="CU31" s="1060"/>
      <c r="CV31" s="1060"/>
      <c r="CW31" s="1060"/>
      <c r="CX31" s="1060"/>
      <c r="CY31" s="1060"/>
      <c r="CZ31" s="1060"/>
      <c r="DA31" s="1060"/>
      <c r="DB31" s="1060"/>
      <c r="DC31" s="1060"/>
      <c r="DD31" s="1060"/>
      <c r="DE31" s="1060"/>
      <c r="DF31" s="1060"/>
      <c r="DG31" s="1060"/>
      <c r="DH31" s="1060"/>
      <c r="DI31" s="1060"/>
      <c r="DJ31" s="1060"/>
      <c r="DK31" s="1060"/>
      <c r="DL31" s="1060"/>
      <c r="DM31" s="1060"/>
      <c r="DN31" s="1060"/>
      <c r="DO31" s="1060"/>
      <c r="DP31" s="1060"/>
      <c r="DQ31" s="1060"/>
      <c r="DR31" s="1060"/>
      <c r="DS31" s="1060"/>
      <c r="DT31" s="1060"/>
      <c r="DU31" s="1060"/>
      <c r="DV31" s="1060"/>
      <c r="DW31" s="1060"/>
      <c r="DX31" s="1060"/>
      <c r="DY31" s="1060"/>
      <c r="DZ31" s="1060"/>
      <c r="EA31" s="1060"/>
      <c r="EB31" s="1060"/>
      <c r="EC31" s="1060"/>
      <c r="ED31" s="1060"/>
      <c r="EE31" s="1060"/>
      <c r="EF31" s="1060"/>
      <c r="EG31" s="1060"/>
      <c r="EH31" s="1060"/>
      <c r="EI31" s="1060"/>
      <c r="EJ31" s="1060"/>
      <c r="EK31" s="1060"/>
      <c r="EL31" s="1060"/>
      <c r="EM31" s="1060"/>
      <c r="EN31" s="1060"/>
      <c r="EO31" s="1060"/>
      <c r="EP31" s="1060"/>
      <c r="EQ31" s="1060"/>
      <c r="ER31" s="1060"/>
      <c r="ES31" s="1060"/>
      <c r="ET31" s="1060"/>
      <c r="EU31" s="1060"/>
      <c r="EV31" s="1060"/>
      <c r="EW31" s="1060"/>
      <c r="EX31" s="1060"/>
      <c r="EY31" s="1060"/>
      <c r="EZ31" s="1060"/>
      <c r="FA31" s="1060"/>
      <c r="FB31" s="1060"/>
      <c r="FC31" s="1060"/>
      <c r="FD31" s="1060"/>
      <c r="FE31" s="1060"/>
      <c r="FF31" s="1060"/>
      <c r="FG31" s="1060"/>
      <c r="FH31" s="1060"/>
      <c r="FI31" s="1060"/>
      <c r="FJ31" s="1060"/>
      <c r="FK31" s="1060"/>
      <c r="FL31" s="1060"/>
      <c r="FM31" s="1060"/>
      <c r="FN31" s="1060"/>
      <c r="FO31" s="1060"/>
      <c r="FP31" s="1060"/>
      <c r="FQ31" s="1060"/>
      <c r="FR31" s="1060"/>
      <c r="FS31" s="1060"/>
      <c r="FT31" s="1060"/>
      <c r="FU31" s="1060"/>
      <c r="FV31" s="1060"/>
      <c r="FW31" s="1060"/>
      <c r="FX31" s="1060"/>
      <c r="FY31" s="1060"/>
      <c r="FZ31" s="1060"/>
      <c r="GA31" s="1060"/>
      <c r="GB31" s="1060"/>
      <c r="GC31" s="1060"/>
      <c r="GD31" s="1060"/>
      <c r="GE31" s="1060"/>
      <c r="GF31" s="1060"/>
      <c r="GG31" s="1060"/>
      <c r="GH31" s="1060"/>
      <c r="GI31" s="1060"/>
      <c r="GJ31" s="1060"/>
      <c r="GK31" s="1060"/>
      <c r="GL31" s="1060"/>
      <c r="GM31" s="1060"/>
      <c r="GN31" s="1060"/>
      <c r="GO31" s="1060"/>
      <c r="GP31" s="1060"/>
      <c r="GQ31" s="1060"/>
      <c r="GR31" s="1060"/>
      <c r="GS31" s="1060"/>
      <c r="GT31" s="1060"/>
      <c r="GU31" s="1060"/>
      <c r="GV31" s="1060"/>
      <c r="GW31" s="1060"/>
      <c r="GX31" s="1060"/>
      <c r="GY31" s="1060"/>
      <c r="GZ31" s="1060"/>
      <c r="HA31" s="1060"/>
      <c r="HB31" s="1060"/>
      <c r="HC31" s="1060"/>
      <c r="HD31" s="1060"/>
      <c r="HE31" s="1060"/>
      <c r="HF31" s="1060"/>
      <c r="HG31" s="1060"/>
      <c r="HH31" s="1060"/>
      <c r="HI31" s="1060"/>
      <c r="HJ31" s="1060"/>
      <c r="HK31" s="1060"/>
      <c r="HL31" s="1060"/>
      <c r="HM31" s="1060"/>
      <c r="HN31" s="1060"/>
      <c r="HO31" s="1060"/>
      <c r="HP31" s="1060"/>
      <c r="HQ31" s="1060"/>
      <c r="HR31" s="1060"/>
      <c r="HS31" s="1060"/>
      <c r="HT31" s="1060"/>
      <c r="HU31" s="1060"/>
      <c r="HV31" s="1060"/>
      <c r="HW31" s="1060"/>
      <c r="HX31" s="1060"/>
      <c r="HY31" s="1060"/>
      <c r="HZ31" s="1060"/>
      <c r="IA31" s="1060"/>
      <c r="IB31" s="1060"/>
      <c r="IC31" s="1060"/>
      <c r="ID31" s="1060"/>
      <c r="IE31" s="1060"/>
      <c r="IF31" s="1060"/>
      <c r="IG31" s="1060"/>
      <c r="IH31" s="1060"/>
      <c r="II31" s="1060"/>
      <c r="IJ31" s="1060"/>
      <c r="IK31" s="1060"/>
      <c r="IL31" s="1060"/>
      <c r="IM31" s="1060"/>
      <c r="IN31" s="1060"/>
      <c r="IO31" s="1060"/>
      <c r="IP31" s="1060"/>
      <c r="IQ31" s="1060"/>
      <c r="IR31" s="1060"/>
      <c r="IS31" s="1060"/>
      <c r="IT31" s="1060"/>
      <c r="IU31" s="1060"/>
    </row>
    <row r="32" spans="1:255">
      <c r="A32" s="1060"/>
      <c r="B32" s="2568"/>
      <c r="D32" s="1082"/>
      <c r="E32" s="1082"/>
      <c r="F32" s="1082"/>
      <c r="G32" s="1082"/>
      <c r="H32" s="1082"/>
      <c r="I32" s="1082"/>
      <c r="J32" s="1180"/>
      <c r="K32" s="1060"/>
      <c r="L32" s="1060"/>
      <c r="M32" s="1060"/>
      <c r="N32" s="1060"/>
      <c r="O32" s="1060"/>
      <c r="P32" s="1060"/>
      <c r="Q32" s="1060"/>
      <c r="R32" s="1060"/>
      <c r="S32" s="1060"/>
      <c r="T32" s="1060"/>
      <c r="U32" s="1060"/>
      <c r="V32" s="1060"/>
      <c r="W32" s="1060"/>
      <c r="X32" s="1060"/>
      <c r="Y32" s="1060"/>
      <c r="Z32" s="1060"/>
      <c r="AA32" s="1060"/>
      <c r="AB32" s="1060"/>
      <c r="AC32" s="1060"/>
      <c r="AD32" s="1060"/>
      <c r="AE32" s="1060"/>
      <c r="AF32" s="1060"/>
      <c r="AG32" s="1060"/>
      <c r="AH32" s="1060"/>
      <c r="AI32" s="1060"/>
      <c r="AJ32" s="1060"/>
      <c r="AK32" s="1060"/>
      <c r="AL32" s="1060"/>
      <c r="AM32" s="1060"/>
      <c r="AN32" s="1060"/>
      <c r="AO32" s="1060"/>
      <c r="AP32" s="1060"/>
      <c r="AQ32" s="1060"/>
      <c r="AR32" s="1060"/>
      <c r="AS32" s="1060"/>
      <c r="AT32" s="1060"/>
      <c r="AU32" s="1060"/>
      <c r="AV32" s="1060"/>
      <c r="AW32" s="1060"/>
      <c r="AX32" s="1060"/>
      <c r="AY32" s="1060"/>
      <c r="AZ32" s="1060"/>
      <c r="BA32" s="1060"/>
      <c r="BB32" s="1060"/>
      <c r="BC32" s="1060"/>
      <c r="BD32" s="1060"/>
      <c r="BE32" s="1060"/>
      <c r="BF32" s="1060"/>
      <c r="BG32" s="1060"/>
      <c r="BH32" s="1060"/>
      <c r="BI32" s="1060"/>
      <c r="BJ32" s="1060"/>
      <c r="BK32" s="1060"/>
      <c r="BL32" s="1060"/>
      <c r="BM32" s="1060"/>
      <c r="BN32" s="1060"/>
      <c r="BO32" s="1060"/>
      <c r="BP32" s="1060"/>
      <c r="BQ32" s="1060"/>
      <c r="BR32" s="1060"/>
      <c r="BS32" s="1060"/>
      <c r="BT32" s="1060"/>
      <c r="BU32" s="1060"/>
      <c r="BV32" s="1060"/>
      <c r="BW32" s="1060"/>
      <c r="BX32" s="1060"/>
      <c r="BY32" s="1060"/>
      <c r="BZ32" s="1060"/>
      <c r="CA32" s="1060"/>
      <c r="CB32" s="1060"/>
      <c r="CC32" s="1060"/>
      <c r="CD32" s="1060"/>
      <c r="CE32" s="1060"/>
      <c r="CF32" s="1060"/>
      <c r="CG32" s="1060"/>
      <c r="CH32" s="1060"/>
      <c r="CI32" s="1060"/>
      <c r="CJ32" s="1060"/>
      <c r="CK32" s="1060"/>
      <c r="CL32" s="1060"/>
      <c r="CM32" s="1060"/>
      <c r="CN32" s="1060"/>
      <c r="CO32" s="1060"/>
      <c r="CP32" s="1060"/>
      <c r="CQ32" s="1060"/>
      <c r="CR32" s="1060"/>
      <c r="CS32" s="1060"/>
      <c r="CT32" s="1060"/>
      <c r="CU32" s="1060"/>
      <c r="CV32" s="1060"/>
      <c r="CW32" s="1060"/>
      <c r="CX32" s="1060"/>
      <c r="CY32" s="1060"/>
      <c r="CZ32" s="1060"/>
      <c r="DA32" s="1060"/>
      <c r="DB32" s="1060"/>
      <c r="DC32" s="1060"/>
      <c r="DD32" s="1060"/>
      <c r="DE32" s="1060"/>
      <c r="DF32" s="1060"/>
      <c r="DG32" s="1060"/>
      <c r="DH32" s="1060"/>
      <c r="DI32" s="1060"/>
      <c r="DJ32" s="1060"/>
      <c r="DK32" s="1060"/>
      <c r="DL32" s="1060"/>
      <c r="DM32" s="1060"/>
      <c r="DN32" s="1060"/>
      <c r="DO32" s="1060"/>
      <c r="DP32" s="1060"/>
      <c r="DQ32" s="1060"/>
      <c r="DR32" s="1060"/>
      <c r="DS32" s="1060"/>
      <c r="DT32" s="1060"/>
      <c r="DU32" s="1060"/>
      <c r="DV32" s="1060"/>
      <c r="DW32" s="1060"/>
      <c r="DX32" s="1060"/>
      <c r="DY32" s="1060"/>
      <c r="DZ32" s="1060"/>
      <c r="EA32" s="1060"/>
      <c r="EB32" s="1060"/>
      <c r="EC32" s="1060"/>
      <c r="ED32" s="1060"/>
      <c r="EE32" s="1060"/>
      <c r="EF32" s="1060"/>
      <c r="EG32" s="1060"/>
      <c r="EH32" s="1060"/>
      <c r="EI32" s="1060"/>
      <c r="EJ32" s="1060"/>
      <c r="EK32" s="1060"/>
      <c r="EL32" s="1060"/>
      <c r="EM32" s="1060"/>
      <c r="EN32" s="1060"/>
      <c r="EO32" s="1060"/>
      <c r="EP32" s="1060"/>
      <c r="EQ32" s="1060"/>
      <c r="ER32" s="1060"/>
      <c r="ES32" s="1060"/>
      <c r="ET32" s="1060"/>
      <c r="EU32" s="1060"/>
      <c r="EV32" s="1060"/>
      <c r="EW32" s="1060"/>
      <c r="EX32" s="1060"/>
      <c r="EY32" s="1060"/>
      <c r="EZ32" s="1060"/>
      <c r="FA32" s="1060"/>
      <c r="FB32" s="1060"/>
      <c r="FC32" s="1060"/>
      <c r="FD32" s="1060"/>
      <c r="FE32" s="1060"/>
      <c r="FF32" s="1060"/>
      <c r="FG32" s="1060"/>
      <c r="FH32" s="1060"/>
      <c r="FI32" s="1060"/>
      <c r="FJ32" s="1060"/>
      <c r="FK32" s="1060"/>
      <c r="FL32" s="1060"/>
      <c r="FM32" s="1060"/>
      <c r="FN32" s="1060"/>
      <c r="FO32" s="1060"/>
      <c r="FP32" s="1060"/>
      <c r="FQ32" s="1060"/>
      <c r="FR32" s="1060"/>
      <c r="FS32" s="1060"/>
      <c r="FT32" s="1060"/>
      <c r="FU32" s="1060"/>
      <c r="FV32" s="1060"/>
      <c r="FW32" s="1060"/>
      <c r="FX32" s="1060"/>
      <c r="FY32" s="1060"/>
      <c r="FZ32" s="1060"/>
      <c r="GA32" s="1060"/>
      <c r="GB32" s="1060"/>
      <c r="GC32" s="1060"/>
      <c r="GD32" s="1060"/>
      <c r="GE32" s="1060"/>
      <c r="GF32" s="1060"/>
      <c r="GG32" s="1060"/>
      <c r="GH32" s="1060"/>
      <c r="GI32" s="1060"/>
      <c r="GJ32" s="1060"/>
      <c r="GK32" s="1060"/>
      <c r="GL32" s="1060"/>
      <c r="GM32" s="1060"/>
      <c r="GN32" s="1060"/>
      <c r="GO32" s="1060"/>
      <c r="GP32" s="1060"/>
      <c r="GQ32" s="1060"/>
      <c r="GR32" s="1060"/>
      <c r="GS32" s="1060"/>
      <c r="GT32" s="1060"/>
      <c r="GU32" s="1060"/>
      <c r="GV32" s="1060"/>
      <c r="GW32" s="1060"/>
      <c r="GX32" s="1060"/>
      <c r="GY32" s="1060"/>
      <c r="GZ32" s="1060"/>
      <c r="HA32" s="1060"/>
      <c r="HB32" s="1060"/>
      <c r="HC32" s="1060"/>
      <c r="HD32" s="1060"/>
      <c r="HE32" s="1060"/>
      <c r="HF32" s="1060"/>
      <c r="HG32" s="1060"/>
      <c r="HH32" s="1060"/>
      <c r="HI32" s="1060"/>
      <c r="HJ32" s="1060"/>
      <c r="HK32" s="1060"/>
      <c r="HL32" s="1060"/>
      <c r="HM32" s="1060"/>
      <c r="HN32" s="1060"/>
      <c r="HO32" s="1060"/>
      <c r="HP32" s="1060"/>
      <c r="HQ32" s="1060"/>
      <c r="HR32" s="1060"/>
      <c r="HS32" s="1060"/>
      <c r="HT32" s="1060"/>
      <c r="HU32" s="1060"/>
      <c r="HV32" s="1060"/>
      <c r="HW32" s="1060"/>
      <c r="HX32" s="1060"/>
      <c r="HY32" s="1060"/>
      <c r="HZ32" s="1060"/>
      <c r="IA32" s="1060"/>
      <c r="IB32" s="1060"/>
      <c r="IC32" s="1060"/>
      <c r="ID32" s="1060"/>
      <c r="IE32" s="1060"/>
      <c r="IF32" s="1060"/>
      <c r="IG32" s="1060"/>
      <c r="IH32" s="1060"/>
      <c r="II32" s="1060"/>
      <c r="IJ32" s="1060"/>
      <c r="IK32" s="1060"/>
      <c r="IL32" s="1060"/>
      <c r="IM32" s="1060"/>
      <c r="IN32" s="1060"/>
      <c r="IO32" s="1060"/>
      <c r="IP32" s="1060"/>
      <c r="IQ32" s="1060"/>
      <c r="IR32" s="1060"/>
      <c r="IS32" s="1060"/>
      <c r="IT32" s="1060"/>
      <c r="IU32" s="1060"/>
    </row>
    <row r="33" spans="1:255">
      <c r="A33" s="1060"/>
      <c r="B33" s="2569"/>
      <c r="D33" s="1082"/>
      <c r="E33" s="1082"/>
      <c r="F33" s="1082"/>
      <c r="G33" s="1082"/>
      <c r="H33" s="1082"/>
      <c r="I33" s="1082"/>
      <c r="J33" s="1180"/>
      <c r="M33" s="1077"/>
    </row>
    <row r="34" spans="1:255">
      <c r="A34" s="1060" t="s">
        <v>916</v>
      </c>
      <c r="B34" s="2570"/>
      <c r="C34" s="1060"/>
      <c r="D34" s="1060"/>
      <c r="E34" s="1060"/>
      <c r="F34" s="1060"/>
      <c r="G34" s="1060"/>
      <c r="H34" s="1060"/>
      <c r="I34" s="1060"/>
      <c r="J34" s="1181"/>
      <c r="M34" s="1077"/>
    </row>
    <row r="35" spans="1:255">
      <c r="A35" s="1060"/>
      <c r="B35" s="2570"/>
      <c r="C35" s="1060"/>
      <c r="D35" s="1083"/>
      <c r="E35" s="1083"/>
      <c r="F35" s="1083"/>
      <c r="G35" s="1083"/>
      <c r="H35" s="1083"/>
      <c r="I35" s="1083"/>
      <c r="J35" s="1182"/>
      <c r="M35" s="1077"/>
    </row>
    <row r="36" spans="1:255">
      <c r="A36" s="1060"/>
      <c r="B36" s="2573" t="s">
        <v>949</v>
      </c>
      <c r="D36" s="1072" t="s">
        <v>971</v>
      </c>
      <c r="E36" s="1072"/>
      <c r="F36" s="1072"/>
      <c r="G36" s="1072"/>
      <c r="H36" s="1072"/>
      <c r="I36" s="1072"/>
      <c r="J36" s="1180">
        <v>21</v>
      </c>
      <c r="M36" s="1077"/>
    </row>
    <row r="37" spans="1:255">
      <c r="A37" s="1060"/>
      <c r="B37" s="2573" t="s">
        <v>917</v>
      </c>
      <c r="D37" s="1082" t="s">
        <v>963</v>
      </c>
      <c r="E37" s="1082"/>
      <c r="F37" s="1082"/>
      <c r="G37" s="1082"/>
      <c r="H37" s="1082"/>
      <c r="I37" s="1082"/>
      <c r="J37" s="1180">
        <v>23</v>
      </c>
      <c r="M37" s="1077"/>
    </row>
    <row r="38" spans="1:255">
      <c r="A38" s="1060"/>
      <c r="B38" s="2573" t="s">
        <v>950</v>
      </c>
      <c r="D38" s="1079" t="s">
        <v>918</v>
      </c>
      <c r="E38" s="1079"/>
      <c r="F38" s="1079"/>
      <c r="G38" s="1079"/>
      <c r="H38" s="1079"/>
      <c r="I38" s="1079"/>
      <c r="J38" s="1180">
        <v>25</v>
      </c>
      <c r="M38" s="1077"/>
    </row>
    <row r="39" spans="1:255">
      <c r="A39" s="1060"/>
      <c r="B39" s="2573" t="s">
        <v>951</v>
      </c>
      <c r="D39" s="1079" t="s">
        <v>964</v>
      </c>
      <c r="E39" s="1079"/>
      <c r="F39" s="1079"/>
      <c r="G39" s="1079"/>
      <c r="H39" s="1079"/>
      <c r="I39" s="1079"/>
      <c r="J39" s="1180">
        <v>27</v>
      </c>
      <c r="M39" s="1077"/>
    </row>
    <row r="40" spans="1:255">
      <c r="A40" s="1060"/>
      <c r="B40" s="2568" t="s">
        <v>919</v>
      </c>
      <c r="D40" s="1079" t="s">
        <v>1154</v>
      </c>
      <c r="E40" s="1079"/>
      <c r="F40" s="1079"/>
      <c r="G40" s="1079"/>
      <c r="H40" s="1079"/>
      <c r="I40" s="1079"/>
      <c r="J40" s="1180">
        <v>29</v>
      </c>
      <c r="M40" s="1077"/>
    </row>
    <row r="41" spans="1:255">
      <c r="A41" s="1060"/>
      <c r="B41" s="2573" t="s">
        <v>920</v>
      </c>
      <c r="D41" s="1079" t="s">
        <v>1103</v>
      </c>
      <c r="E41" s="1079"/>
      <c r="F41" s="1079"/>
      <c r="G41" s="1079"/>
      <c r="H41" s="1079"/>
      <c r="I41" s="1079"/>
      <c r="J41" s="1180">
        <v>30</v>
      </c>
      <c r="M41" s="1077"/>
    </row>
    <row r="42" spans="1:255">
      <c r="A42" s="1060"/>
      <c r="B42" s="2568" t="s">
        <v>952</v>
      </c>
      <c r="D42" s="1079" t="s">
        <v>965</v>
      </c>
      <c r="E42" s="1079"/>
      <c r="F42" s="1079"/>
      <c r="G42" s="1079"/>
      <c r="H42" s="1079"/>
      <c r="I42" s="1079"/>
      <c r="J42" s="1180">
        <v>32</v>
      </c>
      <c r="M42" s="1077"/>
    </row>
    <row r="43" spans="1:255">
      <c r="A43" s="1060"/>
      <c r="B43" s="2568" t="s">
        <v>1471</v>
      </c>
      <c r="D43" s="1079" t="s">
        <v>967</v>
      </c>
      <c r="E43" s="1079"/>
      <c r="F43" s="1079"/>
      <c r="G43" s="1079"/>
      <c r="H43" s="1079"/>
      <c r="I43" s="1079"/>
      <c r="J43" s="1180">
        <v>34</v>
      </c>
      <c r="M43" s="1077"/>
    </row>
    <row r="44" spans="1:255">
      <c r="A44" s="1060"/>
      <c r="B44" s="2568" t="s">
        <v>921</v>
      </c>
      <c r="D44" s="1079" t="s">
        <v>972</v>
      </c>
      <c r="E44" s="1079"/>
      <c r="F44" s="1079"/>
      <c r="G44" s="1079"/>
      <c r="H44" s="1079"/>
      <c r="I44" s="1079"/>
      <c r="J44" s="1180">
        <v>35</v>
      </c>
      <c r="M44" s="1077"/>
    </row>
    <row r="45" spans="1:255">
      <c r="A45" s="1060"/>
      <c r="B45" s="2568" t="s">
        <v>922</v>
      </c>
      <c r="D45" s="1079" t="s">
        <v>968</v>
      </c>
      <c r="E45" s="1079"/>
      <c r="F45" s="1079"/>
      <c r="G45" s="1079"/>
      <c r="H45" s="1079"/>
      <c r="I45" s="1079"/>
      <c r="J45" s="1180">
        <v>36</v>
      </c>
      <c r="M45" s="1077"/>
    </row>
    <row r="46" spans="1:255">
      <c r="A46" s="1060"/>
      <c r="B46" s="2568" t="s">
        <v>923</v>
      </c>
      <c r="D46" s="1079" t="s">
        <v>969</v>
      </c>
      <c r="E46" s="1079"/>
      <c r="F46" s="1079"/>
      <c r="G46" s="1079"/>
      <c r="H46" s="1079"/>
      <c r="I46" s="1079"/>
      <c r="J46" s="1180">
        <v>37</v>
      </c>
      <c r="M46" s="1077"/>
    </row>
    <row r="47" spans="1:255">
      <c r="A47" s="1060"/>
      <c r="B47" s="2568" t="s">
        <v>924</v>
      </c>
      <c r="D47" s="1080" t="s">
        <v>970</v>
      </c>
      <c r="E47" s="1080"/>
      <c r="F47" s="1080"/>
      <c r="G47" s="1080"/>
      <c r="H47" s="1080"/>
      <c r="I47" s="1080"/>
      <c r="J47" s="1180">
        <v>38</v>
      </c>
      <c r="K47" s="1060"/>
      <c r="L47" s="1060"/>
      <c r="M47" s="1060"/>
      <c r="N47" s="1060"/>
      <c r="O47" s="1060"/>
      <c r="P47" s="1060"/>
      <c r="Q47" s="1060"/>
      <c r="R47" s="1060"/>
      <c r="S47" s="1060"/>
      <c r="T47" s="1060"/>
      <c r="U47" s="1060"/>
      <c r="V47" s="1060"/>
      <c r="W47" s="1060"/>
      <c r="X47" s="1060"/>
      <c r="Y47" s="1060"/>
      <c r="Z47" s="1060"/>
      <c r="AA47" s="1060"/>
      <c r="AB47" s="1060"/>
      <c r="AC47" s="1060"/>
      <c r="AD47" s="1060"/>
      <c r="AE47" s="1060"/>
      <c r="AF47" s="1060"/>
      <c r="AG47" s="1060"/>
      <c r="AH47" s="1060"/>
      <c r="AI47" s="1060"/>
      <c r="AJ47" s="1060"/>
      <c r="AK47" s="1060"/>
      <c r="AL47" s="1060"/>
      <c r="AM47" s="1060"/>
      <c r="AN47" s="1060"/>
      <c r="AO47" s="1060"/>
      <c r="AP47" s="1060"/>
      <c r="AQ47" s="1060"/>
      <c r="AR47" s="1060"/>
      <c r="AS47" s="1060"/>
      <c r="AT47" s="1060"/>
      <c r="AU47" s="1060"/>
      <c r="AV47" s="1060"/>
      <c r="AW47" s="1060"/>
      <c r="AX47" s="1060"/>
      <c r="AY47" s="1060"/>
      <c r="AZ47" s="1060"/>
      <c r="BA47" s="1060"/>
      <c r="BB47" s="1060"/>
      <c r="BC47" s="1060"/>
      <c r="BD47" s="1060"/>
      <c r="BE47" s="1060"/>
      <c r="BF47" s="1060"/>
      <c r="BG47" s="1060"/>
      <c r="BH47" s="1060"/>
      <c r="BI47" s="1060"/>
      <c r="BJ47" s="1060"/>
      <c r="BK47" s="1060"/>
      <c r="BL47" s="1060"/>
      <c r="BM47" s="1060"/>
      <c r="BN47" s="1060"/>
      <c r="BO47" s="1060"/>
      <c r="BP47" s="1060"/>
      <c r="BQ47" s="1060"/>
      <c r="BR47" s="1060"/>
      <c r="BS47" s="1060"/>
      <c r="BT47" s="1060"/>
      <c r="BU47" s="1060"/>
      <c r="BV47" s="1060"/>
      <c r="BW47" s="1060"/>
      <c r="BX47" s="1060"/>
      <c r="BY47" s="1060"/>
      <c r="BZ47" s="1060"/>
      <c r="CA47" s="1060"/>
      <c r="CB47" s="1060"/>
      <c r="CC47" s="1060"/>
      <c r="CD47" s="1060"/>
      <c r="CE47" s="1060"/>
      <c r="CF47" s="1060"/>
      <c r="CG47" s="1060"/>
      <c r="CH47" s="1060"/>
      <c r="CI47" s="1060"/>
      <c r="CJ47" s="1060"/>
      <c r="CK47" s="1060"/>
      <c r="CL47" s="1060"/>
      <c r="CM47" s="1060"/>
      <c r="CN47" s="1060"/>
      <c r="CO47" s="1060"/>
      <c r="CP47" s="1060"/>
      <c r="CQ47" s="1060"/>
      <c r="CR47" s="1060"/>
      <c r="CS47" s="1060"/>
      <c r="CT47" s="1060"/>
      <c r="CU47" s="1060"/>
      <c r="CV47" s="1060"/>
      <c r="CW47" s="1060"/>
      <c r="CX47" s="1060"/>
      <c r="CY47" s="1060"/>
      <c r="CZ47" s="1060"/>
      <c r="DA47" s="1060"/>
      <c r="DB47" s="1060"/>
      <c r="DC47" s="1060"/>
      <c r="DD47" s="1060"/>
      <c r="DE47" s="1060"/>
      <c r="DF47" s="1060"/>
      <c r="DG47" s="1060"/>
      <c r="DH47" s="1060"/>
      <c r="DI47" s="1060"/>
      <c r="DJ47" s="1060"/>
      <c r="DK47" s="1060"/>
      <c r="DL47" s="1060"/>
      <c r="DM47" s="1060"/>
      <c r="DN47" s="1060"/>
      <c r="DO47" s="1060"/>
      <c r="DP47" s="1060"/>
      <c r="DQ47" s="1060"/>
      <c r="DR47" s="1060"/>
      <c r="DS47" s="1060"/>
      <c r="DT47" s="1060"/>
      <c r="DU47" s="1060"/>
      <c r="DV47" s="1060"/>
      <c r="DW47" s="1060"/>
      <c r="DX47" s="1060"/>
      <c r="DY47" s="1060"/>
      <c r="DZ47" s="1060"/>
      <c r="EA47" s="1060"/>
      <c r="EB47" s="1060"/>
      <c r="EC47" s="1060"/>
      <c r="ED47" s="1060"/>
      <c r="EE47" s="1060"/>
      <c r="EF47" s="1060"/>
      <c r="EG47" s="1060"/>
      <c r="EH47" s="1060"/>
      <c r="EI47" s="1060"/>
      <c r="EJ47" s="1060"/>
      <c r="EK47" s="1060"/>
      <c r="EL47" s="1060"/>
      <c r="EM47" s="1060"/>
      <c r="EN47" s="1060"/>
      <c r="EO47" s="1060"/>
      <c r="EP47" s="1060"/>
      <c r="EQ47" s="1060"/>
      <c r="ER47" s="1060"/>
      <c r="ES47" s="1060"/>
      <c r="ET47" s="1060"/>
      <c r="EU47" s="1060"/>
      <c r="EV47" s="1060"/>
      <c r="EW47" s="1060"/>
      <c r="EX47" s="1060"/>
      <c r="EY47" s="1060"/>
      <c r="EZ47" s="1060"/>
      <c r="FA47" s="1060"/>
      <c r="FB47" s="1060"/>
      <c r="FC47" s="1060"/>
      <c r="FD47" s="1060"/>
      <c r="FE47" s="1060"/>
      <c r="FF47" s="1060"/>
      <c r="FG47" s="1060"/>
      <c r="FH47" s="1060"/>
      <c r="FI47" s="1060"/>
      <c r="FJ47" s="1060"/>
      <c r="FK47" s="1060"/>
      <c r="FL47" s="1060"/>
      <c r="FM47" s="1060"/>
      <c r="FN47" s="1060"/>
      <c r="FO47" s="1060"/>
      <c r="FP47" s="1060"/>
      <c r="FQ47" s="1060"/>
      <c r="FR47" s="1060"/>
      <c r="FS47" s="1060"/>
      <c r="FT47" s="1060"/>
      <c r="FU47" s="1060"/>
      <c r="FV47" s="1060"/>
      <c r="FW47" s="1060"/>
      <c r="FX47" s="1060"/>
      <c r="FY47" s="1060"/>
      <c r="FZ47" s="1060"/>
      <c r="GA47" s="1060"/>
      <c r="GB47" s="1060"/>
      <c r="GC47" s="1060"/>
      <c r="GD47" s="1060"/>
      <c r="GE47" s="1060"/>
      <c r="GF47" s="1060"/>
      <c r="GG47" s="1060"/>
      <c r="GH47" s="1060"/>
      <c r="GI47" s="1060"/>
      <c r="GJ47" s="1060"/>
      <c r="GK47" s="1060"/>
      <c r="GL47" s="1060"/>
      <c r="GM47" s="1060"/>
      <c r="GN47" s="1060"/>
      <c r="GO47" s="1060"/>
      <c r="GP47" s="1060"/>
      <c r="GQ47" s="1060"/>
      <c r="GR47" s="1060"/>
      <c r="GS47" s="1060"/>
      <c r="GT47" s="1060"/>
      <c r="GU47" s="1060"/>
      <c r="GV47" s="1060"/>
      <c r="GW47" s="1060"/>
      <c r="GX47" s="1060"/>
      <c r="GY47" s="1060"/>
      <c r="GZ47" s="1060"/>
      <c r="HA47" s="1060"/>
      <c r="HB47" s="1060"/>
      <c r="HC47" s="1060"/>
      <c r="HD47" s="1060"/>
      <c r="HE47" s="1060"/>
      <c r="HF47" s="1060"/>
      <c r="HG47" s="1060"/>
      <c r="HH47" s="1060"/>
      <c r="HI47" s="1060"/>
      <c r="HJ47" s="1060"/>
      <c r="HK47" s="1060"/>
      <c r="HL47" s="1060"/>
      <c r="HM47" s="1060"/>
      <c r="HN47" s="1060"/>
      <c r="HO47" s="1060"/>
      <c r="HP47" s="1060"/>
      <c r="HQ47" s="1060"/>
      <c r="HR47" s="1060"/>
      <c r="HS47" s="1060"/>
      <c r="HT47" s="1060"/>
      <c r="HU47" s="1060"/>
      <c r="HV47" s="1060"/>
      <c r="HW47" s="1060"/>
      <c r="HX47" s="1060"/>
      <c r="HY47" s="1060"/>
      <c r="HZ47" s="1060"/>
      <c r="IA47" s="1060"/>
      <c r="IB47" s="1060"/>
      <c r="IC47" s="1060"/>
      <c r="ID47" s="1060"/>
      <c r="IE47" s="1060"/>
      <c r="IF47" s="1060"/>
      <c r="IG47" s="1060"/>
      <c r="IH47" s="1060"/>
      <c r="II47" s="1060"/>
      <c r="IJ47" s="1060"/>
      <c r="IK47" s="1060"/>
      <c r="IL47" s="1060"/>
      <c r="IM47" s="1060"/>
      <c r="IN47" s="1060"/>
      <c r="IO47" s="1060"/>
      <c r="IP47" s="1060"/>
      <c r="IQ47" s="1060"/>
      <c r="IR47" s="1060"/>
      <c r="IS47" s="1060"/>
      <c r="IT47" s="1060"/>
      <c r="IU47" s="1060"/>
    </row>
    <row r="48" spans="1:255">
      <c r="A48" s="1060"/>
      <c r="B48" s="2569"/>
      <c r="D48" s="1082"/>
      <c r="E48" s="1082"/>
      <c r="F48" s="1082"/>
      <c r="G48" s="1082"/>
      <c r="H48" s="1082"/>
      <c r="I48" s="1082"/>
      <c r="J48" s="1180"/>
      <c r="M48" s="1077"/>
    </row>
    <row r="49" spans="1:13">
      <c r="A49" s="1060" t="s">
        <v>925</v>
      </c>
      <c r="B49" s="2569"/>
      <c r="D49" s="1082"/>
      <c r="E49" s="1082"/>
      <c r="F49" s="1082"/>
      <c r="G49" s="1082"/>
      <c r="H49" s="1082"/>
      <c r="I49" s="1082"/>
      <c r="J49" s="1180"/>
      <c r="M49" s="1077"/>
    </row>
    <row r="50" spans="1:13">
      <c r="A50" s="1060"/>
      <c r="B50" s="2570"/>
      <c r="C50" s="1060"/>
      <c r="D50" s="1083"/>
      <c r="E50" s="1083"/>
      <c r="F50" s="1083"/>
      <c r="G50" s="1083"/>
      <c r="H50" s="1083"/>
      <c r="I50" s="1083"/>
      <c r="J50" s="1181"/>
      <c r="M50" s="1077"/>
    </row>
    <row r="51" spans="1:13">
      <c r="A51" s="1060"/>
      <c r="B51" s="2568" t="s">
        <v>926</v>
      </c>
      <c r="D51" s="1082" t="s">
        <v>973</v>
      </c>
      <c r="E51" s="1082"/>
      <c r="F51" s="1082"/>
      <c r="G51" s="1082"/>
      <c r="H51" s="1082"/>
      <c r="I51" s="1082"/>
      <c r="J51" s="1180">
        <v>39</v>
      </c>
      <c r="M51" s="1077"/>
    </row>
    <row r="52" spans="1:13">
      <c r="A52" s="1060"/>
      <c r="B52" s="2568" t="s">
        <v>927</v>
      </c>
      <c r="D52" s="1079" t="s">
        <v>974</v>
      </c>
      <c r="E52" s="1079"/>
      <c r="F52" s="1079"/>
      <c r="G52" s="1079"/>
      <c r="H52" s="1079"/>
      <c r="I52" s="1079"/>
      <c r="J52" s="1180">
        <v>42</v>
      </c>
      <c r="M52" s="1077"/>
    </row>
    <row r="53" spans="1:13">
      <c r="A53" s="1060"/>
      <c r="B53" s="2568" t="s">
        <v>928</v>
      </c>
      <c r="D53" s="1079" t="s">
        <v>975</v>
      </c>
      <c r="E53" s="1079"/>
      <c r="F53" s="1079"/>
      <c r="G53" s="1079"/>
      <c r="H53" s="1079"/>
      <c r="I53" s="1079"/>
      <c r="J53" s="1180">
        <v>43</v>
      </c>
      <c r="M53" s="1077"/>
    </row>
    <row r="54" spans="1:13">
      <c r="A54" s="1060"/>
      <c r="B54" s="2568" t="s">
        <v>929</v>
      </c>
      <c r="D54" s="1079" t="s">
        <v>978</v>
      </c>
      <c r="E54" s="1079"/>
      <c r="F54" s="1079"/>
      <c r="G54" s="1079"/>
      <c r="H54" s="1079"/>
      <c r="I54" s="1079"/>
      <c r="J54" s="1180">
        <v>44</v>
      </c>
      <c r="M54" s="1077"/>
    </row>
    <row r="55" spans="1:13">
      <c r="A55" s="1060"/>
      <c r="B55" s="2568" t="s">
        <v>930</v>
      </c>
      <c r="D55" s="1079" t="s">
        <v>976</v>
      </c>
      <c r="E55" s="1079"/>
      <c r="F55" s="1079"/>
      <c r="G55" s="1079"/>
      <c r="H55" s="1079"/>
      <c r="I55" s="1079"/>
      <c r="J55" s="1180">
        <v>45</v>
      </c>
      <c r="K55" s="1084"/>
      <c r="M55" s="1077"/>
    </row>
    <row r="56" spans="1:13">
      <c r="A56" s="1060"/>
      <c r="B56" s="2568" t="s">
        <v>931</v>
      </c>
      <c r="D56" s="1079" t="s">
        <v>977</v>
      </c>
      <c r="E56" s="1079"/>
      <c r="F56" s="1079"/>
      <c r="G56" s="1079"/>
      <c r="H56" s="1079"/>
      <c r="I56" s="1079"/>
      <c r="J56" s="1180">
        <v>46</v>
      </c>
      <c r="K56" s="1070"/>
    </row>
    <row r="57" spans="1:13">
      <c r="A57" s="1060"/>
      <c r="B57" s="2568" t="s">
        <v>932</v>
      </c>
      <c r="D57" s="1080" t="s">
        <v>933</v>
      </c>
      <c r="E57" s="1080"/>
      <c r="F57" s="1080"/>
      <c r="G57" s="1080"/>
      <c r="H57" s="1080"/>
      <c r="I57" s="1080"/>
      <c r="J57" s="1180">
        <v>47</v>
      </c>
      <c r="K57" s="1070"/>
    </row>
    <row r="58" spans="1:13">
      <c r="A58" s="1060"/>
      <c r="B58" s="2571" t="s">
        <v>953</v>
      </c>
      <c r="D58" s="1072" t="s">
        <v>934</v>
      </c>
      <c r="E58" s="1072"/>
      <c r="F58" s="1072"/>
      <c r="G58" s="1072"/>
      <c r="H58" s="1072"/>
      <c r="I58" s="1072"/>
      <c r="J58" s="1180">
        <v>48</v>
      </c>
      <c r="K58" s="1070"/>
      <c r="M58" s="1077"/>
    </row>
    <row r="59" spans="1:13">
      <c r="A59" s="1060"/>
      <c r="B59" s="2572" t="s">
        <v>954</v>
      </c>
      <c r="D59" s="1075" t="s">
        <v>935</v>
      </c>
      <c r="E59" s="1075"/>
      <c r="F59" s="1075"/>
      <c r="G59" s="1075"/>
      <c r="H59" s="1075"/>
      <c r="I59" s="1075"/>
      <c r="J59" s="1180">
        <v>49</v>
      </c>
      <c r="K59" s="1070"/>
      <c r="M59" s="1077"/>
    </row>
    <row r="60" spans="1:13">
      <c r="A60" s="1060"/>
      <c r="B60" s="2572" t="s">
        <v>955</v>
      </c>
      <c r="D60" s="1085" t="s">
        <v>936</v>
      </c>
      <c r="E60" s="1075"/>
      <c r="F60" s="1085"/>
      <c r="G60" s="1075"/>
      <c r="H60" s="1075"/>
      <c r="I60" s="1075"/>
      <c r="J60" s="1180">
        <v>51</v>
      </c>
      <c r="K60" s="1070"/>
      <c r="M60" s="1077"/>
    </row>
    <row r="61" spans="1:13">
      <c r="A61" s="1060"/>
      <c r="B61" s="2572" t="s">
        <v>956</v>
      </c>
      <c r="D61" s="1075" t="s">
        <v>937</v>
      </c>
      <c r="E61" s="1075"/>
      <c r="F61" s="1075"/>
      <c r="G61" s="1075"/>
      <c r="H61" s="1075"/>
      <c r="I61" s="1075"/>
      <c r="J61" s="1180">
        <v>52</v>
      </c>
      <c r="K61" s="1082"/>
      <c r="M61" s="1077"/>
    </row>
    <row r="62" spans="1:13">
      <c r="A62" s="1060"/>
      <c r="B62" s="3201" t="s">
        <v>957</v>
      </c>
      <c r="D62" s="1075" t="s">
        <v>1541</v>
      </c>
      <c r="E62" s="1075"/>
      <c r="F62" s="1075"/>
      <c r="G62" s="1075"/>
      <c r="H62" s="1076"/>
      <c r="I62" s="1075"/>
      <c r="J62" s="1180">
        <v>53</v>
      </c>
      <c r="K62" s="1082"/>
      <c r="M62" s="1077"/>
    </row>
    <row r="63" spans="1:13">
      <c r="A63" s="1060"/>
      <c r="B63" s="3201" t="s">
        <v>958</v>
      </c>
      <c r="D63" s="1075" t="s">
        <v>938</v>
      </c>
      <c r="E63" s="1075"/>
      <c r="F63" s="1075"/>
      <c r="G63" s="1075"/>
      <c r="H63" s="1076"/>
      <c r="I63" s="1075"/>
      <c r="J63" s="1180">
        <v>54</v>
      </c>
      <c r="K63" s="1082"/>
      <c r="M63" s="1077"/>
    </row>
    <row r="64" spans="1:13">
      <c r="A64" s="1060"/>
      <c r="B64" s="2573" t="s">
        <v>959</v>
      </c>
      <c r="D64" s="1075" t="s">
        <v>1387</v>
      </c>
      <c r="E64" s="1075"/>
      <c r="F64" s="1075"/>
      <c r="G64" s="1075"/>
      <c r="H64" s="1076"/>
      <c r="I64" s="1075"/>
      <c r="J64" s="1180">
        <v>58</v>
      </c>
      <c r="K64" s="1082"/>
      <c r="M64" s="1077"/>
    </row>
    <row r="65" spans="1:13" ht="12.95" customHeight="1">
      <c r="A65" s="1060"/>
      <c r="B65" s="1086"/>
      <c r="D65" s="1087"/>
      <c r="E65" s="1087"/>
      <c r="F65" s="1087"/>
      <c r="G65" s="1087"/>
      <c r="H65" s="1087"/>
      <c r="I65" s="1087"/>
      <c r="J65" s="1074"/>
      <c r="K65" s="1082"/>
      <c r="M65" s="1077"/>
    </row>
    <row r="66" spans="1:13" ht="12.95" customHeight="1">
      <c r="A66" s="1060"/>
      <c r="B66" s="1086"/>
      <c r="D66" s="1087"/>
      <c r="E66" s="1087"/>
      <c r="F66" s="1087"/>
      <c r="G66" s="1087"/>
      <c r="H66" s="1087"/>
      <c r="I66" s="1087"/>
      <c r="J66" s="1074"/>
      <c r="K66" s="1082"/>
      <c r="M66" s="1077"/>
    </row>
    <row r="67" spans="1:13" ht="12.95" customHeight="1">
      <c r="A67" s="1060"/>
      <c r="B67" s="1086"/>
      <c r="D67" s="1087"/>
      <c r="E67" s="1087"/>
      <c r="F67" s="1087"/>
      <c r="G67" s="1087"/>
      <c r="H67" s="1087"/>
      <c r="I67" s="1087"/>
      <c r="J67" s="1074"/>
      <c r="K67" s="1082"/>
      <c r="M67" s="1077"/>
    </row>
    <row r="68" spans="1:13" ht="12.95" customHeight="1">
      <c r="A68" s="1060"/>
      <c r="B68" s="1086"/>
      <c r="D68" s="1087"/>
      <c r="E68" s="1087"/>
      <c r="F68" s="1087"/>
      <c r="G68" s="1087"/>
      <c r="H68" s="1087"/>
      <c r="I68" s="1087"/>
      <c r="J68" s="1074"/>
      <c r="K68" s="1082"/>
      <c r="M68" s="1077"/>
    </row>
    <row r="69" spans="1:13" ht="12.95" customHeight="1">
      <c r="A69" s="1060"/>
      <c r="B69" s="1086"/>
      <c r="D69" s="1087"/>
      <c r="E69" s="1087"/>
      <c r="F69" s="1087"/>
      <c r="G69" s="1087"/>
      <c r="H69" s="1087"/>
      <c r="I69" s="1087"/>
      <c r="J69" s="1074"/>
      <c r="K69" s="1082"/>
      <c r="M69" s="1077"/>
    </row>
    <row r="70" spans="1:13" ht="12.95" customHeight="1">
      <c r="A70" s="1060"/>
      <c r="B70" s="1086"/>
      <c r="D70" s="1087"/>
      <c r="E70" s="1087"/>
      <c r="F70" s="1087"/>
      <c r="G70" s="1087"/>
      <c r="H70" s="1087"/>
      <c r="I70" s="1087"/>
      <c r="J70" s="1074"/>
      <c r="K70" s="1082"/>
      <c r="M70" s="1077"/>
    </row>
    <row r="71" spans="1:13" ht="12.95" customHeight="1">
      <c r="A71" s="1060"/>
      <c r="B71" s="1086"/>
      <c r="D71" s="1087"/>
      <c r="E71" s="1087"/>
      <c r="F71" s="1087"/>
      <c r="G71" s="1087"/>
      <c r="H71" s="1087"/>
      <c r="I71" s="1087"/>
      <c r="J71" s="1074"/>
      <c r="K71" s="1082"/>
      <c r="M71" s="1077"/>
    </row>
    <row r="72" spans="1:13" ht="12.95" customHeight="1">
      <c r="A72" s="1060"/>
      <c r="B72" s="1086"/>
      <c r="D72" s="1087"/>
      <c r="E72" s="1087"/>
      <c r="F72" s="1087"/>
      <c r="G72" s="1087"/>
      <c r="H72" s="1087"/>
      <c r="I72" s="1087"/>
      <c r="J72" s="1074"/>
      <c r="K72" s="1082"/>
      <c r="M72" s="1077"/>
    </row>
    <row r="73" spans="1:13" ht="12.95" customHeight="1">
      <c r="A73" s="1060"/>
      <c r="B73" s="1086"/>
      <c r="D73" s="1087"/>
      <c r="E73" s="1087"/>
      <c r="F73" s="1087"/>
      <c r="G73" s="1087"/>
      <c r="H73" s="1087"/>
      <c r="I73" s="1087"/>
      <c r="J73" s="1074"/>
      <c r="K73" s="1082"/>
      <c r="M73" s="1077"/>
    </row>
    <row r="74" spans="1:13" ht="12.95" customHeight="1">
      <c r="A74" s="1060"/>
      <c r="B74" s="1086"/>
      <c r="D74" s="1087"/>
      <c r="E74" s="1087"/>
      <c r="F74" s="1087"/>
      <c r="G74" s="1087"/>
      <c r="H74" s="1087"/>
      <c r="I74" s="1087"/>
      <c r="J74" s="1074"/>
      <c r="K74" s="1082"/>
      <c r="M74" s="1077"/>
    </row>
    <row r="75" spans="1:13" ht="12.95" customHeight="1">
      <c r="A75" s="1060"/>
      <c r="B75" s="1086"/>
      <c r="D75" s="1087"/>
      <c r="E75" s="1087"/>
      <c r="F75" s="1087"/>
      <c r="G75" s="1087"/>
      <c r="H75" s="1087"/>
      <c r="I75" s="1087"/>
      <c r="J75" s="1074"/>
      <c r="K75" s="1082"/>
      <c r="M75" s="1077"/>
    </row>
    <row r="76" spans="1:13" ht="12.95" customHeight="1">
      <c r="A76" s="1060"/>
      <c r="B76" s="1086"/>
      <c r="D76" s="1087"/>
      <c r="E76" s="1087"/>
      <c r="F76" s="1087"/>
      <c r="G76" s="1087"/>
      <c r="H76" s="1087"/>
      <c r="I76" s="1087"/>
      <c r="J76" s="1074"/>
      <c r="K76" s="1082"/>
      <c r="M76" s="1077"/>
    </row>
    <row r="77" spans="1:13" ht="12.95" customHeight="1">
      <c r="A77" s="1060"/>
      <c r="B77" s="1086"/>
      <c r="D77" s="1087"/>
      <c r="E77" s="1087"/>
      <c r="F77" s="1087"/>
      <c r="G77" s="1087"/>
      <c r="H77" s="1087"/>
      <c r="I77" s="1087"/>
      <c r="J77" s="1074"/>
      <c r="K77" s="1082"/>
      <c r="M77" s="1077"/>
    </row>
    <row r="78" spans="1:13" ht="12.95" customHeight="1">
      <c r="A78" s="1060"/>
      <c r="B78" s="1086"/>
      <c r="D78" s="1087"/>
      <c r="E78" s="1087"/>
      <c r="F78" s="1087"/>
      <c r="G78" s="1087"/>
      <c r="H78" s="1087"/>
      <c r="I78" s="1087"/>
      <c r="J78" s="1074"/>
      <c r="K78" s="1082"/>
      <c r="M78" s="1077"/>
    </row>
    <row r="79" spans="1:13" ht="12.95" customHeight="1">
      <c r="A79" s="1060"/>
      <c r="B79" s="1086"/>
      <c r="D79" s="1087"/>
      <c r="E79" s="1087"/>
      <c r="F79" s="1087"/>
      <c r="G79" s="1087"/>
      <c r="H79" s="1087"/>
      <c r="I79" s="1087"/>
      <c r="J79" s="1074"/>
      <c r="K79" s="1082"/>
      <c r="M79" s="1077"/>
    </row>
    <row r="80" spans="1:13" ht="12.95" customHeight="1">
      <c r="A80" s="1060"/>
      <c r="B80" s="1086"/>
      <c r="D80" s="1087"/>
      <c r="E80" s="1087"/>
      <c r="F80" s="1087"/>
      <c r="G80" s="1087"/>
      <c r="H80" s="1087"/>
      <c r="I80" s="1087"/>
      <c r="J80" s="1074"/>
      <c r="K80" s="1082"/>
      <c r="M80" s="1077"/>
    </row>
    <row r="81" spans="1:13" ht="12.95" customHeight="1">
      <c r="A81" s="1060"/>
      <c r="B81" s="1086"/>
      <c r="D81" s="1087"/>
      <c r="E81" s="1087"/>
      <c r="F81" s="1087"/>
      <c r="G81" s="1087"/>
      <c r="H81" s="1087"/>
      <c r="I81" s="1087"/>
      <c r="J81" s="1074"/>
      <c r="K81" s="1082"/>
      <c r="M81" s="1077"/>
    </row>
    <row r="82" spans="1:13" ht="12.95" customHeight="1">
      <c r="A82" s="1060"/>
      <c r="B82" s="1086"/>
      <c r="D82" s="1087"/>
      <c r="E82" s="1087"/>
      <c r="F82" s="1087"/>
      <c r="G82" s="1087"/>
      <c r="H82" s="1087"/>
      <c r="I82" s="1087"/>
      <c r="J82" s="1074"/>
      <c r="K82" s="1082"/>
      <c r="M82" s="1077"/>
    </row>
    <row r="83" spans="1:13" ht="12.95" customHeight="1">
      <c r="A83" s="1060"/>
      <c r="B83" s="1086"/>
      <c r="D83" s="1087"/>
      <c r="E83" s="1087"/>
      <c r="F83" s="1087"/>
      <c r="G83" s="1087"/>
      <c r="H83" s="1087"/>
      <c r="I83" s="1087"/>
      <c r="J83" s="1074"/>
      <c r="K83" s="1082"/>
      <c r="M83" s="1077"/>
    </row>
    <row r="84" spans="1:13" ht="12.95" customHeight="1">
      <c r="A84" s="1060"/>
      <c r="B84" s="1086"/>
      <c r="D84" s="1087"/>
      <c r="E84" s="1087"/>
      <c r="F84" s="1087"/>
      <c r="G84" s="1087"/>
      <c r="H84" s="1087"/>
      <c r="I84" s="1087"/>
      <c r="J84" s="1074"/>
      <c r="K84" s="1082"/>
      <c r="M84" s="1077"/>
    </row>
    <row r="85" spans="1:13" ht="12.95" customHeight="1">
      <c r="A85" s="1060"/>
      <c r="B85" s="1086"/>
      <c r="D85" s="1087"/>
      <c r="E85" s="1087"/>
      <c r="F85" s="1087"/>
      <c r="G85" s="1087"/>
      <c r="H85" s="1087"/>
      <c r="I85" s="1087"/>
      <c r="J85" s="1074"/>
      <c r="K85" s="1082"/>
      <c r="M85" s="1077"/>
    </row>
    <row r="86" spans="1:13" ht="12.95" customHeight="1">
      <c r="A86" s="1060"/>
      <c r="B86" s="1086"/>
      <c r="D86" s="1087"/>
      <c r="E86" s="1087"/>
      <c r="F86" s="1087"/>
      <c r="G86" s="1087"/>
      <c r="H86" s="1087"/>
      <c r="I86" s="1087"/>
      <c r="J86" s="1074"/>
      <c r="K86" s="1082"/>
      <c r="M86" s="1077"/>
    </row>
    <row r="87" spans="1:13" ht="12.95" customHeight="1">
      <c r="A87" s="1060"/>
      <c r="B87" s="1086"/>
      <c r="D87" s="1087"/>
      <c r="E87" s="1087"/>
      <c r="F87" s="1087"/>
      <c r="G87" s="1087"/>
      <c r="H87" s="1087"/>
      <c r="I87" s="1087"/>
      <c r="J87" s="1074"/>
      <c r="K87" s="1082"/>
      <c r="M87" s="1077"/>
    </row>
    <row r="88" spans="1:13" ht="12.95" customHeight="1">
      <c r="A88" s="1060"/>
      <c r="B88" s="1086"/>
      <c r="D88" s="1087"/>
      <c r="E88" s="1087"/>
      <c r="F88" s="1087"/>
      <c r="G88" s="1087"/>
      <c r="H88" s="1087"/>
      <c r="I88" s="1087"/>
      <c r="J88" s="1074"/>
      <c r="K88" s="1082"/>
      <c r="M88" s="1077"/>
    </row>
    <row r="89" spans="1:13" ht="12.95" customHeight="1">
      <c r="A89" s="1060"/>
      <c r="B89" s="1086"/>
      <c r="D89" s="1087"/>
      <c r="E89" s="1087"/>
      <c r="F89" s="1087"/>
      <c r="G89" s="1087"/>
      <c r="H89" s="1087"/>
      <c r="I89" s="1087"/>
      <c r="J89" s="1074"/>
      <c r="K89" s="1082"/>
      <c r="M89" s="1077"/>
    </row>
    <row r="90" spans="1:13" ht="12.95" customHeight="1">
      <c r="A90" s="1060"/>
      <c r="B90" s="1086"/>
      <c r="D90" s="1087"/>
      <c r="E90" s="1087"/>
      <c r="F90" s="1087"/>
      <c r="G90" s="1087"/>
      <c r="H90" s="1087"/>
      <c r="I90" s="1087"/>
      <c r="J90" s="1074"/>
      <c r="K90" s="1082"/>
      <c r="M90" s="1077"/>
    </row>
    <row r="91" spans="1:13" ht="12.95" customHeight="1">
      <c r="A91" s="1060"/>
      <c r="B91" s="1086"/>
      <c r="D91" s="1087"/>
      <c r="E91" s="1087"/>
      <c r="F91" s="1087"/>
      <c r="G91" s="1087"/>
      <c r="H91" s="1087"/>
      <c r="I91" s="1087"/>
      <c r="J91" s="1074"/>
      <c r="K91" s="1082"/>
      <c r="M91" s="1077"/>
    </row>
    <row r="92" spans="1:13" ht="12.95" customHeight="1">
      <c r="A92" s="1060"/>
      <c r="B92" s="1086"/>
      <c r="D92" s="1087"/>
      <c r="E92" s="1087"/>
      <c r="F92" s="1087"/>
      <c r="G92" s="1087"/>
      <c r="H92" s="1087"/>
      <c r="I92" s="1087"/>
      <c r="J92" s="1074"/>
      <c r="M92" s="1077"/>
    </row>
    <row r="93" spans="1:13" ht="12.95" customHeight="1">
      <c r="A93" s="1060"/>
      <c r="B93" s="1086"/>
      <c r="D93" s="1087"/>
      <c r="E93" s="1087"/>
      <c r="F93" s="1087"/>
      <c r="G93" s="1087"/>
      <c r="H93" s="1087"/>
      <c r="I93" s="1087"/>
      <c r="J93" s="1074"/>
      <c r="M93" s="1077"/>
    </row>
    <row r="94" spans="1:13" ht="12.95" customHeight="1">
      <c r="A94" s="1060"/>
      <c r="B94" s="1086"/>
      <c r="D94" s="1087"/>
      <c r="E94" s="1087"/>
      <c r="F94" s="1087"/>
      <c r="G94" s="1087"/>
      <c r="H94" s="1087"/>
      <c r="I94" s="1087"/>
      <c r="J94" s="1074"/>
      <c r="M94" s="1077"/>
    </row>
    <row r="95" spans="1:13" ht="12.95" customHeight="1">
      <c r="A95" s="1060"/>
      <c r="B95" s="1086"/>
      <c r="D95" s="1087"/>
      <c r="E95" s="1087"/>
      <c r="F95" s="1087"/>
      <c r="G95" s="1087"/>
      <c r="H95" s="1087"/>
      <c r="I95" s="1087"/>
      <c r="J95" s="1074"/>
      <c r="M95" s="1077"/>
    </row>
    <row r="96" spans="1:13" ht="12.95" customHeight="1">
      <c r="A96" s="1060"/>
      <c r="B96" s="1086"/>
      <c r="D96" s="1087"/>
      <c r="E96" s="1087"/>
      <c r="F96" s="1087"/>
      <c r="G96" s="1087"/>
      <c r="H96" s="1087"/>
      <c r="I96" s="1087"/>
      <c r="J96" s="1074"/>
      <c r="M96" s="1077"/>
    </row>
    <row r="97" spans="1:13" ht="12.95" customHeight="1">
      <c r="A97" s="1060"/>
      <c r="B97" s="1086"/>
      <c r="D97" s="1087"/>
      <c r="E97" s="1087"/>
      <c r="F97" s="1087"/>
      <c r="G97" s="1087"/>
      <c r="H97" s="1087"/>
      <c r="I97" s="1087"/>
      <c r="J97" s="1074"/>
      <c r="M97" s="1077"/>
    </row>
    <row r="98" spans="1:13" ht="12.95" customHeight="1">
      <c r="A98" s="1060"/>
      <c r="B98" s="1086"/>
      <c r="D98" s="1087"/>
      <c r="E98" s="1087"/>
      <c r="F98" s="1087"/>
      <c r="G98" s="1087"/>
      <c r="H98" s="1087"/>
      <c r="I98" s="1087"/>
      <c r="J98" s="1074"/>
      <c r="M98" s="1077"/>
    </row>
    <row r="99" spans="1:13" ht="12.95" customHeight="1">
      <c r="A99" s="1060"/>
      <c r="B99" s="1086"/>
      <c r="D99" s="1087"/>
      <c r="E99" s="1087"/>
      <c r="F99" s="1087"/>
      <c r="G99" s="1087"/>
      <c r="H99" s="1087"/>
      <c r="I99" s="1087"/>
      <c r="J99" s="1074"/>
      <c r="M99" s="1077"/>
    </row>
    <row r="100" spans="1:13" ht="12.95" customHeight="1">
      <c r="A100" s="1060"/>
      <c r="B100" s="1086"/>
      <c r="D100" s="1087"/>
      <c r="E100" s="1087"/>
      <c r="F100" s="1087"/>
      <c r="G100" s="1087"/>
      <c r="H100" s="1087"/>
      <c r="I100" s="1087"/>
      <c r="J100" s="1074"/>
      <c r="M100" s="1077"/>
    </row>
    <row r="101" spans="1:13">
      <c r="A101" s="1082"/>
      <c r="B101" s="1088"/>
      <c r="C101" s="1082"/>
      <c r="D101" s="1082"/>
      <c r="E101" s="1082"/>
      <c r="F101" s="1082"/>
      <c r="G101" s="1082"/>
      <c r="H101" s="1082"/>
      <c r="I101" s="1082"/>
      <c r="J101" s="1090"/>
    </row>
    <row r="102" spans="1:13">
      <c r="B102" s="1086"/>
      <c r="J102" s="1089"/>
    </row>
    <row r="103" spans="1:13">
      <c r="B103" s="1086"/>
      <c r="J103" s="1089"/>
    </row>
    <row r="104" spans="1:13">
      <c r="B104" s="1086"/>
    </row>
    <row r="105" spans="1:13">
      <c r="B105" s="1086"/>
    </row>
    <row r="106" spans="1:13">
      <c r="B106" s="1086"/>
    </row>
    <row r="107" spans="1:13">
      <c r="B107" s="1086"/>
    </row>
    <row r="108" spans="1:13">
      <c r="B108" s="1086"/>
    </row>
    <row r="109" spans="1:13">
      <c r="B109" s="1086"/>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73" workbookViewId="0"/>
  </sheetViews>
  <sheetFormatPr defaultColWidth="8.88671875" defaultRowHeight="15"/>
  <cols>
    <col min="1" max="1" width="50.33203125" style="1811" customWidth="1"/>
    <col min="2" max="2" width="3.6640625" style="1124" customWidth="1"/>
    <col min="3" max="3" width="16.6640625" style="1124" customWidth="1"/>
    <col min="4" max="4" width="1.5546875" style="1124" customWidth="1"/>
    <col min="5" max="5" width="16.44140625" style="788" customWidth="1"/>
    <col min="6" max="6" width="3.109375" style="1815" customWidth="1"/>
    <col min="7" max="7" width="14.33203125" style="1815" customWidth="1"/>
    <col min="8" max="8" width="2.33203125" style="1815" customWidth="1"/>
    <col min="9" max="9" width="14.33203125" style="1815" customWidth="1"/>
    <col min="10" max="10" width="1.109375" style="1815" customWidth="1"/>
    <col min="11" max="11" width="14.33203125" style="1815" customWidth="1"/>
    <col min="12" max="12" width="1.33203125" style="1815" customWidth="1"/>
    <col min="13" max="13" width="16.109375" style="1815" customWidth="1"/>
    <col min="14" max="14" width="1.5546875" style="1124" customWidth="1"/>
    <col min="15" max="15" width="12.5546875" style="1124" customWidth="1"/>
    <col min="16" max="16" width="11.44140625" style="1124" customWidth="1"/>
    <col min="17" max="17" width="1.88671875" style="1124" customWidth="1"/>
    <col min="18" max="18" width="11.6640625" style="1124" customWidth="1"/>
    <col min="19" max="19" width="2.109375" style="1124" customWidth="1"/>
    <col min="20" max="20" width="11.44140625" style="1124" customWidth="1"/>
    <col min="21" max="21" width="0.5546875" style="1124" customWidth="1"/>
    <col min="22" max="22" width="2.33203125" style="1124" customWidth="1"/>
    <col min="23" max="23" width="10.5546875" style="1124" customWidth="1"/>
    <col min="24" max="24" width="11.109375" style="1124" customWidth="1"/>
    <col min="25" max="25" width="2.21875" style="1124" customWidth="1"/>
    <col min="26" max="26" width="11.109375" style="1124" customWidth="1"/>
    <col min="27" max="27" width="2.109375" style="1124" customWidth="1"/>
    <col min="28" max="28" width="12.44140625" style="1124" customWidth="1"/>
    <col min="29" max="33" width="8.88671875" style="1124"/>
    <col min="34" max="34" width="8.88671875" style="1815"/>
    <col min="35" max="16384" width="8.88671875" style="1811"/>
  </cols>
  <sheetData>
    <row r="1" spans="1:28">
      <c r="A1" s="1159" t="s">
        <v>1090</v>
      </c>
      <c r="B1" s="387"/>
      <c r="C1" s="387"/>
      <c r="D1" s="387"/>
      <c r="E1" s="782"/>
      <c r="F1" s="388"/>
      <c r="G1" s="388"/>
      <c r="H1" s="388"/>
      <c r="I1" s="388"/>
      <c r="J1" s="388"/>
      <c r="K1" s="388"/>
      <c r="L1" s="388"/>
      <c r="M1" s="388"/>
      <c r="N1" s="388"/>
      <c r="O1" s="387"/>
      <c r="P1" s="387"/>
      <c r="Q1" s="387"/>
      <c r="R1" s="387"/>
      <c r="S1" s="387"/>
      <c r="T1" s="387"/>
      <c r="U1" s="387"/>
      <c r="V1" s="387"/>
      <c r="W1" s="387"/>
      <c r="X1" s="387"/>
      <c r="Y1" s="387"/>
      <c r="Z1" s="387"/>
      <c r="AA1" s="387"/>
      <c r="AB1" s="387"/>
    </row>
    <row r="2" spans="1:28" ht="17.25" customHeight="1">
      <c r="A2" s="389"/>
      <c r="B2" s="387"/>
      <c r="C2" s="387"/>
      <c r="D2" s="387"/>
      <c r="E2" s="782"/>
      <c r="F2" s="388"/>
      <c r="G2" s="391"/>
      <c r="H2" s="391"/>
      <c r="I2" s="391"/>
      <c r="J2" s="391"/>
      <c r="K2" s="391"/>
      <c r="L2" s="388"/>
      <c r="M2" s="388"/>
      <c r="N2" s="388"/>
      <c r="O2" s="387"/>
      <c r="P2" s="387"/>
      <c r="Q2" s="387"/>
      <c r="R2" s="387"/>
      <c r="S2" s="387"/>
      <c r="T2" s="387"/>
      <c r="U2" s="387"/>
      <c r="V2" s="387"/>
      <c r="W2" s="387"/>
      <c r="X2" s="387"/>
      <c r="Y2" s="387"/>
      <c r="Z2" s="387"/>
      <c r="AA2" s="387"/>
      <c r="AB2" s="387"/>
    </row>
    <row r="3" spans="1:28" ht="21" customHeight="1">
      <c r="A3" s="392" t="s">
        <v>0</v>
      </c>
      <c r="B3" s="357"/>
      <c r="C3" s="357"/>
      <c r="D3" s="357"/>
      <c r="E3" s="785"/>
      <c r="F3" s="343"/>
      <c r="G3" s="343"/>
      <c r="H3" s="343"/>
      <c r="I3" s="343"/>
      <c r="J3" s="343"/>
      <c r="K3" s="343"/>
      <c r="L3" s="343"/>
      <c r="M3" s="1647"/>
      <c r="N3" s="343"/>
      <c r="O3" s="1647" t="s">
        <v>85</v>
      </c>
      <c r="P3" s="357"/>
      <c r="Q3" s="357"/>
      <c r="R3" s="357"/>
      <c r="S3" s="357"/>
      <c r="T3" s="357"/>
      <c r="U3" s="357"/>
      <c r="V3" s="357"/>
      <c r="W3" s="357"/>
      <c r="X3" s="357"/>
      <c r="Y3" s="357"/>
      <c r="Z3" s="357"/>
      <c r="AA3" s="357"/>
      <c r="AB3" s="393"/>
    </row>
    <row r="4" spans="1:28" ht="21.75" customHeight="1">
      <c r="A4" s="392" t="s">
        <v>84</v>
      </c>
      <c r="B4" s="357"/>
      <c r="C4" s="357"/>
      <c r="D4" s="357"/>
      <c r="E4" s="785"/>
      <c r="F4" s="343"/>
      <c r="G4" s="343"/>
      <c r="H4" s="343"/>
      <c r="I4" s="343"/>
      <c r="J4" s="343"/>
      <c r="K4" s="343"/>
      <c r="L4" s="343"/>
      <c r="M4" s="1648"/>
      <c r="N4" s="343"/>
      <c r="O4" s="1648" t="s">
        <v>106</v>
      </c>
      <c r="P4" s="357"/>
      <c r="Q4" s="357"/>
      <c r="R4" s="357"/>
      <c r="S4" s="357"/>
      <c r="T4" s="357"/>
      <c r="U4" s="357"/>
      <c r="V4" s="357"/>
      <c r="W4" s="357"/>
      <c r="X4" s="357"/>
      <c r="Y4" s="357"/>
      <c r="Z4" s="357"/>
      <c r="AA4" s="357"/>
      <c r="AB4" s="357"/>
    </row>
    <row r="5" spans="1:28" ht="21.75" customHeight="1">
      <c r="A5" s="2949" t="s">
        <v>1409</v>
      </c>
      <c r="B5" s="357"/>
      <c r="C5" s="357"/>
      <c r="D5" s="357"/>
      <c r="E5" s="785"/>
      <c r="F5" s="343"/>
      <c r="G5" s="343"/>
      <c r="H5" s="343"/>
      <c r="I5" s="343"/>
      <c r="J5" s="343"/>
      <c r="K5" s="343"/>
      <c r="L5" s="343"/>
      <c r="M5" s="343"/>
      <c r="N5" s="343"/>
      <c r="O5" s="357"/>
      <c r="P5" s="357"/>
      <c r="Q5" s="357"/>
      <c r="R5" s="357"/>
      <c r="S5" s="357"/>
      <c r="T5" s="357"/>
      <c r="U5" s="357"/>
      <c r="V5" s="357"/>
      <c r="W5" s="357"/>
      <c r="X5" s="357"/>
      <c r="Y5" s="357"/>
      <c r="Z5" s="357"/>
      <c r="AA5" s="357"/>
      <c r="AB5" s="357"/>
    </row>
    <row r="6" spans="1:28" ht="17.25" customHeight="1">
      <c r="A6" s="2726" t="str">
        <f>+'Exh D-Governmental  '!A6</f>
        <v>FOR TEN MONTHS ENDED JANUARY 31, 2017</v>
      </c>
      <c r="B6" s="357"/>
      <c r="C6" s="357"/>
      <c r="D6" s="357"/>
      <c r="E6" s="785"/>
      <c r="F6" s="343"/>
      <c r="G6" s="343"/>
      <c r="H6" s="343"/>
      <c r="I6" s="343"/>
      <c r="J6" s="343"/>
      <c r="K6" s="343"/>
      <c r="L6" s="343"/>
      <c r="M6" s="343"/>
      <c r="N6" s="343"/>
      <c r="O6" s="357"/>
      <c r="P6" s="357"/>
      <c r="Q6" s="357"/>
      <c r="R6" s="357"/>
      <c r="S6" s="357"/>
      <c r="T6" s="357"/>
      <c r="U6" s="357"/>
      <c r="V6" s="357"/>
      <c r="W6" s="357"/>
      <c r="X6" s="357"/>
      <c r="Y6" s="357"/>
      <c r="Z6" s="357"/>
      <c r="AA6" s="357"/>
      <c r="AB6" s="357"/>
    </row>
    <row r="7" spans="1:28" ht="18">
      <c r="A7" s="392" t="s">
        <v>980</v>
      </c>
      <c r="B7" s="357"/>
      <c r="C7" s="357"/>
      <c r="D7" s="357"/>
      <c r="E7" s="785"/>
      <c r="F7" s="343"/>
      <c r="G7" s="343"/>
      <c r="H7" s="343"/>
      <c r="I7" s="343"/>
      <c r="J7" s="343"/>
      <c r="K7" s="343"/>
      <c r="L7" s="343"/>
      <c r="M7" s="343"/>
      <c r="N7" s="343"/>
      <c r="O7" s="357"/>
      <c r="P7" s="357"/>
      <c r="Q7" s="357"/>
      <c r="R7" s="357"/>
      <c r="S7" s="357"/>
      <c r="T7" s="357"/>
      <c r="U7" s="357"/>
      <c r="V7" s="357"/>
      <c r="W7" s="357"/>
      <c r="X7" s="357"/>
      <c r="Y7" s="357"/>
      <c r="Z7" s="357"/>
      <c r="AA7" s="357"/>
      <c r="AB7" s="357"/>
    </row>
    <row r="8" spans="1:28" ht="15" customHeight="1">
      <c r="A8" s="394"/>
      <c r="B8" s="357"/>
      <c r="C8" s="357"/>
      <c r="D8" s="357"/>
      <c r="E8" s="785"/>
      <c r="F8" s="343"/>
      <c r="G8" s="343"/>
      <c r="H8" s="343"/>
      <c r="I8" s="343"/>
      <c r="J8" s="343"/>
      <c r="K8" s="343"/>
      <c r="L8" s="343"/>
      <c r="M8" s="343"/>
      <c r="N8" s="343"/>
      <c r="O8" s="357"/>
      <c r="P8" s="357"/>
      <c r="Q8" s="357"/>
      <c r="R8" s="357"/>
      <c r="S8" s="357"/>
      <c r="T8" s="357"/>
      <c r="U8" s="357"/>
      <c r="V8" s="357"/>
      <c r="W8" s="357"/>
      <c r="X8" s="357"/>
      <c r="Y8" s="357"/>
      <c r="Z8" s="357"/>
      <c r="AA8" s="357"/>
      <c r="AB8" s="357"/>
    </row>
    <row r="9" spans="1:28">
      <c r="A9" s="351"/>
      <c r="B9" s="357"/>
      <c r="C9" s="357"/>
      <c r="D9" s="357"/>
      <c r="E9" s="785"/>
      <c r="F9" s="343"/>
      <c r="G9" s="343"/>
      <c r="H9" s="343"/>
      <c r="I9" s="343"/>
      <c r="J9" s="343"/>
      <c r="K9" s="343"/>
      <c r="L9" s="343"/>
      <c r="M9" s="343"/>
      <c r="N9" s="343"/>
      <c r="O9" s="357"/>
      <c r="P9" s="357"/>
      <c r="Q9" s="357"/>
      <c r="R9" s="357"/>
      <c r="S9" s="357"/>
      <c r="T9" s="357"/>
      <c r="U9" s="357"/>
      <c r="V9" s="357"/>
      <c r="W9" s="357"/>
      <c r="X9" s="357"/>
      <c r="Y9" s="357"/>
      <c r="Z9" s="357"/>
      <c r="AA9" s="357"/>
      <c r="AB9" s="357"/>
    </row>
    <row r="10" spans="1:28">
      <c r="A10" s="351"/>
      <c r="B10" s="357"/>
      <c r="C10" s="357"/>
      <c r="D10" s="357"/>
      <c r="E10" s="784"/>
      <c r="F10" s="349"/>
      <c r="G10" s="349"/>
      <c r="H10" s="349"/>
      <c r="I10" s="349"/>
      <c r="J10" s="349"/>
      <c r="K10" s="349"/>
      <c r="L10" s="349"/>
      <c r="M10" s="349"/>
      <c r="N10" s="343"/>
      <c r="O10" s="357"/>
      <c r="P10" s="357"/>
      <c r="Q10" s="357"/>
      <c r="R10" s="357"/>
      <c r="S10" s="357"/>
      <c r="T10" s="357"/>
      <c r="U10" s="357"/>
      <c r="V10" s="357"/>
      <c r="W10" s="357"/>
      <c r="X10" s="357"/>
      <c r="Y10" s="357"/>
      <c r="Z10" s="357"/>
      <c r="AA10" s="357"/>
      <c r="AB10" s="357"/>
    </row>
    <row r="11" spans="1:28" ht="15.75">
      <c r="A11" s="1321"/>
      <c r="C11" s="2250"/>
      <c r="D11" s="2250"/>
      <c r="E11" s="2282"/>
      <c r="F11" s="2257"/>
      <c r="G11" s="2654" t="s">
        <v>1264</v>
      </c>
      <c r="H11" s="3211"/>
      <c r="I11" s="2654"/>
      <c r="J11" s="3211"/>
      <c r="K11" s="3211"/>
      <c r="L11" s="2257"/>
      <c r="M11" s="2257"/>
      <c r="N11" s="2260"/>
      <c r="O11" s="2249"/>
      <c r="P11" s="395"/>
      <c r="Q11" s="395"/>
      <c r="R11" s="395"/>
      <c r="S11" s="395"/>
      <c r="T11" s="395"/>
      <c r="U11" s="395"/>
      <c r="V11" s="352"/>
      <c r="W11" s="395"/>
      <c r="X11" s="396"/>
      <c r="Y11" s="395"/>
      <c r="Z11" s="395"/>
      <c r="AA11" s="395"/>
      <c r="AB11" s="395"/>
    </row>
    <row r="12" spans="1:28" ht="15.75">
      <c r="A12" s="1321"/>
      <c r="E12" s="789"/>
      <c r="F12" s="397"/>
      <c r="G12" s="398"/>
      <c r="H12" s="398"/>
      <c r="I12" s="398"/>
      <c r="J12" s="398"/>
      <c r="K12" s="398"/>
      <c r="L12" s="397"/>
      <c r="M12" s="397" t="s">
        <v>86</v>
      </c>
      <c r="N12" s="352"/>
      <c r="O12" s="397" t="s">
        <v>86</v>
      </c>
      <c r="P12" s="395"/>
      <c r="Q12" s="395"/>
      <c r="R12" s="395"/>
      <c r="S12" s="395"/>
      <c r="T12" s="395"/>
      <c r="U12" s="395"/>
      <c r="V12" s="352"/>
      <c r="W12" s="395"/>
      <c r="X12" s="396"/>
      <c r="Y12" s="395"/>
      <c r="Z12" s="395"/>
      <c r="AA12" s="395"/>
      <c r="AB12" s="395"/>
    </row>
    <row r="13" spans="1:28" ht="15.75">
      <c r="A13" s="1321"/>
      <c r="E13" s="789"/>
      <c r="F13" s="397"/>
      <c r="G13" s="398"/>
      <c r="H13" s="398"/>
      <c r="I13" s="398"/>
      <c r="J13" s="398"/>
      <c r="K13" s="398"/>
      <c r="L13" s="397"/>
      <c r="M13" s="400" t="s">
        <v>987</v>
      </c>
      <c r="N13" s="352"/>
      <c r="O13" s="400" t="s">
        <v>987</v>
      </c>
      <c r="P13" s="395"/>
      <c r="Q13" s="395"/>
      <c r="R13" s="395"/>
      <c r="S13" s="395"/>
      <c r="T13" s="395"/>
      <c r="U13" s="395"/>
      <c r="V13" s="352"/>
      <c r="W13" s="395"/>
      <c r="X13" s="396"/>
      <c r="Y13" s="395"/>
      <c r="Z13" s="395"/>
      <c r="AA13" s="395"/>
      <c r="AB13" s="395"/>
    </row>
    <row r="14" spans="1:28" ht="15.75">
      <c r="A14" s="1321"/>
      <c r="B14" s="352"/>
      <c r="C14" s="355" t="s">
        <v>1203</v>
      </c>
      <c r="D14" s="352"/>
      <c r="E14" s="354" t="s">
        <v>1204</v>
      </c>
      <c r="F14" s="399"/>
      <c r="G14" s="399"/>
      <c r="H14" s="399"/>
      <c r="I14" s="399"/>
      <c r="J14" s="399"/>
      <c r="K14" s="399"/>
      <c r="L14" s="399"/>
      <c r="M14" s="354" t="s">
        <v>87</v>
      </c>
      <c r="N14" s="352"/>
      <c r="O14" s="354" t="s">
        <v>87</v>
      </c>
      <c r="P14" s="352"/>
      <c r="Q14" s="352"/>
      <c r="R14" s="352"/>
      <c r="S14" s="352"/>
      <c r="T14" s="401"/>
      <c r="U14" s="402"/>
      <c r="V14" s="352"/>
      <c r="W14" s="352"/>
      <c r="X14" s="352"/>
      <c r="Y14" s="352"/>
      <c r="Z14" s="352"/>
      <c r="AA14" s="352"/>
      <c r="AB14" s="401"/>
    </row>
    <row r="15" spans="1:28" ht="15.75">
      <c r="A15" s="1321"/>
      <c r="B15" s="403"/>
      <c r="C15" s="354" t="s">
        <v>1247</v>
      </c>
      <c r="D15" s="403"/>
      <c r="E15" s="354" t="s">
        <v>1247</v>
      </c>
      <c r="F15" s="353"/>
      <c r="G15" s="353"/>
      <c r="H15" s="353"/>
      <c r="I15" s="353"/>
      <c r="J15" s="353"/>
      <c r="K15" s="353"/>
      <c r="L15" s="353"/>
      <c r="M15" s="354" t="s">
        <v>1203</v>
      </c>
      <c r="N15" s="352"/>
      <c r="O15" s="354" t="s">
        <v>1204</v>
      </c>
      <c r="P15" s="402"/>
      <c r="Q15" s="352"/>
      <c r="R15" s="352"/>
      <c r="S15" s="352"/>
      <c r="T15" s="401"/>
      <c r="U15" s="402"/>
      <c r="V15" s="352"/>
      <c r="W15" s="401"/>
      <c r="X15" s="402"/>
      <c r="Y15" s="352"/>
      <c r="Z15" s="352"/>
      <c r="AA15" s="352"/>
      <c r="AB15" s="401"/>
    </row>
    <row r="16" spans="1:28" ht="15.75">
      <c r="A16" s="1321"/>
      <c r="B16" s="402"/>
      <c r="C16" s="2259" t="s">
        <v>1248</v>
      </c>
      <c r="D16" s="402"/>
      <c r="E16" s="354" t="s">
        <v>1451</v>
      </c>
      <c r="F16" s="353"/>
      <c r="G16" s="355" t="s">
        <v>86</v>
      </c>
      <c r="H16" s="355"/>
      <c r="I16" s="3214" t="s">
        <v>1431</v>
      </c>
      <c r="J16" s="355"/>
      <c r="K16" s="3214" t="s">
        <v>906</v>
      </c>
      <c r="L16" s="353"/>
      <c r="M16" s="354" t="s">
        <v>88</v>
      </c>
      <c r="N16" s="352"/>
      <c r="O16" s="2259" t="s">
        <v>88</v>
      </c>
      <c r="P16" s="402"/>
      <c r="Q16" s="352"/>
      <c r="R16" s="401"/>
      <c r="S16" s="352"/>
      <c r="T16" s="401"/>
      <c r="U16" s="402"/>
      <c r="V16" s="352"/>
      <c r="W16" s="402"/>
      <c r="X16" s="402"/>
      <c r="Y16" s="352"/>
      <c r="Z16" s="401"/>
      <c r="AA16" s="352"/>
      <c r="AB16" s="401"/>
    </row>
    <row r="17" spans="1:28">
      <c r="A17" s="356"/>
      <c r="B17" s="357"/>
      <c r="C17" s="357"/>
      <c r="D17" s="357"/>
      <c r="E17" s="358"/>
      <c r="F17" s="343"/>
      <c r="G17" s="358"/>
      <c r="H17" s="357"/>
      <c r="I17" s="357"/>
      <c r="J17" s="357"/>
      <c r="K17" s="357"/>
      <c r="L17" s="343"/>
      <c r="M17" s="358"/>
      <c r="N17" s="357"/>
      <c r="O17" s="357"/>
      <c r="P17" s="357"/>
      <c r="Q17" s="357"/>
      <c r="R17" s="357"/>
      <c r="S17" s="357"/>
      <c r="T17" s="357"/>
      <c r="U17" s="357"/>
      <c r="V17" s="357"/>
      <c r="W17" s="357"/>
      <c r="X17" s="357"/>
      <c r="Y17" s="357"/>
      <c r="Z17" s="357"/>
      <c r="AA17" s="357"/>
      <c r="AB17" s="357"/>
    </row>
    <row r="18" spans="1:28" ht="15.75">
      <c r="A18" s="221" t="s">
        <v>14</v>
      </c>
      <c r="B18" s="1803"/>
      <c r="C18" s="1803"/>
      <c r="D18" s="1803"/>
      <c r="E18" s="1224"/>
      <c r="F18" s="1224"/>
      <c r="G18" s="1224"/>
      <c r="H18" s="1224"/>
      <c r="I18" s="1224"/>
      <c r="J18" s="1224"/>
      <c r="K18" s="1224"/>
      <c r="L18" s="1224"/>
      <c r="M18" s="1224"/>
      <c r="N18" s="1803"/>
      <c r="O18" s="1803"/>
      <c r="P18" s="1803"/>
      <c r="Q18" s="1803"/>
      <c r="R18" s="1803"/>
      <c r="S18" s="1803"/>
      <c r="T18" s="1803"/>
      <c r="U18" s="1803"/>
      <c r="V18" s="1803"/>
      <c r="W18" s="1803"/>
      <c r="X18" s="1803"/>
      <c r="Y18" s="1803"/>
      <c r="Z18" s="1803"/>
      <c r="AA18" s="1803"/>
      <c r="AB18" s="1803"/>
    </row>
    <row r="19" spans="1:28">
      <c r="A19" s="1638" t="s">
        <v>89</v>
      </c>
      <c r="B19" s="1804"/>
      <c r="C19" s="1804"/>
      <c r="D19" s="1804"/>
      <c r="E19" s="1224"/>
      <c r="F19" s="1224"/>
      <c r="G19" s="1224"/>
      <c r="H19" s="1224"/>
      <c r="I19" s="1224"/>
      <c r="J19" s="1224"/>
      <c r="K19" s="1224"/>
      <c r="L19" s="1804"/>
      <c r="M19" s="1224"/>
      <c r="N19" s="1803"/>
      <c r="O19" s="2955"/>
      <c r="P19" s="1803"/>
      <c r="Q19" s="1803"/>
      <c r="R19" s="1803"/>
      <c r="S19" s="1803"/>
      <c r="T19" s="1803"/>
      <c r="U19" s="1803"/>
      <c r="V19" s="1803"/>
      <c r="W19" s="1803"/>
      <c r="X19" s="1803"/>
      <c r="Y19" s="1803"/>
      <c r="Z19" s="1803"/>
      <c r="AA19" s="1803"/>
      <c r="AB19" s="1803"/>
    </row>
    <row r="20" spans="1:28">
      <c r="A20" s="1638" t="s">
        <v>90</v>
      </c>
      <c r="B20" s="1804"/>
      <c r="C20" s="1821">
        <f>+'Exh D Special Revenue State Fed'!C20</f>
        <v>3217</v>
      </c>
      <c r="D20" s="1804"/>
      <c r="E20" s="1821">
        <f>+'Exh D Special Revenue State Fed'!E20</f>
        <v>2896</v>
      </c>
      <c r="F20" s="1227"/>
      <c r="G20" s="1821">
        <f>+'Exh D Special Revenue State Fed'!G20</f>
        <v>2895.9</v>
      </c>
      <c r="H20" s="1821"/>
      <c r="I20" s="1821">
        <v>0</v>
      </c>
      <c r="J20" s="1821"/>
      <c r="K20" s="1821">
        <f>+G20+I20</f>
        <v>2895.9</v>
      </c>
      <c r="L20" s="1227"/>
      <c r="M20" s="1225">
        <f>ROUND(SUM(K20)-SUM(C20),1)</f>
        <v>-321.10000000000002</v>
      </c>
      <c r="N20" s="1803"/>
      <c r="O20" s="1225">
        <f>ROUND(SUM(K20)-SUM(E20),1)</f>
        <v>-0.1</v>
      </c>
      <c r="P20" s="1803"/>
      <c r="Q20" s="1803"/>
      <c r="R20" s="1803"/>
      <c r="S20" s="1803"/>
      <c r="T20" s="1803"/>
      <c r="U20" s="1803"/>
      <c r="V20" s="1803"/>
      <c r="W20" s="1803"/>
      <c r="X20" s="1803"/>
      <c r="Y20" s="1803"/>
      <c r="Z20" s="1803"/>
      <c r="AA20" s="1803"/>
      <c r="AB20" s="1803"/>
    </row>
    <row r="21" spans="1:28">
      <c r="A21" s="1638" t="s">
        <v>91</v>
      </c>
      <c r="B21" s="1803"/>
      <c r="C21" s="1146">
        <f>+'Exh D Special Revenue State Fed'!C21</f>
        <v>1741</v>
      </c>
      <c r="D21" s="1803"/>
      <c r="E21" s="1146">
        <f>+'Exh D Special Revenue State Fed'!E21</f>
        <v>1738</v>
      </c>
      <c r="F21" s="1146"/>
      <c r="G21" s="1146">
        <f>+'Exh D Special Revenue State Fed'!G21</f>
        <v>1743.4</v>
      </c>
      <c r="H21" s="2925"/>
      <c r="I21" s="2925">
        <v>0</v>
      </c>
      <c r="J21" s="2925"/>
      <c r="K21" s="2925">
        <f>+G21+I21</f>
        <v>1743.4</v>
      </c>
      <c r="L21" s="1146"/>
      <c r="M21" s="1146">
        <f>ROUND(SUM(K21)-SUM(C21),1)</f>
        <v>2.4</v>
      </c>
      <c r="N21" s="1823"/>
      <c r="O21" s="2925">
        <f t="shared" ref="O21:O26" si="0">ROUND(SUM(K21)-SUM(E21),1)</f>
        <v>5.4</v>
      </c>
      <c r="P21" s="1803"/>
      <c r="Q21" s="1803"/>
      <c r="R21" s="1803"/>
      <c r="S21" s="1803"/>
      <c r="T21" s="1803"/>
      <c r="U21" s="1803"/>
      <c r="V21" s="1803"/>
      <c r="W21" s="1803"/>
      <c r="X21" s="1803"/>
      <c r="Y21" s="1803"/>
      <c r="Z21" s="1803"/>
      <c r="AA21" s="1803"/>
      <c r="AB21" s="1803"/>
    </row>
    <row r="22" spans="1:28">
      <c r="A22" s="1638" t="s">
        <v>92</v>
      </c>
      <c r="B22" s="1804"/>
      <c r="C22" s="1146">
        <f>+'Exh D Special Revenue State Fed'!C22</f>
        <v>1169</v>
      </c>
      <c r="D22" s="1804"/>
      <c r="E22" s="1146">
        <f>+'Exh D Special Revenue State Fed'!E22</f>
        <v>1250</v>
      </c>
      <c r="F22" s="1299"/>
      <c r="G22" s="1146">
        <f>+'Exh D Special Revenue State Fed'!G22</f>
        <v>1277</v>
      </c>
      <c r="H22" s="2925"/>
      <c r="I22" s="2925">
        <v>0</v>
      </c>
      <c r="J22" s="2925"/>
      <c r="K22" s="2925">
        <f t="shared" ref="K22:K26" si="1">+G22+I22</f>
        <v>1277</v>
      </c>
      <c r="L22" s="1299"/>
      <c r="M22" s="2925">
        <f t="shared" ref="M22:M26" si="2">ROUND(SUM(K22)-SUM(C22),1)</f>
        <v>108</v>
      </c>
      <c r="N22" s="1824"/>
      <c r="O22" s="2925">
        <f t="shared" si="0"/>
        <v>27</v>
      </c>
      <c r="P22" s="1803"/>
      <c r="Q22" s="1825"/>
      <c r="R22" s="1803"/>
      <c r="S22" s="1825"/>
      <c r="T22" s="1803"/>
      <c r="U22" s="1803"/>
      <c r="V22" s="1825"/>
      <c r="W22" s="1803"/>
      <c r="X22" s="1803"/>
      <c r="Y22" s="1825"/>
      <c r="Z22" s="404"/>
      <c r="AA22" s="1825"/>
      <c r="AB22" s="1803"/>
    </row>
    <row r="23" spans="1:28">
      <c r="A23" s="1638" t="s">
        <v>93</v>
      </c>
      <c r="B23" s="1803"/>
      <c r="C23" s="1146">
        <f>+'Exh D Special Revenue State Fed'!C23</f>
        <v>1072</v>
      </c>
      <c r="D23" s="1803"/>
      <c r="E23" s="1146">
        <f>+'Exh D Special Revenue State Fed'!E23</f>
        <v>1083</v>
      </c>
      <c r="F23" s="1146"/>
      <c r="G23" s="1146">
        <f>+'Exh D Special Revenue State Fed'!G23</f>
        <v>1105.0999999999999</v>
      </c>
      <c r="H23" s="2925"/>
      <c r="I23" s="2925">
        <v>0</v>
      </c>
      <c r="J23" s="2925"/>
      <c r="K23" s="2925">
        <f t="shared" si="1"/>
        <v>1105.0999999999999</v>
      </c>
      <c r="L23" s="1146"/>
      <c r="M23" s="2925">
        <f t="shared" si="2"/>
        <v>33.1</v>
      </c>
      <c r="N23" s="1823"/>
      <c r="O23" s="2925">
        <f t="shared" si="0"/>
        <v>22.1</v>
      </c>
      <c r="P23" s="1803"/>
      <c r="Q23" s="1803"/>
      <c r="R23" s="1803"/>
      <c r="S23" s="1803"/>
      <c r="T23" s="1803"/>
      <c r="U23" s="1803"/>
      <c r="V23" s="1803"/>
      <c r="W23" s="1803"/>
      <c r="X23" s="1803"/>
      <c r="Y23" s="1803"/>
      <c r="Z23" s="1803"/>
      <c r="AA23" s="1803"/>
      <c r="AB23" s="1803"/>
    </row>
    <row r="24" spans="1:28" ht="15" customHeight="1">
      <c r="A24" s="1638" t="s">
        <v>20</v>
      </c>
      <c r="B24" s="1803"/>
      <c r="C24" s="1146">
        <f>+'Exh D Special Revenue State Fed'!C24+'Exh D Special Revenue State Fed'!N24</f>
        <v>13341</v>
      </c>
      <c r="D24" s="1803"/>
      <c r="E24" s="1146">
        <f>+'Exh D Special Revenue State Fed'!E24+'Exh D Special Revenue State Fed'!P24</f>
        <v>14393</v>
      </c>
      <c r="F24" s="1146"/>
      <c r="G24" s="1146">
        <f>+'Exh D Special Revenue State Fed'!G24+'Exh D Special Revenue State Fed'!R24</f>
        <v>14313.300000000001</v>
      </c>
      <c r="H24" s="2925"/>
      <c r="I24" s="2925">
        <v>0</v>
      </c>
      <c r="J24" s="2925"/>
      <c r="K24" s="2925">
        <f t="shared" si="1"/>
        <v>14313.300000000001</v>
      </c>
      <c r="L24" s="1146"/>
      <c r="M24" s="2925">
        <f>ROUND(SUM(K24)-SUM(C24),1)</f>
        <v>972.3</v>
      </c>
      <c r="N24" s="1823"/>
      <c r="O24" s="2925">
        <f t="shared" si="0"/>
        <v>-79.7</v>
      </c>
      <c r="P24" s="1803"/>
      <c r="Q24" s="1803"/>
      <c r="R24" s="1803"/>
      <c r="S24" s="1803"/>
      <c r="T24" s="1803"/>
      <c r="U24" s="1803"/>
      <c r="V24" s="1803"/>
      <c r="W24" s="1803"/>
      <c r="X24" s="1803"/>
      <c r="Y24" s="1803"/>
      <c r="Z24" s="1803"/>
      <c r="AA24" s="1803"/>
      <c r="AB24" s="1803"/>
    </row>
    <row r="25" spans="1:28" ht="15" customHeight="1">
      <c r="A25" s="1638" t="s">
        <v>21</v>
      </c>
      <c r="B25" s="1803"/>
      <c r="C25" s="1146">
        <f>+'Exh D Special Revenue State Fed'!C25+'Exh D Special Revenue State Fed'!N25</f>
        <v>40635</v>
      </c>
      <c r="D25" s="1803"/>
      <c r="E25" s="1146">
        <f>+'Exh D Special Revenue State Fed'!E25+'Exh D Special Revenue State Fed'!P25</f>
        <v>41642</v>
      </c>
      <c r="F25" s="1146"/>
      <c r="G25" s="1146">
        <f>+'Exh D Special Revenue State Fed'!G25+'Exh D Special Revenue State Fed'!R25</f>
        <v>41568.400000000001</v>
      </c>
      <c r="H25" s="2925"/>
      <c r="I25" s="2925">
        <v>0</v>
      </c>
      <c r="J25" s="2925"/>
      <c r="K25" s="2925">
        <f t="shared" si="1"/>
        <v>41568.400000000001</v>
      </c>
      <c r="L25" s="1146"/>
      <c r="M25" s="2925">
        <f t="shared" si="2"/>
        <v>933.4</v>
      </c>
      <c r="N25" s="1823"/>
      <c r="O25" s="2925">
        <f t="shared" si="0"/>
        <v>-73.599999999999994</v>
      </c>
      <c r="P25" s="1828"/>
      <c r="Q25" s="1803"/>
      <c r="R25" s="1828"/>
      <c r="S25" s="1803"/>
      <c r="T25" s="1828"/>
      <c r="U25" s="1829"/>
      <c r="V25" s="1803"/>
      <c r="W25" s="1803"/>
      <c r="X25" s="1803"/>
      <c r="Y25" s="1803"/>
      <c r="Z25" s="1803"/>
      <c r="AA25" s="1803"/>
      <c r="AB25" s="1803"/>
    </row>
    <row r="26" spans="1:28">
      <c r="A26" s="1638" t="s">
        <v>1457</v>
      </c>
      <c r="B26" s="1828"/>
      <c r="C26" s="1808">
        <f>+'Exh D Special Revenue State Fed'!C26</f>
        <v>6950</v>
      </c>
      <c r="D26" s="1828"/>
      <c r="E26" s="1808">
        <f>+'Exh D Special Revenue State Fed'!E26</f>
        <v>6875</v>
      </c>
      <c r="F26" s="1146"/>
      <c r="G26" s="1808">
        <f>+'Exh D Special Revenue State Fed'!G26</f>
        <v>6942.9</v>
      </c>
      <c r="H26" s="1824"/>
      <c r="I26" s="1808">
        <v>-393</v>
      </c>
      <c r="J26" s="1824"/>
      <c r="K26" s="1809">
        <f t="shared" si="1"/>
        <v>6549.9</v>
      </c>
      <c r="L26" s="1146"/>
      <c r="M26" s="1809">
        <f t="shared" si="2"/>
        <v>-400.1</v>
      </c>
      <c r="N26" s="1823"/>
      <c r="O26" s="1809">
        <f t="shared" si="0"/>
        <v>-325.10000000000002</v>
      </c>
      <c r="P26" s="1828"/>
      <c r="Q26" s="1803"/>
      <c r="R26" s="1828"/>
      <c r="S26" s="1803"/>
      <c r="T26" s="1828"/>
      <c r="U26" s="1829"/>
      <c r="V26" s="1803"/>
      <c r="W26" s="1803"/>
      <c r="X26" s="1803"/>
      <c r="Y26" s="1803"/>
      <c r="Z26" s="1803"/>
      <c r="AA26" s="1803"/>
      <c r="AB26" s="1803"/>
    </row>
    <row r="27" spans="1:28" ht="18" customHeight="1">
      <c r="A27" s="2149" t="s">
        <v>112</v>
      </c>
      <c r="B27" s="352"/>
      <c r="C27" s="1656">
        <f>ROUND(SUM(C20:C26),1)</f>
        <v>68125</v>
      </c>
      <c r="D27" s="352"/>
      <c r="E27" s="1656">
        <f>ROUND(SUM(E20:E26),1)</f>
        <v>69877</v>
      </c>
      <c r="F27" s="1802"/>
      <c r="G27" s="1656">
        <f>ROUND(SUM(G20:G26),1)</f>
        <v>69846</v>
      </c>
      <c r="H27" s="2926"/>
      <c r="I27" s="1656">
        <f>ROUND(SUM(I20:I26),1)</f>
        <v>-393</v>
      </c>
      <c r="J27" s="2926"/>
      <c r="K27" s="1656">
        <f>ROUND(SUM(K20:K26),1)</f>
        <v>69453</v>
      </c>
      <c r="L27" s="1802"/>
      <c r="M27" s="1656">
        <f>ROUND(SUM(M20:M26),1)</f>
        <v>1328</v>
      </c>
      <c r="N27" s="272"/>
      <c r="O27" s="2958">
        <f>ROUND(SUM(O20:O26),1)</f>
        <v>-424</v>
      </c>
      <c r="P27" s="352"/>
      <c r="Q27" s="352"/>
      <c r="R27" s="352"/>
      <c r="S27" s="352"/>
      <c r="T27" s="352"/>
      <c r="U27" s="352"/>
      <c r="V27" s="352"/>
      <c r="W27" s="352"/>
      <c r="X27" s="352"/>
      <c r="Y27" s="352"/>
      <c r="Z27" s="352"/>
      <c r="AA27" s="352"/>
      <c r="AB27" s="352"/>
    </row>
    <row r="28" spans="1:28">
      <c r="A28" s="1321"/>
      <c r="B28" s="1803"/>
      <c r="C28" s="1823"/>
      <c r="D28" s="1803"/>
      <c r="E28" s="1319"/>
      <c r="F28" s="1146"/>
      <c r="G28" s="1319"/>
      <c r="H28" s="1823"/>
      <c r="I28" s="1823"/>
      <c r="J28" s="1823"/>
      <c r="K28" s="1823"/>
      <c r="L28" s="1146"/>
      <c r="M28" s="1319"/>
      <c r="N28" s="1823"/>
      <c r="O28" s="1319"/>
      <c r="P28" s="1803"/>
      <c r="Q28" s="1803"/>
      <c r="R28" s="1803"/>
      <c r="S28" s="1803"/>
      <c r="T28" s="1803"/>
      <c r="U28" s="1803"/>
      <c r="V28" s="1803"/>
      <c r="W28" s="1803"/>
      <c r="X28" s="1803"/>
      <c r="Y28" s="1803"/>
      <c r="Z28" s="1803"/>
      <c r="AA28" s="1803"/>
      <c r="AB28" s="1803"/>
    </row>
    <row r="29" spans="1:28" ht="15.75">
      <c r="A29" s="221" t="s">
        <v>23</v>
      </c>
      <c r="B29" s="1803"/>
      <c r="C29" s="1823"/>
      <c r="D29" s="1803"/>
      <c r="E29" s="1146"/>
      <c r="F29" s="1146"/>
      <c r="G29" s="1146"/>
      <c r="H29" s="2925"/>
      <c r="I29" s="2925"/>
      <c r="J29" s="2925"/>
      <c r="K29" s="2925"/>
      <c r="L29" s="1146"/>
      <c r="M29" s="1146"/>
      <c r="N29" s="1823"/>
      <c r="O29" s="2957"/>
      <c r="P29" s="1803"/>
      <c r="Q29" s="1803"/>
      <c r="R29" s="1803"/>
      <c r="S29" s="1803"/>
      <c r="T29" s="1803"/>
      <c r="U29" s="1803"/>
      <c r="V29" s="1803"/>
      <c r="W29" s="1803"/>
      <c r="X29" s="1803"/>
      <c r="Y29" s="1803"/>
      <c r="Z29" s="1803"/>
      <c r="AA29" s="1803"/>
      <c r="AB29" s="1803"/>
    </row>
    <row r="30" spans="1:28">
      <c r="A30" s="1638" t="s">
        <v>95</v>
      </c>
      <c r="B30" s="1825"/>
      <c r="C30" s="1299">
        <f>+'Exh D Special Revenue State Fed'!C30+'Exh D Special Revenue State Fed'!N30</f>
        <v>54758</v>
      </c>
      <c r="D30" s="1825"/>
      <c r="E30" s="1299">
        <f>+'Exh D Special Revenue State Fed'!E30+'Exh D Special Revenue State Fed'!P30</f>
        <v>55622</v>
      </c>
      <c r="F30" s="1146"/>
      <c r="G30" s="1299">
        <f>+'Exh D Special Revenue State Fed'!G30+'Exh D Special Revenue State Fed'!R30</f>
        <v>55262.200000000004</v>
      </c>
      <c r="H30" s="1299"/>
      <c r="I30" s="1299">
        <v>0</v>
      </c>
      <c r="J30" s="1299"/>
      <c r="K30" s="2925">
        <f t="shared" ref="K30:K33" si="3">+G30+I30</f>
        <v>55262.200000000004</v>
      </c>
      <c r="L30" s="1146"/>
      <c r="M30" s="1146">
        <f>ROUND(SUM(K30)-SUM(C30),1)</f>
        <v>504.2</v>
      </c>
      <c r="N30" s="1823"/>
      <c r="O30" s="2925">
        <f>ROUND(SUM(K30)-SUM(E30),1)</f>
        <v>-359.8</v>
      </c>
      <c r="P30" s="1828"/>
      <c r="Q30" s="1803"/>
      <c r="R30" s="1828"/>
      <c r="S30" s="1803"/>
      <c r="T30" s="1828"/>
      <c r="U30" s="1829"/>
      <c r="V30" s="1803"/>
      <c r="W30" s="1803"/>
      <c r="X30" s="1803"/>
      <c r="Y30" s="1803"/>
      <c r="Z30" s="1803"/>
      <c r="AA30" s="1803"/>
      <c r="AB30" s="1803"/>
    </row>
    <row r="31" spans="1:28">
      <c r="A31" s="1638" t="s">
        <v>96</v>
      </c>
      <c r="B31" s="1825"/>
      <c r="C31" s="1299">
        <f>+'Exh D Special Revenue State Fed'!C31+'Exh D Special Revenue State Fed'!N31</f>
        <v>10137</v>
      </c>
      <c r="D31" s="1825"/>
      <c r="E31" s="1299">
        <f>+'Exh D Special Revenue State Fed'!E31+'Exh D Special Revenue State Fed'!P31</f>
        <v>10289</v>
      </c>
      <c r="F31" s="1146"/>
      <c r="G31" s="1299">
        <f>+'Exh D Special Revenue State Fed'!G31+'Exh D Special Revenue State Fed'!R31</f>
        <v>10297.200000000001</v>
      </c>
      <c r="H31" s="1299"/>
      <c r="I31" s="1299">
        <v>0</v>
      </c>
      <c r="J31" s="1299"/>
      <c r="K31" s="2925">
        <f t="shared" si="3"/>
        <v>10297.200000000001</v>
      </c>
      <c r="L31" s="1146"/>
      <c r="M31" s="2925">
        <f t="shared" ref="M31:M33" si="4">ROUND(SUM(K31)-SUM(C31),1)</f>
        <v>160.19999999999999</v>
      </c>
      <c r="N31" s="1823"/>
      <c r="O31" s="2925">
        <f t="shared" ref="O31:O34" si="5">ROUND(SUM(K31)-SUM(E31),1)</f>
        <v>8.1999999999999993</v>
      </c>
      <c r="P31" s="1825"/>
      <c r="Q31" s="1803"/>
      <c r="R31" s="1825"/>
      <c r="S31" s="1803"/>
      <c r="T31" s="1828"/>
      <c r="U31" s="1803"/>
      <c r="V31" s="1803"/>
      <c r="W31" s="1828"/>
      <c r="X31" s="1828"/>
      <c r="Y31" s="1803"/>
      <c r="Z31" s="1828"/>
      <c r="AA31" s="1803"/>
      <c r="AB31" s="1828"/>
    </row>
    <row r="32" spans="1:28">
      <c r="A32" s="1638" t="s">
        <v>71</v>
      </c>
      <c r="B32" s="1825"/>
      <c r="C32" s="1299">
        <f>+'Exh D Special Revenue State Fed'!C32+'Exh D Special Revenue State Fed'!N32</f>
        <v>1837</v>
      </c>
      <c r="D32" s="1825"/>
      <c r="E32" s="1314">
        <f>+'Exh D Special Revenue State Fed'!E32+'Exh D Special Revenue State Fed'!P32</f>
        <v>1925</v>
      </c>
      <c r="F32" s="1146"/>
      <c r="G32" s="1299">
        <f>+'Exh D Special Revenue State Fed'!G32+'Exh D Special Revenue State Fed'!R32</f>
        <v>1969.9</v>
      </c>
      <c r="H32" s="1299"/>
      <c r="I32" s="1299">
        <v>0</v>
      </c>
      <c r="J32" s="1299"/>
      <c r="K32" s="2925">
        <f t="shared" si="3"/>
        <v>1969.9</v>
      </c>
      <c r="L32" s="1146"/>
      <c r="M32" s="2925">
        <f t="shared" si="4"/>
        <v>132.9</v>
      </c>
      <c r="N32" s="1823"/>
      <c r="O32" s="2925">
        <f t="shared" si="5"/>
        <v>44.9</v>
      </c>
      <c r="P32" s="1828"/>
      <c r="Q32" s="1803"/>
      <c r="R32" s="1828"/>
      <c r="S32" s="1803"/>
      <c r="T32" s="1828"/>
      <c r="U32" s="1829"/>
      <c r="V32" s="1803"/>
      <c r="W32" s="1828"/>
      <c r="X32" s="1828"/>
      <c r="Y32" s="1803"/>
      <c r="Z32" s="1828"/>
      <c r="AA32" s="1803"/>
      <c r="AB32" s="1828"/>
    </row>
    <row r="33" spans="1:28">
      <c r="A33" s="1638" t="s">
        <v>42</v>
      </c>
      <c r="B33" s="1825"/>
      <c r="C33" s="1317">
        <f>+'Exh D Special Revenue State Fed'!C33+'Exh D Special Revenue State Fed'!N33</f>
        <v>0</v>
      </c>
      <c r="D33" s="1825"/>
      <c r="E33" s="1317">
        <f>+'Exh D Special Revenue State Fed'!E33+'Exh D Special Revenue State Fed'!P33</f>
        <v>3</v>
      </c>
      <c r="F33" s="1146"/>
      <c r="G33" s="1317">
        <f>+'Exh D Special Revenue State Fed'!G33+'Exh D Special Revenue State Fed'!R33</f>
        <v>2.7</v>
      </c>
      <c r="H33" s="1317"/>
      <c r="I33" s="1317">
        <v>0</v>
      </c>
      <c r="J33" s="1317"/>
      <c r="K33" s="2925">
        <f t="shared" si="3"/>
        <v>2.7</v>
      </c>
      <c r="L33" s="1146"/>
      <c r="M33" s="2925">
        <f t="shared" si="4"/>
        <v>2.7</v>
      </c>
      <c r="N33" s="1823"/>
      <c r="O33" s="2925">
        <f t="shared" si="5"/>
        <v>-0.3</v>
      </c>
      <c r="P33" s="1828"/>
      <c r="Q33" s="1803"/>
      <c r="R33" s="1828"/>
      <c r="S33" s="1803"/>
      <c r="T33" s="1828"/>
      <c r="U33" s="1829"/>
      <c r="V33" s="1803"/>
      <c r="W33" s="1803"/>
      <c r="X33" s="1803"/>
      <c r="Y33" s="1803"/>
      <c r="Z33" s="1803"/>
      <c r="AA33" s="1803"/>
      <c r="AB33" s="1803"/>
    </row>
    <row r="34" spans="1:28">
      <c r="A34" s="1638" t="s">
        <v>1458</v>
      </c>
      <c r="B34" s="1825"/>
      <c r="C34" s="1299">
        <f>+'Exh D Special Revenue State Fed'!C34+'Exh D Special Revenue State Fed'!N34</f>
        <v>1637</v>
      </c>
      <c r="D34" s="1825"/>
      <c r="E34" s="1299">
        <f>+'Exh D Special Revenue State Fed'!E34+'Exh D Special Revenue State Fed'!P34</f>
        <v>1727</v>
      </c>
      <c r="F34" s="1146"/>
      <c r="G34" s="1299">
        <f>+'Exh D Special Revenue State Fed'!G34+'Exh D Special Revenue State Fed'!R34</f>
        <v>1799.8999999999999</v>
      </c>
      <c r="H34" s="1299"/>
      <c r="I34" s="1299">
        <v>-393</v>
      </c>
      <c r="J34" s="1299"/>
      <c r="K34" s="2925">
        <f>+G34+I34</f>
        <v>1406.8999999999999</v>
      </c>
      <c r="L34" s="1146"/>
      <c r="M34" s="2925">
        <f>ROUND(SUM(K34)-SUM(C34),1)</f>
        <v>-230.1</v>
      </c>
      <c r="N34" s="1823"/>
      <c r="O34" s="2925">
        <f t="shared" si="5"/>
        <v>-320.10000000000002</v>
      </c>
      <c r="P34" s="1828"/>
      <c r="Q34" s="1803"/>
      <c r="R34" s="1828"/>
      <c r="S34" s="1803"/>
      <c r="T34" s="1828"/>
      <c r="U34" s="1829"/>
      <c r="V34" s="1803"/>
      <c r="W34" s="1803"/>
      <c r="X34" s="1803"/>
      <c r="Y34" s="1803"/>
      <c r="Z34" s="1803"/>
      <c r="AA34" s="1803"/>
      <c r="AB34" s="1803"/>
    </row>
    <row r="35" spans="1:28" ht="18" customHeight="1">
      <c r="A35" s="2950" t="s">
        <v>121</v>
      </c>
      <c r="B35" s="352"/>
      <c r="C35" s="543">
        <f>ROUND(SUM(C30:C34),1)</f>
        <v>68369</v>
      </c>
      <c r="D35" s="352"/>
      <c r="E35" s="418">
        <f>ROUND(SUM(E30:E34),1)</f>
        <v>69566</v>
      </c>
      <c r="F35" s="1802"/>
      <c r="G35" s="418">
        <f>ROUND(SUM(G30:G34),1)</f>
        <v>69331.899999999994</v>
      </c>
      <c r="H35" s="2926"/>
      <c r="I35" s="2951">
        <f>ROUND(SUM(I30:I34),1)</f>
        <v>-393</v>
      </c>
      <c r="J35" s="2926"/>
      <c r="K35" s="2951">
        <f>ROUND(SUM(K30:K34),1)</f>
        <v>68938.899999999994</v>
      </c>
      <c r="L35" s="1802"/>
      <c r="M35" s="418">
        <f>ROUND(SUM(M30:M34),1)</f>
        <v>569.9</v>
      </c>
      <c r="N35" s="272"/>
      <c r="O35" s="2960">
        <f>ROUND(SUM(O30:O34),1)</f>
        <v>-627.1</v>
      </c>
      <c r="P35" s="352"/>
      <c r="Q35" s="352"/>
      <c r="R35" s="352"/>
      <c r="S35" s="352"/>
      <c r="T35" s="352"/>
      <c r="U35" s="352"/>
      <c r="V35" s="352"/>
      <c r="W35" s="352"/>
      <c r="X35" s="352"/>
      <c r="Y35" s="352"/>
      <c r="Z35" s="352"/>
      <c r="AA35" s="352"/>
      <c r="AB35" s="352"/>
    </row>
    <row r="36" spans="1:28">
      <c r="A36" s="1321"/>
      <c r="B36" s="1803"/>
      <c r="C36" s="1823"/>
      <c r="D36" s="1803"/>
      <c r="E36" s="1319"/>
      <c r="F36" s="1146"/>
      <c r="G36" s="1319"/>
      <c r="H36" s="1823"/>
      <c r="I36" s="1823"/>
      <c r="J36" s="1823"/>
      <c r="K36" s="1823"/>
      <c r="L36" s="1146"/>
      <c r="M36" s="1319"/>
      <c r="N36" s="1823"/>
      <c r="O36" s="2959"/>
      <c r="P36" s="1803"/>
      <c r="Q36" s="1803"/>
      <c r="R36" s="1803"/>
      <c r="S36" s="1803"/>
      <c r="T36" s="1803"/>
      <c r="U36" s="1803"/>
      <c r="V36" s="1803"/>
      <c r="W36" s="1803"/>
      <c r="X36" s="1803"/>
      <c r="Y36" s="1803"/>
      <c r="Z36" s="1803"/>
      <c r="AA36" s="1803"/>
      <c r="AB36" s="1803"/>
    </row>
    <row r="37" spans="1:28" ht="15.75">
      <c r="A37" s="221" t="s">
        <v>122</v>
      </c>
      <c r="B37" s="1803"/>
      <c r="C37" s="1823"/>
      <c r="D37" s="1803"/>
      <c r="E37" s="1146"/>
      <c r="F37" s="1146"/>
      <c r="G37" s="1146"/>
      <c r="H37" s="2925"/>
      <c r="I37" s="2925"/>
      <c r="J37" s="2925"/>
      <c r="K37" s="2925"/>
      <c r="L37" s="1146"/>
      <c r="M37" s="1146"/>
      <c r="N37" s="1823"/>
      <c r="O37" s="2957"/>
      <c r="P37" s="1803"/>
      <c r="Q37" s="1803"/>
      <c r="R37" s="1803"/>
      <c r="S37" s="1803"/>
      <c r="T37" s="1803"/>
      <c r="U37" s="1803"/>
      <c r="V37" s="1803"/>
      <c r="W37" s="1803"/>
      <c r="X37" s="1803"/>
      <c r="Y37" s="1803"/>
      <c r="Z37" s="1803"/>
      <c r="AA37" s="1803"/>
      <c r="AB37" s="1803"/>
    </row>
    <row r="38" spans="1:28" ht="15.75">
      <c r="A38" s="221" t="s">
        <v>123</v>
      </c>
      <c r="B38" s="1803"/>
      <c r="C38" s="1823"/>
      <c r="D38" s="1803"/>
      <c r="E38" s="1146"/>
      <c r="F38" s="1146"/>
      <c r="G38" s="1146"/>
      <c r="H38" s="2925"/>
      <c r="I38" s="2925"/>
      <c r="J38" s="2925"/>
      <c r="K38" s="2925"/>
      <c r="L38" s="1146"/>
      <c r="M38" s="1146"/>
      <c r="N38" s="1823"/>
      <c r="O38" s="2957"/>
      <c r="P38" s="1803"/>
      <c r="Q38" s="1803"/>
      <c r="R38" s="1803"/>
      <c r="S38" s="1803"/>
      <c r="T38" s="1803"/>
      <c r="U38" s="1803"/>
      <c r="V38" s="1803"/>
      <c r="W38" s="1803"/>
      <c r="X38" s="1803"/>
      <c r="Y38" s="1803"/>
      <c r="Z38" s="1803"/>
      <c r="AA38" s="1803"/>
      <c r="AB38" s="1803"/>
    </row>
    <row r="39" spans="1:28" ht="15.75">
      <c r="A39" s="2149" t="s">
        <v>104</v>
      </c>
      <c r="B39" s="376"/>
      <c r="C39" s="272">
        <f>ROUND(SUM(C27)-SUM(C35),1)</f>
        <v>-244</v>
      </c>
      <c r="D39" s="376"/>
      <c r="E39" s="272">
        <f>ROUND(SUM(E27)-SUM(E35),1)</f>
        <v>311</v>
      </c>
      <c r="F39" s="283"/>
      <c r="G39" s="272">
        <f>ROUND(SUM(G27)-SUM(G35),1)</f>
        <v>514.1</v>
      </c>
      <c r="H39" s="2926"/>
      <c r="I39" s="2926">
        <v>0</v>
      </c>
      <c r="J39" s="2926"/>
      <c r="K39" s="2926">
        <f>+G39+I39</f>
        <v>514.1</v>
      </c>
      <c r="L39" s="283"/>
      <c r="M39" s="272">
        <f>ROUND(SUM(M27)-SUM(M35),1)</f>
        <v>758.1</v>
      </c>
      <c r="N39" s="740"/>
      <c r="O39" s="2961">
        <f>ROUND(SUM(O27)-SUM(O35),1)</f>
        <v>203.1</v>
      </c>
      <c r="P39" s="352"/>
      <c r="Q39" s="375"/>
      <c r="R39" s="352"/>
      <c r="S39" s="375"/>
      <c r="T39" s="352"/>
      <c r="U39" s="352"/>
      <c r="V39" s="375"/>
      <c r="W39" s="352"/>
      <c r="X39" s="352"/>
      <c r="Y39" s="375"/>
      <c r="Z39" s="352"/>
      <c r="AA39" s="375"/>
      <c r="AB39" s="352"/>
    </row>
    <row r="40" spans="1:28" ht="15" customHeight="1">
      <c r="C40" s="1242"/>
      <c r="E40" s="1242"/>
      <c r="F40" s="1812"/>
      <c r="G40" s="1242"/>
      <c r="H40" s="1242"/>
      <c r="I40" s="1242"/>
      <c r="J40" s="1242"/>
      <c r="K40" s="1242"/>
      <c r="L40" s="1812"/>
      <c r="M40" s="1242"/>
      <c r="N40" s="1242"/>
      <c r="O40" s="2962"/>
    </row>
    <row r="41" spans="1:28" ht="15.75">
      <c r="A41" s="2149" t="str">
        <f>+'Exh D-Governmental  '!A49</f>
        <v>Fund Balances (Deficits) at April 1</v>
      </c>
      <c r="C41" s="272">
        <v>3607</v>
      </c>
      <c r="E41" s="272">
        <v>3607</v>
      </c>
      <c r="F41" s="1812"/>
      <c r="G41" s="2926">
        <v>3607.1</v>
      </c>
      <c r="H41" s="2926"/>
      <c r="I41" s="2926">
        <v>0</v>
      </c>
      <c r="J41" s="2926"/>
      <c r="K41" s="2926">
        <f>+G41+I41</f>
        <v>3607.1</v>
      </c>
      <c r="L41" s="1812"/>
      <c r="M41" s="280">
        <f>ROUND(SUM(K41-C41),1)</f>
        <v>0.1</v>
      </c>
      <c r="N41" s="1242"/>
      <c r="O41" s="280">
        <f>ROUND(SUM(K41-E41),1)</f>
        <v>0.1</v>
      </c>
    </row>
    <row r="42" spans="1:28" ht="18" customHeight="1" thickBot="1">
      <c r="A42" s="2512" t="str">
        <f>+'Exh D-Governmental  '!A50</f>
        <v>Fund Balances (Deficits) at January 31, 2017</v>
      </c>
      <c r="B42" s="376"/>
      <c r="C42" s="297">
        <f>ROUND(SUM(C39:C41),1)</f>
        <v>3363</v>
      </c>
      <c r="D42" s="376"/>
      <c r="E42" s="297">
        <f>ROUND(SUM(E39:E41),1)</f>
        <v>3918</v>
      </c>
      <c r="F42" s="382"/>
      <c r="G42" s="297">
        <f>ROUND(SUM(G39:G41),1)</f>
        <v>4121.2</v>
      </c>
      <c r="H42" s="422"/>
      <c r="I42" s="297">
        <f>ROUND(SUM(I27,-I35),1)</f>
        <v>0</v>
      </c>
      <c r="J42" s="422"/>
      <c r="K42" s="297">
        <f>ROUND(SUM(K39:K41),1)</f>
        <v>4121.2</v>
      </c>
      <c r="L42" s="382"/>
      <c r="M42" s="297">
        <f>ROUND(SUM(M39:M41),1)</f>
        <v>758.2</v>
      </c>
      <c r="O42" s="2963">
        <f>ROUND(SUM(O39:O41),1)</f>
        <v>203.2</v>
      </c>
    </row>
    <row r="43" spans="1:28" ht="15" customHeight="1" thickTop="1">
      <c r="A43" s="356"/>
      <c r="E43" s="1320"/>
      <c r="F43" s="1831"/>
      <c r="G43" s="1831"/>
      <c r="H43" s="1831"/>
      <c r="I43" s="1831"/>
      <c r="J43" s="1831"/>
      <c r="K43" s="1831"/>
      <c r="L43" s="1831"/>
      <c r="M43" s="1831"/>
      <c r="O43" s="2956"/>
    </row>
    <row r="44" spans="1:28">
      <c r="A44" s="1816" t="s">
        <v>1484</v>
      </c>
    </row>
    <row r="45" spans="1:28">
      <c r="A45" s="1170" t="str">
        <f>'Exh D-Governmental  '!A53</f>
        <v>(**)    Source:  2017-18 Executive Budget dated January 17, 2017.</v>
      </c>
    </row>
    <row r="46" spans="1:28">
      <c r="A46" s="2783" t="s">
        <v>1589</v>
      </c>
    </row>
    <row r="47" spans="1:28">
      <c r="A47" s="2783" t="s">
        <v>1590</v>
      </c>
    </row>
    <row r="48" spans="1:28">
      <c r="A48" s="1832"/>
    </row>
    <row r="50" spans="1:1">
      <c r="A50" s="405"/>
    </row>
    <row r="51" spans="1:1">
      <c r="A51" s="405"/>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1"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80" workbookViewId="0"/>
  </sheetViews>
  <sheetFormatPr defaultColWidth="8.88671875" defaultRowHeight="15"/>
  <cols>
    <col min="1" max="1" width="53.109375" style="1811" customWidth="1"/>
    <col min="2" max="2" width="0.77734375" style="1124" customWidth="1"/>
    <col min="3" max="3" width="15.77734375" style="788" customWidth="1"/>
    <col min="4" max="4" width="0.77734375" style="1815" customWidth="1"/>
    <col min="5" max="5" width="15.77734375" style="788" customWidth="1"/>
    <col min="6" max="6" width="0.77734375" style="1815" customWidth="1"/>
    <col min="7" max="7" width="15.77734375" style="1815" customWidth="1"/>
    <col min="8" max="8" width="0.6640625" style="1815" customWidth="1"/>
    <col min="9" max="9" width="15.77734375" style="1815" customWidth="1"/>
    <col min="10" max="10" width="0.77734375" style="1815" customWidth="1"/>
    <col min="11" max="11" width="15.77734375" style="1815" customWidth="1"/>
    <col min="12" max="12" width="1.6640625" style="1124" customWidth="1"/>
    <col min="13" max="13" width="0.6640625" style="1124" customWidth="1"/>
    <col min="14" max="14" width="15.77734375" style="1124" customWidth="1"/>
    <col min="15" max="15" width="1.33203125" style="1124" customWidth="1"/>
    <col min="16" max="16" width="15.77734375" style="1124" customWidth="1"/>
    <col min="17" max="17" width="1.33203125" style="1124" customWidth="1"/>
    <col min="18" max="18" width="15.77734375" style="1124" customWidth="1"/>
    <col min="19" max="19" width="0.5546875" style="1124" customWidth="1"/>
    <col min="20" max="20" width="15.77734375" style="1124" customWidth="1"/>
    <col min="21" max="21" width="1.33203125" style="1124" customWidth="1"/>
    <col min="22" max="22" width="15.77734375" style="788" customWidth="1"/>
    <col min="23" max="23" width="1" style="1124" customWidth="1"/>
    <col min="24" max="24" width="3.6640625" style="788" customWidth="1"/>
    <col min="25" max="25" width="1" style="1124" customWidth="1"/>
    <col min="26" max="26" width="15.77734375" style="1124" customWidth="1"/>
    <col min="27" max="27" width="0.77734375" style="1124" customWidth="1"/>
    <col min="28" max="28" width="15.77734375" style="1124" customWidth="1"/>
    <col min="29" max="29" width="0.33203125" style="1124" customWidth="1"/>
    <col min="30" max="30" width="11.88671875" style="1124" customWidth="1"/>
    <col min="31" max="31" width="11.44140625" style="1124" customWidth="1"/>
    <col min="32" max="32" width="1.88671875" style="1124" customWidth="1"/>
    <col min="33" max="33" width="11.6640625" style="1124" customWidth="1"/>
    <col min="34" max="34" width="2.109375" style="1124" customWidth="1"/>
    <col min="35" max="35" width="11.44140625" style="1124" customWidth="1"/>
    <col min="36" max="36" width="0.5546875" style="1124" customWidth="1"/>
    <col min="37" max="37" width="2.33203125" style="1124" customWidth="1"/>
    <col min="38" max="38" width="10.5546875" style="1124" customWidth="1"/>
    <col min="39" max="39" width="11.109375" style="1124" customWidth="1"/>
    <col min="40" max="40" width="2.21875" style="1124" customWidth="1"/>
    <col min="41" max="41" width="11.109375" style="1124" customWidth="1"/>
    <col min="42" max="42" width="2.109375" style="1124" customWidth="1"/>
    <col min="43" max="43" width="12.44140625" style="1124" customWidth="1"/>
    <col min="44" max="48" width="8.88671875" style="1124"/>
    <col min="49" max="49" width="8.88671875" style="1815"/>
    <col min="50" max="16384" width="8.88671875" style="1811"/>
  </cols>
  <sheetData>
    <row r="1" spans="1:49">
      <c r="A1" s="1817" t="s">
        <v>1090</v>
      </c>
      <c r="B1" s="387"/>
      <c r="C1" s="782"/>
      <c r="D1" s="388"/>
      <c r="E1" s="782"/>
      <c r="F1" s="388"/>
      <c r="G1" s="388"/>
      <c r="H1" s="388"/>
      <c r="I1" s="388"/>
      <c r="J1" s="388"/>
      <c r="K1" s="388"/>
      <c r="L1" s="387"/>
      <c r="M1" s="387"/>
      <c r="N1" s="387"/>
      <c r="O1" s="387"/>
      <c r="P1" s="387"/>
      <c r="Q1" s="387"/>
      <c r="R1" s="387"/>
      <c r="S1" s="387"/>
      <c r="T1" s="387"/>
      <c r="U1" s="387"/>
      <c r="V1" s="2261"/>
      <c r="W1" s="387"/>
      <c r="X1" s="2261"/>
      <c r="Y1" s="387"/>
      <c r="Z1" s="387"/>
      <c r="AA1" s="387"/>
      <c r="AB1" s="387"/>
      <c r="AC1" s="388"/>
      <c r="AD1" s="387"/>
      <c r="AE1" s="387"/>
      <c r="AF1" s="387"/>
      <c r="AG1" s="387"/>
      <c r="AH1" s="387"/>
      <c r="AI1" s="387"/>
      <c r="AJ1" s="387"/>
      <c r="AK1" s="387"/>
      <c r="AL1" s="387"/>
      <c r="AM1" s="387"/>
      <c r="AN1" s="387"/>
      <c r="AO1" s="387"/>
      <c r="AP1" s="387"/>
      <c r="AQ1" s="387"/>
      <c r="AR1" s="1811"/>
      <c r="AS1" s="1811"/>
      <c r="AT1" s="1811"/>
      <c r="AU1" s="1811"/>
      <c r="AV1" s="1811"/>
      <c r="AW1" s="1811"/>
    </row>
    <row r="2" spans="1:49" ht="17.25" customHeight="1">
      <c r="A2" s="389"/>
      <c r="B2" s="390"/>
      <c r="C2" s="783"/>
      <c r="D2" s="388"/>
      <c r="E2" s="783"/>
      <c r="F2" s="388"/>
      <c r="G2" s="388"/>
      <c r="H2" s="388"/>
      <c r="I2" s="388"/>
      <c r="J2" s="388"/>
      <c r="K2" s="388"/>
      <c r="L2" s="387"/>
      <c r="M2" s="387"/>
      <c r="N2" s="387"/>
      <c r="O2" s="387"/>
      <c r="P2" s="387"/>
      <c r="Q2" s="387"/>
      <c r="R2" s="387"/>
      <c r="S2" s="387"/>
      <c r="T2" s="387"/>
      <c r="U2" s="387"/>
      <c r="V2" s="2261"/>
      <c r="W2" s="387"/>
      <c r="X2" s="2261"/>
      <c r="Y2" s="387"/>
      <c r="Z2" s="2262"/>
      <c r="AA2" s="387"/>
      <c r="AB2" s="387"/>
      <c r="AC2" s="388"/>
      <c r="AD2" s="387"/>
      <c r="AE2" s="387"/>
      <c r="AF2" s="387"/>
      <c r="AG2" s="387"/>
      <c r="AH2" s="387"/>
      <c r="AI2" s="387"/>
      <c r="AJ2" s="387"/>
      <c r="AK2" s="387"/>
      <c r="AL2" s="387"/>
      <c r="AM2" s="387"/>
      <c r="AN2" s="387"/>
      <c r="AO2" s="387"/>
      <c r="AP2" s="387"/>
      <c r="AQ2" s="387"/>
      <c r="AR2" s="1811"/>
      <c r="AS2" s="1811"/>
      <c r="AT2" s="1811"/>
      <c r="AU2" s="1811"/>
      <c r="AV2" s="1811"/>
      <c r="AW2" s="1811"/>
    </row>
    <row r="3" spans="1:49" ht="21" customHeight="1">
      <c r="A3" s="392" t="s">
        <v>0</v>
      </c>
      <c r="B3" s="349"/>
      <c r="C3" s="784"/>
      <c r="D3" s="343"/>
      <c r="E3" s="784"/>
      <c r="F3" s="343"/>
      <c r="G3" s="343"/>
      <c r="H3" s="343"/>
      <c r="I3" s="343"/>
      <c r="J3" s="343"/>
      <c r="K3" s="343"/>
      <c r="L3" s="357"/>
      <c r="M3" s="357"/>
      <c r="N3" s="357"/>
      <c r="O3" s="357"/>
      <c r="P3" s="357"/>
      <c r="Q3" s="357"/>
      <c r="R3" s="357"/>
      <c r="S3" s="357"/>
      <c r="T3" s="1647"/>
      <c r="U3" s="357"/>
      <c r="V3" s="1647" t="s">
        <v>85</v>
      </c>
      <c r="W3" s="357"/>
      <c r="X3" s="2263"/>
      <c r="Y3" s="357"/>
      <c r="Z3" s="357"/>
      <c r="AA3" s="357"/>
      <c r="AB3" s="2264"/>
      <c r="AC3" s="343"/>
      <c r="AD3" s="357"/>
      <c r="AE3" s="357"/>
      <c r="AF3" s="357"/>
      <c r="AG3" s="357"/>
      <c r="AH3" s="357"/>
      <c r="AI3" s="357"/>
      <c r="AJ3" s="357"/>
      <c r="AK3" s="357"/>
      <c r="AL3" s="357"/>
      <c r="AM3" s="357"/>
      <c r="AN3" s="357"/>
      <c r="AO3" s="357"/>
      <c r="AP3" s="357"/>
      <c r="AQ3" s="393"/>
      <c r="AR3" s="1811"/>
      <c r="AS3" s="1811"/>
      <c r="AT3" s="1811"/>
      <c r="AU3" s="1811"/>
      <c r="AV3" s="1811"/>
      <c r="AW3" s="1811"/>
    </row>
    <row r="4" spans="1:49" ht="21.75" customHeight="1">
      <c r="A4" s="392" t="s">
        <v>84</v>
      </c>
      <c r="B4" s="349"/>
      <c r="C4" s="784"/>
      <c r="D4" s="343"/>
      <c r="E4" s="784"/>
      <c r="F4" s="343"/>
      <c r="G4" s="343"/>
      <c r="H4" s="343"/>
      <c r="I4" s="343"/>
      <c r="J4" s="343"/>
      <c r="K4" s="343"/>
      <c r="L4" s="357"/>
      <c r="M4" s="357"/>
      <c r="N4" s="357"/>
      <c r="O4" s="357"/>
      <c r="P4" s="357"/>
      <c r="Q4" s="357"/>
      <c r="R4" s="357"/>
      <c r="S4" s="357"/>
      <c r="T4" s="1648"/>
      <c r="U4" s="357"/>
      <c r="V4" s="1648" t="s">
        <v>106</v>
      </c>
      <c r="W4" s="357"/>
      <c r="X4" s="2263"/>
      <c r="Y4" s="357"/>
      <c r="Z4" s="357"/>
      <c r="AA4" s="357"/>
      <c r="AB4" s="2265"/>
      <c r="AC4" s="343"/>
      <c r="AD4" s="357"/>
      <c r="AE4" s="357"/>
      <c r="AF4" s="357"/>
      <c r="AG4" s="357"/>
      <c r="AH4" s="357"/>
      <c r="AI4" s="357"/>
      <c r="AJ4" s="357"/>
      <c r="AK4" s="357"/>
      <c r="AL4" s="357"/>
      <c r="AM4" s="357"/>
      <c r="AN4" s="357"/>
      <c r="AO4" s="357"/>
      <c r="AP4" s="357"/>
      <c r="AQ4" s="357"/>
      <c r="AR4" s="1811"/>
      <c r="AS4" s="1811"/>
      <c r="AT4" s="1811"/>
      <c r="AU4" s="1811"/>
      <c r="AV4" s="1811"/>
      <c r="AW4" s="1811"/>
    </row>
    <row r="5" spans="1:49" ht="21.75" customHeight="1">
      <c r="A5" s="3496" t="s">
        <v>1409</v>
      </c>
      <c r="B5" s="3497"/>
      <c r="C5" s="3497"/>
      <c r="D5" s="3497"/>
      <c r="E5" s="3497"/>
      <c r="F5" s="343"/>
      <c r="G5" s="1632"/>
      <c r="H5" s="343"/>
      <c r="I5" s="343"/>
      <c r="J5" s="343"/>
      <c r="K5" s="343"/>
      <c r="L5" s="357"/>
      <c r="M5" s="357"/>
      <c r="N5" s="357"/>
      <c r="O5" s="357"/>
      <c r="P5" s="357"/>
      <c r="Q5" s="357"/>
      <c r="R5" s="357"/>
      <c r="S5" s="357"/>
      <c r="T5" s="357"/>
      <c r="U5" s="357"/>
      <c r="V5" s="2263"/>
      <c r="W5" s="357"/>
      <c r="X5" s="2263"/>
      <c r="Y5" s="357"/>
      <c r="Z5" s="357"/>
      <c r="AA5" s="357"/>
      <c r="AB5" s="357"/>
      <c r="AC5" s="343"/>
      <c r="AD5" s="357"/>
      <c r="AE5" s="357"/>
      <c r="AF5" s="357"/>
      <c r="AG5" s="357"/>
      <c r="AH5" s="357"/>
      <c r="AI5" s="357"/>
      <c r="AJ5" s="357"/>
      <c r="AK5" s="357"/>
      <c r="AL5" s="357"/>
      <c r="AM5" s="357"/>
      <c r="AN5" s="357"/>
      <c r="AO5" s="357"/>
      <c r="AP5" s="357"/>
      <c r="AQ5" s="357"/>
      <c r="AR5" s="1811"/>
      <c r="AS5" s="1811"/>
      <c r="AT5" s="1811"/>
      <c r="AU5" s="1811"/>
      <c r="AV5" s="1811"/>
      <c r="AW5" s="1811"/>
    </row>
    <row r="6" spans="1:49" ht="17.25" customHeight="1">
      <c r="A6" s="347" t="str">
        <f>'Exh D-Governmental  '!A6</f>
        <v>FOR TEN MONTHS ENDED JANUARY 31, 2017</v>
      </c>
      <c r="B6" s="348"/>
      <c r="C6" s="784"/>
      <c r="D6" s="343"/>
      <c r="E6" s="784"/>
      <c r="F6" s="343"/>
      <c r="G6" s="343"/>
      <c r="H6" s="343"/>
      <c r="I6" s="343"/>
      <c r="J6" s="343"/>
      <c r="K6" s="343"/>
      <c r="L6" s="357"/>
      <c r="M6" s="357"/>
      <c r="N6" s="357"/>
      <c r="O6" s="357"/>
      <c r="P6" s="357"/>
      <c r="Q6" s="357"/>
      <c r="R6" s="357"/>
      <c r="S6" s="357"/>
      <c r="T6" s="357"/>
      <c r="U6" s="357"/>
      <c r="V6" s="2263"/>
      <c r="W6" s="357"/>
      <c r="X6" s="2263"/>
      <c r="Y6" s="357"/>
      <c r="Z6" s="357"/>
      <c r="AA6" s="357"/>
      <c r="AB6" s="357"/>
      <c r="AC6" s="343"/>
      <c r="AD6" s="357"/>
      <c r="AE6" s="357"/>
      <c r="AF6" s="357"/>
      <c r="AG6" s="357"/>
      <c r="AH6" s="357"/>
      <c r="AI6" s="357"/>
      <c r="AJ6" s="357"/>
      <c r="AK6" s="357"/>
      <c r="AL6" s="357"/>
      <c r="AM6" s="357"/>
      <c r="AN6" s="357"/>
      <c r="AO6" s="357"/>
      <c r="AP6" s="357"/>
      <c r="AQ6" s="357"/>
      <c r="AR6" s="1811"/>
      <c r="AS6" s="1811"/>
      <c r="AT6" s="1811"/>
      <c r="AU6" s="1811"/>
      <c r="AV6" s="1811"/>
      <c r="AW6" s="1811"/>
    </row>
    <row r="7" spans="1:49" ht="18">
      <c r="A7" s="392" t="s">
        <v>980</v>
      </c>
      <c r="B7" s="349"/>
      <c r="C7" s="784"/>
      <c r="D7" s="343"/>
      <c r="E7" s="784"/>
      <c r="F7" s="343"/>
      <c r="G7" s="343"/>
      <c r="H7" s="343"/>
      <c r="I7" s="343"/>
      <c r="J7" s="343"/>
      <c r="K7" s="343"/>
      <c r="L7" s="357"/>
      <c r="M7" s="357"/>
      <c r="N7" s="357"/>
      <c r="O7" s="357"/>
      <c r="P7" s="357"/>
      <c r="Q7" s="357"/>
      <c r="R7" s="357"/>
      <c r="S7" s="357"/>
      <c r="T7" s="357"/>
      <c r="U7" s="357"/>
      <c r="V7" s="2263"/>
      <c r="W7" s="357"/>
      <c r="X7" s="2263"/>
      <c r="Y7" s="357"/>
      <c r="Z7" s="357"/>
      <c r="AA7" s="357"/>
      <c r="AB7" s="357"/>
      <c r="AC7" s="343"/>
      <c r="AD7" s="357"/>
      <c r="AE7" s="357"/>
      <c r="AF7" s="357"/>
      <c r="AG7" s="357"/>
      <c r="AH7" s="357"/>
      <c r="AI7" s="357"/>
      <c r="AJ7" s="357"/>
      <c r="AK7" s="357"/>
      <c r="AL7" s="357"/>
      <c r="AM7" s="357"/>
      <c r="AN7" s="357"/>
      <c r="AO7" s="357"/>
      <c r="AP7" s="357"/>
      <c r="AQ7" s="357"/>
      <c r="AR7" s="1811"/>
      <c r="AS7" s="1811"/>
      <c r="AT7" s="1811"/>
      <c r="AU7" s="1811"/>
      <c r="AV7" s="1811"/>
      <c r="AW7" s="1811"/>
    </row>
    <row r="8" spans="1:49" ht="15" customHeight="1">
      <c r="A8" s="394"/>
      <c r="B8" s="348"/>
      <c r="C8" s="784"/>
      <c r="D8" s="343"/>
      <c r="E8" s="784"/>
      <c r="F8" s="343"/>
      <c r="G8" s="343"/>
      <c r="H8" s="343"/>
      <c r="I8" s="343"/>
      <c r="J8" s="343"/>
      <c r="K8" s="343"/>
      <c r="L8" s="357"/>
      <c r="M8" s="357"/>
      <c r="N8" s="357"/>
      <c r="O8" s="357"/>
      <c r="P8" s="357"/>
      <c r="Q8" s="357"/>
      <c r="R8" s="357"/>
      <c r="S8" s="357"/>
      <c r="T8" s="357"/>
      <c r="U8" s="357"/>
      <c r="V8" s="2263"/>
      <c r="W8" s="357"/>
      <c r="X8" s="2263"/>
      <c r="Y8" s="357"/>
      <c r="Z8" s="357"/>
      <c r="AA8" s="357"/>
      <c r="AB8" s="357"/>
      <c r="AC8" s="343"/>
      <c r="AD8" s="357"/>
      <c r="AE8" s="357"/>
      <c r="AF8" s="357"/>
      <c r="AG8" s="357"/>
      <c r="AH8" s="357"/>
      <c r="AI8" s="357"/>
      <c r="AJ8" s="357"/>
      <c r="AK8" s="357"/>
      <c r="AL8" s="357"/>
      <c r="AM8" s="357"/>
      <c r="AN8" s="357"/>
      <c r="AO8" s="357"/>
      <c r="AP8" s="357"/>
      <c r="AQ8" s="357"/>
      <c r="AR8" s="1811"/>
      <c r="AS8" s="1811"/>
      <c r="AT8" s="1811"/>
      <c r="AU8" s="1811"/>
      <c r="AV8" s="1811"/>
      <c r="AW8" s="1811"/>
    </row>
    <row r="9" spans="1:49">
      <c r="A9" s="351"/>
      <c r="B9" s="357"/>
      <c r="C9" s="785"/>
      <c r="D9" s="343"/>
      <c r="E9" s="785"/>
      <c r="F9" s="343"/>
      <c r="G9" s="343"/>
      <c r="H9" s="343"/>
      <c r="I9" s="343"/>
      <c r="J9" s="343"/>
      <c r="K9" s="343"/>
      <c r="L9" s="357"/>
      <c r="M9" s="357"/>
      <c r="N9" s="357"/>
      <c r="O9" s="357"/>
      <c r="P9" s="357"/>
      <c r="Q9" s="357"/>
      <c r="R9" s="357"/>
      <c r="S9" s="357"/>
      <c r="T9" s="357"/>
      <c r="U9" s="357"/>
      <c r="V9" s="2263"/>
      <c r="W9" s="357"/>
      <c r="X9" s="2263"/>
      <c r="Y9" s="357"/>
      <c r="Z9" s="357"/>
      <c r="AA9" s="357"/>
      <c r="AB9" s="357"/>
      <c r="AC9" s="343"/>
      <c r="AD9" s="357"/>
      <c r="AE9" s="357"/>
      <c r="AF9" s="357"/>
      <c r="AG9" s="357"/>
      <c r="AH9" s="357"/>
      <c r="AI9" s="357"/>
      <c r="AJ9" s="357"/>
      <c r="AK9" s="357"/>
      <c r="AL9" s="357"/>
      <c r="AM9" s="357"/>
      <c r="AN9" s="357"/>
      <c r="AO9" s="357"/>
      <c r="AP9" s="357"/>
      <c r="AQ9" s="357"/>
      <c r="AR9" s="1811"/>
      <c r="AS9" s="1811"/>
      <c r="AT9" s="1811"/>
      <c r="AU9" s="1811"/>
      <c r="AV9" s="1811"/>
      <c r="AW9" s="1811"/>
    </row>
    <row r="10" spans="1:49">
      <c r="A10" s="351"/>
      <c r="B10" s="357"/>
      <c r="C10" s="785"/>
      <c r="D10" s="343"/>
      <c r="E10" s="785"/>
      <c r="F10" s="343"/>
      <c r="G10" s="343"/>
      <c r="H10" s="343"/>
      <c r="I10" s="343"/>
      <c r="J10" s="343"/>
      <c r="K10" s="343"/>
      <c r="L10" s="357"/>
      <c r="M10" s="357"/>
      <c r="N10" s="357"/>
      <c r="O10" s="357"/>
      <c r="P10" s="357"/>
      <c r="Q10" s="357"/>
      <c r="R10" s="357"/>
      <c r="S10" s="357"/>
      <c r="T10" s="357"/>
      <c r="U10" s="357"/>
      <c r="V10" s="1882"/>
      <c r="W10" s="348"/>
      <c r="X10" s="1882"/>
      <c r="Y10" s="348"/>
      <c r="Z10" s="348"/>
      <c r="AA10" s="348"/>
      <c r="AB10" s="348"/>
      <c r="AC10" s="343"/>
      <c r="AD10" s="357"/>
      <c r="AE10" s="357"/>
      <c r="AF10" s="357"/>
      <c r="AG10" s="357"/>
      <c r="AH10" s="357"/>
      <c r="AI10" s="357"/>
      <c r="AJ10" s="357"/>
      <c r="AK10" s="357"/>
      <c r="AL10" s="357"/>
      <c r="AM10" s="357"/>
      <c r="AN10" s="357"/>
      <c r="AO10" s="357"/>
      <c r="AP10" s="357"/>
      <c r="AQ10" s="357"/>
      <c r="AR10" s="1811"/>
      <c r="AS10" s="1811"/>
      <c r="AT10" s="1811"/>
      <c r="AU10" s="1811"/>
      <c r="AV10" s="1811"/>
      <c r="AW10" s="1811"/>
    </row>
    <row r="11" spans="1:49" ht="15.75">
      <c r="A11" s="1321"/>
      <c r="C11" s="3499" t="s">
        <v>1260</v>
      </c>
      <c r="D11" s="3499"/>
      <c r="E11" s="3499"/>
      <c r="F11" s="3499"/>
      <c r="G11" s="3499"/>
      <c r="H11" s="3499"/>
      <c r="I11" s="3499"/>
      <c r="J11" s="2257"/>
      <c r="K11" s="2257"/>
      <c r="L11" s="397"/>
      <c r="M11" s="395"/>
      <c r="N11" s="3499" t="s">
        <v>1261</v>
      </c>
      <c r="O11" s="3499"/>
      <c r="P11" s="3499"/>
      <c r="Q11" s="3499"/>
      <c r="R11" s="3499"/>
      <c r="S11" s="3499"/>
      <c r="T11" s="3499"/>
      <c r="U11" s="2266"/>
      <c r="V11" s="2653"/>
      <c r="W11" s="2678"/>
      <c r="X11" s="2678"/>
      <c r="Y11" s="2678"/>
      <c r="Z11" s="2678"/>
      <c r="AA11" s="2678"/>
      <c r="AB11" s="2678"/>
      <c r="AC11" s="352"/>
      <c r="AD11" s="395"/>
      <c r="AE11" s="395"/>
      <c r="AF11" s="395"/>
      <c r="AG11" s="395"/>
      <c r="AH11" s="395"/>
      <c r="AI11" s="395"/>
      <c r="AJ11" s="395"/>
      <c r="AK11" s="352"/>
      <c r="AL11" s="395"/>
      <c r="AM11" s="396"/>
      <c r="AN11" s="395"/>
      <c r="AO11" s="395"/>
      <c r="AP11" s="395"/>
      <c r="AQ11" s="395"/>
      <c r="AR11" s="1811"/>
      <c r="AS11" s="1811"/>
      <c r="AT11" s="1811"/>
      <c r="AU11" s="1811"/>
      <c r="AV11" s="1811"/>
      <c r="AW11" s="1811"/>
    </row>
    <row r="12" spans="1:49" ht="15.75">
      <c r="A12" s="1321"/>
      <c r="C12" s="786"/>
      <c r="D12" s="397"/>
      <c r="E12" s="786"/>
      <c r="F12" s="397"/>
      <c r="G12" s="398"/>
      <c r="H12" s="397"/>
      <c r="I12" s="397" t="s">
        <v>86</v>
      </c>
      <c r="J12" s="397"/>
      <c r="K12" s="397" t="s">
        <v>86</v>
      </c>
      <c r="L12" s="397"/>
      <c r="M12" s="2291"/>
      <c r="N12" s="786"/>
      <c r="O12" s="397"/>
      <c r="P12" s="786"/>
      <c r="Q12" s="397"/>
      <c r="R12" s="398"/>
      <c r="S12" s="397"/>
      <c r="T12" s="397" t="s">
        <v>86</v>
      </c>
      <c r="U12" s="395"/>
      <c r="V12" s="397" t="s">
        <v>86</v>
      </c>
      <c r="W12" s="397"/>
      <c r="X12" s="789"/>
      <c r="Y12" s="397"/>
      <c r="Z12" s="398"/>
      <c r="AA12" s="397"/>
      <c r="AB12" s="397"/>
      <c r="AC12" s="352"/>
      <c r="AD12" s="395"/>
      <c r="AE12" s="395"/>
      <c r="AF12" s="395"/>
      <c r="AG12" s="395"/>
      <c r="AH12" s="395"/>
      <c r="AI12" s="395"/>
      <c r="AJ12" s="395"/>
      <c r="AK12" s="352"/>
      <c r="AL12" s="395"/>
      <c r="AM12" s="396"/>
      <c r="AN12" s="395"/>
      <c r="AO12" s="395"/>
      <c r="AP12" s="395"/>
      <c r="AQ12" s="395"/>
      <c r="AR12" s="1811"/>
      <c r="AS12" s="1811"/>
      <c r="AT12" s="1811"/>
      <c r="AU12" s="1811"/>
      <c r="AV12" s="1811"/>
      <c r="AW12" s="1811"/>
    </row>
    <row r="13" spans="1:49" ht="15.75">
      <c r="A13" s="1321"/>
      <c r="B13" s="352"/>
      <c r="C13" s="787"/>
      <c r="D13" s="399"/>
      <c r="E13" s="787"/>
      <c r="F13" s="399"/>
      <c r="G13" s="399"/>
      <c r="H13" s="399"/>
      <c r="I13" s="400" t="s">
        <v>987</v>
      </c>
      <c r="J13" s="400"/>
      <c r="K13" s="400" t="s">
        <v>987</v>
      </c>
      <c r="L13" s="1885"/>
      <c r="M13" s="2292"/>
      <c r="N13" s="787"/>
      <c r="O13" s="399"/>
      <c r="P13" s="787"/>
      <c r="Q13" s="399"/>
      <c r="R13" s="399"/>
      <c r="S13" s="399"/>
      <c r="T13" s="400" t="s">
        <v>987</v>
      </c>
      <c r="U13" s="402"/>
      <c r="V13" s="400" t="s">
        <v>987</v>
      </c>
      <c r="W13" s="1884"/>
      <c r="X13" s="1883"/>
      <c r="Y13" s="1884"/>
      <c r="Z13" s="1884"/>
      <c r="AA13" s="1884"/>
      <c r="AB13" s="1885"/>
      <c r="AC13" s="352"/>
      <c r="AD13" s="352"/>
      <c r="AE13" s="352"/>
      <c r="AF13" s="352"/>
      <c r="AG13" s="352"/>
      <c r="AH13" s="352"/>
      <c r="AI13" s="401"/>
      <c r="AJ13" s="402"/>
      <c r="AK13" s="352"/>
      <c r="AL13" s="352"/>
      <c r="AM13" s="352"/>
      <c r="AN13" s="352"/>
      <c r="AO13" s="352"/>
      <c r="AP13" s="352"/>
      <c r="AQ13" s="401"/>
      <c r="AR13" s="1811"/>
      <c r="AS13" s="1811"/>
      <c r="AT13" s="1811"/>
      <c r="AU13" s="1811"/>
      <c r="AV13" s="1811"/>
      <c r="AW13" s="1811"/>
    </row>
    <row r="14" spans="1:49" ht="15.75">
      <c r="A14" s="1321"/>
      <c r="B14" s="403"/>
      <c r="C14" s="355" t="s">
        <v>1203</v>
      </c>
      <c r="D14" s="1811"/>
      <c r="E14" s="354" t="s">
        <v>1204</v>
      </c>
      <c r="F14" s="353"/>
      <c r="G14" s="353"/>
      <c r="H14" s="353"/>
      <c r="I14" s="354" t="s">
        <v>87</v>
      </c>
      <c r="J14" s="354"/>
      <c r="K14" s="354" t="s">
        <v>87</v>
      </c>
      <c r="L14" s="402"/>
      <c r="M14" s="2292"/>
      <c r="N14" s="355" t="s">
        <v>1203</v>
      </c>
      <c r="O14" s="1811"/>
      <c r="P14" s="354" t="s">
        <v>1204</v>
      </c>
      <c r="Q14" s="353"/>
      <c r="R14" s="353"/>
      <c r="S14" s="353"/>
      <c r="T14" s="354" t="s">
        <v>87</v>
      </c>
      <c r="U14" s="402"/>
      <c r="V14" s="354" t="s">
        <v>87</v>
      </c>
      <c r="W14" s="1326"/>
      <c r="X14" s="402"/>
      <c r="Y14" s="352"/>
      <c r="Z14" s="352"/>
      <c r="AA14" s="352"/>
      <c r="AB14" s="402"/>
      <c r="AC14" s="352"/>
      <c r="AD14" s="401"/>
      <c r="AE14" s="402"/>
      <c r="AF14" s="352"/>
      <c r="AG14" s="352"/>
      <c r="AH14" s="352"/>
      <c r="AI14" s="401"/>
      <c r="AJ14" s="402"/>
      <c r="AK14" s="352"/>
      <c r="AL14" s="401"/>
      <c r="AM14" s="402"/>
      <c r="AN14" s="352"/>
      <c r="AO14" s="352"/>
      <c r="AP14" s="352"/>
      <c r="AQ14" s="401"/>
      <c r="AR14" s="1811"/>
      <c r="AS14" s="1811"/>
      <c r="AT14" s="1811"/>
      <c r="AU14" s="1811"/>
      <c r="AV14" s="1811"/>
      <c r="AW14" s="1811"/>
    </row>
    <row r="15" spans="1:49" ht="15.75">
      <c r="A15" s="1321"/>
      <c r="B15" s="403"/>
      <c r="C15" s="354" t="s">
        <v>1247</v>
      </c>
      <c r="D15" s="353"/>
      <c r="E15" s="354" t="s">
        <v>1247</v>
      </c>
      <c r="F15" s="353"/>
      <c r="G15" s="353"/>
      <c r="H15" s="353"/>
      <c r="I15" s="354" t="s">
        <v>1203</v>
      </c>
      <c r="J15" s="354"/>
      <c r="K15" s="354" t="s">
        <v>1204</v>
      </c>
      <c r="L15" s="402"/>
      <c r="M15" s="2292"/>
      <c r="N15" s="354" t="s">
        <v>1247</v>
      </c>
      <c r="O15" s="353"/>
      <c r="P15" s="354" t="s">
        <v>1247</v>
      </c>
      <c r="Q15" s="353"/>
      <c r="R15" s="353"/>
      <c r="S15" s="353"/>
      <c r="T15" s="354" t="s">
        <v>1203</v>
      </c>
      <c r="U15" s="402"/>
      <c r="V15" s="354" t="s">
        <v>1204</v>
      </c>
      <c r="W15" s="352"/>
      <c r="X15" s="402"/>
      <c r="Y15" s="352"/>
      <c r="Z15" s="352"/>
      <c r="AA15" s="352"/>
      <c r="AB15" s="402"/>
      <c r="AC15" s="352"/>
      <c r="AD15" s="401"/>
      <c r="AE15" s="402"/>
      <c r="AF15" s="352"/>
      <c r="AG15" s="352"/>
      <c r="AH15" s="352"/>
      <c r="AI15" s="401"/>
      <c r="AJ15" s="402"/>
      <c r="AK15" s="352"/>
      <c r="AL15" s="401"/>
      <c r="AM15" s="402"/>
      <c r="AN15" s="352"/>
      <c r="AO15" s="352"/>
      <c r="AP15" s="352"/>
      <c r="AQ15" s="401"/>
      <c r="AR15" s="1811"/>
      <c r="AS15" s="1811"/>
      <c r="AT15" s="1811"/>
      <c r="AU15" s="1811"/>
      <c r="AV15" s="1811"/>
      <c r="AW15" s="1811"/>
    </row>
    <row r="16" spans="1:49" ht="15.75">
      <c r="A16" s="1321"/>
      <c r="B16" s="402"/>
      <c r="C16" s="354" t="s">
        <v>1248</v>
      </c>
      <c r="D16" s="353"/>
      <c r="E16" s="354" t="s">
        <v>1451</v>
      </c>
      <c r="F16" s="353"/>
      <c r="G16" s="355" t="s">
        <v>86</v>
      </c>
      <c r="H16" s="353"/>
      <c r="I16" s="354" t="s">
        <v>88</v>
      </c>
      <c r="J16" s="402"/>
      <c r="K16" s="354" t="s">
        <v>88</v>
      </c>
      <c r="L16" s="402"/>
      <c r="M16" s="2299"/>
      <c r="N16" s="2300" t="s">
        <v>1248</v>
      </c>
      <c r="O16" s="353"/>
      <c r="P16" s="354" t="s">
        <v>1451</v>
      </c>
      <c r="Q16" s="353"/>
      <c r="R16" s="355" t="s">
        <v>86</v>
      </c>
      <c r="S16" s="353"/>
      <c r="T16" s="354" t="s">
        <v>88</v>
      </c>
      <c r="U16" s="402"/>
      <c r="V16" s="354" t="s">
        <v>88</v>
      </c>
      <c r="W16" s="352"/>
      <c r="X16" s="402"/>
      <c r="Y16" s="352"/>
      <c r="Z16" s="401"/>
      <c r="AA16" s="352"/>
      <c r="AB16" s="402"/>
      <c r="AC16" s="352"/>
      <c r="AD16" s="402"/>
      <c r="AE16" s="402"/>
      <c r="AF16" s="352"/>
      <c r="AG16" s="401"/>
      <c r="AH16" s="352"/>
      <c r="AI16" s="401"/>
      <c r="AJ16" s="402"/>
      <c r="AK16" s="352"/>
      <c r="AL16" s="402"/>
      <c r="AM16" s="402"/>
      <c r="AN16" s="352"/>
      <c r="AO16" s="401"/>
      <c r="AP16" s="352"/>
      <c r="AQ16" s="401"/>
      <c r="AR16" s="1811"/>
      <c r="AS16" s="1811"/>
      <c r="AT16" s="1811"/>
      <c r="AU16" s="1811"/>
      <c r="AV16" s="1811"/>
      <c r="AW16" s="1811"/>
    </row>
    <row r="17" spans="1:49">
      <c r="A17" s="356"/>
      <c r="B17" s="357"/>
      <c r="C17" s="358"/>
      <c r="D17" s="343"/>
      <c r="E17" s="358"/>
      <c r="F17" s="343"/>
      <c r="G17" s="358"/>
      <c r="H17" s="343"/>
      <c r="I17" s="358"/>
      <c r="J17" s="357"/>
      <c r="K17" s="358"/>
      <c r="L17" s="357"/>
      <c r="M17" s="2293"/>
      <c r="N17" s="357"/>
      <c r="O17" s="343"/>
      <c r="P17" s="358"/>
      <c r="Q17" s="343"/>
      <c r="R17" s="358"/>
      <c r="S17" s="343"/>
      <c r="T17" s="358"/>
      <c r="U17" s="357"/>
      <c r="V17" s="358"/>
      <c r="W17" s="357"/>
      <c r="X17" s="357"/>
      <c r="Y17" s="357"/>
      <c r="Z17" s="357"/>
      <c r="AA17" s="357"/>
      <c r="AB17" s="357"/>
      <c r="AC17" s="357"/>
      <c r="AD17" s="357"/>
      <c r="AE17" s="357"/>
      <c r="AF17" s="357"/>
      <c r="AG17" s="357"/>
      <c r="AH17" s="357"/>
      <c r="AI17" s="357"/>
      <c r="AJ17" s="357"/>
      <c r="AK17" s="357"/>
      <c r="AL17" s="357"/>
      <c r="AM17" s="357"/>
      <c r="AN17" s="357"/>
      <c r="AO17" s="357"/>
      <c r="AP17" s="357"/>
      <c r="AQ17" s="357"/>
      <c r="AR17" s="1811"/>
      <c r="AS17" s="1811"/>
      <c r="AT17" s="1811"/>
      <c r="AU17" s="1811"/>
      <c r="AV17" s="1811"/>
      <c r="AW17" s="1811"/>
    </row>
    <row r="18" spans="1:49" ht="15.75">
      <c r="A18" s="221" t="s">
        <v>14</v>
      </c>
      <c r="B18" s="1803"/>
      <c r="C18" s="1224"/>
      <c r="D18" s="1224"/>
      <c r="E18" s="1224"/>
      <c r="F18" s="1224"/>
      <c r="G18" s="1224"/>
      <c r="H18" s="1224"/>
      <c r="I18" s="1803"/>
      <c r="J18" s="1224"/>
      <c r="K18" s="1803"/>
      <c r="L18" s="1803"/>
      <c r="M18" s="2294"/>
      <c r="N18" s="1224"/>
      <c r="O18" s="1224"/>
      <c r="P18" s="1224"/>
      <c r="Q18" s="1224"/>
      <c r="R18" s="1224"/>
      <c r="S18" s="1224"/>
      <c r="T18" s="1224"/>
      <c r="U18" s="1803"/>
      <c r="V18" s="1803"/>
      <c r="W18" s="1803"/>
      <c r="X18" s="1803"/>
      <c r="Y18" s="1803"/>
      <c r="Z18" s="1803"/>
      <c r="AA18" s="1803"/>
      <c r="AB18" s="1803"/>
      <c r="AC18" s="1803"/>
      <c r="AD18" s="1803"/>
      <c r="AE18" s="1803"/>
      <c r="AF18" s="1803"/>
      <c r="AG18" s="1803"/>
      <c r="AH18" s="1803"/>
      <c r="AI18" s="1803"/>
      <c r="AJ18" s="1803"/>
      <c r="AK18" s="1803"/>
      <c r="AL18" s="1803"/>
      <c r="AM18" s="1803"/>
      <c r="AN18" s="1803"/>
      <c r="AO18" s="1803"/>
      <c r="AP18" s="1803"/>
      <c r="AQ18" s="1803"/>
      <c r="AR18" s="1811"/>
      <c r="AS18" s="1811"/>
      <c r="AT18" s="1811"/>
      <c r="AU18" s="1811"/>
      <c r="AV18" s="1811"/>
      <c r="AW18" s="1811"/>
    </row>
    <row r="19" spans="1:49">
      <c r="A19" s="1638" t="s">
        <v>89</v>
      </c>
      <c r="B19" s="1804"/>
      <c r="C19" s="1224"/>
      <c r="D19" s="1804"/>
      <c r="E19" s="1224"/>
      <c r="F19" s="1804"/>
      <c r="G19" s="1224"/>
      <c r="H19" s="1804"/>
      <c r="I19" s="1803"/>
      <c r="J19" s="1224"/>
      <c r="K19" s="1803"/>
      <c r="L19" s="1803"/>
      <c r="M19" s="2294"/>
      <c r="N19" s="1224"/>
      <c r="O19" s="1804"/>
      <c r="P19" s="1224"/>
      <c r="Q19" s="1804"/>
      <c r="R19" s="1224"/>
      <c r="S19" s="1804"/>
      <c r="T19" s="1224"/>
      <c r="U19" s="1803"/>
      <c r="V19" s="1803"/>
      <c r="W19" s="1803"/>
      <c r="X19" s="1803"/>
      <c r="Y19" s="1803"/>
      <c r="Z19" s="1803"/>
      <c r="AA19" s="1825"/>
      <c r="AB19" s="1803"/>
      <c r="AC19" s="1803"/>
      <c r="AD19" s="1803"/>
      <c r="AE19" s="1803"/>
      <c r="AF19" s="1803"/>
      <c r="AG19" s="1803"/>
      <c r="AH19" s="1803"/>
      <c r="AI19" s="1803"/>
      <c r="AJ19" s="1803"/>
      <c r="AK19" s="1803"/>
      <c r="AL19" s="1803"/>
      <c r="AM19" s="1803"/>
      <c r="AN19" s="1803"/>
      <c r="AO19" s="1803"/>
      <c r="AP19" s="1803"/>
      <c r="AQ19" s="1803"/>
      <c r="AR19" s="1811"/>
      <c r="AS19" s="1811"/>
      <c r="AT19" s="1811"/>
      <c r="AU19" s="1811"/>
      <c r="AV19" s="1811"/>
      <c r="AW19" s="1811"/>
    </row>
    <row r="20" spans="1:49">
      <c r="A20" s="1638" t="s">
        <v>90</v>
      </c>
      <c r="B20" s="1804" t="s">
        <v>15</v>
      </c>
      <c r="C20" s="1225">
        <v>3217</v>
      </c>
      <c r="D20" s="1227"/>
      <c r="E20" s="1225">
        <v>2896</v>
      </c>
      <c r="F20" s="1227"/>
      <c r="G20" s="1225">
        <f>'Exhibit G state'!AC18</f>
        <v>2895.9</v>
      </c>
      <c r="H20" s="1227"/>
      <c r="I20" s="1889">
        <f t="shared" ref="I20:I26" si="0">ROUND(SUM(G20)-SUM(C20),1)</f>
        <v>-321.10000000000002</v>
      </c>
      <c r="J20" s="1225"/>
      <c r="K20" s="1889">
        <f>ROUND(SUM(G20)-SUM(E20),1)</f>
        <v>-0.1</v>
      </c>
      <c r="L20" s="1889"/>
      <c r="M20" s="2294"/>
      <c r="N20" s="1225">
        <v>0</v>
      </c>
      <c r="O20" s="1227"/>
      <c r="P20" s="1225">
        <v>0</v>
      </c>
      <c r="Q20" s="1227"/>
      <c r="R20" s="1225">
        <v>0</v>
      </c>
      <c r="S20" s="1227"/>
      <c r="T20" s="1225">
        <f t="shared" ref="T20:T26" si="1">ROUND(SUM(R20)-SUM(N20),1)</f>
        <v>0</v>
      </c>
      <c r="U20" s="1803"/>
      <c r="V20" s="1225">
        <f>ROUND(SUM(R20)-SUM(P20),1)</f>
        <v>0</v>
      </c>
      <c r="W20" s="1887"/>
      <c r="X20" s="1890"/>
      <c r="Y20" s="1887"/>
      <c r="Z20" s="1888"/>
      <c r="AA20" s="1887"/>
      <c r="AB20" s="1889"/>
      <c r="AC20" s="1803"/>
      <c r="AD20" s="1803"/>
      <c r="AE20" s="1803"/>
      <c r="AF20" s="1803"/>
      <c r="AG20" s="1803"/>
      <c r="AH20" s="1803"/>
      <c r="AI20" s="1803"/>
      <c r="AJ20" s="1803"/>
      <c r="AK20" s="1803"/>
      <c r="AL20" s="1803"/>
      <c r="AM20" s="1803"/>
      <c r="AN20" s="1803"/>
      <c r="AO20" s="1803"/>
      <c r="AP20" s="1803"/>
      <c r="AQ20" s="1803"/>
      <c r="AR20" s="1811"/>
      <c r="AS20" s="1811"/>
      <c r="AT20" s="1811"/>
      <c r="AU20" s="1811"/>
      <c r="AV20" s="1811"/>
      <c r="AW20" s="1811"/>
    </row>
    <row r="21" spans="1:49">
      <c r="A21" s="1638" t="s">
        <v>91</v>
      </c>
      <c r="B21" s="1803" t="s">
        <v>15</v>
      </c>
      <c r="C21" s="1822">
        <v>1741</v>
      </c>
      <c r="D21" s="1146"/>
      <c r="E21" s="1822">
        <v>1738</v>
      </c>
      <c r="F21" s="1146"/>
      <c r="G21" s="1146">
        <f>'Exhibit G state'!AC30</f>
        <v>1743.4</v>
      </c>
      <c r="H21" s="1146"/>
      <c r="I21" s="1823">
        <f t="shared" si="0"/>
        <v>2.4</v>
      </c>
      <c r="J21" s="1146"/>
      <c r="K21" s="1823">
        <f>ROUND(SUM(G21)-SUM(E21),1)</f>
        <v>5.4</v>
      </c>
      <c r="L21" s="1823"/>
      <c r="M21" s="2294"/>
      <c r="N21" s="1822">
        <v>0</v>
      </c>
      <c r="O21" s="1146"/>
      <c r="P21" s="1822">
        <v>0</v>
      </c>
      <c r="Q21" s="1146"/>
      <c r="R21" s="1146">
        <v>0</v>
      </c>
      <c r="S21" s="1146"/>
      <c r="T21" s="1146">
        <f t="shared" si="1"/>
        <v>0</v>
      </c>
      <c r="U21" s="1803"/>
      <c r="V21" s="2925">
        <f>ROUND(SUM(R21)-SUM(P21),1)</f>
        <v>0</v>
      </c>
      <c r="W21" s="1823"/>
      <c r="X21" s="1890"/>
      <c r="Y21" s="1823"/>
      <c r="Z21" s="1823"/>
      <c r="AA21" s="1823"/>
      <c r="AB21" s="1823"/>
      <c r="AC21" s="1823"/>
      <c r="AD21" s="1823"/>
      <c r="AE21" s="1803"/>
      <c r="AF21" s="1803"/>
      <c r="AG21" s="1803"/>
      <c r="AH21" s="1803"/>
      <c r="AI21" s="1803"/>
      <c r="AJ21" s="1803"/>
      <c r="AK21" s="1803"/>
      <c r="AL21" s="1803"/>
      <c r="AM21" s="1803"/>
      <c r="AN21" s="1803"/>
      <c r="AO21" s="1803"/>
      <c r="AP21" s="1803"/>
      <c r="AQ21" s="1803"/>
      <c r="AR21" s="1811"/>
      <c r="AS21" s="1811"/>
      <c r="AT21" s="1811"/>
      <c r="AU21" s="1811"/>
      <c r="AV21" s="1811"/>
      <c r="AW21" s="1811"/>
    </row>
    <row r="22" spans="1:49">
      <c r="A22" s="1638" t="s">
        <v>92</v>
      </c>
      <c r="B22" s="1804" t="s">
        <v>15</v>
      </c>
      <c r="C22" s="1822">
        <v>1169</v>
      </c>
      <c r="D22" s="1299"/>
      <c r="E22" s="1822">
        <v>1250</v>
      </c>
      <c r="F22" s="1299"/>
      <c r="G22" s="1146">
        <f>'Exhibit G state'!AC37</f>
        <v>1277</v>
      </c>
      <c r="H22" s="1299"/>
      <c r="I22" s="1823">
        <f t="shared" si="0"/>
        <v>108</v>
      </c>
      <c r="J22" s="1146"/>
      <c r="K22" s="1823">
        <f t="shared" ref="K22:K26" si="2">ROUND(SUM(G22)-SUM(E22),1)</f>
        <v>27</v>
      </c>
      <c r="L22" s="1823"/>
      <c r="M22" s="2294"/>
      <c r="N22" s="1822">
        <v>0</v>
      </c>
      <c r="O22" s="1299"/>
      <c r="P22" s="1822">
        <v>0</v>
      </c>
      <c r="Q22" s="1299"/>
      <c r="R22" s="1812">
        <v>0</v>
      </c>
      <c r="S22" s="1299"/>
      <c r="T22" s="1146">
        <f t="shared" si="1"/>
        <v>0</v>
      </c>
      <c r="U22" s="1803"/>
      <c r="V22" s="2925">
        <f t="shared" ref="V22:V26" si="3">ROUND(SUM(R22)-SUM(P22),1)</f>
        <v>0</v>
      </c>
      <c r="W22" s="1824"/>
      <c r="X22" s="1890"/>
      <c r="Y22" s="1824"/>
      <c r="Z22" s="1823"/>
      <c r="AA22" s="1824"/>
      <c r="AB22" s="1823"/>
      <c r="AC22" s="1824"/>
      <c r="AD22" s="1823"/>
      <c r="AE22" s="1803"/>
      <c r="AF22" s="1825"/>
      <c r="AG22" s="1803"/>
      <c r="AH22" s="1825"/>
      <c r="AI22" s="1803"/>
      <c r="AJ22" s="1803"/>
      <c r="AK22" s="1825"/>
      <c r="AL22" s="1803"/>
      <c r="AM22" s="1803"/>
      <c r="AN22" s="1825"/>
      <c r="AO22" s="404"/>
      <c r="AP22" s="1825"/>
      <c r="AQ22" s="1803"/>
      <c r="AR22" s="1811"/>
      <c r="AS22" s="1811"/>
      <c r="AT22" s="1811"/>
      <c r="AU22" s="1811"/>
      <c r="AV22" s="1811"/>
      <c r="AW22" s="1811"/>
    </row>
    <row r="23" spans="1:49">
      <c r="A23" s="1638" t="s">
        <v>93</v>
      </c>
      <c r="B23" s="1803" t="s">
        <v>15</v>
      </c>
      <c r="C23" s="1822">
        <v>1072</v>
      </c>
      <c r="D23" s="1146"/>
      <c r="E23" s="1822">
        <v>1083</v>
      </c>
      <c r="F23" s="1146"/>
      <c r="G23" s="1146">
        <f>'Exhibit G state'!AC40</f>
        <v>1105.0999999999999</v>
      </c>
      <c r="H23" s="1146"/>
      <c r="I23" s="1823">
        <f t="shared" si="0"/>
        <v>33.1</v>
      </c>
      <c r="J23" s="1146"/>
      <c r="K23" s="1823">
        <f t="shared" si="2"/>
        <v>22.1</v>
      </c>
      <c r="L23" s="1823"/>
      <c r="M23" s="2294"/>
      <c r="N23" s="1822">
        <v>0</v>
      </c>
      <c r="O23" s="1146"/>
      <c r="P23" s="1822">
        <v>0</v>
      </c>
      <c r="Q23" s="1146"/>
      <c r="R23" s="1146">
        <v>0</v>
      </c>
      <c r="S23" s="1146"/>
      <c r="T23" s="1146">
        <f t="shared" si="1"/>
        <v>0</v>
      </c>
      <c r="U23" s="1803"/>
      <c r="V23" s="2925">
        <f t="shared" si="3"/>
        <v>0</v>
      </c>
      <c r="W23" s="1823"/>
      <c r="X23" s="1890"/>
      <c r="Y23" s="1823"/>
      <c r="Z23" s="1823"/>
      <c r="AA23" s="1823"/>
      <c r="AB23" s="1823"/>
      <c r="AC23" s="1823"/>
      <c r="AD23" s="1823"/>
      <c r="AE23" s="1803"/>
      <c r="AF23" s="1803"/>
      <c r="AG23" s="1803"/>
      <c r="AH23" s="1803"/>
      <c r="AI23" s="1803"/>
      <c r="AJ23" s="1803"/>
      <c r="AK23" s="1803"/>
      <c r="AL23" s="1803"/>
      <c r="AM23" s="1803"/>
      <c r="AN23" s="1803"/>
      <c r="AO23" s="1803"/>
      <c r="AP23" s="1803"/>
      <c r="AQ23" s="1803"/>
      <c r="AR23" s="1811"/>
      <c r="AS23" s="1811"/>
      <c r="AT23" s="1811"/>
      <c r="AU23" s="1811"/>
      <c r="AV23" s="1811"/>
      <c r="AW23" s="1811"/>
    </row>
    <row r="24" spans="1:49" ht="15" customHeight="1">
      <c r="A24" s="1638" t="s">
        <v>20</v>
      </c>
      <c r="B24" s="1803" t="s">
        <v>15</v>
      </c>
      <c r="C24" s="1822">
        <v>13154</v>
      </c>
      <c r="D24" s="1822"/>
      <c r="E24" s="1822">
        <v>14219</v>
      </c>
      <c r="F24" s="1822"/>
      <c r="G24" s="1146">
        <f>'Exhibit G state'!AC84</f>
        <v>14152.2</v>
      </c>
      <c r="H24" s="1146"/>
      <c r="I24" s="1823">
        <f t="shared" si="0"/>
        <v>998.2</v>
      </c>
      <c r="J24" s="1146"/>
      <c r="K24" s="1823">
        <f t="shared" si="2"/>
        <v>-66.8</v>
      </c>
      <c r="L24" s="1823"/>
      <c r="M24" s="2294"/>
      <c r="N24" s="1822">
        <v>187</v>
      </c>
      <c r="O24" s="1822"/>
      <c r="P24" s="1822">
        <v>174</v>
      </c>
      <c r="Q24" s="1822"/>
      <c r="R24" s="1317">
        <f>'Exhibit G Federal'!AC53</f>
        <v>161.1</v>
      </c>
      <c r="S24" s="1146"/>
      <c r="T24" s="1146">
        <f t="shared" si="1"/>
        <v>-25.9</v>
      </c>
      <c r="U24" s="1803"/>
      <c r="V24" s="2925">
        <f t="shared" si="3"/>
        <v>-12.9</v>
      </c>
      <c r="W24" s="1823"/>
      <c r="X24" s="1890"/>
      <c r="Y24" s="1823"/>
      <c r="Z24" s="1823"/>
      <c r="AA24" s="1823"/>
      <c r="AB24" s="1823"/>
      <c r="AC24" s="1823"/>
      <c r="AD24" s="1823"/>
      <c r="AE24" s="1803"/>
      <c r="AF24" s="1803"/>
      <c r="AG24" s="1803"/>
      <c r="AH24" s="1803"/>
      <c r="AI24" s="1803"/>
      <c r="AJ24" s="1803"/>
      <c r="AK24" s="1803"/>
      <c r="AL24" s="1803"/>
      <c r="AM24" s="1803"/>
      <c r="AN24" s="1803"/>
      <c r="AO24" s="1803"/>
      <c r="AP24" s="1803"/>
      <c r="AQ24" s="1803"/>
      <c r="AR24" s="1811"/>
      <c r="AS24" s="1811"/>
      <c r="AT24" s="1811"/>
      <c r="AU24" s="1811"/>
      <c r="AV24" s="1811"/>
      <c r="AW24" s="1811"/>
    </row>
    <row r="25" spans="1:49" ht="15" customHeight="1">
      <c r="A25" s="1638" t="s">
        <v>21</v>
      </c>
      <c r="B25" s="1803" t="s">
        <v>15</v>
      </c>
      <c r="C25" s="1226">
        <v>0</v>
      </c>
      <c r="D25" s="1146"/>
      <c r="E25" s="1226">
        <v>0</v>
      </c>
      <c r="F25" s="1146"/>
      <c r="G25" s="1317">
        <f>'Exhibit G state'!AC86</f>
        <v>-1.4</v>
      </c>
      <c r="H25" s="1146"/>
      <c r="I25" s="1823">
        <f t="shared" si="0"/>
        <v>-1.4</v>
      </c>
      <c r="J25" s="1146"/>
      <c r="K25" s="1823">
        <f t="shared" si="2"/>
        <v>-1.4</v>
      </c>
      <c r="L25" s="1823"/>
      <c r="M25" s="2294"/>
      <c r="N25" s="1226">
        <v>40635</v>
      </c>
      <c r="O25" s="1146"/>
      <c r="P25" s="1318">
        <v>41642</v>
      </c>
      <c r="Q25" s="1146"/>
      <c r="R25" s="1317">
        <f>'Exhibit G Federal'!AC55</f>
        <v>41569.800000000003</v>
      </c>
      <c r="S25" s="1146"/>
      <c r="T25" s="1146">
        <f t="shared" si="1"/>
        <v>934.8</v>
      </c>
      <c r="U25" s="1803"/>
      <c r="V25" s="2925">
        <f t="shared" si="3"/>
        <v>-72.2</v>
      </c>
      <c r="W25" s="1823"/>
      <c r="X25" s="1890"/>
      <c r="Y25" s="1823"/>
      <c r="Z25" s="1823"/>
      <c r="AA25" s="1823"/>
      <c r="AB25" s="1823"/>
      <c r="AC25" s="1823"/>
      <c r="AD25" s="1827"/>
      <c r="AE25" s="1828"/>
      <c r="AF25" s="1803"/>
      <c r="AG25" s="1828"/>
      <c r="AH25" s="1803"/>
      <c r="AI25" s="1828"/>
      <c r="AJ25" s="1829"/>
      <c r="AK25" s="1803"/>
      <c r="AL25" s="1803"/>
      <c r="AM25" s="1803"/>
      <c r="AN25" s="1803"/>
      <c r="AO25" s="1803"/>
      <c r="AP25" s="1803"/>
      <c r="AQ25" s="1803"/>
      <c r="AR25" s="1811"/>
      <c r="AS25" s="1811"/>
      <c r="AT25" s="1811"/>
      <c r="AU25" s="1811"/>
      <c r="AV25" s="1811"/>
      <c r="AW25" s="1811"/>
    </row>
    <row r="26" spans="1:49">
      <c r="A26" s="1638" t="s">
        <v>48</v>
      </c>
      <c r="B26" s="1829" t="s">
        <v>15</v>
      </c>
      <c r="C26" s="1823">
        <v>6950</v>
      </c>
      <c r="D26" s="1823"/>
      <c r="E26" s="1823">
        <v>6875</v>
      </c>
      <c r="F26" s="1823"/>
      <c r="G26" s="1967">
        <f>'Exhibit G state'!AC115</f>
        <v>6942.9</v>
      </c>
      <c r="H26" s="1146"/>
      <c r="I26" s="1823">
        <f t="shared" si="0"/>
        <v>-7.1</v>
      </c>
      <c r="J26" s="1823"/>
      <c r="K26" s="1823">
        <f t="shared" si="2"/>
        <v>67.900000000000006</v>
      </c>
      <c r="L26" s="1823"/>
      <c r="M26" s="2295"/>
      <c r="N26" s="1823">
        <v>0</v>
      </c>
      <c r="O26" s="1146"/>
      <c r="P26" s="1823">
        <v>0</v>
      </c>
      <c r="Q26" s="1823"/>
      <c r="R26" s="1967">
        <f>+'Exhibit G Federal'!AC84</f>
        <v>0</v>
      </c>
      <c r="S26" s="1146"/>
      <c r="T26" s="1146">
        <f t="shared" si="1"/>
        <v>0</v>
      </c>
      <c r="U26" s="1829"/>
      <c r="V26" s="2925">
        <f t="shared" si="3"/>
        <v>0</v>
      </c>
      <c r="W26" s="1823"/>
      <c r="X26" s="1890"/>
      <c r="Y26" s="1823"/>
      <c r="Z26" s="1824"/>
      <c r="AA26" s="1823"/>
      <c r="AB26" s="1823"/>
      <c r="AC26" s="1823"/>
      <c r="AD26" s="1827"/>
      <c r="AE26" s="1828"/>
      <c r="AF26" s="1803"/>
      <c r="AG26" s="1828"/>
      <c r="AH26" s="1803"/>
      <c r="AI26" s="1828"/>
      <c r="AJ26" s="1829"/>
      <c r="AK26" s="1803"/>
      <c r="AL26" s="1803"/>
      <c r="AM26" s="1803"/>
      <c r="AN26" s="1803"/>
      <c r="AO26" s="1803"/>
      <c r="AP26" s="1803"/>
      <c r="AQ26" s="1803"/>
      <c r="AR26" s="1811"/>
      <c r="AS26" s="1811"/>
      <c r="AT26" s="1811"/>
      <c r="AU26" s="1811"/>
      <c r="AV26" s="1811"/>
      <c r="AW26" s="1811"/>
    </row>
    <row r="27" spans="1:49" ht="18" customHeight="1">
      <c r="A27" s="374" t="s">
        <v>112</v>
      </c>
      <c r="B27" s="352" t="s">
        <v>15</v>
      </c>
      <c r="C27" s="418">
        <f>ROUND(SUM(C20:C26),1)</f>
        <v>27303</v>
      </c>
      <c r="D27" s="1802"/>
      <c r="E27" s="418">
        <f>ROUND(SUM(E20:E26),1)</f>
        <v>28061</v>
      </c>
      <c r="F27" s="1802"/>
      <c r="G27" s="418">
        <f>ROUND(SUM(G20:G26),1)</f>
        <v>28115.1</v>
      </c>
      <c r="H27" s="1802"/>
      <c r="I27" s="2951">
        <f>ROUND(SUM(I20:I26),1)</f>
        <v>812.1</v>
      </c>
      <c r="J27" s="272"/>
      <c r="K27" s="2951">
        <f>ROUND(SUM(K20:K26),1)</f>
        <v>54.1</v>
      </c>
      <c r="L27" s="272"/>
      <c r="M27" s="2294"/>
      <c r="N27" s="2951">
        <f>ROUND(SUM(N20:N26),1)</f>
        <v>40822</v>
      </c>
      <c r="O27" s="1802"/>
      <c r="P27" s="418">
        <f>ROUND(SUM(P20:P26),1)</f>
        <v>41816</v>
      </c>
      <c r="Q27" s="1802"/>
      <c r="R27" s="543">
        <f>ROUND(SUM(R20:R26),1)</f>
        <v>41730.9</v>
      </c>
      <c r="S27" s="1802"/>
      <c r="T27" s="543">
        <f>ROUND(SUM(T20:T26),1)</f>
        <v>908.9</v>
      </c>
      <c r="U27" s="352"/>
      <c r="V27" s="543">
        <f>ROUND(SUM(V20:V26),1)</f>
        <v>-85.1</v>
      </c>
      <c r="W27" s="272"/>
      <c r="X27" s="272"/>
      <c r="Y27" s="272"/>
      <c r="Z27" s="272"/>
      <c r="AA27" s="272"/>
      <c r="AB27" s="272"/>
      <c r="AC27" s="272"/>
      <c r="AD27" s="272"/>
      <c r="AE27" s="352"/>
      <c r="AF27" s="352"/>
      <c r="AG27" s="352"/>
      <c r="AH27" s="352"/>
      <c r="AI27" s="352"/>
      <c r="AJ27" s="352"/>
      <c r="AK27" s="352"/>
      <c r="AL27" s="352"/>
      <c r="AM27" s="352"/>
      <c r="AN27" s="352"/>
      <c r="AO27" s="352"/>
      <c r="AP27" s="352"/>
      <c r="AQ27" s="352"/>
      <c r="AR27" s="1811"/>
      <c r="AS27" s="1811"/>
      <c r="AT27" s="1811"/>
      <c r="AU27" s="1811"/>
      <c r="AV27" s="1811"/>
      <c r="AW27" s="1811"/>
    </row>
    <row r="28" spans="1:49">
      <c r="A28" s="1321"/>
      <c r="B28" s="1803"/>
      <c r="C28" s="1319"/>
      <c r="D28" s="1146"/>
      <c r="E28" s="1319"/>
      <c r="F28" s="1146"/>
      <c r="G28" s="1319"/>
      <c r="H28" s="1146"/>
      <c r="I28" s="1823"/>
      <c r="J28" s="1823"/>
      <c r="K28" s="1823"/>
      <c r="L28" s="1823"/>
      <c r="M28" s="2294"/>
      <c r="N28" s="1823"/>
      <c r="O28" s="1146"/>
      <c r="P28" s="1319"/>
      <c r="Q28" s="1146"/>
      <c r="R28" s="1319"/>
      <c r="S28" s="1146"/>
      <c r="T28" s="1823"/>
      <c r="U28" s="1803"/>
      <c r="V28" s="1823"/>
      <c r="W28" s="1823"/>
      <c r="X28" s="1823"/>
      <c r="Y28" s="1823"/>
      <c r="Z28" s="1823"/>
      <c r="AA28" s="1823"/>
      <c r="AB28" s="1823"/>
      <c r="AC28" s="1823"/>
      <c r="AD28" s="1823"/>
      <c r="AE28" s="1803"/>
      <c r="AF28" s="1803"/>
      <c r="AG28" s="1803"/>
      <c r="AH28" s="1803"/>
      <c r="AI28" s="1803"/>
      <c r="AJ28" s="1803"/>
      <c r="AK28" s="1803"/>
      <c r="AL28" s="1803"/>
      <c r="AM28" s="1803"/>
      <c r="AN28" s="1803"/>
      <c r="AO28" s="1803"/>
      <c r="AP28" s="1803"/>
      <c r="AQ28" s="1803"/>
      <c r="AR28" s="1811"/>
      <c r="AS28" s="1811"/>
      <c r="AT28" s="1811"/>
      <c r="AU28" s="1811"/>
      <c r="AV28" s="1811"/>
      <c r="AW28" s="1811"/>
    </row>
    <row r="29" spans="1:49" ht="15.75">
      <c r="A29" s="221" t="s">
        <v>23</v>
      </c>
      <c r="B29" s="1803"/>
      <c r="C29" s="1146"/>
      <c r="D29" s="1146"/>
      <c r="E29" s="1146"/>
      <c r="F29" s="1146"/>
      <c r="G29" s="1146"/>
      <c r="H29" s="1146"/>
      <c r="I29" s="1823"/>
      <c r="J29" s="1823"/>
      <c r="K29" s="1823"/>
      <c r="L29" s="1823"/>
      <c r="M29" s="2294"/>
      <c r="N29" s="1146"/>
      <c r="O29" s="1146"/>
      <c r="P29" s="1146"/>
      <c r="Q29" s="1146"/>
      <c r="R29" s="1146"/>
      <c r="S29" s="1146"/>
      <c r="T29" s="1146"/>
      <c r="U29" s="1803"/>
      <c r="V29" s="1823"/>
      <c r="W29" s="1823"/>
      <c r="X29" s="1823"/>
      <c r="Y29" s="1823"/>
      <c r="Z29" s="1823"/>
      <c r="AA29" s="1823"/>
      <c r="AB29" s="1823"/>
      <c r="AC29" s="1823"/>
      <c r="AD29" s="1823"/>
      <c r="AE29" s="1803"/>
      <c r="AF29" s="1803"/>
      <c r="AG29" s="1803"/>
      <c r="AH29" s="1803"/>
      <c r="AI29" s="1803"/>
      <c r="AJ29" s="1803"/>
      <c r="AK29" s="1803"/>
      <c r="AL29" s="1803"/>
      <c r="AM29" s="1803"/>
      <c r="AN29" s="1803"/>
      <c r="AO29" s="1803"/>
      <c r="AP29" s="1803"/>
      <c r="AQ29" s="1803"/>
      <c r="AR29" s="1811"/>
      <c r="AS29" s="1811"/>
      <c r="AT29" s="1811"/>
      <c r="AU29" s="1811"/>
      <c r="AV29" s="1811"/>
      <c r="AW29" s="1811"/>
    </row>
    <row r="30" spans="1:49">
      <c r="A30" s="1638" t="s">
        <v>95</v>
      </c>
      <c r="B30" s="1825" t="s">
        <v>15</v>
      </c>
      <c r="C30" s="1299">
        <v>17077</v>
      </c>
      <c r="D30" s="1146"/>
      <c r="E30" s="1299">
        <v>17428</v>
      </c>
      <c r="F30" s="1146"/>
      <c r="G30" s="1299">
        <f>'Exhibit G state'!AC102</f>
        <v>17334.900000000001</v>
      </c>
      <c r="H30" s="1146"/>
      <c r="I30" s="1823">
        <f>ROUND(SUM(G30)-SUM(C30),1)</f>
        <v>257.89999999999998</v>
      </c>
      <c r="J30" s="1823"/>
      <c r="K30" s="1823">
        <f>ROUND(SUM(G30)-SUM(E30),1)</f>
        <v>-93.1</v>
      </c>
      <c r="L30" s="1823"/>
      <c r="M30" s="2294"/>
      <c r="N30" s="1299">
        <v>37681</v>
      </c>
      <c r="O30" s="1146"/>
      <c r="P30" s="1299">
        <v>38194</v>
      </c>
      <c r="Q30" s="1146"/>
      <c r="R30" s="1299">
        <f>'Exhibit G Federal'!AC71</f>
        <v>37927.300000000003</v>
      </c>
      <c r="S30" s="1146"/>
      <c r="T30" s="1146">
        <f>ROUND(SUM(R30)-SUM(N30),1)</f>
        <v>246.3</v>
      </c>
      <c r="U30" s="1803"/>
      <c r="V30" s="2925">
        <f>ROUND(SUM(R30)-SUM(P30),1)</f>
        <v>-266.7</v>
      </c>
      <c r="W30" s="1823"/>
      <c r="X30" s="1890"/>
      <c r="Y30" s="1823"/>
      <c r="Z30" s="1823"/>
      <c r="AA30" s="1823"/>
      <c r="AB30" s="1823"/>
      <c r="AC30" s="1823"/>
      <c r="AD30" s="1827"/>
      <c r="AE30" s="1828"/>
      <c r="AF30" s="1803"/>
      <c r="AG30" s="1828"/>
      <c r="AH30" s="1803"/>
      <c r="AI30" s="1828"/>
      <c r="AJ30" s="1829"/>
      <c r="AK30" s="1803"/>
      <c r="AL30" s="1803"/>
      <c r="AM30" s="1803"/>
      <c r="AN30" s="1803"/>
      <c r="AO30" s="1803"/>
      <c r="AP30" s="1803"/>
      <c r="AQ30" s="1803"/>
      <c r="AR30" s="1811"/>
      <c r="AS30" s="1811"/>
      <c r="AT30" s="1811"/>
      <c r="AU30" s="1811"/>
      <c r="AV30" s="1811"/>
      <c r="AW30" s="1811"/>
    </row>
    <row r="31" spans="1:49">
      <c r="A31" s="1638" t="s">
        <v>96</v>
      </c>
      <c r="B31" s="1825" t="s">
        <v>15</v>
      </c>
      <c r="C31" s="1299">
        <v>8653</v>
      </c>
      <c r="D31" s="1146"/>
      <c r="E31" s="1299">
        <v>8683</v>
      </c>
      <c r="F31" s="1146"/>
      <c r="G31" s="1299">
        <f>'Exhibit G state'!AC104+'Exhibit G state'!AC105</f>
        <v>8675.6</v>
      </c>
      <c r="H31" s="1146"/>
      <c r="I31" s="1823">
        <f>ROUND(SUM(G31)-SUM(C31),1)</f>
        <v>22.6</v>
      </c>
      <c r="J31" s="1823"/>
      <c r="K31" s="1823">
        <f t="shared" ref="K31:K34" si="4">ROUND(SUM(G31)-SUM(E31),1)</f>
        <v>-7.4</v>
      </c>
      <c r="L31" s="1823"/>
      <c r="M31" s="2294"/>
      <c r="N31" s="1299">
        <v>1484</v>
      </c>
      <c r="O31" s="1146"/>
      <c r="P31" s="1299">
        <v>1606</v>
      </c>
      <c r="Q31" s="1146"/>
      <c r="R31" s="1299">
        <f>'Exhibit G Federal'!AC73+'Exhibit G Federal'!AC74</f>
        <v>1621.6</v>
      </c>
      <c r="S31" s="1146"/>
      <c r="T31" s="1146">
        <f>ROUND(SUM(R31)-SUM(N31),1)</f>
        <v>137.6</v>
      </c>
      <c r="U31" s="1803"/>
      <c r="V31" s="2925">
        <f t="shared" ref="V31:V34" si="5">ROUND(SUM(R31)-SUM(P31),1)</f>
        <v>15.6</v>
      </c>
      <c r="W31" s="1823"/>
      <c r="X31" s="1890"/>
      <c r="Y31" s="1823"/>
      <c r="Z31" s="1823"/>
      <c r="AA31" s="1823"/>
      <c r="AB31" s="1823"/>
      <c r="AC31" s="1823"/>
      <c r="AD31" s="1824"/>
      <c r="AE31" s="1825"/>
      <c r="AF31" s="1803"/>
      <c r="AG31" s="1825"/>
      <c r="AH31" s="1803"/>
      <c r="AI31" s="1828"/>
      <c r="AJ31" s="1803"/>
      <c r="AK31" s="1803"/>
      <c r="AL31" s="1828"/>
      <c r="AM31" s="1828"/>
      <c r="AN31" s="1803"/>
      <c r="AO31" s="1828"/>
      <c r="AP31" s="1803"/>
      <c r="AQ31" s="1828"/>
      <c r="AR31" s="1811"/>
      <c r="AS31" s="1811"/>
      <c r="AT31" s="1811"/>
      <c r="AU31" s="1811"/>
      <c r="AV31" s="1811"/>
      <c r="AW31" s="1811"/>
    </row>
    <row r="32" spans="1:49">
      <c r="A32" s="1638" t="s">
        <v>71</v>
      </c>
      <c r="B32" s="1825" t="s">
        <v>15</v>
      </c>
      <c r="C32" s="1299">
        <v>1597</v>
      </c>
      <c r="D32" s="1146"/>
      <c r="E32" s="1299">
        <v>1703</v>
      </c>
      <c r="F32" s="1146"/>
      <c r="G32" s="1299">
        <f>'Exhibit G state'!AC106</f>
        <v>1741.2</v>
      </c>
      <c r="H32" s="1146"/>
      <c r="I32" s="1823">
        <f>ROUND(SUM(G32)-SUM(C32),1)</f>
        <v>144.19999999999999</v>
      </c>
      <c r="J32" s="1823"/>
      <c r="K32" s="1823">
        <f t="shared" si="4"/>
        <v>38.200000000000003</v>
      </c>
      <c r="L32" s="1823"/>
      <c r="M32" s="2294"/>
      <c r="N32" s="1299">
        <v>240</v>
      </c>
      <c r="O32" s="1146"/>
      <c r="P32" s="1299">
        <v>222</v>
      </c>
      <c r="Q32" s="1146"/>
      <c r="R32" s="1299">
        <f>'Exhibit G Federal'!AC75</f>
        <v>228.7</v>
      </c>
      <c r="S32" s="1146"/>
      <c r="T32" s="1146">
        <f>ROUND(SUM(R32)-SUM(N32),1)</f>
        <v>-11.3</v>
      </c>
      <c r="U32" s="1803"/>
      <c r="V32" s="2925">
        <f t="shared" si="5"/>
        <v>6.7</v>
      </c>
      <c r="W32" s="1823"/>
      <c r="X32" s="1890"/>
      <c r="Y32" s="1823"/>
      <c r="Z32" s="1823"/>
      <c r="AA32" s="1823"/>
      <c r="AB32" s="1823"/>
      <c r="AC32" s="1823"/>
      <c r="AD32" s="1827"/>
      <c r="AE32" s="1828"/>
      <c r="AF32" s="1803"/>
      <c r="AG32" s="1828"/>
      <c r="AH32" s="1803"/>
      <c r="AI32" s="1828"/>
      <c r="AJ32" s="1829"/>
      <c r="AK32" s="1803"/>
      <c r="AL32" s="1828"/>
      <c r="AM32" s="1828"/>
      <c r="AN32" s="1803"/>
      <c r="AO32" s="1828"/>
      <c r="AP32" s="1803"/>
      <c r="AQ32" s="1828"/>
      <c r="AR32" s="1811"/>
      <c r="AS32" s="1811"/>
      <c r="AT32" s="1811"/>
      <c r="AU32" s="1811"/>
      <c r="AV32" s="1811"/>
      <c r="AW32" s="1811"/>
    </row>
    <row r="33" spans="1:49">
      <c r="A33" s="1638" t="s">
        <v>42</v>
      </c>
      <c r="B33" s="1829" t="s">
        <v>15</v>
      </c>
      <c r="C33" s="1226">
        <v>0</v>
      </c>
      <c r="D33" s="1146"/>
      <c r="E33" s="1226">
        <v>3</v>
      </c>
      <c r="F33" s="1146"/>
      <c r="G33" s="1226">
        <f>'Exhibit G state'!AC107</f>
        <v>2.7</v>
      </c>
      <c r="H33" s="1146"/>
      <c r="I33" s="1823">
        <f>ROUND(SUM(G33)-SUM(C33),1)</f>
        <v>2.7</v>
      </c>
      <c r="J33" s="1823"/>
      <c r="K33" s="1823">
        <f t="shared" si="4"/>
        <v>-0.3</v>
      </c>
      <c r="L33" s="1823"/>
      <c r="M33" s="2295"/>
      <c r="N33" s="1226">
        <v>0</v>
      </c>
      <c r="O33" s="1146"/>
      <c r="P33" s="1226">
        <v>0</v>
      </c>
      <c r="Q33" s="1146"/>
      <c r="R33" s="1226">
        <v>0</v>
      </c>
      <c r="S33" s="1146"/>
      <c r="T33" s="1146">
        <f>ROUND(SUM(R33)-SUM(N33),1)</f>
        <v>0</v>
      </c>
      <c r="U33" s="1829"/>
      <c r="V33" s="2925">
        <f t="shared" si="5"/>
        <v>0</v>
      </c>
      <c r="W33" s="1823"/>
      <c r="X33" s="1890"/>
      <c r="Y33" s="1823"/>
      <c r="Z33" s="1823"/>
      <c r="AA33" s="1823"/>
      <c r="AB33" s="1823"/>
      <c r="AC33" s="1823"/>
      <c r="AD33" s="1827"/>
      <c r="AE33" s="1828"/>
      <c r="AF33" s="1803"/>
      <c r="AG33" s="1828"/>
      <c r="AH33" s="1803"/>
      <c r="AI33" s="1828"/>
      <c r="AJ33" s="1829"/>
      <c r="AK33" s="1803"/>
      <c r="AL33" s="1803"/>
      <c r="AM33" s="1803"/>
      <c r="AN33" s="1803"/>
      <c r="AO33" s="1803"/>
      <c r="AP33" s="1803"/>
      <c r="AQ33" s="1803"/>
      <c r="AR33" s="1811"/>
      <c r="AS33" s="1811"/>
      <c r="AT33" s="1811"/>
      <c r="AU33" s="1811"/>
      <c r="AV33" s="1811"/>
      <c r="AW33" s="1811"/>
    </row>
    <row r="34" spans="1:49">
      <c r="A34" s="1638" t="s">
        <v>100</v>
      </c>
      <c r="B34" s="1829" t="s">
        <v>15</v>
      </c>
      <c r="C34" s="1317">
        <v>281</v>
      </c>
      <c r="D34" s="1146"/>
      <c r="E34" s="1317">
        <v>236</v>
      </c>
      <c r="F34" s="1146"/>
      <c r="G34" s="1317">
        <f>-'Exhibit G state'!AC116</f>
        <v>273.8</v>
      </c>
      <c r="H34" s="1146"/>
      <c r="I34" s="1823">
        <f>ROUND(SUM(G34)-SUM(C34),1)</f>
        <v>-7.2</v>
      </c>
      <c r="J34" s="1823"/>
      <c r="K34" s="1823">
        <f t="shared" si="4"/>
        <v>37.799999999999997</v>
      </c>
      <c r="L34" s="1823"/>
      <c r="M34" s="2295"/>
      <c r="N34" s="1317">
        <v>1356</v>
      </c>
      <c r="O34" s="1146"/>
      <c r="P34" s="1317">
        <v>1491</v>
      </c>
      <c r="Q34" s="1146"/>
      <c r="R34" s="1317">
        <f>-'Exhibit G Federal'!AC85</f>
        <v>1526.1</v>
      </c>
      <c r="S34" s="1146"/>
      <c r="T34" s="1146">
        <f>ROUND(SUM(R34)-SUM(N34),1)</f>
        <v>170.1</v>
      </c>
      <c r="U34" s="1829"/>
      <c r="V34" s="2925">
        <f t="shared" si="5"/>
        <v>35.1</v>
      </c>
      <c r="W34" s="1823"/>
      <c r="X34" s="1890"/>
      <c r="Y34" s="1823"/>
      <c r="Z34" s="1824"/>
      <c r="AA34" s="1823"/>
      <c r="AB34" s="1823"/>
      <c r="AC34" s="1823"/>
      <c r="AD34" s="1827"/>
      <c r="AE34" s="1828"/>
      <c r="AF34" s="1803"/>
      <c r="AG34" s="1828"/>
      <c r="AH34" s="1803"/>
      <c r="AI34" s="1828"/>
      <c r="AJ34" s="1829"/>
      <c r="AK34" s="1803"/>
      <c r="AL34" s="1803"/>
      <c r="AM34" s="1803"/>
      <c r="AN34" s="1803"/>
      <c r="AO34" s="1803"/>
      <c r="AP34" s="1803"/>
      <c r="AQ34" s="1803"/>
      <c r="AR34" s="1811"/>
      <c r="AS34" s="1811"/>
      <c r="AT34" s="1811"/>
      <c r="AU34" s="1811"/>
      <c r="AV34" s="1811"/>
      <c r="AW34" s="1811"/>
    </row>
    <row r="35" spans="1:49" ht="18" customHeight="1">
      <c r="A35" s="374" t="s">
        <v>121</v>
      </c>
      <c r="B35" s="352" t="s">
        <v>15</v>
      </c>
      <c r="C35" s="543">
        <f>ROUND(SUM(C30:C34),1)</f>
        <v>27608</v>
      </c>
      <c r="D35" s="1802"/>
      <c r="E35" s="543">
        <f>ROUND(SUM(E30:E34),1)</f>
        <v>28053</v>
      </c>
      <c r="F35" s="1802"/>
      <c r="G35" s="543">
        <f>ROUND(SUM(G30:G34),1)</f>
        <v>28028.2</v>
      </c>
      <c r="H35" s="1802"/>
      <c r="I35" s="543">
        <f>ROUND(SUM(I30:I34),1)</f>
        <v>420.2</v>
      </c>
      <c r="J35" s="272"/>
      <c r="K35" s="543">
        <f>ROUND(SUM(K30:K34),1)</f>
        <v>-24.8</v>
      </c>
      <c r="L35" s="272"/>
      <c r="M35" s="2298"/>
      <c r="N35" s="543">
        <f>ROUND(SUM(N30:N34),1)</f>
        <v>40761</v>
      </c>
      <c r="O35" s="1802"/>
      <c r="P35" s="543">
        <f>ROUND(SUM(P30:P34),1)</f>
        <v>41513</v>
      </c>
      <c r="Q35" s="1802"/>
      <c r="R35" s="543">
        <f>ROUND(SUM(R30:R34),1)</f>
        <v>41303.699999999997</v>
      </c>
      <c r="S35" s="1802"/>
      <c r="T35" s="543">
        <f>ROUND(SUM(T30:T34),1)</f>
        <v>542.70000000000005</v>
      </c>
      <c r="U35" s="352"/>
      <c r="V35" s="543">
        <f>ROUND(SUM(V30:V34),1)</f>
        <v>-209.3</v>
      </c>
      <c r="W35" s="272"/>
      <c r="X35" s="272"/>
      <c r="Y35" s="272"/>
      <c r="Z35" s="272"/>
      <c r="AA35" s="272"/>
      <c r="AB35" s="272"/>
      <c r="AC35" s="272"/>
      <c r="AD35" s="272"/>
      <c r="AE35" s="352"/>
      <c r="AF35" s="352"/>
      <c r="AG35" s="352"/>
      <c r="AH35" s="352"/>
      <c r="AI35" s="352"/>
      <c r="AJ35" s="352"/>
      <c r="AK35" s="352"/>
      <c r="AL35" s="352"/>
      <c r="AM35" s="352"/>
      <c r="AN35" s="352"/>
      <c r="AO35" s="352"/>
      <c r="AP35" s="352"/>
      <c r="AQ35" s="352"/>
      <c r="AR35" s="1811"/>
      <c r="AS35" s="1811"/>
      <c r="AT35" s="1811"/>
      <c r="AU35" s="1811"/>
      <c r="AV35" s="1811"/>
      <c r="AW35" s="1811"/>
    </row>
    <row r="36" spans="1:49">
      <c r="A36" s="1321"/>
      <c r="B36" s="1803"/>
      <c r="C36" s="1319"/>
      <c r="D36" s="1146"/>
      <c r="E36" s="1319"/>
      <c r="F36" s="1146"/>
      <c r="G36" s="1319"/>
      <c r="H36" s="1146"/>
      <c r="I36" s="1823"/>
      <c r="J36" s="1823"/>
      <c r="K36" s="1823"/>
      <c r="L36" s="1823"/>
      <c r="M36" s="2294"/>
      <c r="N36" s="1823"/>
      <c r="O36" s="1146"/>
      <c r="P36" s="1319"/>
      <c r="Q36" s="1146"/>
      <c r="R36" s="1319"/>
      <c r="S36" s="1146"/>
      <c r="T36" s="1823"/>
      <c r="U36" s="1803"/>
      <c r="V36" s="1823"/>
      <c r="W36" s="1823"/>
      <c r="X36" s="1823"/>
      <c r="Y36" s="1823"/>
      <c r="Z36" s="1823"/>
      <c r="AA36" s="1823"/>
      <c r="AB36" s="1823"/>
      <c r="AC36" s="1823"/>
      <c r="AD36" s="1823"/>
      <c r="AE36" s="1803"/>
      <c r="AF36" s="1803"/>
      <c r="AG36" s="1803"/>
      <c r="AH36" s="1803"/>
      <c r="AI36" s="1803"/>
      <c r="AJ36" s="1803"/>
      <c r="AK36" s="1803"/>
      <c r="AL36" s="1803"/>
      <c r="AM36" s="1803"/>
      <c r="AN36" s="1803"/>
      <c r="AO36" s="1803"/>
      <c r="AP36" s="1803"/>
      <c r="AQ36" s="1803"/>
      <c r="AR36" s="1811"/>
      <c r="AS36" s="1811"/>
      <c r="AT36" s="1811"/>
      <c r="AU36" s="1811"/>
      <c r="AV36" s="1811"/>
      <c r="AW36" s="1811"/>
    </row>
    <row r="37" spans="1:49" ht="15.75">
      <c r="A37" s="221" t="s">
        <v>122</v>
      </c>
      <c r="B37" s="1803"/>
      <c r="C37" s="1146"/>
      <c r="D37" s="1146"/>
      <c r="E37" s="1146"/>
      <c r="F37" s="1146"/>
      <c r="G37" s="1146"/>
      <c r="H37" s="1146"/>
      <c r="I37" s="1823"/>
      <c r="J37" s="1823"/>
      <c r="K37" s="1823"/>
      <c r="L37" s="1823"/>
      <c r="M37" s="2294"/>
      <c r="N37" s="1146"/>
      <c r="O37" s="1146"/>
      <c r="P37" s="1146"/>
      <c r="Q37" s="1146"/>
      <c r="R37" s="1146"/>
      <c r="S37" s="1146"/>
      <c r="T37" s="1146"/>
      <c r="U37" s="1803"/>
      <c r="V37" s="1823"/>
      <c r="W37" s="1823"/>
      <c r="X37" s="1823"/>
      <c r="Y37" s="1823"/>
      <c r="Z37" s="1823"/>
      <c r="AA37" s="1823"/>
      <c r="AB37" s="1823"/>
      <c r="AC37" s="1823"/>
      <c r="AD37" s="1823"/>
      <c r="AE37" s="1803"/>
      <c r="AF37" s="1803"/>
      <c r="AG37" s="1803"/>
      <c r="AH37" s="1803"/>
      <c r="AI37" s="1803"/>
      <c r="AJ37" s="1803"/>
      <c r="AK37" s="1803"/>
      <c r="AL37" s="1803"/>
      <c r="AM37" s="1803"/>
      <c r="AN37" s="1803"/>
      <c r="AO37" s="1803"/>
      <c r="AP37" s="1803"/>
      <c r="AQ37" s="1803"/>
      <c r="AR37" s="1811"/>
      <c r="AS37" s="1811"/>
      <c r="AT37" s="1811"/>
      <c r="AU37" s="1811"/>
      <c r="AV37" s="1811"/>
      <c r="AW37" s="1811"/>
    </row>
    <row r="38" spans="1:49" ht="15.75">
      <c r="A38" s="221" t="s">
        <v>123</v>
      </c>
      <c r="B38" s="1803"/>
      <c r="C38" s="1146"/>
      <c r="D38" s="1146"/>
      <c r="E38" s="1146"/>
      <c r="F38" s="1146"/>
      <c r="G38" s="1146"/>
      <c r="H38" s="1146"/>
      <c r="I38" s="1823"/>
      <c r="J38" s="1823"/>
      <c r="K38" s="1823"/>
      <c r="L38" s="1823"/>
      <c r="M38" s="2294"/>
      <c r="N38" s="1146"/>
      <c r="O38" s="1146"/>
      <c r="P38" s="1146"/>
      <c r="Q38" s="1146"/>
      <c r="R38" s="1146"/>
      <c r="S38" s="1146"/>
      <c r="T38" s="1146"/>
      <c r="U38" s="1803"/>
      <c r="V38" s="1823"/>
      <c r="W38" s="1823"/>
      <c r="X38" s="1823"/>
      <c r="Y38" s="1823"/>
      <c r="Z38" s="1823"/>
      <c r="AA38" s="1823"/>
      <c r="AB38" s="1823"/>
      <c r="AC38" s="1823"/>
      <c r="AD38" s="1823"/>
      <c r="AE38" s="1803"/>
      <c r="AF38" s="1803"/>
      <c r="AG38" s="1803"/>
      <c r="AH38" s="1803"/>
      <c r="AI38" s="1803"/>
      <c r="AJ38" s="1803"/>
      <c r="AK38" s="1803"/>
      <c r="AL38" s="1803"/>
      <c r="AM38" s="1803"/>
      <c r="AN38" s="1803"/>
      <c r="AO38" s="1803"/>
      <c r="AP38" s="1803"/>
      <c r="AQ38" s="1803"/>
      <c r="AR38" s="1811"/>
      <c r="AS38" s="1811"/>
      <c r="AT38" s="1811"/>
      <c r="AU38" s="1811"/>
      <c r="AV38" s="1811"/>
      <c r="AW38" s="1811"/>
    </row>
    <row r="39" spans="1:49" ht="15.75">
      <c r="A39" s="374" t="s">
        <v>104</v>
      </c>
      <c r="B39" s="1801" t="s">
        <v>15</v>
      </c>
      <c r="C39" s="272">
        <f>ROUND(SUM(C27)-SUM(C35),1)</f>
        <v>-305</v>
      </c>
      <c r="D39" s="283"/>
      <c r="E39" s="272">
        <f>ROUND(SUM(E27)-SUM(E35),1)</f>
        <v>8</v>
      </c>
      <c r="F39" s="283"/>
      <c r="G39" s="272">
        <f>ROUND(SUM(G27)-SUM(G35),1)</f>
        <v>86.9</v>
      </c>
      <c r="H39" s="283"/>
      <c r="I39" s="272">
        <f>ROUND(SUM(I27)-SUM(I35),1)</f>
        <v>391.9</v>
      </c>
      <c r="J39" s="272"/>
      <c r="K39" s="2926">
        <f>ROUND(SUM(K27)-SUM(K35),1)</f>
        <v>78.900000000000006</v>
      </c>
      <c r="L39" s="272"/>
      <c r="M39" s="2296"/>
      <c r="N39" s="272">
        <f>ROUND(SUM(N27)-SUM(N35),1)</f>
        <v>61</v>
      </c>
      <c r="O39" s="283"/>
      <c r="P39" s="272">
        <f>ROUND(SUM(P27)-SUM(P35),1)</f>
        <v>303</v>
      </c>
      <c r="Q39" s="283"/>
      <c r="R39" s="272">
        <f>ROUND(SUM(R27)-SUM(R35),1)</f>
        <v>427.2</v>
      </c>
      <c r="S39" s="283"/>
      <c r="T39" s="272">
        <f>ROUND(SUM(T27)-SUM(T35),1)</f>
        <v>366.2</v>
      </c>
      <c r="U39" s="352"/>
      <c r="V39" s="2926">
        <f>ROUND(SUM(V27)-SUM(V35),1)</f>
        <v>124.2</v>
      </c>
      <c r="W39" s="740"/>
      <c r="X39" s="272"/>
      <c r="Y39" s="740"/>
      <c r="Z39" s="272"/>
      <c r="AA39" s="740"/>
      <c r="AB39" s="272"/>
      <c r="AC39" s="740"/>
      <c r="AD39" s="272"/>
      <c r="AE39" s="352"/>
      <c r="AF39" s="375"/>
      <c r="AG39" s="352"/>
      <c r="AH39" s="375"/>
      <c r="AI39" s="352"/>
      <c r="AJ39" s="352"/>
      <c r="AK39" s="375"/>
      <c r="AL39" s="352"/>
      <c r="AM39" s="352"/>
      <c r="AN39" s="375"/>
      <c r="AO39" s="352"/>
      <c r="AP39" s="375"/>
      <c r="AQ39" s="352"/>
      <c r="AR39" s="1811"/>
      <c r="AS39" s="1811"/>
      <c r="AT39" s="1811"/>
      <c r="AU39" s="1811"/>
      <c r="AV39" s="1811"/>
      <c r="AW39" s="1811"/>
    </row>
    <row r="40" spans="1:49" ht="15" customHeight="1">
      <c r="C40" s="1242"/>
      <c r="D40" s="1812"/>
      <c r="E40" s="1242"/>
      <c r="F40" s="1812"/>
      <c r="G40" s="1242"/>
      <c r="H40" s="1812"/>
      <c r="I40" s="272"/>
      <c r="J40" s="272"/>
      <c r="K40" s="2926"/>
      <c r="L40" s="272"/>
      <c r="M40" s="2296"/>
      <c r="N40" s="1242"/>
      <c r="O40" s="1812"/>
      <c r="P40" s="1242"/>
      <c r="Q40" s="1812"/>
      <c r="R40" s="1242"/>
      <c r="S40" s="1812"/>
      <c r="T40" s="272"/>
      <c r="U40" s="352"/>
      <c r="V40" s="2926"/>
      <c r="W40" s="1242"/>
      <c r="X40" s="1242"/>
      <c r="Y40" s="1242"/>
      <c r="Z40" s="1242"/>
      <c r="AA40" s="1242"/>
      <c r="AB40" s="1242"/>
      <c r="AC40" s="1242"/>
      <c r="AD40" s="1242"/>
      <c r="AR40" s="1811"/>
      <c r="AS40" s="1811"/>
      <c r="AT40" s="1811"/>
      <c r="AU40" s="1811"/>
      <c r="AV40" s="1811"/>
      <c r="AW40" s="1811"/>
    </row>
    <row r="41" spans="1:49" ht="15.75">
      <c r="A41" s="374" t="str">
        <f>+'Exh D-Governmental  '!A49</f>
        <v>Fund Balances (Deficits) at April 1</v>
      </c>
      <c r="B41" s="1124" t="s">
        <v>15</v>
      </c>
      <c r="C41" s="272">
        <v>3547</v>
      </c>
      <c r="D41" s="1812"/>
      <c r="E41" s="272">
        <v>3547</v>
      </c>
      <c r="F41" s="1812"/>
      <c r="G41" s="272">
        <v>3547.4</v>
      </c>
      <c r="H41" s="1812"/>
      <c r="I41" s="280">
        <f>ROUND(SUM(G41-C41),1)</f>
        <v>0.4</v>
      </c>
      <c r="J41" s="280"/>
      <c r="K41" s="280">
        <f>ROUND(SUM(G41-E41),1)</f>
        <v>0.4</v>
      </c>
      <c r="L41" s="280"/>
      <c r="M41" s="2296"/>
      <c r="N41" s="272">
        <v>60</v>
      </c>
      <c r="O41" s="1812"/>
      <c r="P41" s="272">
        <v>60</v>
      </c>
      <c r="Q41" s="1812"/>
      <c r="R41" s="272">
        <v>59.7</v>
      </c>
      <c r="S41" s="1812"/>
      <c r="T41" s="280">
        <f>ROUND(SUM(R41-N41),1)</f>
        <v>-0.3</v>
      </c>
      <c r="U41" s="352"/>
      <c r="V41" s="280">
        <f>ROUND(SUM(R41-P41),1)</f>
        <v>-0.3</v>
      </c>
      <c r="W41" s="1242"/>
      <c r="X41" s="272"/>
      <c r="Y41" s="1242"/>
      <c r="Z41" s="272"/>
      <c r="AA41" s="1242"/>
      <c r="AB41" s="280"/>
      <c r="AC41" s="1242"/>
      <c r="AD41" s="1242"/>
      <c r="AR41" s="1811"/>
      <c r="AS41" s="1811"/>
      <c r="AT41" s="1811"/>
      <c r="AU41" s="1811"/>
      <c r="AV41" s="1811"/>
      <c r="AW41" s="1811"/>
    </row>
    <row r="42" spans="1:49" ht="18" customHeight="1" thickBot="1">
      <c r="A42" s="2512" t="str">
        <f>+'Exh D-Governmental  '!A50</f>
        <v>Fund Balances (Deficits) at January 31, 2017</v>
      </c>
      <c r="B42" s="381" t="s">
        <v>15</v>
      </c>
      <c r="C42" s="297">
        <f>ROUND(SUM(C39:C41),1)</f>
        <v>3242</v>
      </c>
      <c r="D42" s="382"/>
      <c r="E42" s="297">
        <f>ROUND(SUM(E39:E41),1)</f>
        <v>3555</v>
      </c>
      <c r="F42" s="382"/>
      <c r="G42" s="297">
        <f>ROUND(SUM(G39:G41),1)</f>
        <v>3634.3</v>
      </c>
      <c r="H42" s="382"/>
      <c r="I42" s="297">
        <f>ROUND(SUM(I39:I41),1)</f>
        <v>392.3</v>
      </c>
      <c r="J42" s="422"/>
      <c r="K42" s="297">
        <f>ROUND(SUM(K39:K41),1)</f>
        <v>79.3</v>
      </c>
      <c r="L42" s="422"/>
      <c r="M42" s="2297"/>
      <c r="N42" s="297">
        <f>ROUND(SUM(N39:N41),1)</f>
        <v>121</v>
      </c>
      <c r="O42" s="297">
        <f>ROUND(SUM(O39:O41),1)</f>
        <v>0</v>
      </c>
      <c r="P42" s="297">
        <f>ROUND(SUM(P39:P41),1)</f>
        <v>363</v>
      </c>
      <c r="Q42" s="382"/>
      <c r="R42" s="297">
        <f>ROUND(SUM(R39:R41),1)</f>
        <v>486.9</v>
      </c>
      <c r="S42" s="382"/>
      <c r="T42" s="297">
        <f>ROUND(SUM(T39:T41),1)</f>
        <v>365.9</v>
      </c>
      <c r="U42" s="352"/>
      <c r="V42" s="297">
        <f>ROUND(SUM(V39:V41),1)</f>
        <v>123.9</v>
      </c>
      <c r="W42" s="1893"/>
      <c r="X42" s="422"/>
      <c r="Y42" s="1893"/>
      <c r="Z42" s="422"/>
      <c r="AA42" s="1893"/>
      <c r="AB42" s="422"/>
      <c r="AR42" s="1811"/>
      <c r="AS42" s="1811"/>
      <c r="AT42" s="1811"/>
      <c r="AU42" s="1811"/>
      <c r="AV42" s="1811"/>
      <c r="AW42" s="1811"/>
    </row>
    <row r="43" spans="1:49" ht="15" customHeight="1" thickTop="1">
      <c r="A43" s="356"/>
      <c r="G43" s="1124"/>
      <c r="J43" s="1124"/>
      <c r="V43" s="1124"/>
      <c r="W43" s="1894"/>
      <c r="X43" s="1320"/>
      <c r="Y43" s="1894"/>
      <c r="Z43" s="1894"/>
      <c r="AA43" s="1894"/>
      <c r="AB43" s="1894"/>
      <c r="AR43" s="1811"/>
      <c r="AS43" s="1811"/>
      <c r="AT43" s="1811"/>
      <c r="AU43" s="1811"/>
      <c r="AV43" s="1811"/>
      <c r="AW43" s="1811"/>
    </row>
    <row r="44" spans="1:49">
      <c r="A44" s="1816" t="s">
        <v>1484</v>
      </c>
      <c r="AR44" s="1811"/>
      <c r="AS44" s="1811"/>
      <c r="AT44" s="1811"/>
      <c r="AU44" s="1811"/>
      <c r="AV44" s="1811"/>
      <c r="AW44" s="1811"/>
    </row>
    <row r="45" spans="1:49">
      <c r="A45" s="1170" t="str">
        <f>'Exh D-Governmental  '!A53</f>
        <v>(**)    Source:  2017-18 Executive Budget dated January 17, 2017.</v>
      </c>
      <c r="B45" s="1811"/>
      <c r="C45" s="1811"/>
      <c r="D45" s="1811"/>
      <c r="E45" s="1811"/>
      <c r="F45" s="1811"/>
      <c r="G45" s="1811"/>
      <c r="H45" s="1811"/>
      <c r="I45" s="1811"/>
      <c r="J45" s="1811"/>
      <c r="K45" s="1811"/>
      <c r="L45" s="1326"/>
      <c r="M45" s="1326"/>
      <c r="N45" s="1811"/>
      <c r="O45" s="1811"/>
      <c r="P45" s="1811"/>
      <c r="Q45" s="1811"/>
      <c r="R45" s="1811"/>
      <c r="S45" s="1811"/>
      <c r="T45" s="1811"/>
      <c r="U45" s="1811"/>
      <c r="V45" s="1326"/>
      <c r="W45" s="1326"/>
      <c r="X45" s="1326"/>
      <c r="Y45" s="1326"/>
      <c r="Z45" s="1326"/>
      <c r="AA45" s="1326"/>
      <c r="AB45" s="1326"/>
      <c r="AC45" s="1811"/>
      <c r="AD45" s="1811"/>
      <c r="AE45" s="1811"/>
      <c r="AF45" s="1811"/>
      <c r="AG45" s="1811"/>
      <c r="AH45" s="1811"/>
      <c r="AI45" s="1811"/>
      <c r="AJ45" s="1811"/>
      <c r="AK45" s="1811"/>
      <c r="AL45" s="1811"/>
      <c r="AM45" s="1811"/>
      <c r="AN45" s="1811"/>
      <c r="AO45" s="1811"/>
      <c r="AP45" s="1811"/>
      <c r="AQ45" s="1811"/>
      <c r="AR45" s="1811"/>
      <c r="AS45" s="1811"/>
      <c r="AT45" s="1811"/>
      <c r="AU45" s="1811"/>
      <c r="AV45" s="1811"/>
      <c r="AW45" s="1811"/>
    </row>
    <row r="46" spans="1:49">
      <c r="A46" s="2783"/>
      <c r="B46" s="1811"/>
      <c r="C46" s="1831"/>
      <c r="D46" s="1811"/>
      <c r="E46" s="1811"/>
      <c r="F46" s="1811"/>
      <c r="G46" s="1811"/>
      <c r="H46" s="1811"/>
      <c r="I46" s="1811"/>
      <c r="J46" s="1811"/>
      <c r="K46" s="1811"/>
      <c r="L46" s="1326"/>
      <c r="M46" s="1326"/>
      <c r="N46" s="1811"/>
      <c r="O46" s="1811"/>
      <c r="P46" s="1811"/>
      <c r="Q46" s="1811"/>
      <c r="R46" s="1811"/>
      <c r="S46" s="1811"/>
      <c r="T46" s="1811"/>
      <c r="U46" s="1811"/>
      <c r="V46" s="1326"/>
      <c r="W46" s="1326"/>
      <c r="X46" s="1326"/>
      <c r="Y46" s="1326"/>
      <c r="Z46" s="1326"/>
      <c r="AA46" s="1326"/>
      <c r="AB46" s="1326"/>
      <c r="AC46" s="1811"/>
      <c r="AD46" s="1811"/>
      <c r="AE46" s="1811"/>
      <c r="AF46" s="1811"/>
      <c r="AG46" s="1811"/>
      <c r="AH46" s="1811"/>
      <c r="AI46" s="1811"/>
      <c r="AJ46" s="1811"/>
      <c r="AK46" s="1811"/>
      <c r="AL46" s="1811"/>
      <c r="AM46" s="1811"/>
      <c r="AN46" s="1811"/>
      <c r="AO46" s="1811"/>
      <c r="AP46" s="1811"/>
      <c r="AQ46" s="1811"/>
      <c r="AR46" s="1811"/>
      <c r="AS46" s="1811"/>
      <c r="AT46" s="1811"/>
      <c r="AU46" s="1811"/>
      <c r="AV46" s="1811"/>
      <c r="AW46" s="1811"/>
    </row>
    <row r="47" spans="1:49">
      <c r="A47" s="1773"/>
    </row>
    <row r="48" spans="1:49">
      <c r="A48" s="405"/>
      <c r="B48" s="1811"/>
      <c r="C48" s="1811"/>
      <c r="D48" s="1811"/>
      <c r="E48" s="1811"/>
      <c r="F48" s="1811"/>
      <c r="G48" s="1811"/>
      <c r="H48" s="1811"/>
      <c r="I48" s="1811"/>
      <c r="J48" s="1811"/>
      <c r="K48" s="1811"/>
      <c r="L48" s="1326"/>
      <c r="M48" s="1326"/>
      <c r="N48" s="1811"/>
      <c r="O48" s="1811"/>
      <c r="P48" s="1811"/>
      <c r="Q48" s="1811"/>
      <c r="R48" s="1811"/>
      <c r="S48" s="1811"/>
      <c r="T48" s="1811"/>
      <c r="U48" s="1811"/>
      <c r="V48" s="1326"/>
      <c r="W48" s="1326"/>
      <c r="X48" s="1326"/>
      <c r="Y48" s="1326"/>
      <c r="Z48" s="1326"/>
      <c r="AA48" s="1326"/>
      <c r="AB48" s="1326"/>
      <c r="AC48" s="1811"/>
      <c r="AD48" s="1811"/>
      <c r="AE48" s="1811"/>
      <c r="AF48" s="1811"/>
      <c r="AG48" s="1811"/>
      <c r="AH48" s="1811"/>
      <c r="AI48" s="1811"/>
      <c r="AJ48" s="1811"/>
      <c r="AK48" s="1811"/>
      <c r="AL48" s="1811"/>
      <c r="AM48" s="1811"/>
      <c r="AN48" s="1811"/>
      <c r="AO48" s="1811"/>
      <c r="AP48" s="1811"/>
      <c r="AQ48" s="1811"/>
      <c r="AR48" s="1811"/>
      <c r="AS48" s="1811"/>
      <c r="AT48" s="1811"/>
      <c r="AU48" s="1811"/>
      <c r="AV48" s="1811"/>
      <c r="AW48" s="1811"/>
    </row>
    <row r="49" spans="1:49">
      <c r="A49" s="405"/>
      <c r="B49" s="1811"/>
      <c r="C49" s="1811"/>
      <c r="D49" s="1811"/>
      <c r="E49" s="1811"/>
      <c r="F49" s="1811"/>
      <c r="G49" s="1811"/>
      <c r="H49" s="1811"/>
      <c r="I49" s="1811"/>
      <c r="J49" s="1811"/>
      <c r="K49" s="1811"/>
      <c r="L49" s="1326"/>
      <c r="M49" s="1326"/>
      <c r="N49" s="1811"/>
      <c r="O49" s="1811"/>
      <c r="P49" s="1811"/>
      <c r="Q49" s="1811"/>
      <c r="R49" s="1811"/>
      <c r="S49" s="1811"/>
      <c r="T49" s="1811"/>
      <c r="U49" s="1811"/>
      <c r="V49" s="1326"/>
      <c r="W49" s="1326"/>
      <c r="X49" s="1326"/>
      <c r="Y49" s="1326"/>
      <c r="Z49" s="1326"/>
      <c r="AA49" s="1326"/>
      <c r="AB49" s="1326"/>
      <c r="AC49" s="1811"/>
      <c r="AD49" s="1811"/>
      <c r="AE49" s="1811"/>
      <c r="AF49" s="1811"/>
      <c r="AG49" s="1811"/>
      <c r="AH49" s="1811"/>
      <c r="AI49" s="1811"/>
      <c r="AJ49" s="1811"/>
      <c r="AK49" s="1811"/>
      <c r="AL49" s="1811"/>
      <c r="AM49" s="1811"/>
      <c r="AN49" s="1811"/>
      <c r="AO49" s="1811"/>
      <c r="AP49" s="1811"/>
      <c r="AQ49" s="1811"/>
      <c r="AR49" s="1811"/>
      <c r="AS49" s="1811"/>
      <c r="AT49" s="1811"/>
      <c r="AU49" s="1811"/>
      <c r="AV49" s="1811"/>
      <c r="AW49" s="1811"/>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2"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zoomScaleNormal="90" workbookViewId="0"/>
  </sheetViews>
  <sheetFormatPr defaultColWidth="8.88671875" defaultRowHeight="15"/>
  <cols>
    <col min="1" max="1" width="47.88671875" style="1811" customWidth="1"/>
    <col min="2" max="2" width="2" style="1124" customWidth="1"/>
    <col min="3" max="3" width="15.77734375" style="788" customWidth="1"/>
    <col min="4" max="4" width="4.77734375" style="1815" customWidth="1"/>
    <col min="5" max="5" width="15.77734375" style="788" customWidth="1"/>
    <col min="6" max="6" width="4.77734375" style="1815" customWidth="1"/>
    <col min="7" max="7" width="15.77734375" style="1815" customWidth="1"/>
    <col min="8" max="8" width="4.77734375" style="1815" customWidth="1"/>
    <col min="9" max="9" width="15.77734375" style="1815" customWidth="1"/>
    <col min="10" max="10" width="2" style="1124" customWidth="1"/>
    <col min="11" max="11" width="11.88671875" style="1124" customWidth="1"/>
    <col min="12" max="12" width="11.44140625" style="1124" customWidth="1"/>
    <col min="13" max="13" width="1.88671875" style="1124" customWidth="1"/>
    <col min="14" max="14" width="11.6640625" style="1124" customWidth="1"/>
    <col min="15" max="15" width="2.109375" style="1124" customWidth="1"/>
    <col min="16" max="16" width="11.44140625" style="1124" customWidth="1"/>
    <col min="17" max="17" width="0.5546875" style="1124" customWidth="1"/>
    <col min="18" max="18" width="2.33203125" style="1124" customWidth="1"/>
    <col min="19" max="19" width="10.5546875" style="1124" customWidth="1"/>
    <col min="20" max="20" width="11.109375" style="1124" customWidth="1"/>
    <col min="21" max="21" width="2.21875" style="1124" customWidth="1"/>
    <col min="22" max="22" width="11.109375" style="1124" customWidth="1"/>
    <col min="23" max="23" width="2.109375" style="1124" customWidth="1"/>
    <col min="24" max="24" width="12.44140625" style="1124" customWidth="1"/>
    <col min="25" max="29" width="8.88671875" style="1124"/>
    <col min="30" max="30" width="8.88671875" style="1815"/>
    <col min="31" max="16384" width="8.88671875" style="1811"/>
  </cols>
  <sheetData>
    <row r="1" spans="1:24">
      <c r="A1" s="1817" t="s">
        <v>1090</v>
      </c>
      <c r="B1" s="387"/>
      <c r="C1" s="782"/>
      <c r="D1" s="388"/>
      <c r="E1" s="782"/>
      <c r="F1" s="388"/>
      <c r="G1" s="388"/>
      <c r="H1" s="388"/>
      <c r="I1" s="388"/>
      <c r="J1" s="388"/>
      <c r="K1" s="387"/>
      <c r="L1" s="387"/>
      <c r="M1" s="387"/>
      <c r="N1" s="387"/>
      <c r="O1" s="387"/>
      <c r="P1" s="387"/>
      <c r="Q1" s="387"/>
      <c r="R1" s="387"/>
      <c r="S1" s="387"/>
      <c r="T1" s="387"/>
      <c r="U1" s="387"/>
      <c r="V1" s="387"/>
      <c r="W1" s="387"/>
      <c r="X1" s="387"/>
    </row>
    <row r="2" spans="1:24" ht="16.899999999999999" customHeight="1">
      <c r="A2" s="389"/>
      <c r="B2" s="390"/>
      <c r="C2" s="782"/>
      <c r="D2" s="388"/>
      <c r="E2" s="782"/>
      <c r="F2" s="388"/>
      <c r="G2" s="391"/>
      <c r="H2" s="388"/>
      <c r="I2" s="388"/>
      <c r="J2" s="388"/>
      <c r="K2" s="387"/>
      <c r="L2" s="387"/>
      <c r="M2" s="387"/>
      <c r="N2" s="387"/>
      <c r="O2" s="387"/>
      <c r="P2" s="387"/>
      <c r="Q2" s="387"/>
      <c r="R2" s="387"/>
      <c r="S2" s="387"/>
      <c r="T2" s="387"/>
      <c r="U2" s="387"/>
      <c r="V2" s="387"/>
      <c r="W2" s="387"/>
      <c r="X2" s="387"/>
    </row>
    <row r="3" spans="1:24" ht="21" customHeight="1">
      <c r="A3" s="392" t="s">
        <v>0</v>
      </c>
      <c r="B3" s="349"/>
      <c r="C3" s="785"/>
      <c r="D3" s="343"/>
      <c r="E3" s="785"/>
      <c r="F3" s="343"/>
      <c r="G3" s="343"/>
      <c r="H3" s="343"/>
      <c r="I3" s="1647"/>
      <c r="J3" s="343"/>
      <c r="K3" s="1647" t="s">
        <v>85</v>
      </c>
      <c r="L3" s="357"/>
      <c r="M3" s="357"/>
      <c r="N3" s="357"/>
      <c r="O3" s="357"/>
      <c r="P3" s="357"/>
      <c r="Q3" s="357"/>
      <c r="R3" s="357"/>
      <c r="S3" s="357"/>
      <c r="T3" s="357"/>
      <c r="U3" s="357"/>
      <c r="V3" s="357"/>
      <c r="W3" s="357"/>
      <c r="X3" s="393"/>
    </row>
    <row r="4" spans="1:24" ht="21.75" customHeight="1">
      <c r="A4" s="392" t="s">
        <v>84</v>
      </c>
      <c r="B4" s="349"/>
      <c r="C4" s="785"/>
      <c r="D4" s="343"/>
      <c r="E4" s="785"/>
      <c r="F4" s="343"/>
      <c r="G4" s="343"/>
      <c r="H4" s="343"/>
      <c r="I4" s="1648"/>
      <c r="J4" s="343"/>
      <c r="K4" s="1648" t="s">
        <v>106</v>
      </c>
      <c r="L4" s="357"/>
      <c r="M4" s="357"/>
      <c r="N4" s="357"/>
      <c r="O4" s="357"/>
      <c r="P4" s="357"/>
      <c r="Q4" s="357"/>
      <c r="R4" s="357"/>
      <c r="S4" s="357"/>
      <c r="T4" s="357"/>
      <c r="U4" s="357"/>
      <c r="V4" s="357"/>
      <c r="W4" s="357"/>
      <c r="X4" s="357"/>
    </row>
    <row r="5" spans="1:24" ht="21.75" customHeight="1">
      <c r="A5" s="3496" t="s">
        <v>1409</v>
      </c>
      <c r="B5" s="3497"/>
      <c r="C5" s="785"/>
      <c r="D5" s="343"/>
      <c r="E5" s="785"/>
      <c r="F5" s="343"/>
      <c r="G5" s="343"/>
      <c r="H5" s="343"/>
      <c r="I5" s="343"/>
      <c r="J5" s="343"/>
      <c r="K5" s="357"/>
      <c r="L5" s="357"/>
      <c r="M5" s="357"/>
      <c r="N5" s="357"/>
      <c r="O5" s="357"/>
      <c r="P5" s="357"/>
      <c r="Q5" s="357"/>
      <c r="R5" s="357"/>
      <c r="S5" s="357"/>
      <c r="T5" s="357"/>
      <c r="U5" s="357"/>
      <c r="V5" s="357"/>
      <c r="W5" s="357"/>
      <c r="X5" s="357"/>
    </row>
    <row r="6" spans="1:24" ht="17.25" customHeight="1">
      <c r="A6" s="2726" t="str">
        <f>'Exh D-Governmental  '!A6</f>
        <v>FOR TEN MONTHS ENDED JANUARY 31, 2017</v>
      </c>
      <c r="B6" s="348"/>
      <c r="C6" s="785"/>
      <c r="D6" s="343"/>
      <c r="E6" s="785"/>
      <c r="F6" s="343"/>
      <c r="G6" s="343"/>
      <c r="H6" s="343"/>
      <c r="I6" s="343"/>
      <c r="J6" s="343"/>
      <c r="K6" s="357"/>
      <c r="L6" s="357"/>
      <c r="M6" s="357"/>
      <c r="N6" s="357"/>
      <c r="O6" s="357"/>
      <c r="P6" s="357"/>
      <c r="Q6" s="357"/>
      <c r="R6" s="357"/>
      <c r="S6" s="357"/>
      <c r="T6" s="357"/>
      <c r="U6" s="357"/>
      <c r="V6" s="357"/>
      <c r="W6" s="357"/>
      <c r="X6" s="357"/>
    </row>
    <row r="7" spans="1:24" ht="18">
      <c r="A7" s="392" t="s">
        <v>980</v>
      </c>
      <c r="B7" s="349"/>
      <c r="C7" s="785"/>
      <c r="D7" s="343"/>
      <c r="E7" s="785"/>
      <c r="F7" s="343"/>
      <c r="G7" s="343"/>
      <c r="H7" s="343"/>
      <c r="I7" s="343"/>
      <c r="J7" s="343"/>
      <c r="K7" s="357"/>
      <c r="L7" s="357"/>
      <c r="M7" s="357"/>
      <c r="N7" s="357"/>
      <c r="O7" s="357"/>
      <c r="P7" s="357"/>
      <c r="Q7" s="357"/>
      <c r="R7" s="357"/>
      <c r="S7" s="357"/>
      <c r="T7" s="357"/>
      <c r="U7" s="357"/>
      <c r="V7" s="357"/>
      <c r="W7" s="357"/>
      <c r="X7" s="357"/>
    </row>
    <row r="8" spans="1:24" ht="15" customHeight="1">
      <c r="A8" s="394"/>
      <c r="B8" s="348"/>
      <c r="C8" s="785"/>
      <c r="D8" s="343"/>
      <c r="E8" s="785"/>
      <c r="F8" s="343"/>
      <c r="G8" s="343"/>
      <c r="H8" s="343"/>
      <c r="I8" s="343"/>
      <c r="J8" s="343"/>
      <c r="K8" s="357"/>
      <c r="L8" s="357"/>
      <c r="M8" s="357"/>
      <c r="N8" s="357"/>
      <c r="O8" s="357"/>
      <c r="P8" s="357"/>
      <c r="Q8" s="357"/>
      <c r="R8" s="357"/>
      <c r="S8" s="357"/>
      <c r="T8" s="357"/>
      <c r="U8" s="357"/>
      <c r="V8" s="357"/>
      <c r="W8" s="357"/>
      <c r="X8" s="357"/>
    </row>
    <row r="9" spans="1:24">
      <c r="A9" s="351"/>
      <c r="B9" s="357"/>
      <c r="C9" s="785"/>
      <c r="D9" s="343"/>
      <c r="E9" s="785"/>
      <c r="F9" s="343"/>
      <c r="G9" s="343"/>
      <c r="H9" s="343"/>
      <c r="I9" s="343"/>
      <c r="J9" s="343"/>
      <c r="K9" s="357"/>
      <c r="L9" s="357"/>
      <c r="M9" s="357"/>
      <c r="N9" s="357"/>
      <c r="O9" s="357"/>
      <c r="P9" s="357"/>
      <c r="Q9" s="357"/>
      <c r="R9" s="357"/>
      <c r="S9" s="357"/>
      <c r="T9" s="357"/>
      <c r="U9" s="357"/>
      <c r="V9" s="357"/>
      <c r="W9" s="357"/>
      <c r="X9" s="357"/>
    </row>
    <row r="10" spans="1:24">
      <c r="A10" s="351"/>
      <c r="B10" s="357"/>
      <c r="C10" s="784"/>
      <c r="D10" s="349"/>
      <c r="E10" s="784"/>
      <c r="F10" s="349"/>
      <c r="G10" s="349"/>
      <c r="H10" s="349"/>
      <c r="I10" s="349"/>
      <c r="J10" s="343"/>
      <c r="K10" s="357"/>
      <c r="L10" s="357"/>
      <c r="M10" s="357"/>
      <c r="N10" s="357"/>
      <c r="O10" s="357"/>
      <c r="P10" s="357"/>
      <c r="Q10" s="357"/>
      <c r="R10" s="357"/>
      <c r="S10" s="357"/>
      <c r="T10" s="357"/>
      <c r="U10" s="357"/>
      <c r="V10" s="357"/>
      <c r="W10" s="357"/>
      <c r="X10" s="357"/>
    </row>
    <row r="11" spans="1:24" ht="15.75">
      <c r="A11" s="1321"/>
      <c r="C11" s="3499" t="s">
        <v>1265</v>
      </c>
      <c r="D11" s="3499"/>
      <c r="E11" s="3499"/>
      <c r="F11" s="3499"/>
      <c r="G11" s="3499"/>
      <c r="H11" s="3499"/>
      <c r="I11" s="3499"/>
      <c r="J11" s="2273"/>
      <c r="K11" s="2274"/>
      <c r="L11" s="395"/>
      <c r="M11" s="395"/>
      <c r="N11" s="395"/>
      <c r="O11" s="395"/>
      <c r="P11" s="395"/>
      <c r="Q11" s="395"/>
      <c r="R11" s="352"/>
      <c r="S11" s="395"/>
      <c r="T11" s="396"/>
      <c r="U11" s="395"/>
      <c r="V11" s="395"/>
      <c r="W11" s="395"/>
      <c r="X11" s="395"/>
    </row>
    <row r="12" spans="1:24" ht="15.75">
      <c r="A12" s="1321"/>
      <c r="C12" s="789"/>
      <c r="D12" s="397"/>
      <c r="E12" s="789"/>
      <c r="F12" s="397"/>
      <c r="G12" s="398"/>
      <c r="H12" s="397"/>
      <c r="I12" s="397" t="s">
        <v>86</v>
      </c>
      <c r="J12" s="352"/>
      <c r="K12" s="397" t="s">
        <v>86</v>
      </c>
      <c r="L12" s="395"/>
      <c r="M12" s="395"/>
      <c r="N12" s="395"/>
      <c r="O12" s="395"/>
      <c r="P12" s="395"/>
      <c r="Q12" s="395"/>
      <c r="R12" s="352"/>
      <c r="S12" s="395"/>
      <c r="T12" s="396"/>
      <c r="U12" s="395"/>
      <c r="V12" s="395"/>
      <c r="W12" s="395"/>
      <c r="X12" s="395"/>
    </row>
    <row r="13" spans="1:24" ht="15.75">
      <c r="A13" s="1321"/>
      <c r="B13" s="352"/>
      <c r="C13" s="787"/>
      <c r="D13" s="399"/>
      <c r="E13" s="787"/>
      <c r="F13" s="399"/>
      <c r="G13" s="399"/>
      <c r="H13" s="399"/>
      <c r="I13" s="400" t="s">
        <v>987</v>
      </c>
      <c r="J13" s="352"/>
      <c r="K13" s="400" t="s">
        <v>987</v>
      </c>
      <c r="L13" s="352"/>
      <c r="M13" s="352"/>
      <c r="N13" s="352"/>
      <c r="O13" s="352"/>
      <c r="P13" s="401"/>
      <c r="Q13" s="402"/>
      <c r="R13" s="352"/>
      <c r="S13" s="352"/>
      <c r="T13" s="352"/>
      <c r="U13" s="352"/>
      <c r="V13" s="352"/>
      <c r="W13" s="352"/>
      <c r="X13" s="401"/>
    </row>
    <row r="14" spans="1:24" ht="15.75">
      <c r="A14" s="1321"/>
      <c r="B14" s="403"/>
      <c r="C14" s="355" t="s">
        <v>1203</v>
      </c>
      <c r="D14" s="353"/>
      <c r="E14" s="354" t="s">
        <v>1204</v>
      </c>
      <c r="F14" s="353"/>
      <c r="G14" s="353"/>
      <c r="H14" s="353"/>
      <c r="I14" s="354" t="s">
        <v>87</v>
      </c>
      <c r="J14" s="352"/>
      <c r="K14" s="354" t="s">
        <v>87</v>
      </c>
      <c r="L14" s="402"/>
      <c r="M14" s="352"/>
      <c r="N14" s="352"/>
      <c r="O14" s="352"/>
      <c r="P14" s="401"/>
      <c r="Q14" s="402"/>
      <c r="R14" s="352"/>
      <c r="S14" s="401"/>
      <c r="T14" s="402"/>
      <c r="U14" s="352"/>
      <c r="V14" s="352"/>
      <c r="W14" s="352"/>
      <c r="X14" s="401"/>
    </row>
    <row r="15" spans="1:24" ht="15.75">
      <c r="A15" s="1321"/>
      <c r="B15" s="403"/>
      <c r="C15" s="354" t="s">
        <v>1247</v>
      </c>
      <c r="D15" s="353"/>
      <c r="E15" s="354" t="s">
        <v>1247</v>
      </c>
      <c r="F15" s="353"/>
      <c r="G15" s="353"/>
      <c r="H15" s="353"/>
      <c r="I15" s="354" t="s">
        <v>1203</v>
      </c>
      <c r="J15" s="352"/>
      <c r="K15" s="354" t="s">
        <v>1204</v>
      </c>
      <c r="L15" s="402"/>
      <c r="M15" s="352"/>
      <c r="N15" s="352"/>
      <c r="O15" s="352"/>
      <c r="P15" s="401"/>
      <c r="Q15" s="402"/>
      <c r="R15" s="352"/>
      <c r="S15" s="401"/>
      <c r="T15" s="402"/>
      <c r="U15" s="352"/>
      <c r="V15" s="352"/>
      <c r="W15" s="352"/>
      <c r="X15" s="401"/>
    </row>
    <row r="16" spans="1:24" ht="15.75">
      <c r="A16" s="1321"/>
      <c r="B16" s="402"/>
      <c r="C16" s="354" t="s">
        <v>1248</v>
      </c>
      <c r="D16" s="353"/>
      <c r="E16" s="354" t="s">
        <v>1451</v>
      </c>
      <c r="F16" s="353"/>
      <c r="G16" s="355" t="s">
        <v>86</v>
      </c>
      <c r="H16" s="353"/>
      <c r="I16" s="354" t="s">
        <v>88</v>
      </c>
      <c r="J16" s="352"/>
      <c r="K16" s="354" t="s">
        <v>88</v>
      </c>
      <c r="L16" s="402"/>
      <c r="M16" s="352"/>
      <c r="N16" s="401"/>
      <c r="O16" s="352"/>
      <c r="P16" s="401"/>
      <c r="Q16" s="402"/>
      <c r="R16" s="352"/>
      <c r="S16" s="402"/>
      <c r="T16" s="402"/>
      <c r="U16" s="352"/>
      <c r="V16" s="401"/>
      <c r="W16" s="352"/>
      <c r="X16" s="401"/>
    </row>
    <row r="17" spans="1:24">
      <c r="A17" s="356"/>
      <c r="B17" s="357"/>
      <c r="C17" s="358"/>
      <c r="D17" s="343"/>
      <c r="E17" s="358"/>
      <c r="F17" s="343"/>
      <c r="G17" s="358"/>
      <c r="H17" s="343"/>
      <c r="I17" s="358"/>
      <c r="J17" s="357"/>
      <c r="K17" s="358"/>
      <c r="L17" s="357"/>
      <c r="M17" s="357"/>
      <c r="N17" s="357"/>
      <c r="O17" s="357"/>
      <c r="P17" s="357"/>
      <c r="Q17" s="357"/>
      <c r="R17" s="357"/>
      <c r="S17" s="357"/>
      <c r="T17" s="357"/>
      <c r="U17" s="357"/>
      <c r="V17" s="357"/>
      <c r="W17" s="357"/>
      <c r="X17" s="357"/>
    </row>
    <row r="18" spans="1:24" ht="15.75">
      <c r="A18" s="221" t="s">
        <v>14</v>
      </c>
      <c r="B18" s="1803"/>
      <c r="C18" s="1224"/>
      <c r="D18" s="1224"/>
      <c r="E18" s="1224"/>
      <c r="F18" s="1224"/>
      <c r="G18" s="1224"/>
      <c r="H18" s="1224"/>
      <c r="I18" s="1224"/>
      <c r="J18" s="1803"/>
      <c r="K18" s="1224"/>
      <c r="L18" s="1803"/>
      <c r="M18" s="1803"/>
      <c r="N18" s="1803"/>
      <c r="O18" s="1803"/>
      <c r="P18" s="1803"/>
      <c r="Q18" s="1803"/>
      <c r="R18" s="1803"/>
      <c r="S18" s="1803"/>
      <c r="T18" s="1803"/>
      <c r="U18" s="1803"/>
      <c r="V18" s="1803"/>
      <c r="W18" s="1803"/>
      <c r="X18" s="1803"/>
    </row>
    <row r="19" spans="1:24">
      <c r="A19" s="1638" t="s">
        <v>89</v>
      </c>
      <c r="B19" s="1804"/>
      <c r="C19" s="1224"/>
      <c r="D19" s="1224"/>
      <c r="E19" s="1224"/>
      <c r="F19" s="1224"/>
      <c r="G19" s="1224"/>
      <c r="H19" s="1804"/>
      <c r="I19" s="1224"/>
      <c r="J19" s="1803"/>
      <c r="K19" s="1224"/>
      <c r="L19" s="1803"/>
      <c r="M19" s="1803"/>
      <c r="N19" s="1803"/>
      <c r="O19" s="1803"/>
      <c r="P19" s="1803"/>
      <c r="Q19" s="1803"/>
      <c r="R19" s="1803"/>
      <c r="S19" s="1803"/>
      <c r="T19" s="1803"/>
      <c r="U19" s="1803"/>
      <c r="V19" s="1803"/>
      <c r="W19" s="1803"/>
      <c r="X19" s="1803"/>
    </row>
    <row r="20" spans="1:24">
      <c r="A20" s="1638" t="s">
        <v>90</v>
      </c>
      <c r="B20" s="1804" t="s">
        <v>15</v>
      </c>
      <c r="C20" s="1227">
        <v>10606</v>
      </c>
      <c r="D20" s="1227"/>
      <c r="E20" s="1749">
        <v>10117</v>
      </c>
      <c r="F20" s="1227"/>
      <c r="G20" s="1946">
        <f>+'Exhibit H'!AA16</f>
        <v>10118.200000000001</v>
      </c>
      <c r="H20" s="1227"/>
      <c r="I20" s="1225">
        <f>ROUND(SUM(G20)-SUM(C20),1)</f>
        <v>-487.8</v>
      </c>
      <c r="J20" s="1803"/>
      <c r="K20" s="1225">
        <f>G20-E20</f>
        <v>1.2000000000007276</v>
      </c>
      <c r="L20" s="1889"/>
      <c r="M20" s="1803"/>
      <c r="N20" s="1803"/>
      <c r="O20" s="1803"/>
      <c r="P20" s="1803"/>
      <c r="Q20" s="1803"/>
      <c r="R20" s="1803"/>
      <c r="S20" s="1803"/>
      <c r="T20" s="1803"/>
      <c r="U20" s="1803"/>
      <c r="V20" s="1803"/>
      <c r="W20" s="1803"/>
      <c r="X20" s="1803"/>
    </row>
    <row r="21" spans="1:24">
      <c r="A21" s="1638" t="s">
        <v>91</v>
      </c>
      <c r="B21" s="1803" t="s">
        <v>15</v>
      </c>
      <c r="C21" s="1822">
        <v>5422</v>
      </c>
      <c r="D21" s="1146"/>
      <c r="E21" s="1822">
        <v>5429</v>
      </c>
      <c r="F21" s="1146"/>
      <c r="G21" s="1751">
        <f>+'Exhibit H'!AA20</f>
        <v>5440.3</v>
      </c>
      <c r="H21" s="1146"/>
      <c r="I21" s="1146">
        <f>ROUND(SUM(G21)-SUM(C21),1)</f>
        <v>18.3</v>
      </c>
      <c r="J21" s="1823"/>
      <c r="K21" s="2925">
        <f t="shared" ref="K21:K25" si="0">G21-E21</f>
        <v>11.300000000000182</v>
      </c>
      <c r="L21" s="1889"/>
      <c r="M21" s="1803"/>
      <c r="N21" s="1803"/>
      <c r="O21" s="1803"/>
      <c r="P21" s="1803"/>
      <c r="Q21" s="1803"/>
      <c r="R21" s="1803"/>
      <c r="S21" s="1803"/>
      <c r="T21" s="1803"/>
      <c r="U21" s="1803"/>
      <c r="V21" s="1803"/>
      <c r="W21" s="1803"/>
      <c r="X21" s="1803"/>
    </row>
    <row r="22" spans="1:24">
      <c r="A22" s="1638" t="s">
        <v>93</v>
      </c>
      <c r="B22" s="1803" t="s">
        <v>15</v>
      </c>
      <c r="C22" s="1826">
        <v>869</v>
      </c>
      <c r="D22" s="1146"/>
      <c r="E22" s="1826">
        <v>871</v>
      </c>
      <c r="F22" s="1146"/>
      <c r="G22" s="1751">
        <f>+'Exhibit H'!AA23</f>
        <v>864.3</v>
      </c>
      <c r="H22" s="1146"/>
      <c r="I22" s="1146">
        <f t="shared" ref="I22:I25" si="1">ROUND(SUM(G22)-SUM(C22),1)</f>
        <v>-4.7</v>
      </c>
      <c r="J22" s="1823"/>
      <c r="K22" s="2925">
        <f t="shared" si="0"/>
        <v>-6.7000000000000455</v>
      </c>
      <c r="L22" s="1889"/>
      <c r="M22" s="1803"/>
      <c r="N22" s="1803"/>
      <c r="O22" s="1803"/>
      <c r="P22" s="1803"/>
      <c r="Q22" s="1803"/>
      <c r="R22" s="1803"/>
      <c r="S22" s="1803"/>
      <c r="T22" s="1803"/>
      <c r="U22" s="1803"/>
      <c r="V22" s="1803"/>
      <c r="W22" s="1803"/>
      <c r="X22" s="1803"/>
    </row>
    <row r="23" spans="1:24" ht="15" customHeight="1">
      <c r="A23" s="1638" t="s">
        <v>20</v>
      </c>
      <c r="B23" s="1803" t="s">
        <v>15</v>
      </c>
      <c r="C23" s="1826">
        <v>381</v>
      </c>
      <c r="D23" s="1146"/>
      <c r="E23" s="1826">
        <v>391</v>
      </c>
      <c r="F23" s="1146"/>
      <c r="G23" s="1751">
        <f>+'Exhibit H'!AA43</f>
        <v>397.9</v>
      </c>
      <c r="H23" s="1146"/>
      <c r="I23" s="1146">
        <f t="shared" si="1"/>
        <v>16.899999999999999</v>
      </c>
      <c r="J23" s="1823"/>
      <c r="K23" s="2925">
        <f t="shared" si="0"/>
        <v>6.8999999999999773</v>
      </c>
      <c r="L23" s="1889"/>
      <c r="M23" s="1803"/>
      <c r="N23" s="1803"/>
      <c r="O23" s="1803"/>
      <c r="P23" s="1803"/>
      <c r="Q23" s="1803"/>
      <c r="R23" s="1803"/>
      <c r="S23" s="1803"/>
      <c r="T23" s="1803"/>
      <c r="U23" s="1803"/>
      <c r="V23" s="1803"/>
      <c r="W23" s="1803"/>
      <c r="X23" s="1803"/>
    </row>
    <row r="24" spans="1:24" ht="15" customHeight="1">
      <c r="A24" s="1638" t="s">
        <v>21</v>
      </c>
      <c r="B24" s="1803" t="s">
        <v>15</v>
      </c>
      <c r="C24" s="1822">
        <v>37</v>
      </c>
      <c r="D24" s="1146"/>
      <c r="E24" s="1822">
        <v>37</v>
      </c>
      <c r="F24" s="1146"/>
      <c r="G24" s="1751">
        <f>+'Exhibit H'!AA45</f>
        <v>38.299999999999997</v>
      </c>
      <c r="H24" s="1146"/>
      <c r="I24" s="1146">
        <f t="shared" si="1"/>
        <v>1.3</v>
      </c>
      <c r="J24" s="1823"/>
      <c r="K24" s="2925">
        <f t="shared" si="0"/>
        <v>1.2999999999999972</v>
      </c>
      <c r="L24" s="1889"/>
      <c r="M24" s="1803"/>
      <c r="N24" s="1828"/>
      <c r="O24" s="1803"/>
      <c r="P24" s="1828"/>
      <c r="Q24" s="1829"/>
      <c r="R24" s="1803"/>
      <c r="S24" s="1803"/>
      <c r="T24" s="1803"/>
      <c r="U24" s="1803"/>
      <c r="V24" s="1803"/>
      <c r="W24" s="1803"/>
      <c r="X24" s="1803"/>
    </row>
    <row r="25" spans="1:24">
      <c r="A25" s="1638" t="s">
        <v>48</v>
      </c>
      <c r="B25" s="1829" t="s">
        <v>15</v>
      </c>
      <c r="C25" s="1830">
        <v>2207</v>
      </c>
      <c r="D25" s="1146"/>
      <c r="E25" s="1830">
        <v>2324</v>
      </c>
      <c r="F25" s="1146"/>
      <c r="G25" s="2746">
        <f>+'Exhibit H'!AA62</f>
        <v>2302.9</v>
      </c>
      <c r="H25" s="1146"/>
      <c r="I25" s="1146">
        <f t="shared" si="1"/>
        <v>95.9</v>
      </c>
      <c r="J25" s="1823"/>
      <c r="K25" s="2925">
        <f t="shared" si="0"/>
        <v>-21.099999999999909</v>
      </c>
      <c r="L25" s="1889"/>
      <c r="M25" s="1803"/>
      <c r="N25" s="1828"/>
      <c r="O25" s="1803"/>
      <c r="P25" s="1828"/>
      <c r="Q25" s="1829"/>
      <c r="R25" s="1803"/>
      <c r="S25" s="1803"/>
      <c r="T25" s="1803"/>
      <c r="U25" s="1803"/>
      <c r="V25" s="1803"/>
      <c r="W25" s="1803"/>
      <c r="X25" s="1803"/>
    </row>
    <row r="26" spans="1:24" ht="18" customHeight="1">
      <c r="A26" s="1881" t="s">
        <v>112</v>
      </c>
      <c r="B26" s="352" t="s">
        <v>15</v>
      </c>
      <c r="C26" s="418">
        <f>ROUND(SUM(C20:C25),1)</f>
        <v>19522</v>
      </c>
      <c r="D26" s="1802"/>
      <c r="E26" s="418">
        <f>ROUND(SUM(E20:E25),1)</f>
        <v>19169</v>
      </c>
      <c r="F26" s="1802"/>
      <c r="G26" s="2747">
        <f>ROUND(SUM(G20:G25),1)</f>
        <v>19161.900000000001</v>
      </c>
      <c r="H26" s="1802"/>
      <c r="I26" s="418">
        <f>ROUND(SUM(I20:I25),1)</f>
        <v>-360.1</v>
      </c>
      <c r="J26" s="272"/>
      <c r="K26" s="418">
        <f>ROUND(SUM(K20:K25),1)</f>
        <v>-7.1</v>
      </c>
      <c r="L26" s="1889"/>
      <c r="M26" s="352"/>
      <c r="N26" s="352"/>
      <c r="O26" s="352"/>
      <c r="P26" s="352"/>
      <c r="Q26" s="352"/>
      <c r="R26" s="352"/>
      <c r="S26" s="352"/>
      <c r="T26" s="352"/>
      <c r="U26" s="352"/>
      <c r="V26" s="352"/>
      <c r="W26" s="352"/>
      <c r="X26" s="352"/>
    </row>
    <row r="27" spans="1:24">
      <c r="A27" s="1321"/>
      <c r="B27" s="1803"/>
      <c r="C27" s="1319"/>
      <c r="D27" s="1146"/>
      <c r="E27" s="1319"/>
      <c r="F27" s="1146"/>
      <c r="G27" s="1979"/>
      <c r="H27" s="1146"/>
      <c r="I27" s="1319"/>
      <c r="J27" s="1823"/>
      <c r="K27" s="1319"/>
      <c r="L27" s="1889"/>
      <c r="M27" s="1803"/>
      <c r="N27" s="1803"/>
      <c r="O27" s="1803"/>
      <c r="P27" s="1803"/>
      <c r="Q27" s="1803"/>
      <c r="R27" s="1803"/>
      <c r="S27" s="1803"/>
      <c r="T27" s="1803"/>
      <c r="U27" s="1803"/>
      <c r="V27" s="1803"/>
      <c r="W27" s="1803"/>
      <c r="X27" s="1803"/>
    </row>
    <row r="28" spans="1:24" ht="15.75">
      <c r="A28" s="221" t="s">
        <v>23</v>
      </c>
      <c r="B28" s="1803"/>
      <c r="C28" s="1146"/>
      <c r="D28" s="1146"/>
      <c r="E28" s="1146"/>
      <c r="F28" s="1146"/>
      <c r="G28" s="1751"/>
      <c r="H28" s="1146"/>
      <c r="I28" s="1146"/>
      <c r="J28" s="1823"/>
      <c r="K28" s="1146"/>
      <c r="L28" s="1889"/>
      <c r="M28" s="1803"/>
      <c r="N28" s="1803"/>
      <c r="O28" s="1803"/>
      <c r="P28" s="1803"/>
      <c r="Q28" s="1803"/>
      <c r="R28" s="1803"/>
      <c r="S28" s="1803"/>
      <c r="T28" s="1803"/>
      <c r="U28" s="1803"/>
      <c r="V28" s="1803"/>
      <c r="W28" s="1803"/>
      <c r="X28" s="1803"/>
    </row>
    <row r="29" spans="1:24">
      <c r="A29" s="1638" t="s">
        <v>96</v>
      </c>
      <c r="B29" s="1825" t="s">
        <v>15</v>
      </c>
      <c r="C29" s="1299">
        <v>33</v>
      </c>
      <c r="D29" s="1146"/>
      <c r="E29" s="1299">
        <v>29</v>
      </c>
      <c r="F29" s="1146"/>
      <c r="G29" s="1314">
        <f>+'Exhibit H'!AA51</f>
        <v>29.1</v>
      </c>
      <c r="H29" s="1146"/>
      <c r="I29" s="1146">
        <f>ROUND(SUM(G29)-SUM(C29),1)</f>
        <v>-3.9</v>
      </c>
      <c r="J29" s="1823"/>
      <c r="K29" s="2925">
        <f>G29-E29</f>
        <v>0.10000000000000142</v>
      </c>
      <c r="L29" s="1889"/>
      <c r="M29" s="1803"/>
      <c r="N29" s="1825"/>
      <c r="O29" s="1803"/>
      <c r="P29" s="1828"/>
      <c r="Q29" s="1803"/>
      <c r="R29" s="1803"/>
      <c r="S29" s="1828"/>
      <c r="T29" s="1828"/>
      <c r="U29" s="1803"/>
      <c r="V29" s="1828"/>
      <c r="W29" s="1803"/>
      <c r="X29" s="1828"/>
    </row>
    <row r="30" spans="1:24" ht="14.25" customHeight="1">
      <c r="A30" s="1638" t="s">
        <v>97</v>
      </c>
      <c r="B30" s="1829" t="s">
        <v>15</v>
      </c>
      <c r="C30" s="1226">
        <v>2000</v>
      </c>
      <c r="D30" s="1146"/>
      <c r="E30" s="1226">
        <v>1960</v>
      </c>
      <c r="F30" s="1146"/>
      <c r="G30" s="2152">
        <f>+'Exhibit H'!AA53</f>
        <v>1960</v>
      </c>
      <c r="H30" s="1146"/>
      <c r="I30" s="1146">
        <f>ROUND(SUM(G30)-SUM(C30),1)</f>
        <v>-40</v>
      </c>
      <c r="J30" s="1823"/>
      <c r="K30" s="2925">
        <f>G30-E30</f>
        <v>0</v>
      </c>
      <c r="L30" s="1889"/>
      <c r="M30" s="1803"/>
      <c r="N30" s="1825"/>
      <c r="O30" s="1803"/>
      <c r="P30" s="1803"/>
      <c r="Q30" s="1803"/>
      <c r="R30" s="1803"/>
      <c r="S30" s="1828"/>
      <c r="T30" s="1828"/>
      <c r="U30" s="1803"/>
      <c r="V30" s="1828"/>
      <c r="W30" s="1803"/>
      <c r="X30" s="1828"/>
    </row>
    <row r="31" spans="1:24">
      <c r="A31" s="1638" t="s">
        <v>100</v>
      </c>
      <c r="B31" s="1829" t="s">
        <v>15</v>
      </c>
      <c r="C31" s="1317">
        <v>15049</v>
      </c>
      <c r="D31" s="1146"/>
      <c r="E31" s="1317">
        <v>14837</v>
      </c>
      <c r="F31" s="1146"/>
      <c r="G31" s="1314">
        <f>-'Exhibit H'!AA63</f>
        <v>14849.1</v>
      </c>
      <c r="H31" s="1146"/>
      <c r="I31" s="1146">
        <f>ROUND(SUM(G31)-SUM(C31),1)</f>
        <v>-199.9</v>
      </c>
      <c r="J31" s="1823"/>
      <c r="K31" s="2925">
        <f>G31-E31</f>
        <v>12.100000000000364</v>
      </c>
      <c r="L31" s="1889"/>
      <c r="M31" s="1803"/>
      <c r="N31" s="1828"/>
      <c r="O31" s="1803"/>
      <c r="P31" s="1828"/>
      <c r="Q31" s="1829"/>
      <c r="R31" s="1803"/>
      <c r="S31" s="1803"/>
      <c r="T31" s="1803"/>
      <c r="U31" s="1803"/>
      <c r="V31" s="1803"/>
      <c r="W31" s="1803"/>
      <c r="X31" s="1803"/>
    </row>
    <row r="32" spans="1:24" ht="18" customHeight="1">
      <c r="A32" s="1881" t="s">
        <v>121</v>
      </c>
      <c r="B32" s="352" t="s">
        <v>15</v>
      </c>
      <c r="C32" s="418">
        <f>ROUND(SUM(C29:C31),1)</f>
        <v>17082</v>
      </c>
      <c r="D32" s="1802"/>
      <c r="E32" s="418">
        <f>ROUND(SUM(E29:E31),1)</f>
        <v>16826</v>
      </c>
      <c r="F32" s="1802"/>
      <c r="G32" s="2747">
        <f>ROUND(SUM(G29:G31),1)</f>
        <v>16838.2</v>
      </c>
      <c r="H32" s="1802"/>
      <c r="I32" s="418">
        <f>ROUND(SUM(I29:I31),1)</f>
        <v>-243.8</v>
      </c>
      <c r="J32" s="272"/>
      <c r="K32" s="418">
        <f>ROUND(SUM(K29:K31),1)</f>
        <v>12.2</v>
      </c>
      <c r="L32" s="1889"/>
      <c r="M32" s="352"/>
      <c r="N32" s="352"/>
      <c r="O32" s="352"/>
      <c r="P32" s="352"/>
      <c r="Q32" s="352"/>
      <c r="R32" s="352"/>
      <c r="S32" s="352"/>
      <c r="T32" s="352"/>
      <c r="U32" s="352"/>
      <c r="V32" s="352"/>
      <c r="W32" s="352"/>
      <c r="X32" s="352"/>
    </row>
    <row r="33" spans="1:24">
      <c r="A33" s="1321"/>
      <c r="B33" s="1803"/>
      <c r="C33" s="1319"/>
      <c r="D33" s="1146"/>
      <c r="E33" s="1319"/>
      <c r="F33" s="1146"/>
      <c r="G33" s="1979"/>
      <c r="H33" s="1146"/>
      <c r="I33" s="1319"/>
      <c r="J33" s="1823"/>
      <c r="K33" s="1319"/>
      <c r="L33" s="1889"/>
      <c r="M33" s="1803"/>
      <c r="N33" s="1803"/>
      <c r="O33" s="1803"/>
      <c r="P33" s="1803"/>
      <c r="Q33" s="1803"/>
      <c r="R33" s="1803"/>
      <c r="S33" s="1803"/>
      <c r="T33" s="1803"/>
      <c r="U33" s="1803"/>
      <c r="V33" s="1803"/>
      <c r="W33" s="1803"/>
      <c r="X33" s="1803"/>
    </row>
    <row r="34" spans="1:24" ht="15.75">
      <c r="A34" s="221" t="s">
        <v>122</v>
      </c>
      <c r="B34" s="1803"/>
      <c r="C34" s="1146"/>
      <c r="D34" s="1146"/>
      <c r="E34" s="1146"/>
      <c r="F34" s="1146"/>
      <c r="G34" s="1751"/>
      <c r="H34" s="1146"/>
      <c r="I34" s="1146"/>
      <c r="J34" s="1823"/>
      <c r="K34" s="1146"/>
      <c r="L34" s="1889"/>
      <c r="M34" s="1803"/>
      <c r="N34" s="1803"/>
      <c r="O34" s="1803"/>
      <c r="P34" s="1803"/>
      <c r="Q34" s="1803"/>
      <c r="R34" s="1803"/>
      <c r="S34" s="1803"/>
      <c r="T34" s="1803"/>
      <c r="U34" s="1803"/>
      <c r="V34" s="1803"/>
      <c r="W34" s="1803"/>
      <c r="X34" s="1803"/>
    </row>
    <row r="35" spans="1:24" ht="15.75">
      <c r="A35" s="221" t="s">
        <v>123</v>
      </c>
      <c r="B35" s="1803"/>
      <c r="C35" s="1146"/>
      <c r="D35" s="1146"/>
      <c r="E35" s="1146"/>
      <c r="F35" s="1146"/>
      <c r="G35" s="1751"/>
      <c r="H35" s="1146"/>
      <c r="I35" s="1146"/>
      <c r="J35" s="1823"/>
      <c r="K35" s="1146"/>
      <c r="L35" s="1889"/>
      <c r="M35" s="1803"/>
      <c r="N35" s="1803"/>
      <c r="O35" s="1803"/>
      <c r="P35" s="1803"/>
      <c r="Q35" s="1803"/>
      <c r="R35" s="1803"/>
      <c r="S35" s="1803"/>
      <c r="T35" s="1803"/>
      <c r="U35" s="1803"/>
      <c r="V35" s="1803"/>
      <c r="W35" s="1803"/>
      <c r="X35" s="1803"/>
    </row>
    <row r="36" spans="1:24" ht="15.75">
      <c r="A36" s="1881" t="s">
        <v>104</v>
      </c>
      <c r="B36" s="1877" t="s">
        <v>15</v>
      </c>
      <c r="C36" s="272">
        <f>C26-C32</f>
        <v>2440</v>
      </c>
      <c r="D36" s="283"/>
      <c r="E36" s="272">
        <f>ROUND(SUM(E26)-SUM(E32),1)</f>
        <v>2343</v>
      </c>
      <c r="F36" s="283"/>
      <c r="G36" s="314">
        <f>ROUND(SUM(G26)-SUM(G32),1)</f>
        <v>2323.6999999999998</v>
      </c>
      <c r="H36" s="283"/>
      <c r="I36" s="272">
        <f>ROUND(SUM(I26)-SUM(I32),1)</f>
        <v>-116.3</v>
      </c>
      <c r="J36" s="740"/>
      <c r="K36" s="272">
        <f>ROUND(SUM(K26)-SUM(K32),1)</f>
        <v>-19.3</v>
      </c>
      <c r="L36" s="1889"/>
      <c r="M36" s="375"/>
      <c r="N36" s="352"/>
      <c r="O36" s="375"/>
      <c r="P36" s="352"/>
      <c r="Q36" s="352"/>
      <c r="R36" s="375"/>
      <c r="S36" s="352"/>
      <c r="T36" s="352"/>
      <c r="U36" s="375"/>
      <c r="V36" s="352"/>
      <c r="W36" s="375"/>
      <c r="X36" s="352"/>
    </row>
    <row r="37" spans="1:24" ht="15" customHeight="1">
      <c r="C37" s="1242"/>
      <c r="D37" s="1812"/>
      <c r="E37" s="1242"/>
      <c r="F37" s="1812"/>
      <c r="G37" s="2748"/>
      <c r="H37" s="1812"/>
      <c r="I37" s="1242"/>
      <c r="J37" s="1242"/>
      <c r="K37" s="1242"/>
      <c r="L37" s="1889"/>
    </row>
    <row r="38" spans="1:24" ht="15.75">
      <c r="A38" s="1897" t="str">
        <f>'Exh D-Governmental  '!A49</f>
        <v>Fund Balances (Deficits) at April 1</v>
      </c>
      <c r="B38" s="1124" t="s">
        <v>15</v>
      </c>
      <c r="C38" s="272">
        <v>160</v>
      </c>
      <c r="D38" s="1812"/>
      <c r="E38" s="272">
        <v>160</v>
      </c>
      <c r="F38" s="1812"/>
      <c r="G38" s="314">
        <f>'Exhibit H'!AA12</f>
        <v>159.69999999999999</v>
      </c>
      <c r="H38" s="1812"/>
      <c r="I38" s="280">
        <f>ROUND(SUM(G38-C38),1)</f>
        <v>-0.3</v>
      </c>
      <c r="J38" s="1242"/>
      <c r="K38" s="280">
        <f>G38-E38</f>
        <v>-0.30000000000001137</v>
      </c>
      <c r="L38" s="1889"/>
    </row>
    <row r="39" spans="1:24" ht="18" customHeight="1" thickBot="1">
      <c r="A39" s="2586" t="str">
        <f>+'Exh D-Governmental  '!A50</f>
        <v>Fund Balances (Deficits) at January 31, 2017</v>
      </c>
      <c r="B39" s="381" t="s">
        <v>15</v>
      </c>
      <c r="C39" s="297">
        <f>ROUND(SUM(C36:C38),1)</f>
        <v>2600</v>
      </c>
      <c r="D39" s="382"/>
      <c r="E39" s="297">
        <f>ROUND(SUM(E36:E38),1)</f>
        <v>2503</v>
      </c>
      <c r="F39" s="382"/>
      <c r="G39" s="2749">
        <f>ROUND(SUM(G36:G38),1)</f>
        <v>2483.4</v>
      </c>
      <c r="H39" s="382"/>
      <c r="I39" s="297">
        <f>ROUND(SUM(I36:I38),1)</f>
        <v>-116.6</v>
      </c>
      <c r="K39" s="297">
        <f>ROUND(SUM(K36:K38),1)</f>
        <v>-19.600000000000001</v>
      </c>
      <c r="L39" s="1889"/>
    </row>
    <row r="40" spans="1:24" ht="15" customHeight="1" thickTop="1">
      <c r="A40" s="356"/>
      <c r="C40" s="1320"/>
      <c r="D40" s="1831"/>
      <c r="E40" s="1320"/>
      <c r="F40" s="1831"/>
      <c r="G40" s="1831"/>
      <c r="H40" s="1831"/>
      <c r="I40" s="1831"/>
      <c r="K40" s="1831"/>
    </row>
    <row r="41" spans="1:24">
      <c r="A41" s="1816" t="str">
        <f>'Exh D-Governmental  '!A52</f>
        <v>(*)     Source:  2016-17 Enacted Budget dated May 13, 2016.</v>
      </c>
    </row>
    <row r="42" spans="1:24">
      <c r="A42" s="1170" t="str">
        <f>'Exh D-Governmental  '!A53</f>
        <v>(**)    Source:  2017-18 Executive Budget dated January 17, 2017.</v>
      </c>
    </row>
    <row r="43" spans="1:24">
      <c r="A43" s="1832"/>
    </row>
    <row r="44" spans="1:24">
      <c r="A44" s="1832"/>
    </row>
    <row r="46" spans="1:24">
      <c r="A46" s="405"/>
    </row>
    <row r="47" spans="1:24">
      <c r="A47" s="405"/>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2" firstPageNumber="13"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80" workbookViewId="0"/>
  </sheetViews>
  <sheetFormatPr defaultColWidth="8.88671875" defaultRowHeight="15"/>
  <cols>
    <col min="1" max="1" width="54" style="1811" customWidth="1"/>
    <col min="2" max="2" width="2.109375" style="1815" customWidth="1"/>
    <col min="3" max="3" width="18.109375" style="788" bestFit="1" customWidth="1"/>
    <col min="4" max="4" width="0.88671875" style="1815" customWidth="1"/>
    <col min="5" max="5" width="15.44140625" style="788" customWidth="1"/>
    <col min="6" max="6" width="0.6640625" style="1815" customWidth="1"/>
    <col min="7" max="7" width="14" style="1815" customWidth="1"/>
    <col min="8" max="8" width="1.44140625" style="1815" customWidth="1"/>
    <col min="9" max="9" width="15" style="1815" customWidth="1"/>
    <col min="10" max="10" width="1.5546875" style="1815" customWidth="1"/>
    <col min="11" max="11" width="15" style="1815" customWidth="1"/>
    <col min="12" max="12" width="1" style="1815" customWidth="1"/>
    <col min="13" max="13" width="15.21875" style="1833" customWidth="1"/>
    <col min="14" max="14" width="1" style="1815" customWidth="1"/>
    <col min="15" max="15" width="14" style="1815" customWidth="1"/>
    <col min="16" max="19" width="8.88671875" style="1815"/>
    <col min="20" max="16384" width="8.88671875" style="1811"/>
  </cols>
  <sheetData>
    <row r="1" spans="1:34">
      <c r="A1" s="1159" t="s">
        <v>1090</v>
      </c>
    </row>
    <row r="2" spans="1:34" ht="16.5">
      <c r="A2" s="386"/>
      <c r="B2" s="388"/>
      <c r="C2" s="782"/>
      <c r="D2" s="388"/>
      <c r="E2" s="782"/>
      <c r="F2" s="388"/>
      <c r="G2" s="388"/>
      <c r="H2" s="388"/>
      <c r="I2" s="388"/>
      <c r="J2" s="388"/>
      <c r="K2" s="388"/>
      <c r="L2" s="388"/>
      <c r="M2" s="3215"/>
    </row>
    <row r="3" spans="1:34" ht="21" customHeight="1">
      <c r="A3" s="392" t="s">
        <v>0</v>
      </c>
      <c r="B3" s="349"/>
      <c r="C3" s="784"/>
      <c r="D3" s="343"/>
      <c r="E3" s="785"/>
      <c r="F3" s="343"/>
      <c r="G3" s="343"/>
      <c r="H3" s="343"/>
      <c r="I3" s="343"/>
      <c r="J3" s="343"/>
      <c r="K3" s="343"/>
      <c r="L3" s="343"/>
      <c r="M3" s="1647"/>
      <c r="O3" s="1647" t="s">
        <v>85</v>
      </c>
    </row>
    <row r="4" spans="1:34" ht="18">
      <c r="A4" s="392" t="s">
        <v>84</v>
      </c>
      <c r="B4" s="349"/>
      <c r="C4" s="784"/>
      <c r="D4" s="343"/>
      <c r="E4" s="785"/>
      <c r="F4" s="343"/>
      <c r="G4" s="343"/>
      <c r="H4" s="343"/>
      <c r="I4" s="343"/>
      <c r="J4" s="343"/>
      <c r="K4" s="343"/>
      <c r="L4" s="343"/>
      <c r="M4" s="1648"/>
      <c r="O4" s="1648" t="s">
        <v>106</v>
      </c>
    </row>
    <row r="5" spans="1:34" ht="18">
      <c r="A5" s="2652" t="s">
        <v>1409</v>
      </c>
      <c r="B5"/>
      <c r="C5"/>
      <c r="D5" s="343"/>
      <c r="E5" s="785"/>
      <c r="F5" s="343"/>
      <c r="G5" s="343"/>
      <c r="H5" s="343"/>
      <c r="I5" s="343"/>
      <c r="J5" s="343"/>
      <c r="K5" s="343"/>
      <c r="L5" s="343"/>
      <c r="M5" s="349"/>
    </row>
    <row r="6" spans="1:34" ht="18.95" customHeight="1">
      <c r="A6" s="2727" t="str">
        <f>+'Exh D-Governmental  '!A6</f>
        <v>FOR TEN MONTHS ENDED JANUARY 31, 2017</v>
      </c>
      <c r="B6" s="348"/>
      <c r="C6" s="784"/>
      <c r="D6" s="343"/>
      <c r="E6" s="785"/>
      <c r="F6" s="343"/>
      <c r="G6" s="343"/>
      <c r="H6" s="343"/>
      <c r="I6" s="343"/>
      <c r="J6" s="343"/>
      <c r="K6" s="343"/>
      <c r="L6" s="343"/>
      <c r="M6" s="349"/>
      <c r="N6" s="343"/>
      <c r="O6" s="357"/>
      <c r="P6" s="357"/>
      <c r="Q6" s="357"/>
      <c r="R6" s="357"/>
      <c r="S6" s="357"/>
      <c r="T6" s="357"/>
      <c r="U6" s="357"/>
      <c r="V6" s="357"/>
      <c r="W6" s="357"/>
      <c r="X6" s="357"/>
      <c r="Y6" s="357"/>
      <c r="Z6" s="357"/>
      <c r="AA6" s="357"/>
      <c r="AB6" s="357"/>
      <c r="AC6" s="1124"/>
      <c r="AD6" s="1124"/>
      <c r="AE6" s="1124"/>
      <c r="AF6" s="1124"/>
      <c r="AG6" s="1124"/>
      <c r="AH6" s="1815"/>
    </row>
    <row r="7" spans="1:34" ht="18">
      <c r="A7" s="392" t="s">
        <v>980</v>
      </c>
      <c r="B7" s="349"/>
      <c r="C7" s="784"/>
      <c r="D7" s="343"/>
      <c r="E7" s="785"/>
      <c r="F7" s="343"/>
      <c r="G7" s="343"/>
      <c r="H7" s="343"/>
      <c r="I7" s="343"/>
      <c r="J7" s="343"/>
      <c r="K7" s="343"/>
      <c r="L7" s="343"/>
      <c r="M7" s="349"/>
    </row>
    <row r="8" spans="1:34" ht="18">
      <c r="A8" s="394"/>
      <c r="B8" s="349"/>
      <c r="C8" s="1882"/>
      <c r="D8" s="357"/>
      <c r="E8" s="785"/>
      <c r="F8" s="343"/>
      <c r="G8" s="343"/>
      <c r="H8" s="343"/>
      <c r="I8" s="343"/>
      <c r="J8" s="343"/>
      <c r="K8" s="343"/>
      <c r="L8" s="343"/>
      <c r="M8" s="349"/>
    </row>
    <row r="9" spans="1:34">
      <c r="A9" s="351"/>
      <c r="B9" s="343"/>
      <c r="C9" s="2263"/>
      <c r="D9" s="357"/>
      <c r="E9" s="785"/>
      <c r="F9" s="343"/>
      <c r="G9" s="343"/>
      <c r="H9" s="343"/>
      <c r="I9" s="343"/>
      <c r="J9" s="343"/>
      <c r="K9" s="343"/>
      <c r="L9" s="343"/>
      <c r="M9" s="349"/>
    </row>
    <row r="10" spans="1:34">
      <c r="A10" s="351"/>
      <c r="B10" s="343"/>
      <c r="C10" s="1882"/>
      <c r="D10" s="348"/>
      <c r="E10" s="784"/>
      <c r="F10" s="349"/>
      <c r="G10" s="349"/>
      <c r="H10" s="349"/>
      <c r="I10" s="349"/>
      <c r="J10" s="349"/>
      <c r="K10" s="349"/>
      <c r="L10" s="349"/>
      <c r="M10" s="349"/>
      <c r="N10" s="1833"/>
    </row>
    <row r="11" spans="1:34" ht="15.75">
      <c r="A11" s="1321"/>
      <c r="B11" s="352"/>
      <c r="C11" s="2258"/>
      <c r="D11" s="2269"/>
      <c r="E11" s="2258"/>
      <c r="F11" s="2267"/>
      <c r="G11" s="2282"/>
      <c r="H11" s="2267"/>
      <c r="I11" s="2654" t="s">
        <v>1266</v>
      </c>
      <c r="J11" s="3212"/>
      <c r="K11" s="3212"/>
      <c r="L11" s="3212"/>
      <c r="M11" s="2267"/>
      <c r="N11" s="2270"/>
      <c r="O11" s="2250"/>
    </row>
    <row r="12" spans="1:34" ht="15.75">
      <c r="A12" s="1321"/>
      <c r="B12" s="352"/>
      <c r="C12" s="353"/>
      <c r="D12" s="353"/>
      <c r="E12" s="353"/>
      <c r="F12" s="353"/>
      <c r="G12" s="353"/>
      <c r="H12" s="353"/>
      <c r="I12" s="353"/>
      <c r="J12" s="353"/>
      <c r="K12" s="353"/>
      <c r="L12" s="353"/>
      <c r="M12" s="400" t="s">
        <v>86</v>
      </c>
      <c r="N12" s="354"/>
      <c r="O12" s="354" t="s">
        <v>86</v>
      </c>
    </row>
    <row r="13" spans="1:34" ht="15.75">
      <c r="A13" s="1321"/>
      <c r="B13" s="352"/>
      <c r="C13" s="353"/>
      <c r="D13" s="353"/>
      <c r="E13" s="353"/>
      <c r="F13" s="353"/>
      <c r="G13" s="353"/>
      <c r="H13" s="353"/>
      <c r="I13" s="353"/>
      <c r="J13" s="353"/>
      <c r="K13" s="353"/>
      <c r="L13" s="353"/>
      <c r="M13" s="400" t="s">
        <v>987</v>
      </c>
      <c r="N13" s="354"/>
      <c r="O13" s="354" t="s">
        <v>987</v>
      </c>
    </row>
    <row r="14" spans="1:34" ht="15.75">
      <c r="A14" s="1321"/>
      <c r="B14" s="352"/>
      <c r="C14" s="355" t="s">
        <v>1203</v>
      </c>
      <c r="D14" s="353"/>
      <c r="E14" s="354" t="s">
        <v>1204</v>
      </c>
      <c r="F14" s="353"/>
      <c r="G14" s="353"/>
      <c r="H14" s="353"/>
      <c r="I14" s="353"/>
      <c r="J14" s="353"/>
      <c r="K14" s="353"/>
      <c r="L14" s="353"/>
      <c r="M14" s="400" t="s">
        <v>87</v>
      </c>
      <c r="N14" s="354"/>
      <c r="O14" s="354" t="s">
        <v>87</v>
      </c>
    </row>
    <row r="15" spans="1:34" ht="15.75" customHeight="1">
      <c r="A15" s="1321"/>
      <c r="B15" s="352"/>
      <c r="C15" s="354" t="s">
        <v>1247</v>
      </c>
      <c r="D15" s="353"/>
      <c r="E15" s="354" t="s">
        <v>1247</v>
      </c>
      <c r="F15" s="353"/>
      <c r="G15" s="353"/>
      <c r="H15" s="353"/>
      <c r="I15" s="353"/>
      <c r="J15" s="353"/>
      <c r="K15" s="353"/>
      <c r="L15" s="353"/>
      <c r="M15" s="400" t="s">
        <v>1203</v>
      </c>
      <c r="N15" s="354"/>
      <c r="O15" s="354" t="s">
        <v>1204</v>
      </c>
    </row>
    <row r="16" spans="1:34" ht="15.75">
      <c r="A16" s="1321"/>
      <c r="B16" s="352"/>
      <c r="C16" s="354" t="s">
        <v>1248</v>
      </c>
      <c r="D16" s="353"/>
      <c r="E16" s="354" t="s">
        <v>1460</v>
      </c>
      <c r="F16" s="353"/>
      <c r="G16" s="355" t="s">
        <v>86</v>
      </c>
      <c r="H16" s="353"/>
      <c r="I16" s="2300" t="s">
        <v>1431</v>
      </c>
      <c r="J16" s="353"/>
      <c r="K16" s="2300" t="s">
        <v>906</v>
      </c>
      <c r="L16" s="353"/>
      <c r="M16" s="400" t="s">
        <v>88</v>
      </c>
      <c r="N16" s="354"/>
      <c r="O16" s="354" t="s">
        <v>88</v>
      </c>
    </row>
    <row r="17" spans="1:34">
      <c r="A17" s="356"/>
      <c r="B17" s="357"/>
      <c r="C17" s="358"/>
      <c r="D17" s="357"/>
      <c r="E17" s="358"/>
      <c r="F17" s="343"/>
      <c r="G17" s="358"/>
      <c r="H17" s="343"/>
      <c r="I17" s="343"/>
      <c r="J17" s="343"/>
      <c r="K17" s="343"/>
      <c r="L17" s="343"/>
      <c r="M17" s="3216"/>
      <c r="O17" s="358"/>
    </row>
    <row r="18" spans="1:34" ht="15.75">
      <c r="A18" s="221" t="s">
        <v>14</v>
      </c>
      <c r="B18" s="1803"/>
      <c r="C18" s="1224"/>
      <c r="D18" s="1803"/>
      <c r="E18" s="1224"/>
      <c r="F18" s="1224"/>
      <c r="G18" s="1224" t="s">
        <v>15</v>
      </c>
      <c r="H18" s="1224"/>
      <c r="I18" s="1224"/>
      <c r="J18" s="1224"/>
      <c r="K18" s="1224"/>
      <c r="L18" s="1224"/>
      <c r="M18" s="3217"/>
      <c r="O18" s="1224"/>
    </row>
    <row r="19" spans="1:34">
      <c r="A19" s="1638" t="s">
        <v>89</v>
      </c>
      <c r="B19" s="1804" t="s">
        <v>15</v>
      </c>
      <c r="C19" s="1225"/>
      <c r="D19" s="1889"/>
      <c r="E19" s="1225"/>
      <c r="F19" s="1225"/>
      <c r="G19" s="1835"/>
      <c r="H19" s="1227"/>
      <c r="I19" s="1227"/>
      <c r="J19" s="1227"/>
      <c r="K19" s="1227"/>
      <c r="L19" s="1227"/>
      <c r="M19" s="1750"/>
      <c r="N19" s="1803"/>
      <c r="O19" s="1225"/>
      <c r="P19" s="1803"/>
      <c r="Q19" s="1803"/>
      <c r="R19" s="1803"/>
      <c r="S19" s="1803"/>
      <c r="T19" s="1803"/>
      <c r="U19" s="1803"/>
      <c r="V19" s="1803"/>
      <c r="W19" s="1803"/>
      <c r="X19" s="1803"/>
      <c r="Y19" s="1803"/>
      <c r="Z19" s="1803"/>
      <c r="AA19" s="1803"/>
      <c r="AB19" s="1803"/>
      <c r="AC19" s="1124"/>
      <c r="AD19" s="1124"/>
      <c r="AE19" s="1124"/>
      <c r="AF19" s="1124"/>
      <c r="AG19" s="1124"/>
      <c r="AH19" s="1815"/>
    </row>
    <row r="20" spans="1:34">
      <c r="A20" s="1638" t="s">
        <v>91</v>
      </c>
      <c r="B20" s="1803" t="s">
        <v>15</v>
      </c>
      <c r="C20" s="1821">
        <f>+'Exh D Captl Projects State Fed'!C20+'Exh D Captl Projects State Fed'!M20</f>
        <v>476</v>
      </c>
      <c r="D20" s="1823"/>
      <c r="E20" s="1821">
        <f>+'Exh D Captl Projects State Fed'!E20</f>
        <v>525</v>
      </c>
      <c r="F20" s="1226"/>
      <c r="G20" s="1821">
        <f>+'Exh D Captl Projects State Fed'!G20</f>
        <v>533.20000000000005</v>
      </c>
      <c r="H20" s="1226"/>
      <c r="I20" s="1821">
        <v>0</v>
      </c>
      <c r="J20" s="1226"/>
      <c r="K20" s="3248">
        <f>+G20+I20</f>
        <v>533.20000000000005</v>
      </c>
      <c r="L20" s="1226"/>
      <c r="M20" s="1750">
        <f>ROUND(SUM(K20)-SUM(C20),1)</f>
        <v>57.2</v>
      </c>
      <c r="N20" s="1803"/>
      <c r="O20" s="1750">
        <f>ROUND(SUM(K20)-SUM(E20),1)</f>
        <v>8.1999999999999993</v>
      </c>
      <c r="P20" s="1803"/>
      <c r="Q20" s="1803"/>
      <c r="R20" s="1803"/>
      <c r="S20" s="1803"/>
      <c r="T20" s="1803"/>
      <c r="U20" s="1803"/>
      <c r="V20" s="1803"/>
      <c r="W20" s="1803"/>
      <c r="X20" s="1803"/>
      <c r="Y20" s="1803"/>
      <c r="Z20" s="1803"/>
      <c r="AA20" s="1803"/>
      <c r="AB20" s="1803"/>
      <c r="AC20" s="1124"/>
      <c r="AD20" s="1124"/>
      <c r="AE20" s="1124"/>
      <c r="AF20" s="1124"/>
      <c r="AG20" s="1124"/>
      <c r="AH20" s="1815"/>
    </row>
    <row r="21" spans="1:34">
      <c r="A21" s="1638" t="s">
        <v>92</v>
      </c>
      <c r="B21" s="1804" t="s">
        <v>15</v>
      </c>
      <c r="C21" s="1317">
        <f>+'Exh D Captl Projects State Fed'!C21+'Exh D Captl Projects State Fed'!M21</f>
        <v>518</v>
      </c>
      <c r="D21" s="1823"/>
      <c r="E21" s="1317">
        <f>+'Exh D Captl Projects State Fed'!E21</f>
        <v>539</v>
      </c>
      <c r="F21" s="1226"/>
      <c r="G21" s="1317">
        <f>+'Exh D Captl Projects State Fed'!G21</f>
        <v>541</v>
      </c>
      <c r="H21" s="1226"/>
      <c r="I21" s="1226">
        <v>0</v>
      </c>
      <c r="J21" s="1226"/>
      <c r="K21" s="3249">
        <f t="shared" ref="K21:K26" si="0">+G21+I21</f>
        <v>541</v>
      </c>
      <c r="L21" s="1226"/>
      <c r="M21" s="1751">
        <f>ROUND(SUM(K21)-SUM(C21),1)</f>
        <v>23</v>
      </c>
      <c r="N21" s="1825"/>
      <c r="O21" s="1146">
        <f>ROUND(SUM(K21)-SUM(E21),1)</f>
        <v>2</v>
      </c>
      <c r="P21" s="1803"/>
      <c r="Q21" s="1825"/>
      <c r="R21" s="1803"/>
      <c r="S21" s="1825"/>
      <c r="T21" s="1803"/>
      <c r="U21" s="1803"/>
      <c r="V21" s="1825"/>
      <c r="W21" s="1803"/>
      <c r="X21" s="1803"/>
      <c r="Y21" s="1825"/>
      <c r="Z21" s="404"/>
      <c r="AA21" s="1825"/>
      <c r="AB21" s="1803"/>
      <c r="AC21" s="1124"/>
      <c r="AD21" s="1124"/>
      <c r="AE21" s="1124"/>
      <c r="AF21" s="1124"/>
      <c r="AG21" s="1124"/>
      <c r="AH21" s="1815"/>
    </row>
    <row r="22" spans="1:34">
      <c r="A22" s="1638" t="s">
        <v>93</v>
      </c>
      <c r="B22" s="1803" t="s">
        <v>15</v>
      </c>
      <c r="C22" s="1317">
        <f>+'Exh D Captl Projects State Fed'!C22+'Exh D Captl Projects State Fed'!M22</f>
        <v>96</v>
      </c>
      <c r="D22" s="1823"/>
      <c r="E22" s="1317">
        <f>+'Exh D Captl Projects State Fed'!E22</f>
        <v>95</v>
      </c>
      <c r="F22" s="1226"/>
      <c r="G22" s="1317">
        <f>+'Exh D Captl Projects State Fed'!G22</f>
        <v>95.3</v>
      </c>
      <c r="H22" s="1226"/>
      <c r="I22" s="1226">
        <v>0</v>
      </c>
      <c r="J22" s="1226"/>
      <c r="K22" s="3249">
        <f>+G22+I22</f>
        <v>95.3</v>
      </c>
      <c r="L22" s="1226"/>
      <c r="M22" s="1751">
        <f t="shared" ref="M22:M26" si="1">ROUND(SUM(K22)-SUM(C22),1)</f>
        <v>-0.7</v>
      </c>
      <c r="N22" s="1803"/>
      <c r="O22" s="2925">
        <f t="shared" ref="O22:O26" si="2">ROUND(SUM(K22)-SUM(E22),1)</f>
        <v>0.3</v>
      </c>
      <c r="P22" s="1803"/>
      <c r="Q22" s="1803"/>
      <c r="R22" s="1803"/>
      <c r="S22" s="1803"/>
      <c r="T22" s="1803"/>
      <c r="U22" s="1803"/>
      <c r="V22" s="1803"/>
      <c r="W22" s="1803"/>
      <c r="X22" s="1803"/>
      <c r="Y22" s="1803"/>
      <c r="Z22" s="1803"/>
      <c r="AA22" s="1803"/>
      <c r="AB22" s="1803"/>
      <c r="AC22" s="1124"/>
      <c r="AD22" s="1124"/>
      <c r="AE22" s="1124"/>
      <c r="AF22" s="1124"/>
      <c r="AG22" s="1124"/>
      <c r="AH22" s="1815"/>
    </row>
    <row r="23" spans="1:34">
      <c r="A23" s="1638" t="s">
        <v>20</v>
      </c>
      <c r="B23" s="1803" t="s">
        <v>15</v>
      </c>
      <c r="C23" s="1146">
        <f>+'Exh D Captl Projects State Fed'!C23+'Exh D Captl Projects State Fed'!M23</f>
        <v>3587</v>
      </c>
      <c r="D23" s="1823"/>
      <c r="E23" s="1146">
        <f>+'Exh D Captl Projects State Fed'!E23+'Exh D Captl Projects State Fed'!O23</f>
        <v>2546</v>
      </c>
      <c r="F23" s="1146"/>
      <c r="G23" s="1146">
        <f>+'Exh D Captl Projects State Fed'!G23+'Exh D Captl Projects State Fed'!Q23</f>
        <v>2525</v>
      </c>
      <c r="H23" s="1146"/>
      <c r="I23" s="2925">
        <v>0</v>
      </c>
      <c r="J23" s="2925"/>
      <c r="K23" s="3249">
        <f t="shared" si="0"/>
        <v>2525</v>
      </c>
      <c r="L23" s="2925"/>
      <c r="M23" s="1751">
        <f t="shared" si="1"/>
        <v>-1062</v>
      </c>
      <c r="O23" s="2925">
        <f t="shared" si="2"/>
        <v>-21</v>
      </c>
    </row>
    <row r="24" spans="1:34">
      <c r="A24" s="1638" t="s">
        <v>21</v>
      </c>
      <c r="B24" s="1803" t="s">
        <v>15</v>
      </c>
      <c r="C24" s="1146">
        <f>+'Exh D Captl Projects State Fed'!C24+'Exh D Captl Projects State Fed'!M24</f>
        <v>1692</v>
      </c>
      <c r="D24" s="1823"/>
      <c r="E24" s="1146">
        <f>+'Exh D Captl Projects State Fed'!E24+'Exh D Captl Projects State Fed'!O24</f>
        <v>2053</v>
      </c>
      <c r="F24" s="1146"/>
      <c r="G24" s="1146">
        <f>+'Exh D Captl Projects State Fed'!G24+'Exh D Captl Projects State Fed'!Q24</f>
        <v>2142.1999999999998</v>
      </c>
      <c r="H24" s="1146"/>
      <c r="I24" s="2925">
        <v>0</v>
      </c>
      <c r="J24" s="2925"/>
      <c r="K24" s="3249">
        <f t="shared" si="0"/>
        <v>2142.1999999999998</v>
      </c>
      <c r="L24" s="2925"/>
      <c r="M24" s="1751">
        <f t="shared" si="1"/>
        <v>450.2</v>
      </c>
      <c r="O24" s="2925">
        <f t="shared" si="2"/>
        <v>89.2</v>
      </c>
    </row>
    <row r="25" spans="1:34">
      <c r="A25" s="1638" t="s">
        <v>99</v>
      </c>
      <c r="B25" s="1803" t="s">
        <v>15</v>
      </c>
      <c r="C25" s="1226">
        <f>+'Exh D Captl Projects State Fed'!C25+'Exh D Captl Projects State Fed'!M25</f>
        <v>22</v>
      </c>
      <c r="D25" s="2268"/>
      <c r="E25" s="1226">
        <f>+'Exh D Captl Projects State Fed'!E25+'Exh D Captl Projects State Fed'!O25</f>
        <v>2</v>
      </c>
      <c r="F25" s="1146"/>
      <c r="G25" s="1226">
        <f>+'Exh D Captl Projects State Fed'!G25+'Exh D Captl Projects State Fed'!Q25</f>
        <v>0</v>
      </c>
      <c r="H25" s="1146"/>
      <c r="I25" s="2925">
        <v>0</v>
      </c>
      <c r="J25" s="2925"/>
      <c r="K25" s="3213">
        <f t="shared" si="0"/>
        <v>0</v>
      </c>
      <c r="L25" s="2925"/>
      <c r="M25" s="1751">
        <f t="shared" si="1"/>
        <v>-22</v>
      </c>
      <c r="O25" s="2925">
        <f t="shared" si="2"/>
        <v>-2</v>
      </c>
    </row>
    <row r="26" spans="1:34">
      <c r="A26" s="1638" t="s">
        <v>48</v>
      </c>
      <c r="B26" s="1803" t="s">
        <v>15</v>
      </c>
      <c r="C26" s="1299">
        <f>+'Exh D Captl Projects State Fed'!C26+'Exh D Captl Projects State Fed'!M26</f>
        <v>3035</v>
      </c>
      <c r="D26" s="1823"/>
      <c r="E26" s="1299">
        <f>+'Exh D Captl Projects State Fed'!E26+'Exh D Captl Projects State Fed'!O26</f>
        <v>2727</v>
      </c>
      <c r="F26" s="1146"/>
      <c r="G26" s="1299">
        <f>+'Exh D Captl Projects State Fed'!G26+'Exh D Captl Projects State Fed'!Q26</f>
        <v>2528.6</v>
      </c>
      <c r="H26" s="1146"/>
      <c r="I26" s="2925">
        <f>' Exhbit I '!AC93</f>
        <v>-30.4</v>
      </c>
      <c r="J26" s="2925"/>
      <c r="K26" s="3249">
        <f t="shared" si="0"/>
        <v>2498.1999999999998</v>
      </c>
      <c r="L26" s="2925"/>
      <c r="M26" s="1751">
        <f t="shared" si="1"/>
        <v>-536.79999999999995</v>
      </c>
      <c r="O26" s="2925">
        <f t="shared" si="2"/>
        <v>-228.8</v>
      </c>
    </row>
    <row r="27" spans="1:34" ht="18" customHeight="1">
      <c r="A27" s="2149" t="s">
        <v>112</v>
      </c>
      <c r="B27" s="352" t="s">
        <v>15</v>
      </c>
      <c r="C27" s="418">
        <f>ROUND(SUM(C20:C26),1)</f>
        <v>9426</v>
      </c>
      <c r="D27" s="272"/>
      <c r="E27" s="418">
        <f>ROUND(SUM(E20:E26),1)</f>
        <v>8487</v>
      </c>
      <c r="F27" s="1802"/>
      <c r="G27" s="418">
        <f>ROUND(SUM(G20:G26),1)</f>
        <v>8365.2999999999993</v>
      </c>
      <c r="H27" s="1802"/>
      <c r="I27" s="2951">
        <f>ROUND(SUM(I20:I26),1)</f>
        <v>-30.4</v>
      </c>
      <c r="J27" s="1802"/>
      <c r="K27" s="2951">
        <f>ROUND(SUM(K20:K26),1)</f>
        <v>8334.9</v>
      </c>
      <c r="L27" s="1802"/>
      <c r="M27" s="2747">
        <f>ROUND(SUM(M20:M26),1)</f>
        <v>-1091.0999999999999</v>
      </c>
      <c r="O27" s="418">
        <f>ROUND(SUM(O20:O26),1)</f>
        <v>-152.1</v>
      </c>
    </row>
    <row r="28" spans="1:34">
      <c r="A28" s="1321"/>
      <c r="B28" s="1803" t="s">
        <v>15</v>
      </c>
      <c r="C28" s="1319"/>
      <c r="D28" s="1823"/>
      <c r="E28" s="1319"/>
      <c r="F28" s="1146"/>
      <c r="G28" s="1319"/>
      <c r="H28" s="1146"/>
      <c r="I28" s="2925"/>
      <c r="J28" s="2925"/>
      <c r="K28" s="2925"/>
      <c r="L28" s="2925"/>
      <c r="M28" s="1979" t="s">
        <v>15</v>
      </c>
      <c r="O28" s="1319" t="s">
        <v>15</v>
      </c>
    </row>
    <row r="29" spans="1:34" ht="15.75">
      <c r="A29" s="221" t="s">
        <v>23</v>
      </c>
      <c r="B29" s="1803" t="s">
        <v>15</v>
      </c>
      <c r="C29" s="1146"/>
      <c r="D29" s="1823"/>
      <c r="E29" s="1146"/>
      <c r="F29" s="1146"/>
      <c r="G29" s="1146"/>
      <c r="H29" s="1146"/>
      <c r="I29" s="2925"/>
      <c r="J29" s="2925"/>
      <c r="K29" s="2925"/>
      <c r="L29" s="2925"/>
      <c r="M29" s="1751"/>
      <c r="O29" s="1146"/>
    </row>
    <row r="30" spans="1:34">
      <c r="A30" s="1638" t="s">
        <v>95</v>
      </c>
      <c r="B30" s="1803" t="s">
        <v>15</v>
      </c>
      <c r="C30" s="1146">
        <f>+'Exh D Captl Projects State Fed'!C30+'Exh D Captl Projects State Fed'!M30</f>
        <v>2776</v>
      </c>
      <c r="D30" s="1823"/>
      <c r="E30" s="1146">
        <f>+'Exh D Captl Projects State Fed'!E30+'Exh D Captl Projects State Fed'!O30</f>
        <v>2477</v>
      </c>
      <c r="F30" s="1146"/>
      <c r="G30" s="1146">
        <f>+'Exh D Captl Projects State Fed'!G30+'Exh D Captl Projects State Fed'!Q30</f>
        <v>2474.8000000000002</v>
      </c>
      <c r="H30" s="1146"/>
      <c r="I30" s="2925">
        <v>0</v>
      </c>
      <c r="J30" s="2925"/>
      <c r="K30" s="3249">
        <f t="shared" ref="K30:K32" si="3">+G30+I30</f>
        <v>2474.8000000000002</v>
      </c>
      <c r="L30" s="2925"/>
      <c r="M30" s="1751">
        <f t="shared" ref="M30:M32" si="4">ROUND(SUM(K30)-SUM(C30),1)</f>
        <v>-301.2</v>
      </c>
      <c r="O30" s="2925">
        <f t="shared" ref="O30:O32" si="5">ROUND(SUM(K30)-SUM(E30),1)</f>
        <v>-2.2000000000000002</v>
      </c>
    </row>
    <row r="31" spans="1:34">
      <c r="A31" s="1638" t="s">
        <v>42</v>
      </c>
      <c r="B31" s="1803" t="s">
        <v>15</v>
      </c>
      <c r="C31" s="1146">
        <f>+'Exh D Captl Projects State Fed'!C31+'Exh D Captl Projects State Fed'!M31</f>
        <v>6310</v>
      </c>
      <c r="D31" s="2268"/>
      <c r="E31" s="1146">
        <f>+'Exh D Captl Projects State Fed'!E31+'Exh D Captl Projects State Fed'!O31</f>
        <v>5534</v>
      </c>
      <c r="F31" s="1146"/>
      <c r="G31" s="1146">
        <f>+'Exh D Captl Projects State Fed'!G31+'Exh D Captl Projects State Fed'!Q31</f>
        <v>5402.2</v>
      </c>
      <c r="H31" s="1146"/>
      <c r="I31" s="2925">
        <v>0</v>
      </c>
      <c r="J31" s="2925"/>
      <c r="K31" s="3249">
        <f t="shared" si="3"/>
        <v>5402.2</v>
      </c>
      <c r="L31" s="2925"/>
      <c r="M31" s="1751">
        <f t="shared" si="4"/>
        <v>-907.8</v>
      </c>
      <c r="O31" s="2925">
        <f t="shared" si="5"/>
        <v>-131.80000000000001</v>
      </c>
    </row>
    <row r="32" spans="1:34">
      <c r="A32" s="1638" t="s">
        <v>100</v>
      </c>
      <c r="B32" s="1803" t="s">
        <v>15</v>
      </c>
      <c r="C32" s="1146">
        <f>+'Exh D Captl Projects State Fed'!C32+'Exh D Captl Projects State Fed'!M32</f>
        <v>509</v>
      </c>
      <c r="D32" s="1823"/>
      <c r="E32" s="1146">
        <f>+'Exh D Captl Projects State Fed'!E32+'Exh D Captl Projects State Fed'!O32</f>
        <v>524</v>
      </c>
      <c r="F32" s="1146"/>
      <c r="G32" s="1146">
        <f>+'Exh D Captl Projects State Fed'!G32+'Exh D Captl Projects State Fed'!Q32</f>
        <v>556.69999999999993</v>
      </c>
      <c r="H32" s="1146"/>
      <c r="I32" s="2925">
        <f>-' Exhbit I '!AC94</f>
        <v>-30.4</v>
      </c>
      <c r="J32" s="2925"/>
      <c r="K32" s="3249">
        <f t="shared" si="3"/>
        <v>526.29999999999995</v>
      </c>
      <c r="L32" s="2925"/>
      <c r="M32" s="1751">
        <f t="shared" si="4"/>
        <v>17.3</v>
      </c>
      <c r="O32" s="2925">
        <f t="shared" si="5"/>
        <v>2.2999999999999998</v>
      </c>
    </row>
    <row r="33" spans="1:34" ht="18" customHeight="1">
      <c r="A33" s="2149" t="s">
        <v>121</v>
      </c>
      <c r="B33" s="352" t="s">
        <v>15</v>
      </c>
      <c r="C33" s="418">
        <f>ROUND(SUM(C30:C32),1)</f>
        <v>9595</v>
      </c>
      <c r="D33" s="272"/>
      <c r="E33" s="418">
        <f>ROUND(SUM(E30:E32),1)</f>
        <v>8535</v>
      </c>
      <c r="F33" s="1802"/>
      <c r="G33" s="418">
        <f>ROUND(SUM(G30:G32),1)</f>
        <v>8433.7000000000007</v>
      </c>
      <c r="H33" s="1802"/>
      <c r="I33" s="2951">
        <f>ROUND(SUM(I30:I32),1)</f>
        <v>-30.4</v>
      </c>
      <c r="J33" s="1802"/>
      <c r="K33" s="2951">
        <f>ROUND(SUM(K30:K32),1)</f>
        <v>8403.2999999999993</v>
      </c>
      <c r="L33" s="1802"/>
      <c r="M33" s="2747">
        <f>ROUND(SUM(M30:M32),1)</f>
        <v>-1191.7</v>
      </c>
      <c r="O33" s="418">
        <f>ROUND(SUM(O30:O32),1)</f>
        <v>-131.69999999999999</v>
      </c>
    </row>
    <row r="34" spans="1:34">
      <c r="A34" s="1321"/>
      <c r="B34" s="1803" t="s">
        <v>15</v>
      </c>
      <c r="C34" s="1319"/>
      <c r="D34" s="1823"/>
      <c r="E34" s="1319"/>
      <c r="F34" s="1146"/>
      <c r="G34" s="1319"/>
      <c r="H34" s="1146"/>
      <c r="I34" s="2925"/>
      <c r="J34" s="2925"/>
      <c r="K34" s="2925"/>
      <c r="L34" s="2925"/>
      <c r="M34" s="1979"/>
      <c r="O34" s="1319"/>
    </row>
    <row r="35" spans="1:34" ht="15.75">
      <c r="A35" s="221" t="s">
        <v>102</v>
      </c>
      <c r="B35" s="1803"/>
      <c r="C35" s="1146"/>
      <c r="D35" s="1823"/>
      <c r="E35" s="1146"/>
      <c r="F35" s="1146"/>
      <c r="G35" s="1146"/>
      <c r="H35" s="1146"/>
      <c r="I35" s="2925"/>
      <c r="J35" s="2925"/>
      <c r="K35" s="2925"/>
      <c r="L35" s="2925"/>
      <c r="M35" s="1751"/>
      <c r="O35" s="1146"/>
    </row>
    <row r="36" spans="1:34" ht="15.75">
      <c r="A36" s="221" t="s">
        <v>103</v>
      </c>
      <c r="B36" s="1803"/>
      <c r="C36" s="1146"/>
      <c r="D36" s="1823"/>
      <c r="E36" s="1146"/>
      <c r="F36" s="1146"/>
      <c r="G36" s="1146"/>
      <c r="H36" s="1146"/>
      <c r="I36" s="2925"/>
      <c r="J36" s="2925"/>
      <c r="K36" s="2925"/>
      <c r="L36" s="2925"/>
      <c r="M36" s="1751"/>
      <c r="O36" s="1146"/>
    </row>
    <row r="37" spans="1:34" ht="15.75">
      <c r="A37" s="2149" t="s">
        <v>104</v>
      </c>
      <c r="B37" s="375" t="s">
        <v>15</v>
      </c>
      <c r="C37" s="272">
        <f>ROUND(SUM(C27)-SUM(C33),1)</f>
        <v>-169</v>
      </c>
      <c r="D37" s="272"/>
      <c r="E37" s="272">
        <f>ROUND(SUM(E27)-SUM(E33),1)</f>
        <v>-48</v>
      </c>
      <c r="F37" s="283"/>
      <c r="G37" s="272">
        <f>ROUND(SUM(G27)-SUM(G33),1)</f>
        <v>-68.400000000000006</v>
      </c>
      <c r="H37" s="283"/>
      <c r="I37" s="283">
        <v>0</v>
      </c>
      <c r="J37" s="283"/>
      <c r="K37" s="2926">
        <f>ROUND(SUM(K27)-SUM(K33),1)</f>
        <v>-68.400000000000006</v>
      </c>
      <c r="L37" s="283"/>
      <c r="M37" s="314">
        <f>ROUND(SUM(M27)-SUM(M33),1)</f>
        <v>100.6</v>
      </c>
      <c r="N37" s="1124"/>
      <c r="O37" s="272">
        <f>ROUND(SUM(O27)-SUM(O33),1)</f>
        <v>-20.399999999999999</v>
      </c>
    </row>
    <row r="38" spans="1:34" ht="15.75">
      <c r="B38" s="1124"/>
      <c r="C38" s="1242"/>
      <c r="D38" s="272"/>
      <c r="E38" s="1242"/>
      <c r="F38" s="1812"/>
      <c r="G38" s="1242"/>
      <c r="H38" s="1812"/>
      <c r="I38" s="1812"/>
      <c r="J38" s="1812"/>
      <c r="K38" s="1242"/>
      <c r="L38" s="1812"/>
      <c r="M38" s="2748"/>
      <c r="O38" s="1242"/>
    </row>
    <row r="39" spans="1:34" ht="15.75">
      <c r="A39" s="2149" t="str">
        <f>+'Exh D-Governmental  '!A49</f>
        <v>Fund Balances (Deficits) at April 1</v>
      </c>
      <c r="B39" s="1814" t="s">
        <v>15</v>
      </c>
      <c r="C39" s="272">
        <f>+'Exh D Captl Projects State Fed'!C39+'Exh D Captl Projects State Fed'!M39</f>
        <v>-891</v>
      </c>
      <c r="D39" s="272"/>
      <c r="E39" s="272">
        <v>-891</v>
      </c>
      <c r="F39" s="1812"/>
      <c r="G39" s="272">
        <v>-890.8</v>
      </c>
      <c r="H39" s="1812"/>
      <c r="I39" s="3263">
        <v>0</v>
      </c>
      <c r="J39" s="1812"/>
      <c r="K39" s="2926">
        <v>-890.8</v>
      </c>
      <c r="L39" s="1812"/>
      <c r="M39" s="3218">
        <f>ROUND(SUM(K39-C39),1)</f>
        <v>0.2</v>
      </c>
      <c r="N39" s="1124"/>
      <c r="O39" s="1802">
        <f>ROUND(SUM(K39)-SUM(E39),1)</f>
        <v>0.2</v>
      </c>
      <c r="P39" s="1124"/>
      <c r="Q39" s="1124"/>
      <c r="R39" s="1124"/>
      <c r="S39" s="1124"/>
      <c r="T39" s="1124"/>
      <c r="U39" s="1124"/>
      <c r="V39" s="1124"/>
      <c r="W39" s="1124"/>
      <c r="X39" s="1124"/>
      <c r="Y39" s="1124"/>
      <c r="Z39" s="1124"/>
      <c r="AA39" s="1124"/>
      <c r="AB39" s="1124"/>
      <c r="AC39" s="1124"/>
      <c r="AD39" s="1124"/>
      <c r="AE39" s="1124"/>
      <c r="AF39" s="1124"/>
      <c r="AG39" s="1124"/>
      <c r="AH39" s="1815"/>
    </row>
    <row r="40" spans="1:34" ht="16.5" thickBot="1">
      <c r="A40" s="2582" t="str">
        <f>+'Exh D-Governmental  '!A50</f>
        <v>Fund Balances (Deficits) at January 31, 2017</v>
      </c>
      <c r="B40" s="381" t="s">
        <v>15</v>
      </c>
      <c r="C40" s="297">
        <f>ROUND(SUM(C37:C39),1)</f>
        <v>-1060</v>
      </c>
      <c r="D40" s="422"/>
      <c r="E40" s="297">
        <f>ROUND(SUM(E37:E39),1)</f>
        <v>-939</v>
      </c>
      <c r="F40" s="382"/>
      <c r="G40" s="297">
        <f>ROUND(SUM(G37:G39),1)</f>
        <v>-959.2</v>
      </c>
      <c r="H40" s="382"/>
      <c r="I40" s="297">
        <f>ROUND(SUM(I37:I39),1)</f>
        <v>0</v>
      </c>
      <c r="J40" s="382"/>
      <c r="K40" s="297">
        <f>ROUND(SUM(K37:K39),1)</f>
        <v>-959.2</v>
      </c>
      <c r="L40" s="382"/>
      <c r="M40" s="2749">
        <f>ROUND(SUM(M37:M39),1)</f>
        <v>100.8</v>
      </c>
      <c r="N40" s="1124"/>
      <c r="O40" s="297">
        <f>ROUND(SUM(O37:O39),1)</f>
        <v>-20.2</v>
      </c>
      <c r="P40" s="1124"/>
      <c r="Q40" s="1124"/>
      <c r="R40" s="1124"/>
      <c r="S40" s="1124"/>
      <c r="T40" s="1124"/>
      <c r="U40" s="1124"/>
      <c r="V40" s="1124"/>
      <c r="W40" s="1124"/>
      <c r="X40" s="1124"/>
      <c r="Y40" s="1124"/>
      <c r="Z40" s="1124"/>
      <c r="AA40" s="1124"/>
      <c r="AB40" s="1124"/>
      <c r="AC40" s="1124"/>
      <c r="AD40" s="1124"/>
      <c r="AE40" s="1124"/>
      <c r="AF40" s="1124"/>
      <c r="AG40" s="1124"/>
      <c r="AH40" s="1815"/>
    </row>
    <row r="41" spans="1:34" ht="15.75" thickTop="1">
      <c r="B41" s="1124"/>
      <c r="C41" s="1124"/>
      <c r="D41" s="1124"/>
      <c r="E41" s="1124"/>
      <c r="G41" s="1841"/>
    </row>
    <row r="42" spans="1:34">
      <c r="A42" s="1816" t="str">
        <f>'Exh D-Governmental  '!A52</f>
        <v>(*)     Source:  2016-17 Enacted Budget dated May 13, 2016.</v>
      </c>
      <c r="B42" s="1124"/>
      <c r="D42" s="1124"/>
    </row>
    <row r="43" spans="1:34">
      <c r="A43" s="2783" t="str">
        <f>'Exh D-Governmental  '!A53</f>
        <v>(**)    Source:  2017-18 Executive Budget dated January 17, 2017.</v>
      </c>
      <c r="B43" s="1124"/>
      <c r="D43" s="1124"/>
      <c r="G43" s="1807"/>
      <c r="H43" s="1224"/>
      <c r="I43" s="1224"/>
      <c r="J43" s="1224"/>
      <c r="K43" s="1224"/>
      <c r="L43" s="1224"/>
      <c r="M43" s="3219"/>
      <c r="N43" s="1224"/>
      <c r="O43" s="1842"/>
    </row>
    <row r="44" spans="1:34">
      <c r="A44" s="2783"/>
      <c r="B44" s="1124"/>
      <c r="D44" s="1124"/>
    </row>
    <row r="45" spans="1:34">
      <c r="A45" s="2783"/>
      <c r="B45" s="1124"/>
      <c r="D45" s="1124"/>
    </row>
    <row r="46" spans="1:34">
      <c r="A46" s="1990"/>
      <c r="B46" s="1124"/>
      <c r="D46" s="1124"/>
    </row>
    <row r="47" spans="1:34">
      <c r="A47" s="384"/>
      <c r="B47" s="1124"/>
      <c r="D47" s="1124"/>
    </row>
    <row r="48" spans="1:34">
      <c r="B48" s="1124"/>
      <c r="D48" s="1124"/>
    </row>
    <row r="49" spans="2:2">
      <c r="B49" s="1124"/>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0" firstPageNumber="14"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80" workbookViewId="0"/>
  </sheetViews>
  <sheetFormatPr defaultColWidth="8.88671875" defaultRowHeight="15"/>
  <cols>
    <col min="1" max="1" width="51.77734375" style="1811" customWidth="1"/>
    <col min="2" max="2" width="2.109375" style="1815" customWidth="1"/>
    <col min="3" max="3" width="15.77734375" style="788" customWidth="1"/>
    <col min="4" max="4" width="1.109375" style="1815" customWidth="1"/>
    <col min="5" max="5" width="15.77734375" style="788" customWidth="1"/>
    <col min="6" max="6" width="1.109375" style="1815" customWidth="1"/>
    <col min="7" max="7" width="15.77734375" style="1815" customWidth="1"/>
    <col min="8" max="8" width="0.6640625" style="1815" customWidth="1"/>
    <col min="9" max="9" width="19.44140625" style="1815" customWidth="1"/>
    <col min="10" max="10" width="1.109375" style="1124" customWidth="1"/>
    <col min="11" max="11" width="19.44140625" style="1815" customWidth="1"/>
    <col min="12" max="12" width="1.33203125" style="1815" customWidth="1"/>
    <col min="13" max="13" width="15.77734375" style="1124" customWidth="1"/>
    <col min="14" max="14" width="1.21875" style="1124" customWidth="1"/>
    <col min="15" max="15" width="15.77734375" style="1124" customWidth="1"/>
    <col min="16" max="16" width="1.21875" style="1124" customWidth="1"/>
    <col min="17" max="17" width="15.77734375" style="1124" customWidth="1"/>
    <col min="18" max="18" width="1.33203125" style="1124" customWidth="1"/>
    <col min="19" max="19" width="15.77734375" style="1124" customWidth="1"/>
    <col min="20" max="20" width="1.88671875" style="1124" customWidth="1"/>
    <col min="21" max="21" width="15.77734375" style="788" customWidth="1"/>
    <col min="22" max="22" width="0.6640625" style="1124" customWidth="1"/>
    <col min="23" max="23" width="15.77734375" style="788" customWidth="1"/>
    <col min="24" max="24" width="1.33203125" style="1124" customWidth="1"/>
    <col min="25" max="25" width="15.77734375" style="1124" customWidth="1"/>
    <col min="26" max="26" width="1" style="1124" customWidth="1"/>
    <col min="27" max="27" width="15.77734375" style="1124" customWidth="1"/>
    <col min="28" max="28" width="3.6640625" style="1815" bestFit="1" customWidth="1"/>
    <col min="29" max="33" width="8.88671875" style="1815"/>
    <col min="34" max="16384" width="8.88671875" style="1811"/>
  </cols>
  <sheetData>
    <row r="1" spans="1:48">
      <c r="A1" s="1817" t="s">
        <v>1090</v>
      </c>
    </row>
    <row r="2" spans="1:48" ht="16.5">
      <c r="A2" s="386"/>
      <c r="B2" s="388"/>
      <c r="C2" s="782"/>
      <c r="D2" s="388"/>
      <c r="E2" s="782"/>
      <c r="F2" s="388"/>
      <c r="G2" s="388"/>
      <c r="H2" s="388"/>
      <c r="I2" s="388"/>
      <c r="J2" s="387"/>
      <c r="K2" s="388"/>
      <c r="L2" s="388"/>
      <c r="M2" s="387"/>
      <c r="N2" s="387"/>
      <c r="O2" s="387"/>
      <c r="P2" s="387"/>
      <c r="Q2" s="387"/>
      <c r="R2" s="387"/>
      <c r="S2" s="387"/>
      <c r="T2" s="387"/>
      <c r="U2" s="2261"/>
      <c r="V2" s="387"/>
      <c r="W2" s="2261"/>
      <c r="X2" s="387"/>
      <c r="Y2" s="387"/>
      <c r="Z2" s="387"/>
      <c r="AA2" s="387"/>
    </row>
    <row r="3" spans="1:48" ht="21" customHeight="1">
      <c r="A3" s="392" t="s">
        <v>0</v>
      </c>
      <c r="B3" s="349"/>
      <c r="C3" s="784"/>
      <c r="D3" s="343"/>
      <c r="E3" s="784"/>
      <c r="F3" s="343"/>
      <c r="G3" s="343"/>
      <c r="H3" s="343"/>
      <c r="I3" s="343"/>
      <c r="J3" s="357"/>
      <c r="K3" s="343"/>
      <c r="L3" s="343"/>
      <c r="M3" s="357"/>
      <c r="N3" s="357"/>
      <c r="O3" s="357"/>
      <c r="P3" s="357"/>
      <c r="Q3" s="357"/>
      <c r="R3" s="357"/>
      <c r="S3" s="1647"/>
      <c r="T3" s="357"/>
      <c r="U3" s="1647" t="s">
        <v>85</v>
      </c>
      <c r="V3" s="357"/>
      <c r="W3" s="2263"/>
      <c r="X3" s="357"/>
      <c r="Y3" s="357"/>
      <c r="Z3" s="357"/>
      <c r="AA3" s="2264"/>
    </row>
    <row r="4" spans="1:48" ht="18">
      <c r="A4" s="392" t="s">
        <v>1335</v>
      </c>
      <c r="B4" s="349"/>
      <c r="C4" s="784"/>
      <c r="D4" s="343"/>
      <c r="E4" s="784"/>
      <c r="F4" s="343"/>
      <c r="G4" s="343"/>
      <c r="H4" s="343"/>
      <c r="I4" s="343"/>
      <c r="J4" s="357"/>
      <c r="K4" s="343"/>
      <c r="L4" s="343"/>
      <c r="M4" s="357"/>
      <c r="N4" s="357"/>
      <c r="O4" s="357"/>
      <c r="P4" s="357"/>
      <c r="Q4" s="357"/>
      <c r="R4" s="357"/>
      <c r="S4" s="1648"/>
      <c r="T4" s="357"/>
      <c r="U4" s="1648" t="s">
        <v>106</v>
      </c>
      <c r="V4" s="357"/>
      <c r="W4" s="2263"/>
      <c r="X4" s="357"/>
      <c r="Y4" s="357"/>
      <c r="Z4" s="357"/>
      <c r="AA4" s="2265"/>
    </row>
    <row r="5" spans="1:48" ht="18.95" customHeight="1">
      <c r="A5" s="3496" t="s">
        <v>1409</v>
      </c>
      <c r="B5" s="3497"/>
      <c r="C5" s="3497"/>
      <c r="D5" s="3497"/>
      <c r="E5" s="3497"/>
      <c r="F5" s="343"/>
      <c r="G5" s="343"/>
      <c r="H5" s="343"/>
      <c r="I5" s="343"/>
      <c r="J5" s="357"/>
      <c r="K5" s="343"/>
      <c r="L5" s="343"/>
      <c r="M5" s="357"/>
      <c r="N5" s="357"/>
      <c r="O5" s="357"/>
      <c r="P5" s="357"/>
      <c r="Q5" s="357"/>
      <c r="R5" s="357"/>
      <c r="S5" s="357"/>
      <c r="T5" s="357"/>
      <c r="U5" s="2263"/>
      <c r="V5" s="357"/>
      <c r="W5" s="2263"/>
      <c r="X5" s="357"/>
      <c r="Y5" s="357"/>
      <c r="Z5" s="357"/>
      <c r="AA5" s="357"/>
    </row>
    <row r="6" spans="1:48" ht="18.95" customHeight="1">
      <c r="A6" s="2727" t="str">
        <f>'Exh D-Governmental  '!A6</f>
        <v>FOR TEN MONTHS ENDED JANUARY 31, 2017</v>
      </c>
      <c r="B6" s="348"/>
      <c r="C6" s="784"/>
      <c r="D6" s="343"/>
      <c r="E6" s="784"/>
      <c r="F6" s="343"/>
      <c r="G6" s="343"/>
      <c r="H6" s="343"/>
      <c r="I6" s="343"/>
      <c r="J6" s="357"/>
      <c r="K6" s="343"/>
      <c r="L6" s="343"/>
      <c r="M6" s="357"/>
      <c r="N6" s="357"/>
      <c r="O6" s="357"/>
      <c r="P6" s="357"/>
      <c r="Q6" s="357"/>
      <c r="R6" s="357"/>
      <c r="S6" s="357"/>
      <c r="T6" s="357"/>
      <c r="U6" s="2263"/>
      <c r="V6" s="357"/>
      <c r="W6" s="2263"/>
      <c r="X6" s="357"/>
      <c r="Y6" s="357"/>
      <c r="Z6" s="357"/>
      <c r="AA6" s="357"/>
      <c r="AB6" s="343"/>
      <c r="AC6" s="357"/>
      <c r="AD6" s="357"/>
      <c r="AE6" s="357"/>
      <c r="AF6" s="357"/>
      <c r="AG6" s="357"/>
      <c r="AH6" s="357"/>
      <c r="AI6" s="357"/>
      <c r="AJ6" s="357"/>
      <c r="AK6" s="357"/>
      <c r="AL6" s="357"/>
      <c r="AM6" s="357"/>
      <c r="AN6" s="357"/>
      <c r="AO6" s="357"/>
      <c r="AP6" s="357"/>
      <c r="AQ6" s="1124"/>
      <c r="AR6" s="1124"/>
      <c r="AS6" s="1124"/>
      <c r="AT6" s="1124"/>
      <c r="AU6" s="1124"/>
      <c r="AV6" s="1815"/>
    </row>
    <row r="7" spans="1:48" ht="18">
      <c r="A7" s="392" t="s">
        <v>980</v>
      </c>
      <c r="B7" s="349"/>
      <c r="C7" s="784"/>
      <c r="D7" s="343"/>
      <c r="E7" s="784"/>
      <c r="F7" s="343"/>
      <c r="G7" s="343"/>
      <c r="H7" s="343"/>
      <c r="I7" s="343"/>
      <c r="J7" s="357"/>
      <c r="K7" s="343"/>
      <c r="L7" s="343"/>
      <c r="M7" s="357"/>
      <c r="N7" s="357"/>
      <c r="O7" s="357"/>
      <c r="P7" s="357"/>
      <c r="Q7" s="357"/>
      <c r="R7" s="357"/>
      <c r="S7" s="357"/>
      <c r="T7" s="357"/>
      <c r="U7" s="2263"/>
      <c r="V7" s="357"/>
      <c r="W7" s="2263"/>
      <c r="X7" s="357"/>
      <c r="Y7" s="357"/>
      <c r="Z7" s="357"/>
      <c r="AA7" s="357"/>
    </row>
    <row r="8" spans="1:48" ht="18">
      <c r="A8" s="394"/>
      <c r="B8" s="349"/>
      <c r="C8" s="784"/>
      <c r="D8" s="343"/>
      <c r="E8" s="784"/>
      <c r="F8" s="343"/>
      <c r="G8" s="343"/>
      <c r="H8" s="343"/>
      <c r="I8" s="343"/>
      <c r="J8" s="357"/>
      <c r="K8" s="343"/>
      <c r="L8" s="343"/>
      <c r="M8" s="357"/>
      <c r="N8" s="357"/>
      <c r="O8" s="357"/>
      <c r="P8" s="357"/>
      <c r="Q8" s="357"/>
      <c r="R8" s="357"/>
      <c r="S8" s="357"/>
      <c r="T8" s="357"/>
      <c r="U8" s="2263"/>
      <c r="V8" s="357"/>
      <c r="W8" s="2263"/>
      <c r="X8" s="357"/>
      <c r="Y8" s="357"/>
      <c r="Z8" s="357"/>
      <c r="AA8" s="357"/>
    </row>
    <row r="9" spans="1:48">
      <c r="A9" s="351"/>
      <c r="B9" s="343"/>
      <c r="C9" s="785"/>
      <c r="D9" s="343"/>
      <c r="E9" s="785"/>
      <c r="F9" s="343"/>
      <c r="G9" s="343"/>
      <c r="H9" s="343"/>
      <c r="I9" s="343"/>
      <c r="J9" s="357"/>
      <c r="K9" s="343"/>
      <c r="L9" s="343"/>
      <c r="M9" s="357"/>
      <c r="N9" s="357"/>
      <c r="O9" s="357"/>
      <c r="P9" s="357"/>
      <c r="Q9" s="357"/>
      <c r="R9" s="357"/>
      <c r="S9" s="357"/>
      <c r="T9" s="357"/>
      <c r="U9" s="2263"/>
      <c r="V9" s="357"/>
      <c r="W9" s="2263"/>
      <c r="X9" s="357"/>
      <c r="Y9" s="357"/>
      <c r="Z9" s="357"/>
      <c r="AA9" s="357"/>
    </row>
    <row r="10" spans="1:48">
      <c r="A10" s="351"/>
      <c r="B10" s="343"/>
      <c r="C10" s="784"/>
      <c r="D10" s="349"/>
      <c r="E10" s="784"/>
      <c r="F10" s="349"/>
      <c r="G10" s="349"/>
      <c r="H10" s="349"/>
      <c r="I10" s="349"/>
      <c r="J10" s="348"/>
      <c r="K10" s="349"/>
      <c r="L10" s="349"/>
      <c r="M10" s="784"/>
      <c r="N10" s="349"/>
      <c r="O10" s="784"/>
      <c r="P10" s="349"/>
      <c r="Q10" s="349"/>
      <c r="R10" s="349"/>
      <c r="S10" s="349"/>
      <c r="T10" s="348"/>
      <c r="U10" s="1882"/>
      <c r="V10" s="348"/>
      <c r="W10" s="1882"/>
      <c r="X10" s="348"/>
      <c r="Y10" s="348"/>
      <c r="Z10" s="348"/>
      <c r="AA10" s="348"/>
      <c r="AB10" s="1833"/>
    </row>
    <row r="11" spans="1:48" ht="15.75">
      <c r="A11" s="1321"/>
      <c r="B11" s="352"/>
      <c r="C11" s="3499" t="s">
        <v>1267</v>
      </c>
      <c r="D11" s="3499"/>
      <c r="E11" s="3499"/>
      <c r="F11" s="3499"/>
      <c r="G11" s="3499"/>
      <c r="H11" s="3499"/>
      <c r="I11" s="3499"/>
      <c r="J11" s="2257"/>
      <c r="K11" s="2257"/>
      <c r="L11" s="406"/>
      <c r="M11" s="3499" t="s">
        <v>1268</v>
      </c>
      <c r="N11" s="3499"/>
      <c r="O11" s="3499"/>
      <c r="P11" s="3499"/>
      <c r="Q11" s="3499"/>
      <c r="R11" s="3499"/>
      <c r="S11" s="3499"/>
      <c r="T11" s="2270"/>
      <c r="U11" s="2654"/>
      <c r="V11" s="2654"/>
      <c r="W11" s="397"/>
      <c r="X11" s="397"/>
      <c r="Y11" s="397"/>
      <c r="Z11" s="397"/>
      <c r="AA11" s="397"/>
      <c r="AB11" s="1833"/>
    </row>
    <row r="12" spans="1:48" ht="15.75">
      <c r="A12" s="1321"/>
      <c r="B12" s="352"/>
      <c r="C12" s="790"/>
      <c r="D12" s="353"/>
      <c r="E12" s="790"/>
      <c r="F12" s="353"/>
      <c r="G12" s="353"/>
      <c r="H12" s="353"/>
      <c r="I12" s="407" t="s">
        <v>86</v>
      </c>
      <c r="J12" s="407"/>
      <c r="K12" s="407" t="s">
        <v>86</v>
      </c>
      <c r="L12" s="1818"/>
      <c r="M12" s="790"/>
      <c r="N12" s="353"/>
      <c r="O12" s="790"/>
      <c r="P12" s="353"/>
      <c r="Q12" s="353"/>
      <c r="R12" s="353"/>
      <c r="S12" s="407" t="s">
        <v>86</v>
      </c>
      <c r="T12" s="352"/>
      <c r="U12" s="407" t="s">
        <v>86</v>
      </c>
      <c r="V12" s="352"/>
      <c r="W12" s="1900"/>
      <c r="X12" s="352"/>
      <c r="Y12" s="352"/>
      <c r="Z12" s="352"/>
      <c r="AA12" s="407"/>
    </row>
    <row r="13" spans="1:48" ht="15.75">
      <c r="A13" s="1321"/>
      <c r="B13" s="352"/>
      <c r="C13" s="790"/>
      <c r="D13" s="353"/>
      <c r="E13" s="790"/>
      <c r="F13" s="353"/>
      <c r="G13" s="353"/>
      <c r="H13" s="353"/>
      <c r="I13" s="354" t="s">
        <v>987</v>
      </c>
      <c r="J13" s="402"/>
      <c r="K13" s="354" t="s">
        <v>987</v>
      </c>
      <c r="L13" s="1818"/>
      <c r="M13" s="790"/>
      <c r="N13" s="353"/>
      <c r="O13" s="790"/>
      <c r="P13" s="353"/>
      <c r="Q13" s="353"/>
      <c r="R13" s="353"/>
      <c r="S13" s="354" t="s">
        <v>987</v>
      </c>
      <c r="T13" s="352"/>
      <c r="U13" s="354" t="s">
        <v>987</v>
      </c>
      <c r="V13" s="352"/>
      <c r="W13" s="1900"/>
      <c r="X13" s="352"/>
      <c r="Y13" s="352"/>
      <c r="Z13" s="352"/>
      <c r="AA13" s="402"/>
    </row>
    <row r="14" spans="1:48" ht="15.75" customHeight="1">
      <c r="A14" s="1321"/>
      <c r="B14" s="352"/>
      <c r="C14" s="355" t="s">
        <v>1203</v>
      </c>
      <c r="D14" s="1811"/>
      <c r="E14" s="355" t="s">
        <v>1204</v>
      </c>
      <c r="F14" s="353"/>
      <c r="G14" s="353"/>
      <c r="H14" s="353"/>
      <c r="I14" s="354" t="s">
        <v>87</v>
      </c>
      <c r="J14" s="402"/>
      <c r="K14" s="354" t="s">
        <v>87</v>
      </c>
      <c r="L14" s="1818"/>
      <c r="M14" s="355" t="s">
        <v>1203</v>
      </c>
      <c r="N14" s="1811"/>
      <c r="O14" s="355" t="s">
        <v>1204</v>
      </c>
      <c r="P14" s="353"/>
      <c r="Q14" s="353"/>
      <c r="R14" s="353"/>
      <c r="S14" s="354" t="s">
        <v>87</v>
      </c>
      <c r="T14" s="403"/>
      <c r="U14" s="354" t="s">
        <v>87</v>
      </c>
      <c r="V14" s="1326"/>
      <c r="W14" s="401"/>
      <c r="X14" s="352"/>
      <c r="Y14" s="352"/>
      <c r="Z14" s="352"/>
      <c r="AA14" s="402"/>
    </row>
    <row r="15" spans="1:48" ht="15" customHeight="1">
      <c r="A15" s="1321"/>
      <c r="B15" s="352"/>
      <c r="C15" s="354" t="s">
        <v>1247</v>
      </c>
      <c r="D15" s="353"/>
      <c r="E15" s="354" t="s">
        <v>1247</v>
      </c>
      <c r="F15" s="353"/>
      <c r="G15" s="353"/>
      <c r="H15" s="353"/>
      <c r="I15" s="354" t="s">
        <v>1203</v>
      </c>
      <c r="J15" s="401"/>
      <c r="K15" s="355" t="s">
        <v>1204</v>
      </c>
      <c r="L15" s="1901"/>
      <c r="M15" s="354" t="s">
        <v>1247</v>
      </c>
      <c r="N15" s="353"/>
      <c r="O15" s="354" t="s">
        <v>1247</v>
      </c>
      <c r="P15" s="353"/>
      <c r="Q15" s="353"/>
      <c r="R15" s="353"/>
      <c r="S15" s="354" t="s">
        <v>1203</v>
      </c>
      <c r="T15" s="403"/>
      <c r="U15" s="355" t="s">
        <v>1204</v>
      </c>
      <c r="V15" s="352"/>
      <c r="W15" s="402"/>
      <c r="X15" s="352"/>
      <c r="Y15" s="352"/>
      <c r="Z15" s="352"/>
      <c r="AA15" s="401"/>
    </row>
    <row r="16" spans="1:48" ht="15.75">
      <c r="A16" s="1321"/>
      <c r="B16" s="352"/>
      <c r="C16" s="354" t="s">
        <v>1248</v>
      </c>
      <c r="D16" s="353"/>
      <c r="E16" s="354" t="s">
        <v>1451</v>
      </c>
      <c r="F16" s="353"/>
      <c r="G16" s="355" t="s">
        <v>86</v>
      </c>
      <c r="H16" s="353"/>
      <c r="I16" s="354" t="s">
        <v>88</v>
      </c>
      <c r="J16" s="402"/>
      <c r="K16" s="354" t="s">
        <v>88</v>
      </c>
      <c r="L16" s="1818"/>
      <c r="M16" s="354" t="s">
        <v>1248</v>
      </c>
      <c r="N16" s="353"/>
      <c r="O16" s="354" t="s">
        <v>1451</v>
      </c>
      <c r="P16" s="353"/>
      <c r="Q16" s="355" t="s">
        <v>86</v>
      </c>
      <c r="R16" s="353"/>
      <c r="S16" s="354" t="s">
        <v>88</v>
      </c>
      <c r="T16" s="402"/>
      <c r="U16" s="354" t="s">
        <v>88</v>
      </c>
      <c r="V16" s="352"/>
      <c r="W16" s="402"/>
      <c r="X16" s="352"/>
      <c r="Y16" s="401"/>
      <c r="Z16" s="352"/>
      <c r="AA16" s="402"/>
    </row>
    <row r="17" spans="1:48">
      <c r="A17" s="356"/>
      <c r="B17" s="357"/>
      <c r="C17" s="358"/>
      <c r="D17" s="343"/>
      <c r="E17" s="358"/>
      <c r="F17" s="343"/>
      <c r="G17" s="358"/>
      <c r="H17" s="343"/>
      <c r="I17" s="358"/>
      <c r="J17" s="357"/>
      <c r="K17" s="358"/>
      <c r="L17" s="1819"/>
      <c r="M17" s="358"/>
      <c r="N17" s="343"/>
      <c r="O17" s="358"/>
      <c r="P17" s="343"/>
      <c r="Q17" s="358"/>
      <c r="R17" s="343"/>
      <c r="S17" s="358"/>
      <c r="T17" s="357"/>
      <c r="U17" s="358"/>
      <c r="V17" s="357"/>
      <c r="W17" s="357"/>
      <c r="X17" s="357"/>
      <c r="Y17" s="357"/>
      <c r="Z17" s="357"/>
      <c r="AA17" s="357"/>
    </row>
    <row r="18" spans="1:48" ht="15.75">
      <c r="A18" s="221" t="s">
        <v>14</v>
      </c>
      <c r="B18" s="1803"/>
      <c r="C18" s="1224"/>
      <c r="D18" s="1224"/>
      <c r="E18" s="1224"/>
      <c r="F18" s="1224"/>
      <c r="G18" s="1632" t="s">
        <v>15</v>
      </c>
      <c r="H18" s="1224"/>
      <c r="I18" s="1224"/>
      <c r="J18" s="1803"/>
      <c r="K18" s="1224"/>
      <c r="L18" s="1820"/>
      <c r="M18" s="1224"/>
      <c r="N18" s="1224"/>
      <c r="O18" s="1224"/>
      <c r="P18" s="1224"/>
      <c r="Q18" s="1224" t="s">
        <v>15</v>
      </c>
      <c r="R18" s="1224"/>
      <c r="S18" s="1224"/>
      <c r="T18" s="1803"/>
      <c r="U18" s="1224"/>
      <c r="V18" s="1803"/>
      <c r="W18" s="1803"/>
      <c r="X18" s="1803"/>
      <c r="Y18" s="1803"/>
      <c r="Z18" s="1803"/>
      <c r="AA18" s="1803"/>
    </row>
    <row r="19" spans="1:48">
      <c r="A19" s="1638" t="s">
        <v>89</v>
      </c>
      <c r="B19" s="1804" t="s">
        <v>15</v>
      </c>
      <c r="C19" s="1225"/>
      <c r="D19" s="1227"/>
      <c r="E19" s="1225"/>
      <c r="F19" s="1227"/>
      <c r="G19" s="1225"/>
      <c r="H19" s="1227"/>
      <c r="I19" s="1225"/>
      <c r="J19" s="1889"/>
      <c r="K19" s="1225"/>
      <c r="L19" s="1834"/>
      <c r="M19" s="1225"/>
      <c r="N19" s="1225"/>
      <c r="O19" s="1225"/>
      <c r="P19" s="1225"/>
      <c r="Q19" s="1835"/>
      <c r="R19" s="1227"/>
      <c r="S19" s="1225"/>
      <c r="T19" s="1227"/>
      <c r="U19" s="1225"/>
      <c r="V19" s="1889"/>
      <c r="W19" s="1889"/>
      <c r="X19" s="1889"/>
      <c r="Y19" s="2271"/>
      <c r="Z19" s="1887"/>
      <c r="AA19" s="1889"/>
      <c r="AB19" s="1803"/>
      <c r="AC19" s="1803"/>
      <c r="AD19" s="1803"/>
      <c r="AE19" s="1803"/>
      <c r="AF19" s="1803"/>
      <c r="AG19" s="1803"/>
      <c r="AH19" s="1803"/>
      <c r="AI19" s="1803"/>
      <c r="AJ19" s="1803"/>
      <c r="AK19" s="1803"/>
      <c r="AL19" s="1803"/>
      <c r="AM19" s="1803"/>
      <c r="AN19" s="1803"/>
      <c r="AO19" s="1803"/>
      <c r="AP19" s="1803"/>
      <c r="AQ19" s="1124"/>
      <c r="AR19" s="1124"/>
      <c r="AS19" s="1124"/>
      <c r="AT19" s="1124"/>
      <c r="AU19" s="1124"/>
      <c r="AV19" s="1815"/>
    </row>
    <row r="20" spans="1:48">
      <c r="A20" s="1638" t="s">
        <v>91</v>
      </c>
      <c r="B20" s="1803" t="s">
        <v>15</v>
      </c>
      <c r="C20" s="1946">
        <v>476</v>
      </c>
      <c r="D20" s="1225"/>
      <c r="E20" s="1946">
        <v>525</v>
      </c>
      <c r="F20" s="1225"/>
      <c r="G20" s="1821">
        <f>+' Exhibit I State'!AD23</f>
        <v>533.20000000000005</v>
      </c>
      <c r="H20" s="1225"/>
      <c r="I20" s="1225">
        <f>ROUND(SUM(G20)-SUM(C20),1)</f>
        <v>57.2</v>
      </c>
      <c r="J20" s="1889"/>
      <c r="K20" s="1225">
        <f t="shared" ref="K20:K26" si="0">G20-E20</f>
        <v>8.2000000000000455</v>
      </c>
      <c r="L20" s="1834"/>
      <c r="M20" s="1946">
        <v>0</v>
      </c>
      <c r="N20" s="1228"/>
      <c r="O20" s="1946">
        <v>0</v>
      </c>
      <c r="P20" s="1228"/>
      <c r="Q20" s="1821">
        <v>0</v>
      </c>
      <c r="R20" s="1228"/>
      <c r="S20" s="1225">
        <f t="shared" ref="S20:S26" si="1">ROUND(SUM(Q20)-SUM(M20),1)</f>
        <v>0</v>
      </c>
      <c r="T20" s="1889"/>
      <c r="U20" s="1225">
        <f t="shared" ref="U20:U26" si="2">Q20-O20</f>
        <v>0</v>
      </c>
      <c r="V20" s="2272"/>
      <c r="W20" s="1888"/>
      <c r="X20" s="2272"/>
      <c r="Y20" s="1888"/>
      <c r="Z20" s="2272"/>
      <c r="AA20" s="1889"/>
      <c r="AB20" s="1803"/>
      <c r="AC20" s="1803"/>
      <c r="AD20" s="1803"/>
      <c r="AE20" s="1803"/>
      <c r="AF20" s="1803"/>
      <c r="AG20" s="1803"/>
      <c r="AH20" s="1803"/>
      <c r="AI20" s="1803"/>
      <c r="AJ20" s="1803"/>
      <c r="AK20" s="1803"/>
      <c r="AL20" s="1803"/>
      <c r="AM20" s="1803"/>
      <c r="AN20" s="1803"/>
      <c r="AO20" s="1803"/>
      <c r="AP20" s="1803"/>
      <c r="AQ20" s="1124"/>
      <c r="AR20" s="1124"/>
      <c r="AS20" s="1124"/>
      <c r="AT20" s="1124"/>
      <c r="AU20" s="1124"/>
      <c r="AV20" s="1815"/>
    </row>
    <row r="21" spans="1:48">
      <c r="A21" s="1638" t="s">
        <v>92</v>
      </c>
      <c r="B21" s="1804" t="s">
        <v>15</v>
      </c>
      <c r="C21" s="2152">
        <v>518</v>
      </c>
      <c r="D21" s="1299"/>
      <c r="E21" s="2152">
        <v>539</v>
      </c>
      <c r="F21" s="1299"/>
      <c r="G21" s="1317">
        <f>+' Exhibit I State'!AD28</f>
        <v>541</v>
      </c>
      <c r="H21" s="1299"/>
      <c r="I21" s="1146">
        <f t="shared" ref="I21:I26" si="3">ROUND(SUM(G21)-SUM(C21),1)</f>
        <v>23</v>
      </c>
      <c r="J21" s="1823"/>
      <c r="K21" s="2925">
        <f t="shared" si="0"/>
        <v>2</v>
      </c>
      <c r="L21" s="1836"/>
      <c r="M21" s="1315">
        <v>0</v>
      </c>
      <c r="N21" s="1226"/>
      <c r="O21" s="1315">
        <v>0</v>
      </c>
      <c r="P21" s="1226"/>
      <c r="Q21" s="1317">
        <v>0</v>
      </c>
      <c r="R21" s="1226"/>
      <c r="S21" s="1146">
        <f t="shared" si="1"/>
        <v>0</v>
      </c>
      <c r="T21" s="1299"/>
      <c r="U21" s="2925">
        <f t="shared" si="2"/>
        <v>0</v>
      </c>
      <c r="V21" s="1827"/>
      <c r="W21" s="1892"/>
      <c r="X21" s="1827"/>
      <c r="Y21" s="1892"/>
      <c r="Z21" s="1827"/>
      <c r="AA21" s="1823"/>
      <c r="AB21" s="1825"/>
      <c r="AC21" s="1803"/>
      <c r="AD21" s="1803"/>
      <c r="AE21" s="1825"/>
      <c r="AF21" s="1803"/>
      <c r="AG21" s="1825"/>
      <c r="AH21" s="1803"/>
      <c r="AI21" s="1803"/>
      <c r="AJ21" s="1825"/>
      <c r="AK21" s="1803"/>
      <c r="AL21" s="1803"/>
      <c r="AM21" s="1825"/>
      <c r="AN21" s="404"/>
      <c r="AO21" s="1825"/>
      <c r="AP21" s="1803"/>
      <c r="AQ21" s="1124"/>
      <c r="AR21" s="1124"/>
      <c r="AS21" s="1124"/>
      <c r="AT21" s="1124"/>
      <c r="AU21" s="1124"/>
      <c r="AV21" s="1815"/>
    </row>
    <row r="22" spans="1:48">
      <c r="A22" s="1638" t="s">
        <v>93</v>
      </c>
      <c r="B22" s="1803" t="s">
        <v>15</v>
      </c>
      <c r="C22" s="1315">
        <v>96</v>
      </c>
      <c r="D22" s="1146"/>
      <c r="E22" s="1315">
        <v>95</v>
      </c>
      <c r="F22" s="1146"/>
      <c r="G22" s="1317">
        <f>+' Exhibit I State'!AD31</f>
        <v>95.3</v>
      </c>
      <c r="H22" s="1146"/>
      <c r="I22" s="1146">
        <f t="shared" si="3"/>
        <v>-0.7</v>
      </c>
      <c r="J22" s="1823"/>
      <c r="K22" s="2925">
        <f t="shared" si="0"/>
        <v>0.29999999999999716</v>
      </c>
      <c r="L22" s="1836"/>
      <c r="M22" s="1315">
        <v>0</v>
      </c>
      <c r="N22" s="1226"/>
      <c r="O22" s="1315">
        <v>0</v>
      </c>
      <c r="P22" s="1226"/>
      <c r="Q22" s="1317">
        <v>0</v>
      </c>
      <c r="R22" s="1226"/>
      <c r="S22" s="1146">
        <f t="shared" si="1"/>
        <v>0</v>
      </c>
      <c r="T22" s="1823"/>
      <c r="U22" s="2925">
        <f t="shared" si="2"/>
        <v>0</v>
      </c>
      <c r="V22" s="1827"/>
      <c r="W22" s="1892"/>
      <c r="X22" s="1827"/>
      <c r="Y22" s="1892"/>
      <c r="Z22" s="1827"/>
      <c r="AA22" s="1823"/>
      <c r="AB22" s="1803"/>
      <c r="AC22" s="1803"/>
      <c r="AD22" s="1803"/>
      <c r="AE22" s="1803"/>
      <c r="AF22" s="1803"/>
      <c r="AG22" s="1803"/>
      <c r="AH22" s="1803"/>
      <c r="AI22" s="1803"/>
      <c r="AJ22" s="1803"/>
      <c r="AK22" s="1803"/>
      <c r="AL22" s="1803"/>
      <c r="AM22" s="1803"/>
      <c r="AN22" s="1803"/>
      <c r="AO22" s="1803"/>
      <c r="AP22" s="1803"/>
      <c r="AQ22" s="1124"/>
      <c r="AR22" s="1124"/>
      <c r="AS22" s="1124"/>
      <c r="AT22" s="1124"/>
      <c r="AU22" s="1124"/>
      <c r="AV22" s="1815"/>
    </row>
    <row r="23" spans="1:48">
      <c r="A23" s="1638" t="s">
        <v>20</v>
      </c>
      <c r="B23" s="1803" t="s">
        <v>15</v>
      </c>
      <c r="C23" s="1751">
        <v>3587</v>
      </c>
      <c r="D23" s="1146"/>
      <c r="E23" s="1751">
        <v>2544</v>
      </c>
      <c r="F23" s="1146"/>
      <c r="G23" s="1317">
        <f>+' Exhibit I State'!AD61</f>
        <v>2523.1999999999998</v>
      </c>
      <c r="H23" s="1146"/>
      <c r="I23" s="1146">
        <f t="shared" si="3"/>
        <v>-1063.8</v>
      </c>
      <c r="J23" s="1823"/>
      <c r="K23" s="2925">
        <f t="shared" si="0"/>
        <v>-20.800000000000182</v>
      </c>
      <c r="L23" s="1836"/>
      <c r="M23" s="1751">
        <v>0</v>
      </c>
      <c r="N23" s="1146"/>
      <c r="O23" s="1751">
        <v>2</v>
      </c>
      <c r="P23" s="1146"/>
      <c r="Q23" s="1146">
        <f>+'Exhibit I Federal'!AD43</f>
        <v>1.8</v>
      </c>
      <c r="R23" s="1146"/>
      <c r="S23" s="1146">
        <f t="shared" si="1"/>
        <v>1.8</v>
      </c>
      <c r="T23" s="1823"/>
      <c r="U23" s="2925">
        <f t="shared" si="2"/>
        <v>-0.19999999999999996</v>
      </c>
      <c r="V23" s="1823"/>
      <c r="W23" s="1892"/>
      <c r="X23" s="1823"/>
      <c r="Y23" s="1892"/>
      <c r="Z23" s="1823"/>
      <c r="AA23" s="1823"/>
    </row>
    <row r="24" spans="1:48">
      <c r="A24" s="1638" t="s">
        <v>21</v>
      </c>
      <c r="B24" s="1803" t="s">
        <v>15</v>
      </c>
      <c r="C24" s="2942">
        <v>2</v>
      </c>
      <c r="D24" s="1146"/>
      <c r="E24" s="2942">
        <v>3</v>
      </c>
      <c r="F24" s="1146"/>
      <c r="G24" s="1317">
        <f>+' Exhibit I State'!AD63</f>
        <v>2.5</v>
      </c>
      <c r="H24" s="1146"/>
      <c r="I24" s="1146">
        <f t="shared" si="3"/>
        <v>0.5</v>
      </c>
      <c r="J24" s="1823"/>
      <c r="K24" s="2925">
        <f t="shared" si="0"/>
        <v>-0.5</v>
      </c>
      <c r="L24" s="1836"/>
      <c r="M24" s="1751">
        <v>1690</v>
      </c>
      <c r="N24" s="1146"/>
      <c r="O24" s="1751">
        <v>2050</v>
      </c>
      <c r="P24" s="1146"/>
      <c r="Q24" s="1146">
        <f>+'Exhibit I Federal'!AD45</f>
        <v>2139.6999999999998</v>
      </c>
      <c r="R24" s="1146"/>
      <c r="S24" s="1146">
        <f t="shared" si="1"/>
        <v>449.7</v>
      </c>
      <c r="T24" s="1823"/>
      <c r="U24" s="2925">
        <f t="shared" si="2"/>
        <v>89.699999999999818</v>
      </c>
      <c r="V24" s="1823"/>
      <c r="W24" s="1892"/>
      <c r="X24" s="1823"/>
      <c r="Y24" s="1892"/>
      <c r="Z24" s="1823"/>
      <c r="AA24" s="1823"/>
    </row>
    <row r="25" spans="1:48">
      <c r="A25" s="1638" t="s">
        <v>99</v>
      </c>
      <c r="B25" s="1803" t="s">
        <v>15</v>
      </c>
      <c r="C25" s="2152">
        <v>22</v>
      </c>
      <c r="D25" s="1146"/>
      <c r="E25" s="2152">
        <v>2</v>
      </c>
      <c r="F25" s="1146"/>
      <c r="G25" s="1226">
        <f>+' Exhibit I State'!AA92</f>
        <v>0</v>
      </c>
      <c r="H25" s="1146"/>
      <c r="I25" s="1146">
        <f t="shared" si="3"/>
        <v>-22</v>
      </c>
      <c r="J25" s="1823"/>
      <c r="K25" s="2925">
        <f t="shared" si="0"/>
        <v>-2</v>
      </c>
      <c r="L25" s="1837"/>
      <c r="M25" s="1315">
        <v>0</v>
      </c>
      <c r="N25" s="1146"/>
      <c r="O25" s="1315">
        <v>0</v>
      </c>
      <c r="P25" s="1146"/>
      <c r="Q25" s="1226">
        <v>0</v>
      </c>
      <c r="R25" s="1146"/>
      <c r="S25" s="1146">
        <f t="shared" si="1"/>
        <v>0</v>
      </c>
      <c r="T25" s="1824"/>
      <c r="U25" s="2925">
        <f t="shared" si="2"/>
        <v>0</v>
      </c>
      <c r="V25" s="1823"/>
      <c r="W25" s="1892"/>
      <c r="X25" s="1823"/>
      <c r="Y25" s="1892"/>
      <c r="Z25" s="1823"/>
      <c r="AA25" s="1823"/>
    </row>
    <row r="26" spans="1:48">
      <c r="A26" s="1638" t="s">
        <v>48</v>
      </c>
      <c r="B26" s="1803" t="s">
        <v>15</v>
      </c>
      <c r="C26" s="1314">
        <v>3036</v>
      </c>
      <c r="D26" s="1146"/>
      <c r="E26" s="1314">
        <v>2757</v>
      </c>
      <c r="F26" s="1146"/>
      <c r="G26" s="1314">
        <f>+' Exhibit I State'!AD93</f>
        <v>2528.6</v>
      </c>
      <c r="H26" s="1146"/>
      <c r="I26" s="1146">
        <f t="shared" si="3"/>
        <v>-507.4</v>
      </c>
      <c r="J26" s="1823"/>
      <c r="K26" s="2925">
        <f t="shared" si="0"/>
        <v>-228.40000000000009</v>
      </c>
      <c r="L26" s="1836"/>
      <c r="M26" s="1314">
        <v>-1</v>
      </c>
      <c r="N26" s="1146"/>
      <c r="O26" s="1314">
        <v>-30</v>
      </c>
      <c r="P26" s="1146"/>
      <c r="Q26" s="1299">
        <f>+'Exhibit I Federal'!I74</f>
        <v>0</v>
      </c>
      <c r="R26" s="1146"/>
      <c r="S26" s="1146">
        <f t="shared" si="1"/>
        <v>1</v>
      </c>
      <c r="T26" s="1824"/>
      <c r="U26" s="2925">
        <f t="shared" si="2"/>
        <v>30</v>
      </c>
      <c r="V26" s="1823"/>
      <c r="W26" s="1892"/>
      <c r="X26" s="1823"/>
      <c r="Y26" s="1892"/>
      <c r="Z26" s="1823"/>
      <c r="AA26" s="1823"/>
    </row>
    <row r="27" spans="1:48" ht="18" customHeight="1">
      <c r="A27" s="374" t="s">
        <v>112</v>
      </c>
      <c r="B27" s="352" t="s">
        <v>15</v>
      </c>
      <c r="C27" s="2747">
        <f>ROUND(SUM(C20:C26),1)</f>
        <v>7737</v>
      </c>
      <c r="D27" s="1802"/>
      <c r="E27" s="2747">
        <f>ROUND(SUM(E20:E26),1)</f>
        <v>6465</v>
      </c>
      <c r="F27" s="1802"/>
      <c r="G27" s="418">
        <f>ROUND(SUM(G20:G26),1)</f>
        <v>6223.8</v>
      </c>
      <c r="H27" s="1802"/>
      <c r="I27" s="418">
        <f>ROUND(SUM(I20:I26),1)</f>
        <v>-1513.2</v>
      </c>
      <c r="J27" s="272"/>
      <c r="K27" s="418">
        <f>ROUND(SUM(K20:K26),1)</f>
        <v>-241.2</v>
      </c>
      <c r="L27" s="1838"/>
      <c r="M27" s="2747">
        <f>ROUND(SUM(M20:M26),1)</f>
        <v>1689</v>
      </c>
      <c r="N27" s="1802"/>
      <c r="O27" s="2747">
        <f>ROUND(SUM(O20:O26),1)</f>
        <v>2022</v>
      </c>
      <c r="P27" s="1802"/>
      <c r="Q27" s="418">
        <f>ROUND(SUM(Q20:Q26),1)</f>
        <v>2141.5</v>
      </c>
      <c r="R27" s="1802"/>
      <c r="S27" s="418">
        <f>ROUND(SUM(S20:S26),1)</f>
        <v>452.5</v>
      </c>
      <c r="T27" s="272"/>
      <c r="U27" s="418">
        <f>ROUND(SUM(U20:U26),1)</f>
        <v>119.5</v>
      </c>
      <c r="V27" s="272"/>
      <c r="W27" s="272"/>
      <c r="X27" s="272"/>
      <c r="Y27" s="272"/>
      <c r="Z27" s="272"/>
      <c r="AA27" s="272"/>
    </row>
    <row r="28" spans="1:48">
      <c r="A28" s="1321"/>
      <c r="B28" s="1803" t="s">
        <v>15</v>
      </c>
      <c r="C28" s="1979"/>
      <c r="D28" s="1146"/>
      <c r="E28" s="1979"/>
      <c r="F28" s="1146"/>
      <c r="G28" s="1319"/>
      <c r="H28" s="1146"/>
      <c r="I28" s="1319"/>
      <c r="J28" s="1823"/>
      <c r="K28" s="1319"/>
      <c r="L28" s="1836"/>
      <c r="M28" s="1979"/>
      <c r="N28" s="1146"/>
      <c r="O28" s="1979"/>
      <c r="P28" s="1146"/>
      <c r="Q28" s="1319"/>
      <c r="R28" s="1146"/>
      <c r="S28" s="1319" t="s">
        <v>15</v>
      </c>
      <c r="T28" s="1823"/>
      <c r="U28" s="1319"/>
      <c r="V28" s="1823"/>
      <c r="W28" s="1823"/>
      <c r="X28" s="1823"/>
      <c r="Y28" s="1823"/>
      <c r="Z28" s="1823"/>
      <c r="AA28" s="1823"/>
    </row>
    <row r="29" spans="1:48" ht="15.75">
      <c r="A29" s="221" t="s">
        <v>23</v>
      </c>
      <c r="B29" s="1803" t="s">
        <v>15</v>
      </c>
      <c r="C29" s="1751"/>
      <c r="D29" s="1146"/>
      <c r="E29" s="1751"/>
      <c r="F29" s="1146"/>
      <c r="G29" s="1146" t="s">
        <v>15</v>
      </c>
      <c r="H29" s="1146"/>
      <c r="I29" s="1146"/>
      <c r="J29" s="1823"/>
      <c r="K29" s="1146"/>
      <c r="L29" s="1836"/>
      <c r="M29" s="1751"/>
      <c r="N29" s="1146"/>
      <c r="O29" s="1751"/>
      <c r="P29" s="1146"/>
      <c r="Q29" s="1146"/>
      <c r="R29" s="1146"/>
      <c r="S29" s="1146"/>
      <c r="T29" s="1823"/>
      <c r="U29" s="1146"/>
      <c r="V29" s="1823"/>
      <c r="W29" s="1823"/>
      <c r="X29" s="1823"/>
      <c r="Y29" s="1823"/>
      <c r="Z29" s="1823"/>
      <c r="AA29" s="1823"/>
    </row>
    <row r="30" spans="1:48">
      <c r="A30" s="1638" t="s">
        <v>95</v>
      </c>
      <c r="B30" s="1803" t="s">
        <v>15</v>
      </c>
      <c r="C30" s="2152">
        <v>2196</v>
      </c>
      <c r="D30" s="1146"/>
      <c r="E30" s="2152">
        <v>1813</v>
      </c>
      <c r="F30" s="1146"/>
      <c r="G30" s="1226">
        <f>+' Exhibit I State'!AD79</f>
        <v>1771.9</v>
      </c>
      <c r="H30" s="1146"/>
      <c r="I30" s="1146">
        <f>ROUND(SUM(G30)-SUM(C30),1)</f>
        <v>-424.1</v>
      </c>
      <c r="J30" s="1823"/>
      <c r="K30" s="2925">
        <f>G30-E30</f>
        <v>-41.099999999999909</v>
      </c>
      <c r="L30" s="1836"/>
      <c r="M30" s="1751">
        <v>580</v>
      </c>
      <c r="N30" s="1146"/>
      <c r="O30" s="1751">
        <v>664</v>
      </c>
      <c r="P30" s="1146"/>
      <c r="Q30" s="1146">
        <f>+'Exhibit I Federal'!AD61</f>
        <v>702.9</v>
      </c>
      <c r="R30" s="1146"/>
      <c r="S30" s="1146">
        <f>ROUND(SUM(Q30)-SUM(M30),1)</f>
        <v>122.9</v>
      </c>
      <c r="T30" s="1823"/>
      <c r="U30" s="2925">
        <f>Q30-O30</f>
        <v>38.899999999999977</v>
      </c>
      <c r="V30" s="1823"/>
      <c r="W30" s="1892"/>
      <c r="X30" s="1823"/>
      <c r="Y30" s="1892"/>
      <c r="Z30" s="1823"/>
      <c r="AA30" s="1823"/>
    </row>
    <row r="31" spans="1:48">
      <c r="A31" s="1638" t="s">
        <v>42</v>
      </c>
      <c r="B31" s="1803" t="s">
        <v>15</v>
      </c>
      <c r="C31" s="2152">
        <v>5319</v>
      </c>
      <c r="D31" s="1146"/>
      <c r="E31" s="2152">
        <v>4285</v>
      </c>
      <c r="F31" s="1146"/>
      <c r="G31" s="1226">
        <f>+' Exhibit I State'!AD84</f>
        <v>4056.5</v>
      </c>
      <c r="H31" s="1146"/>
      <c r="I31" s="1146">
        <f>ROUND(SUM(G31)-SUM(C31),1)</f>
        <v>-1262.5</v>
      </c>
      <c r="J31" s="1823"/>
      <c r="K31" s="2925">
        <f>G31-E31</f>
        <v>-228.5</v>
      </c>
      <c r="L31" s="1837"/>
      <c r="M31" s="1751">
        <v>991</v>
      </c>
      <c r="N31" s="1146"/>
      <c r="O31" s="1751">
        <v>1249</v>
      </c>
      <c r="P31" s="1146"/>
      <c r="Q31" s="1146">
        <f>+'Exhibit I Federal'!AD66</f>
        <v>1345.7</v>
      </c>
      <c r="R31" s="1146"/>
      <c r="S31" s="1146">
        <f>ROUND(SUM(Q31)-SUM(M31),1)</f>
        <v>354.7</v>
      </c>
      <c r="T31" s="1823"/>
      <c r="U31" s="2925">
        <f>Q31-O31</f>
        <v>96.700000000000045</v>
      </c>
      <c r="V31" s="1823"/>
      <c r="W31" s="1892"/>
      <c r="X31" s="1823"/>
      <c r="Y31" s="1892"/>
      <c r="Z31" s="1823"/>
      <c r="AA31" s="1823"/>
    </row>
    <row r="32" spans="1:48">
      <c r="A32" s="1638" t="s">
        <v>100</v>
      </c>
      <c r="B32" s="1803" t="s">
        <v>15</v>
      </c>
      <c r="C32" s="1314">
        <v>497</v>
      </c>
      <c r="D32" s="1146"/>
      <c r="E32" s="1314">
        <v>513</v>
      </c>
      <c r="F32" s="1146"/>
      <c r="G32" s="1299">
        <f>-' Exhibit I State'!AD94</f>
        <v>517.79999999999995</v>
      </c>
      <c r="H32" s="1146"/>
      <c r="I32" s="1146">
        <f>ROUND(SUM(G32)-SUM(C32),1)</f>
        <v>20.8</v>
      </c>
      <c r="J32" s="1823"/>
      <c r="K32" s="2925">
        <f>G32-E32</f>
        <v>4.7999999999999545</v>
      </c>
      <c r="L32" s="1836"/>
      <c r="M32" s="1314">
        <v>12</v>
      </c>
      <c r="N32" s="1146"/>
      <c r="O32" s="1314">
        <v>11</v>
      </c>
      <c r="P32" s="1146"/>
      <c r="Q32" s="1299">
        <f>-'Exhibit I Federal'!AD75</f>
        <v>38.9</v>
      </c>
      <c r="R32" s="1146"/>
      <c r="S32" s="1146">
        <f>ROUND(SUM(Q32)-SUM(M32),1)</f>
        <v>26.9</v>
      </c>
      <c r="T32" s="1824"/>
      <c r="U32" s="2925">
        <f>Q32-O32</f>
        <v>27.9</v>
      </c>
      <c r="V32" s="1823"/>
      <c r="W32" s="1892"/>
      <c r="X32" s="1823"/>
      <c r="Y32" s="1892"/>
      <c r="Z32" s="1823"/>
      <c r="AA32" s="1823"/>
    </row>
    <row r="33" spans="1:48" ht="18" customHeight="1">
      <c r="A33" s="374" t="s">
        <v>121</v>
      </c>
      <c r="B33" s="352" t="s">
        <v>15</v>
      </c>
      <c r="C33" s="2747">
        <f>ROUND(SUM(C30:C32),1)</f>
        <v>8012</v>
      </c>
      <c r="D33" s="1802"/>
      <c r="E33" s="2747">
        <f>ROUND(SUM(E30:E32),1)</f>
        <v>6611</v>
      </c>
      <c r="F33" s="1802"/>
      <c r="G33" s="418">
        <f>ROUND(SUM(G30:G32),1)</f>
        <v>6346.2</v>
      </c>
      <c r="H33" s="1802"/>
      <c r="I33" s="418">
        <f>ROUND(SUM(I30:I32),1)</f>
        <v>-1665.8</v>
      </c>
      <c r="J33" s="272"/>
      <c r="K33" s="418">
        <f>ROUND(SUM(K30:K32),1)</f>
        <v>-264.8</v>
      </c>
      <c r="L33" s="1838"/>
      <c r="M33" s="418">
        <f>ROUND(SUM(M30:M32),1)</f>
        <v>1583</v>
      </c>
      <c r="N33" s="1802"/>
      <c r="O33" s="2747">
        <f>ROUND(SUM(O30:O32),1)</f>
        <v>1924</v>
      </c>
      <c r="P33" s="1802"/>
      <c r="Q33" s="418">
        <f>ROUND(SUM(Q30:Q32),1)</f>
        <v>2087.5</v>
      </c>
      <c r="R33" s="1802"/>
      <c r="S33" s="418">
        <f>ROUND(SUM(S30:S32),1)</f>
        <v>504.5</v>
      </c>
      <c r="T33" s="272"/>
      <c r="U33" s="418">
        <f>ROUND(SUM(U30:U32),1)</f>
        <v>163.5</v>
      </c>
      <c r="V33" s="272"/>
      <c r="W33" s="272"/>
      <c r="X33" s="272"/>
      <c r="Y33" s="272"/>
      <c r="Z33" s="272"/>
      <c r="AA33" s="272"/>
    </row>
    <row r="34" spans="1:48">
      <c r="A34" s="1321"/>
      <c r="B34" s="1803" t="s">
        <v>15</v>
      </c>
      <c r="C34" s="1979"/>
      <c r="D34" s="1146"/>
      <c r="E34" s="1979"/>
      <c r="F34" s="1146"/>
      <c r="G34" s="1319"/>
      <c r="H34" s="1146"/>
      <c r="I34" s="1319"/>
      <c r="J34" s="1823"/>
      <c r="K34" s="1319"/>
      <c r="L34" s="1836"/>
      <c r="M34" s="1319"/>
      <c r="N34" s="1146"/>
      <c r="O34" s="1979"/>
      <c r="P34" s="1146"/>
      <c r="Q34" s="1319"/>
      <c r="R34" s="1146"/>
      <c r="S34" s="1319"/>
      <c r="T34" s="1823"/>
      <c r="U34" s="1319"/>
      <c r="V34" s="1823"/>
      <c r="W34" s="1823"/>
      <c r="X34" s="1823"/>
      <c r="Y34" s="1823"/>
      <c r="Z34" s="1823"/>
      <c r="AA34" s="1823"/>
    </row>
    <row r="35" spans="1:48" ht="15.75">
      <c r="A35" s="221" t="s">
        <v>102</v>
      </c>
      <c r="B35" s="1803"/>
      <c r="C35" s="1751"/>
      <c r="D35" s="1146"/>
      <c r="E35" s="1751"/>
      <c r="F35" s="1146"/>
      <c r="G35" s="1146"/>
      <c r="H35" s="1146"/>
      <c r="I35" s="1146"/>
      <c r="J35" s="1823"/>
      <c r="K35" s="1146"/>
      <c r="L35" s="1836"/>
      <c r="M35" s="1146"/>
      <c r="N35" s="1146"/>
      <c r="O35" s="1751"/>
      <c r="P35" s="1146"/>
      <c r="Q35" s="1146"/>
      <c r="R35" s="1146"/>
      <c r="S35" s="1146"/>
      <c r="T35" s="1823"/>
      <c r="U35" s="1146"/>
      <c r="V35" s="1823"/>
      <c r="W35" s="1823"/>
      <c r="X35" s="1823"/>
      <c r="Y35" s="1823"/>
      <c r="Z35" s="1823"/>
      <c r="AA35" s="1823"/>
    </row>
    <row r="36" spans="1:48" ht="15.75">
      <c r="A36" s="221" t="s">
        <v>103</v>
      </c>
      <c r="B36" s="1803"/>
      <c r="C36" s="1751"/>
      <c r="D36" s="1146"/>
      <c r="E36" s="1751"/>
      <c r="F36" s="1146"/>
      <c r="G36" s="1146"/>
      <c r="H36" s="1146"/>
      <c r="I36" s="1146"/>
      <c r="J36" s="1823"/>
      <c r="K36" s="1146"/>
      <c r="L36" s="1836"/>
      <c r="M36" s="1146"/>
      <c r="N36" s="1146"/>
      <c r="O36" s="1751"/>
      <c r="P36" s="1146"/>
      <c r="Q36" s="1146"/>
      <c r="R36" s="1146"/>
      <c r="S36" s="1146"/>
      <c r="T36" s="1823"/>
      <c r="U36" s="1146"/>
      <c r="V36" s="1823"/>
      <c r="W36" s="1823"/>
      <c r="X36" s="1823"/>
      <c r="Y36" s="1823"/>
      <c r="Z36" s="1823"/>
      <c r="AA36" s="1823"/>
    </row>
    <row r="37" spans="1:48" ht="15.75">
      <c r="A37" s="374" t="s">
        <v>104</v>
      </c>
      <c r="B37" s="375" t="s">
        <v>15</v>
      </c>
      <c r="C37" s="314">
        <f>ROUND(SUM(C27)-SUM(C33),1)</f>
        <v>-275</v>
      </c>
      <c r="D37" s="283"/>
      <c r="E37" s="314">
        <f>ROUND(SUM(E27)-SUM(E33),1)</f>
        <v>-146</v>
      </c>
      <c r="F37" s="283"/>
      <c r="G37" s="272">
        <f>ROUND(SUM(G27)-SUM(G33),1)</f>
        <v>-122.4</v>
      </c>
      <c r="H37" s="283"/>
      <c r="I37" s="272">
        <f>ROUND(SUM(I27)-SUM(I33),1)</f>
        <v>152.6</v>
      </c>
      <c r="J37" s="272"/>
      <c r="K37" s="272">
        <f>ROUND(SUM(K27)-SUM(K33),1)</f>
        <v>23.6</v>
      </c>
      <c r="L37" s="1838"/>
      <c r="M37" s="272">
        <f>ROUND(SUM(M27)-SUM(M33),1)</f>
        <v>106</v>
      </c>
      <c r="N37" s="283"/>
      <c r="O37" s="314">
        <f>ROUND(SUM(O27)-SUM(O33),1)</f>
        <v>98</v>
      </c>
      <c r="P37" s="283"/>
      <c r="Q37" s="272">
        <f>ROUND(SUM(Q27)-SUM(Q33),1)</f>
        <v>54</v>
      </c>
      <c r="R37" s="283"/>
      <c r="S37" s="272">
        <f>ROUND(SUM(S27)-SUM(S33),1)</f>
        <v>-52</v>
      </c>
      <c r="T37" s="283"/>
      <c r="U37" s="2926">
        <f>ROUND(SUM(U27)-SUM(U33),1)</f>
        <v>-44</v>
      </c>
      <c r="V37" s="740"/>
      <c r="W37" s="272"/>
      <c r="X37" s="740"/>
      <c r="Y37" s="272"/>
      <c r="Z37" s="740"/>
      <c r="AA37" s="272"/>
      <c r="AB37" s="1124"/>
    </row>
    <row r="38" spans="1:48" ht="15.75">
      <c r="B38" s="1124"/>
      <c r="C38" s="2748"/>
      <c r="D38" s="1812"/>
      <c r="E38" s="2748"/>
      <c r="F38" s="1812"/>
      <c r="G38" s="1242"/>
      <c r="H38" s="1812"/>
      <c r="I38" s="1242"/>
      <c r="J38" s="1242"/>
      <c r="K38" s="1242"/>
      <c r="L38" s="1838"/>
      <c r="M38" s="1242"/>
      <c r="N38" s="1812"/>
      <c r="O38" s="2748"/>
      <c r="P38" s="1812"/>
      <c r="Q38" s="1242"/>
      <c r="R38" s="1812"/>
      <c r="S38" s="1242"/>
      <c r="T38" s="1242"/>
      <c r="U38" s="1242"/>
      <c r="V38" s="1242"/>
      <c r="W38" s="1242"/>
      <c r="X38" s="1242"/>
      <c r="Y38" s="1242"/>
      <c r="Z38" s="1242"/>
      <c r="AA38" s="1242"/>
    </row>
    <row r="39" spans="1:48" ht="15.75">
      <c r="A39" s="374" t="s">
        <v>105</v>
      </c>
      <c r="B39" s="1814" t="s">
        <v>15</v>
      </c>
      <c r="C39" s="314">
        <v>-333</v>
      </c>
      <c r="D39" s="1812"/>
      <c r="E39" s="314">
        <v>-333</v>
      </c>
      <c r="F39" s="1812"/>
      <c r="G39" s="272">
        <v>-331.5</v>
      </c>
      <c r="H39" s="1812"/>
      <c r="I39" s="280">
        <f>ROUND(SUM(G39-C39),1)</f>
        <v>1.5</v>
      </c>
      <c r="J39" s="280"/>
      <c r="K39" s="1902">
        <f>G39-E39</f>
        <v>1.5</v>
      </c>
      <c r="L39" s="1838"/>
      <c r="M39" s="314">
        <v>-558</v>
      </c>
      <c r="N39" s="1812"/>
      <c r="O39" s="314">
        <v>-558</v>
      </c>
      <c r="P39" s="1812"/>
      <c r="Q39" s="272">
        <v>-559.29999999999995</v>
      </c>
      <c r="R39" s="1812"/>
      <c r="S39" s="280">
        <f>ROUND(SUM(Q39-M39),1)</f>
        <v>-1.3</v>
      </c>
      <c r="T39" s="1242"/>
      <c r="U39" s="1902">
        <f>Q39-O39</f>
        <v>-1.2999999999999545</v>
      </c>
      <c r="V39" s="1242"/>
      <c r="W39" s="272"/>
      <c r="X39" s="1242"/>
      <c r="Y39" s="272"/>
      <c r="Z39" s="1242"/>
      <c r="AA39" s="280"/>
      <c r="AB39" s="1124"/>
      <c r="AC39" s="1124"/>
      <c r="AD39" s="1124"/>
      <c r="AE39" s="1124"/>
      <c r="AF39" s="1124"/>
      <c r="AG39" s="1124"/>
      <c r="AH39" s="1124"/>
      <c r="AI39" s="1124"/>
      <c r="AJ39" s="1124"/>
      <c r="AK39" s="1124"/>
      <c r="AL39" s="1124"/>
      <c r="AM39" s="1124"/>
      <c r="AN39" s="1124"/>
      <c r="AO39" s="1124"/>
      <c r="AP39" s="1124"/>
      <c r="AQ39" s="1124"/>
      <c r="AR39" s="1124"/>
      <c r="AS39" s="1124"/>
      <c r="AT39" s="1124"/>
      <c r="AU39" s="1124"/>
      <c r="AV39" s="1815"/>
    </row>
    <row r="40" spans="1:48" ht="16.5" thickBot="1">
      <c r="A40" s="2586" t="str">
        <f>+'Exh D-Governmental  '!A50</f>
        <v>Fund Balances (Deficits) at January 31, 2017</v>
      </c>
      <c r="B40" s="381" t="s">
        <v>15</v>
      </c>
      <c r="C40" s="297">
        <f>ROUND(SUM(C37:C39),1)</f>
        <v>-608</v>
      </c>
      <c r="D40" s="382"/>
      <c r="E40" s="297">
        <f>ROUND(SUM(E37:E39),1)</f>
        <v>-479</v>
      </c>
      <c r="F40" s="382"/>
      <c r="G40" s="297">
        <f>ROUND(SUM(G37:G39),1)</f>
        <v>-453.9</v>
      </c>
      <c r="H40" s="382"/>
      <c r="I40" s="297">
        <f>ROUND(SUM(I37:I39),1)</f>
        <v>154.1</v>
      </c>
      <c r="J40" s="422"/>
      <c r="K40" s="297">
        <f>ROUND(SUM(K37:K39),1)</f>
        <v>25.1</v>
      </c>
      <c r="L40" s="1840"/>
      <c r="M40" s="297">
        <f>ROUND(SUM(M37:M39),1)</f>
        <v>-452</v>
      </c>
      <c r="N40" s="382"/>
      <c r="O40" s="297">
        <f>ROUND(SUM(O37:O39),1)</f>
        <v>-460</v>
      </c>
      <c r="P40" s="382"/>
      <c r="Q40" s="297">
        <f>ROUND(SUM(Q37:Q39),1)</f>
        <v>-505.3</v>
      </c>
      <c r="R40" s="382"/>
      <c r="S40" s="297">
        <f>ROUND(SUM(S37:S39),1)</f>
        <v>-53.3</v>
      </c>
      <c r="T40" s="382"/>
      <c r="U40" s="297">
        <f>ROUND(SUM(U37:U39),1)</f>
        <v>-45.3</v>
      </c>
      <c r="V40" s="1893"/>
      <c r="W40" s="422"/>
      <c r="X40" s="1893"/>
      <c r="Y40" s="422"/>
      <c r="Z40" s="1893"/>
      <c r="AA40" s="422"/>
      <c r="AB40" s="1124"/>
      <c r="AC40" s="1124"/>
      <c r="AD40" s="1124"/>
      <c r="AE40" s="1124"/>
      <c r="AF40" s="1124"/>
      <c r="AG40" s="1124"/>
      <c r="AH40" s="1124"/>
      <c r="AI40" s="1124"/>
      <c r="AJ40" s="1124"/>
      <c r="AK40" s="1124"/>
      <c r="AL40" s="1124"/>
      <c r="AM40" s="1124"/>
      <c r="AN40" s="1124"/>
      <c r="AO40" s="1124"/>
      <c r="AP40" s="1124"/>
      <c r="AQ40" s="1124"/>
      <c r="AR40" s="1124"/>
      <c r="AS40" s="1124"/>
      <c r="AT40" s="1124"/>
      <c r="AU40" s="1124"/>
      <c r="AV40" s="1815"/>
    </row>
    <row r="41" spans="1:48" ht="15.75" thickTop="1">
      <c r="B41" s="1124"/>
      <c r="L41" s="1124"/>
      <c r="N41" s="1815"/>
      <c r="P41" s="1815"/>
      <c r="Q41" s="1841"/>
      <c r="R41" s="1815"/>
      <c r="S41" s="1815"/>
      <c r="U41" s="1815"/>
      <c r="W41" s="1124"/>
      <c r="Y41" s="1813"/>
    </row>
    <row r="42" spans="1:48">
      <c r="A42" s="1816" t="str">
        <f>'Exh D-Governmental  '!A52</f>
        <v>(*)     Source:  2016-17 Enacted Budget dated May 13, 2016.</v>
      </c>
      <c r="B42" s="1124"/>
      <c r="S42" s="2644"/>
    </row>
    <row r="43" spans="1:48">
      <c r="A43" s="2783" t="str">
        <f>'Exh D-Governmental  '!A53</f>
        <v>(**)    Source:  2017-18 Executive Budget dated January 17, 2017.</v>
      </c>
      <c r="B43" s="1124"/>
      <c r="J43" s="1815"/>
      <c r="K43" s="1124"/>
      <c r="L43" s="788"/>
      <c r="U43" s="1124"/>
      <c r="W43" s="1124"/>
      <c r="AB43" s="1124"/>
      <c r="AC43" s="1124"/>
      <c r="AD43" s="1124"/>
      <c r="AE43" s="1124"/>
      <c r="AF43" s="1124"/>
      <c r="AG43" s="1124"/>
      <c r="AH43" s="1124"/>
      <c r="AI43" s="1124"/>
      <c r="AJ43" s="1124"/>
      <c r="AK43" s="1815"/>
    </row>
    <row r="44" spans="1:48">
      <c r="A44" s="2783"/>
      <c r="B44" s="1124"/>
      <c r="Y44" s="1828"/>
      <c r="Z44" s="1803"/>
      <c r="AA44" s="1828"/>
      <c r="AB44" s="1224"/>
      <c r="AC44" s="1842"/>
    </row>
    <row r="45" spans="1:48">
      <c r="A45" s="2783"/>
      <c r="B45" s="1124"/>
    </row>
    <row r="46" spans="1:48">
      <c r="A46" s="1990"/>
      <c r="B46" s="1124"/>
    </row>
    <row r="47" spans="1:48">
      <c r="A47" s="384"/>
      <c r="B47" s="1124"/>
    </row>
    <row r="48" spans="1:48">
      <c r="B48" s="1124"/>
    </row>
    <row r="49" spans="2:7">
      <c r="B49" s="1124"/>
    </row>
    <row r="52" spans="2:7">
      <c r="G52" s="1841"/>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5"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workbookViewId="0"/>
  </sheetViews>
  <sheetFormatPr defaultColWidth="9.6640625" defaultRowHeight="12.75"/>
  <cols>
    <col min="1" max="1" width="32.33203125" style="2545" customWidth="1"/>
    <col min="2" max="2" width="10.88671875" style="2545" customWidth="1"/>
    <col min="3" max="3" width="3.77734375" style="2545" customWidth="1"/>
    <col min="4" max="4" width="12.109375" style="2545" customWidth="1"/>
    <col min="5" max="5" width="1.6640625" style="2545" customWidth="1"/>
    <col min="6" max="6" width="17" style="2545" bestFit="1" customWidth="1"/>
    <col min="7" max="7" width="1.6640625" style="2545" customWidth="1"/>
    <col min="8" max="8" width="12.109375" style="2545" customWidth="1"/>
    <col min="9" max="9" width="1.6640625" style="2545" customWidth="1"/>
    <col min="10" max="10" width="12.109375" style="2545" customWidth="1"/>
    <col min="11" max="11" width="1.6640625" style="2545" customWidth="1"/>
    <col min="12" max="12" width="12.109375" style="2545" customWidth="1"/>
    <col min="13" max="13" width="1.6640625" style="2545" customWidth="1"/>
    <col min="14" max="14" width="13" style="2545" customWidth="1"/>
    <col min="15" max="15" width="1.6640625" style="2545" customWidth="1"/>
    <col min="16" max="16" width="12.109375" style="2545" customWidth="1"/>
    <col min="17" max="17" width="1.6640625" style="2545" customWidth="1"/>
    <col min="18" max="18" width="12.109375" style="2545" customWidth="1"/>
    <col min="19" max="19" width="1.6640625" style="2545" customWidth="1"/>
    <col min="20" max="20" width="1" style="2545" customWidth="1"/>
    <col min="21" max="21" width="1.6640625" style="2545" customWidth="1"/>
    <col min="22" max="22" width="12.109375" style="2545" customWidth="1"/>
    <col min="23" max="23" width="1.6640625" style="2545" customWidth="1"/>
    <col min="24" max="24" width="17" style="2545" bestFit="1" customWidth="1"/>
    <col min="25" max="25" width="1.6640625" style="2545" customWidth="1"/>
    <col min="26" max="26" width="1" style="2545" customWidth="1"/>
    <col min="27" max="27" width="1.6640625" style="2545" customWidth="1"/>
    <col min="28" max="28" width="12.109375" style="2545" customWidth="1"/>
    <col min="29" max="29" width="1.6640625" style="2545" customWidth="1"/>
    <col min="30" max="30" width="16.21875" style="2545" bestFit="1" customWidth="1"/>
    <col min="31" max="31" width="1.5546875" style="2545" customWidth="1"/>
    <col min="32" max="32" width="0.44140625" style="2545" customWidth="1"/>
    <col min="33" max="33" width="1.5546875" style="2545" customWidth="1"/>
    <col min="34" max="34" width="14.5546875" style="2545" bestFit="1" customWidth="1"/>
    <col min="35" max="35" width="1.6640625" style="2545" customWidth="1"/>
    <col min="36" max="36" width="13.33203125" style="2545" customWidth="1"/>
    <col min="37" max="37" width="2.21875" style="2545" customWidth="1"/>
    <col min="38" max="38" width="1.6640625" style="2545" customWidth="1"/>
    <col min="39" max="16384" width="9.6640625" style="2545"/>
  </cols>
  <sheetData>
    <row r="1" spans="1:38" s="2786" customFormat="1" ht="15">
      <c r="A1" s="1159" t="s">
        <v>1090</v>
      </c>
    </row>
    <row r="2" spans="1:38" s="2543" customFormat="1">
      <c r="A2" s="2790"/>
      <c r="B2" s="2791"/>
      <c r="C2" s="2791"/>
      <c r="D2" s="2791"/>
      <c r="E2" s="2791"/>
      <c r="F2" s="2791"/>
      <c r="G2" s="2791"/>
      <c r="H2" s="2791"/>
      <c r="I2" s="2791"/>
      <c r="J2" s="2791"/>
      <c r="K2" s="2791"/>
      <c r="L2" s="2791"/>
      <c r="M2" s="2791"/>
      <c r="N2" s="2791"/>
      <c r="O2" s="2791"/>
      <c r="P2" s="2791"/>
      <c r="Q2" s="2791"/>
      <c r="R2" s="2791"/>
      <c r="S2" s="2791"/>
      <c r="T2" s="2791"/>
      <c r="U2" s="2791"/>
      <c r="V2" s="2791"/>
      <c r="W2" s="2791"/>
      <c r="X2" s="2791"/>
      <c r="Y2" s="2791"/>
      <c r="Z2" s="2791"/>
      <c r="AA2" s="2791"/>
      <c r="AB2" s="2791"/>
      <c r="AC2" s="2791"/>
      <c r="AD2" s="2791"/>
      <c r="AE2" s="2791"/>
      <c r="AF2" s="2791"/>
      <c r="AG2" s="2791"/>
      <c r="AH2" s="2791"/>
    </row>
    <row r="3" spans="1:38" ht="18">
      <c r="A3" s="2792" t="s">
        <v>0</v>
      </c>
      <c r="B3" s="2793"/>
      <c r="C3" s="2793"/>
      <c r="D3" s="2793"/>
      <c r="E3" s="2793"/>
      <c r="F3" s="2793"/>
      <c r="G3" s="2793"/>
      <c r="H3" s="2793"/>
      <c r="I3" s="2793"/>
      <c r="J3" s="2793"/>
      <c r="K3" s="2793"/>
      <c r="L3" s="2794"/>
      <c r="M3" s="2794"/>
      <c r="N3" s="2794"/>
      <c r="O3" s="2794"/>
      <c r="P3" s="2793"/>
      <c r="Q3" s="2793"/>
      <c r="R3" s="2793"/>
      <c r="S3" s="2794"/>
      <c r="T3" s="2793"/>
      <c r="U3" s="2794"/>
      <c r="V3" s="2794"/>
      <c r="W3" s="2794"/>
      <c r="X3" s="2794"/>
      <c r="Y3" s="2794"/>
      <c r="Z3" s="2794"/>
      <c r="AA3" s="2794"/>
      <c r="AB3" s="2794"/>
      <c r="AC3" s="2794"/>
      <c r="AD3" s="2794"/>
      <c r="AE3" s="2794"/>
      <c r="AF3" s="2793"/>
      <c r="AG3" s="2793"/>
      <c r="AH3" s="2544"/>
      <c r="AI3" s="2544"/>
    </row>
    <row r="4" spans="1:38" ht="18">
      <c r="A4" s="2795" t="s">
        <v>1</v>
      </c>
      <c r="B4" s="2793"/>
      <c r="C4" s="2793"/>
      <c r="D4" s="2793"/>
      <c r="E4" s="2793"/>
      <c r="F4" s="2793"/>
      <c r="G4" s="2793"/>
      <c r="H4" s="2793"/>
      <c r="I4" s="2793"/>
      <c r="J4" s="2793"/>
      <c r="K4" s="2793"/>
      <c r="L4" s="2794"/>
      <c r="M4" s="2794"/>
      <c r="N4" s="2794"/>
      <c r="O4" s="2794"/>
      <c r="P4" s="2793"/>
      <c r="Q4" s="2793"/>
      <c r="R4" s="2793"/>
      <c r="S4" s="2794"/>
      <c r="T4" s="2793"/>
      <c r="U4" s="2794"/>
      <c r="V4" s="2794"/>
      <c r="W4" s="2794"/>
      <c r="X4" s="2794"/>
      <c r="Y4" s="2794"/>
      <c r="Z4" s="2794"/>
      <c r="AA4" s="2794"/>
      <c r="AB4" s="2794"/>
      <c r="AC4" s="2794"/>
      <c r="AD4" s="2794"/>
      <c r="AE4" s="2794"/>
      <c r="AF4" s="2793"/>
      <c r="AG4" s="2793"/>
      <c r="AH4" s="2544"/>
      <c r="AI4" s="2544"/>
    </row>
    <row r="5" spans="1:38" ht="18">
      <c r="A5" s="2792" t="s">
        <v>1440</v>
      </c>
      <c r="B5" s="2793"/>
      <c r="C5" s="2793"/>
      <c r="D5" s="2793"/>
      <c r="E5" s="2793"/>
      <c r="F5" s="2793"/>
      <c r="G5" s="2793"/>
      <c r="H5" s="2794"/>
      <c r="I5" s="2794"/>
      <c r="J5" s="2794"/>
      <c r="K5" s="2793"/>
      <c r="L5" s="2794"/>
      <c r="M5" s="2794"/>
      <c r="N5" s="2794"/>
      <c r="O5" s="2794"/>
      <c r="P5" s="2793"/>
      <c r="Q5" s="2793"/>
      <c r="R5" s="2793"/>
      <c r="S5" s="2794"/>
      <c r="T5" s="2793"/>
      <c r="U5" s="2794"/>
      <c r="V5" s="2794"/>
      <c r="W5" s="2794"/>
      <c r="X5" s="2794"/>
      <c r="Y5" s="2794"/>
      <c r="Z5" s="2794"/>
      <c r="AA5" s="2794"/>
      <c r="AB5" s="2794"/>
      <c r="AC5" s="2794"/>
      <c r="AD5" s="2794"/>
      <c r="AE5" s="2794"/>
      <c r="AF5" s="2793"/>
      <c r="AG5" s="2793"/>
      <c r="AH5" s="2544"/>
      <c r="AI5" s="2544"/>
    </row>
    <row r="6" spans="1:38" ht="14.1" customHeight="1">
      <c r="A6" s="2792" t="s">
        <v>979</v>
      </c>
      <c r="B6" s="2793"/>
      <c r="C6" s="2793"/>
      <c r="D6" s="2793"/>
      <c r="E6" s="2793"/>
      <c r="F6" s="2793"/>
      <c r="G6" s="2793"/>
      <c r="H6" s="2793"/>
      <c r="I6" s="2793"/>
      <c r="J6" s="2793"/>
      <c r="K6" s="2793"/>
      <c r="L6" s="2794"/>
      <c r="M6" s="2794"/>
      <c r="N6" s="2794"/>
      <c r="O6" s="2794"/>
      <c r="P6" s="2793"/>
      <c r="Q6" s="2793"/>
      <c r="R6" s="2793"/>
      <c r="S6" s="2794"/>
      <c r="T6" s="2793"/>
      <c r="U6" s="2794"/>
      <c r="V6" s="2794"/>
      <c r="W6" s="2794"/>
      <c r="X6" s="2794"/>
      <c r="Y6" s="2794"/>
      <c r="Z6" s="2794"/>
      <c r="AA6" s="2794"/>
      <c r="AB6" s="2794"/>
      <c r="AC6" s="2794"/>
      <c r="AD6" s="2794"/>
      <c r="AE6" s="2794"/>
      <c r="AF6" s="2793"/>
      <c r="AG6" s="2793"/>
      <c r="AH6" s="2544"/>
      <c r="AI6" s="2544"/>
    </row>
    <row r="7" spans="1:38" ht="18">
      <c r="A7" s="2793"/>
      <c r="B7" s="2793"/>
      <c r="C7" s="2793"/>
      <c r="D7" s="2793"/>
      <c r="E7" s="2793"/>
      <c r="F7" s="2793"/>
      <c r="G7" s="2793"/>
      <c r="H7" s="2793"/>
      <c r="I7" s="2793"/>
      <c r="J7" s="2793"/>
      <c r="K7" s="2793"/>
      <c r="L7" s="2794"/>
      <c r="M7" s="2794"/>
      <c r="N7" s="2794"/>
      <c r="O7" s="2794"/>
      <c r="P7" s="2794"/>
      <c r="Q7" s="2794"/>
      <c r="R7" s="2794"/>
      <c r="S7" s="2794"/>
      <c r="T7" s="2794"/>
      <c r="U7" s="2794"/>
      <c r="V7" s="2794"/>
      <c r="W7" s="2794"/>
      <c r="X7" s="2794"/>
      <c r="Y7" s="2794"/>
      <c r="Z7" s="2794"/>
      <c r="AA7" s="2794"/>
      <c r="AB7" s="2796"/>
      <c r="AC7" s="2796"/>
      <c r="AD7" s="2796"/>
      <c r="AE7" s="2796"/>
      <c r="AF7" s="2793"/>
      <c r="AG7" s="2793"/>
      <c r="AH7" s="2544"/>
      <c r="AI7" s="2544"/>
      <c r="AJ7" s="2797" t="s">
        <v>1009</v>
      </c>
    </row>
    <row r="8" spans="1:38" ht="15.75">
      <c r="A8" s="1243"/>
      <c r="B8" s="1243"/>
      <c r="C8" s="1243"/>
      <c r="D8" s="1243"/>
      <c r="E8" s="1243"/>
      <c r="F8" s="1243"/>
      <c r="G8" s="1243"/>
      <c r="H8" s="1243"/>
      <c r="I8" s="1243"/>
      <c r="J8" s="1243"/>
      <c r="K8" s="1243"/>
      <c r="L8" s="1244"/>
      <c r="M8" s="1244"/>
      <c r="N8" s="1244"/>
      <c r="O8" s="1244"/>
      <c r="P8" s="1244"/>
      <c r="Q8" s="1244"/>
      <c r="R8" s="1244"/>
      <c r="S8" s="1244"/>
      <c r="T8" s="1244"/>
      <c r="U8" s="1244"/>
      <c r="V8" s="1244"/>
      <c r="W8" s="1244"/>
      <c r="X8" s="1244"/>
      <c r="Y8" s="1244"/>
      <c r="Z8" s="1244"/>
      <c r="AA8" s="1244"/>
      <c r="AB8" s="1244"/>
      <c r="AC8" s="1244"/>
      <c r="AD8" s="1244"/>
      <c r="AE8" s="1244"/>
      <c r="AF8" s="1243"/>
      <c r="AG8" s="1243"/>
      <c r="AH8" s="2544"/>
      <c r="AI8" s="2544"/>
    </row>
    <row r="9" spans="1:38" ht="15.75">
      <c r="A9" s="1243"/>
      <c r="B9" s="1243"/>
      <c r="C9" s="1243"/>
      <c r="D9" s="1244"/>
      <c r="E9" s="1244"/>
      <c r="F9" s="1244"/>
      <c r="G9" s="1244"/>
      <c r="H9" s="1244"/>
      <c r="I9" s="1244"/>
      <c r="J9" s="1244"/>
      <c r="K9" s="1244"/>
      <c r="L9" s="1244"/>
      <c r="M9" s="1244"/>
      <c r="N9" s="1244"/>
      <c r="O9" s="1244"/>
      <c r="P9" s="1244"/>
      <c r="Q9" s="1244"/>
      <c r="R9" s="1244"/>
      <c r="S9" s="1244"/>
      <c r="T9" s="1244"/>
      <c r="U9" s="1244"/>
      <c r="V9" s="2798"/>
      <c r="W9" s="2798"/>
      <c r="X9" s="2798"/>
      <c r="Y9" s="2798"/>
      <c r="Z9" s="2798"/>
      <c r="AA9" s="2798"/>
      <c r="AB9" s="2798"/>
      <c r="AC9" s="2798"/>
      <c r="AD9" s="2798"/>
      <c r="AE9" s="2798"/>
      <c r="AF9" s="1244"/>
      <c r="AG9" s="1244"/>
      <c r="AH9" s="2799"/>
      <c r="AI9" s="2799"/>
    </row>
    <row r="10" spans="1:38" ht="3.95" customHeight="1">
      <c r="A10" s="1243"/>
      <c r="B10" s="1243"/>
      <c r="C10" s="1243"/>
      <c r="D10" s="1243"/>
      <c r="E10" s="1243"/>
      <c r="F10" s="1243"/>
      <c r="G10" s="1243"/>
      <c r="H10" s="1243"/>
      <c r="I10" s="1243"/>
      <c r="J10" s="1243"/>
      <c r="K10" s="1243"/>
      <c r="L10" s="1243"/>
      <c r="M10" s="1243"/>
      <c r="N10" s="1243"/>
      <c r="O10" s="1243"/>
      <c r="P10" s="1243"/>
      <c r="Q10" s="1243"/>
      <c r="R10" s="1243"/>
      <c r="S10" s="1243"/>
      <c r="T10" s="1100"/>
      <c r="U10" s="1100"/>
      <c r="V10" s="1243"/>
      <c r="W10" s="1243"/>
      <c r="X10" s="1243"/>
      <c r="Y10" s="1243"/>
      <c r="Z10" s="1243"/>
      <c r="AA10" s="1243"/>
      <c r="AB10" s="1243"/>
      <c r="AC10" s="1243"/>
      <c r="AD10" s="1243"/>
      <c r="AE10" s="1243"/>
      <c r="AF10" s="1243"/>
      <c r="AG10" s="1243"/>
      <c r="AH10" s="2544"/>
      <c r="AI10" s="2544"/>
    </row>
    <row r="11" spans="1:38" ht="15" customHeight="1">
      <c r="A11" s="1243"/>
      <c r="B11" s="1243"/>
      <c r="C11" s="1243"/>
      <c r="D11" s="2800" t="s">
        <v>3</v>
      </c>
      <c r="E11" s="2800"/>
      <c r="F11" s="2800"/>
      <c r="G11" s="1100"/>
      <c r="H11" s="2800" t="s">
        <v>58</v>
      </c>
      <c r="I11" s="2800"/>
      <c r="J11" s="2800"/>
      <c r="K11" s="1100"/>
      <c r="L11" s="2800" t="s">
        <v>5</v>
      </c>
      <c r="M11" s="2800"/>
      <c r="N11" s="2800"/>
      <c r="O11" s="1100"/>
      <c r="P11" s="2800" t="s">
        <v>124</v>
      </c>
      <c r="Q11" s="2800"/>
      <c r="R11" s="2800"/>
      <c r="S11" s="1243"/>
      <c r="T11" s="1100"/>
      <c r="U11" s="1100"/>
      <c r="V11" s="2801" t="s">
        <v>1010</v>
      </c>
      <c r="W11" s="2800"/>
      <c r="X11" s="2800"/>
      <c r="Y11" s="2800"/>
      <c r="Z11" s="2802"/>
      <c r="AA11" s="2802"/>
      <c r="AB11" s="2800"/>
      <c r="AC11" s="2800"/>
      <c r="AD11" s="2800"/>
      <c r="AE11" s="2803"/>
      <c r="AF11" s="2804"/>
      <c r="AG11" s="199"/>
      <c r="AH11" s="2801" t="s">
        <v>1011</v>
      </c>
      <c r="AI11" s="2800"/>
      <c r="AJ11" s="2800"/>
    </row>
    <row r="12" spans="1:38" ht="15.75">
      <c r="A12" s="1243"/>
      <c r="B12" s="1243"/>
      <c r="C12" s="1243"/>
      <c r="D12" s="2805" t="s">
        <v>7</v>
      </c>
      <c r="E12" s="2805"/>
      <c r="F12" s="2806" t="s">
        <v>1551</v>
      </c>
      <c r="G12" s="199"/>
      <c r="H12" s="2805" t="s">
        <v>7</v>
      </c>
      <c r="I12" s="2807"/>
      <c r="J12" s="2808" t="str">
        <f>F12</f>
        <v>10 MOS. ENDED</v>
      </c>
      <c r="K12" s="199"/>
      <c r="L12" s="2805" t="s">
        <v>7</v>
      </c>
      <c r="M12" s="2809"/>
      <c r="N12" s="2808" t="str">
        <f>F12</f>
        <v>10 MOS. ENDED</v>
      </c>
      <c r="O12" s="199"/>
      <c r="P12" s="2805" t="s">
        <v>7</v>
      </c>
      <c r="Q12" s="2807"/>
      <c r="R12" s="2808" t="str">
        <f>F12</f>
        <v>10 MOS. ENDED</v>
      </c>
      <c r="S12" s="1244"/>
      <c r="T12" s="199"/>
      <c r="U12" s="199"/>
      <c r="V12" s="2805" t="s">
        <v>7</v>
      </c>
      <c r="W12" s="2805"/>
      <c r="X12" s="2805" t="str">
        <f>F12</f>
        <v>10 MOS. ENDED</v>
      </c>
      <c r="Y12" s="2805"/>
      <c r="Z12" s="2810"/>
      <c r="AA12" s="2810"/>
      <c r="AB12" s="2805" t="s">
        <v>7</v>
      </c>
      <c r="AC12" s="2805"/>
      <c r="AD12" s="2808" t="str">
        <f>F12</f>
        <v>10 MOS. ENDED</v>
      </c>
      <c r="AE12" s="2811"/>
      <c r="AF12" s="2810"/>
      <c r="AG12" s="2812"/>
      <c r="AH12" s="2813" t="s">
        <v>8</v>
      </c>
      <c r="AI12" s="2814"/>
      <c r="AJ12" s="2813" t="s">
        <v>9</v>
      </c>
      <c r="AK12" s="2546"/>
      <c r="AL12" s="2544"/>
    </row>
    <row r="13" spans="1:38" ht="15.75">
      <c r="A13" s="1243"/>
      <c r="B13" s="1243"/>
      <c r="C13" s="1243"/>
      <c r="D13" s="2815" t="s">
        <v>1550</v>
      </c>
      <c r="E13" s="2816"/>
      <c r="F13" s="2815" t="s">
        <v>1552</v>
      </c>
      <c r="G13" s="1244"/>
      <c r="H13" s="2817" t="str">
        <f>D13</f>
        <v>JAN. 2017</v>
      </c>
      <c r="I13" s="2816"/>
      <c r="J13" s="2817" t="str">
        <f>F13</f>
        <v>JAN. 31, 2017</v>
      </c>
      <c r="K13" s="1244"/>
      <c r="L13" s="2817" t="str">
        <f>D13</f>
        <v>JAN. 2017</v>
      </c>
      <c r="M13" s="2816"/>
      <c r="N13" s="2817" t="str">
        <f>F13</f>
        <v>JAN. 31, 2017</v>
      </c>
      <c r="O13" s="1244"/>
      <c r="P13" s="2817" t="str">
        <f>D13</f>
        <v>JAN. 2017</v>
      </c>
      <c r="Q13" s="2816"/>
      <c r="R13" s="2817" t="str">
        <f>F13</f>
        <v>JAN. 31, 2017</v>
      </c>
      <c r="S13" s="1244"/>
      <c r="T13" s="199"/>
      <c r="U13" s="199"/>
      <c r="V13" s="2818" t="str">
        <f>D13</f>
        <v>JAN. 2017</v>
      </c>
      <c r="W13" s="2819"/>
      <c r="X13" s="2818" t="str">
        <f>F13</f>
        <v>JAN. 31, 2017</v>
      </c>
      <c r="Y13" s="2819"/>
      <c r="Z13" s="2820"/>
      <c r="AA13" s="2820"/>
      <c r="AB13" s="2821" t="s">
        <v>1553</v>
      </c>
      <c r="AC13" s="2822"/>
      <c r="AD13" s="2821" t="s">
        <v>1554</v>
      </c>
      <c r="AE13" s="2822"/>
      <c r="AF13" s="2820"/>
      <c r="AG13" s="2819"/>
      <c r="AH13" s="2815" t="s">
        <v>12</v>
      </c>
      <c r="AI13" s="2816"/>
      <c r="AJ13" s="2815" t="s">
        <v>13</v>
      </c>
      <c r="AK13" s="2546"/>
      <c r="AL13" s="2547"/>
    </row>
    <row r="14" spans="1:38" ht="15">
      <c r="A14" s="1243"/>
      <c r="B14" s="1243"/>
      <c r="C14" s="1243"/>
      <c r="D14" s="1100"/>
      <c r="E14" s="1100"/>
      <c r="F14" s="1100"/>
      <c r="G14" s="1243"/>
      <c r="H14" s="1100"/>
      <c r="I14" s="1100"/>
      <c r="J14" s="1100"/>
      <c r="K14" s="1243"/>
      <c r="L14" s="1100"/>
      <c r="M14" s="1100"/>
      <c r="N14" s="1100"/>
      <c r="O14" s="1243"/>
      <c r="P14" s="1100"/>
      <c r="Q14" s="1100"/>
      <c r="R14" s="1100"/>
      <c r="S14" s="1243"/>
      <c r="T14" s="2823"/>
      <c r="U14" s="2823"/>
      <c r="V14" s="2824"/>
      <c r="W14" s="1100"/>
      <c r="X14" s="2824"/>
      <c r="Y14" s="1100"/>
      <c r="Z14" s="2825"/>
      <c r="AA14" s="1100"/>
      <c r="AB14" s="2824"/>
      <c r="AC14" s="1100"/>
      <c r="AD14" s="2824"/>
      <c r="AE14" s="1100"/>
      <c r="AF14" s="2826"/>
      <c r="AG14" s="1100"/>
      <c r="AH14" s="1161"/>
      <c r="AI14" s="1161"/>
      <c r="AJ14" s="2827"/>
      <c r="AK14" s="2544"/>
      <c r="AL14" s="2544"/>
    </row>
    <row r="15" spans="1:38" ht="18" customHeight="1">
      <c r="A15" s="2828" t="s">
        <v>1312</v>
      </c>
      <c r="B15" s="2829"/>
      <c r="C15" s="2829"/>
      <c r="D15" s="1243"/>
      <c r="E15" s="1243"/>
      <c r="F15" s="1243"/>
      <c r="G15" s="1243"/>
      <c r="H15" s="1243"/>
      <c r="I15" s="1243"/>
      <c r="J15" s="1243"/>
      <c r="K15" s="1243"/>
      <c r="L15" s="1243"/>
      <c r="M15" s="1243"/>
      <c r="N15" s="1243"/>
      <c r="O15" s="1243"/>
      <c r="P15" s="1243"/>
      <c r="Q15" s="1243"/>
      <c r="R15" s="1243"/>
      <c r="S15" s="1243"/>
      <c r="T15" s="2823"/>
      <c r="U15" s="2823"/>
      <c r="V15" s="1243"/>
      <c r="W15" s="1243"/>
      <c r="X15" s="1243"/>
      <c r="Y15" s="1243"/>
      <c r="Z15" s="2825"/>
      <c r="AA15" s="1100"/>
      <c r="AB15" s="1243"/>
      <c r="AC15" s="1243"/>
      <c r="AD15" s="1243"/>
      <c r="AE15" s="1243"/>
      <c r="AF15" s="2826"/>
      <c r="AG15" s="1243"/>
      <c r="AH15" s="1159"/>
      <c r="AI15" s="1159"/>
      <c r="AJ15" s="2827"/>
      <c r="AK15" s="2544"/>
      <c r="AL15" s="2544"/>
    </row>
    <row r="16" spans="1:38" ht="18" customHeight="1">
      <c r="A16" s="2829" t="s">
        <v>1012</v>
      </c>
      <c r="B16" s="2829"/>
      <c r="C16" s="1160"/>
      <c r="D16" s="2548">
        <v>4135.6999999999971</v>
      </c>
      <c r="E16" s="2830"/>
      <c r="F16" s="2548">
        <v>29092.1</v>
      </c>
      <c r="G16" s="2830"/>
      <c r="H16" s="1245">
        <v>0</v>
      </c>
      <c r="I16" s="2830"/>
      <c r="J16" s="1245">
        <v>0</v>
      </c>
      <c r="K16" s="2830"/>
      <c r="L16" s="1245">
        <v>0</v>
      </c>
      <c r="M16" s="2830"/>
      <c r="N16" s="1245">
        <v>0</v>
      </c>
      <c r="O16" s="2830"/>
      <c r="P16" s="1245">
        <v>0</v>
      </c>
      <c r="Q16" s="2830"/>
      <c r="R16" s="1245">
        <v>0</v>
      </c>
      <c r="S16" s="1246"/>
      <c r="T16" s="2831"/>
      <c r="U16" s="2832"/>
      <c r="V16" s="2833">
        <f>SUM(D16)+SUM(H16)+SUM(L16)+SUM(P16)</f>
        <v>4135.6999999999971</v>
      </c>
      <c r="W16" s="2830"/>
      <c r="X16" s="2833">
        <f>SUM(F16)+SUM(J16)+SUM(N16)+SUM(R16)</f>
        <v>29092.1</v>
      </c>
      <c r="Y16" s="2834"/>
      <c r="Z16" s="2835"/>
      <c r="AA16" s="2830"/>
      <c r="AB16" s="2836">
        <v>3663.3000000000029</v>
      </c>
      <c r="AC16" s="2830"/>
      <c r="AD16" s="2836">
        <v>28264.400000000001</v>
      </c>
      <c r="AE16" s="2836"/>
      <c r="AF16" s="2837"/>
      <c r="AG16" s="2834"/>
      <c r="AH16" s="2838">
        <f>ROUND(SUM(X16)-SUM(AD16),1)</f>
        <v>827.7</v>
      </c>
      <c r="AI16" s="1108"/>
      <c r="AJ16" s="2839">
        <f>ROUND(AH16/AD16,3)</f>
        <v>2.9000000000000001E-2</v>
      </c>
      <c r="AK16" s="2549"/>
      <c r="AL16" s="2544"/>
    </row>
    <row r="17" spans="1:38" ht="18" customHeight="1">
      <c r="A17" s="2840" t="s">
        <v>1087</v>
      </c>
      <c r="B17" s="2829"/>
      <c r="C17" s="2550"/>
      <c r="D17" s="1113">
        <v>3481.6000000000004</v>
      </c>
      <c r="E17" s="1112"/>
      <c r="F17" s="1113">
        <v>14790.1</v>
      </c>
      <c r="G17" s="1112"/>
      <c r="H17" s="1117">
        <v>0</v>
      </c>
      <c r="I17" s="2841"/>
      <c r="J17" s="2551">
        <v>0</v>
      </c>
      <c r="K17" s="1112"/>
      <c r="L17" s="1117">
        <v>0</v>
      </c>
      <c r="M17" s="2841"/>
      <c r="N17" s="1118">
        <v>0</v>
      </c>
      <c r="O17" s="1112"/>
      <c r="P17" s="1117">
        <v>0</v>
      </c>
      <c r="Q17" s="2841"/>
      <c r="R17" s="1118">
        <v>0</v>
      </c>
      <c r="S17" s="1112"/>
      <c r="T17" s="2842"/>
      <c r="U17" s="2842"/>
      <c r="V17" s="2843">
        <f>SUM(D17)+SUM(H17)+SUM(L17)+SUM(P17)</f>
        <v>3481.6000000000004</v>
      </c>
      <c r="W17" s="1114"/>
      <c r="X17" s="2843">
        <f>SUM(F17)+SUM(J17)+SUM(N17)+SUM(R17)</f>
        <v>14790.1</v>
      </c>
      <c r="Y17" s="2844"/>
      <c r="Z17" s="2845"/>
      <c r="AA17" s="1094"/>
      <c r="AB17" s="2841">
        <v>3806.7999999999993</v>
      </c>
      <c r="AC17" s="1093"/>
      <c r="AD17" s="2841">
        <v>15925.9</v>
      </c>
      <c r="AE17" s="2841"/>
      <c r="AF17" s="2846"/>
      <c r="AG17" s="2844"/>
      <c r="AH17" s="2847">
        <f>ROUND(SUM(X17)-SUM(AD17),1)</f>
        <v>-1135.8</v>
      </c>
      <c r="AI17" s="2848"/>
      <c r="AJ17" s="2849">
        <f>ROUND(AH17/AD17,3)</f>
        <v>-7.0999999999999994E-2</v>
      </c>
      <c r="AK17" s="2549"/>
      <c r="AL17" s="2544"/>
    </row>
    <row r="18" spans="1:38" ht="18" customHeight="1">
      <c r="A18" s="2829" t="s">
        <v>1013</v>
      </c>
      <c r="B18" s="2829" t="s">
        <v>15</v>
      </c>
      <c r="C18" s="2829"/>
      <c r="D18" s="1113">
        <v>19.5</v>
      </c>
      <c r="E18" s="1112"/>
      <c r="F18" s="1113">
        <v>2421.5</v>
      </c>
      <c r="G18" s="1112"/>
      <c r="H18" s="1117">
        <v>0</v>
      </c>
      <c r="I18" s="2841"/>
      <c r="J18" s="2551">
        <v>0</v>
      </c>
      <c r="K18" s="1112"/>
      <c r="L18" s="1117">
        <v>0</v>
      </c>
      <c r="M18" s="2841"/>
      <c r="N18" s="1118">
        <v>0</v>
      </c>
      <c r="O18" s="1112"/>
      <c r="P18" s="1117">
        <v>0</v>
      </c>
      <c r="Q18" s="2841"/>
      <c r="R18" s="1118">
        <v>0</v>
      </c>
      <c r="S18" s="1112"/>
      <c r="T18" s="2842"/>
      <c r="U18" s="2842"/>
      <c r="V18" s="2843">
        <f>SUM(D18)+SUM(H18)+SUM(L18)+SUM(P18)</f>
        <v>19.5</v>
      </c>
      <c r="W18" s="1114"/>
      <c r="X18" s="2843">
        <f>SUM(F18)+SUM(J18)+SUM(N18)+SUM(R18)</f>
        <v>2421.5</v>
      </c>
      <c r="Y18" s="2844"/>
      <c r="Z18" s="2845"/>
      <c r="AA18" s="1094"/>
      <c r="AB18" s="2841">
        <v>17.799999999999727</v>
      </c>
      <c r="AC18" s="1093"/>
      <c r="AD18" s="2841">
        <v>2443.6</v>
      </c>
      <c r="AE18" s="2841"/>
      <c r="AF18" s="2846"/>
      <c r="AG18" s="2844"/>
      <c r="AH18" s="2847">
        <f>ROUND(SUM(X18)-SUM(AD18),1)</f>
        <v>-22.1</v>
      </c>
      <c r="AI18" s="2848"/>
      <c r="AJ18" s="2849">
        <f>ROUND(AH18/AD18,3)</f>
        <v>-8.9999999999999993E-3</v>
      </c>
      <c r="AK18" s="2549"/>
      <c r="AL18" s="2544"/>
    </row>
    <row r="19" spans="1:38" ht="18" customHeight="1">
      <c r="A19" s="2840" t="s">
        <v>1014</v>
      </c>
      <c r="B19" s="2829"/>
      <c r="C19" s="2829"/>
      <c r="D19" s="1113">
        <v>-15.199999999999932</v>
      </c>
      <c r="E19" s="1112"/>
      <c r="F19" s="1113">
        <v>-770.3</v>
      </c>
      <c r="G19" s="1112"/>
      <c r="H19" s="1117">
        <v>0</v>
      </c>
      <c r="I19" s="2841"/>
      <c r="J19" s="2551">
        <v>0</v>
      </c>
      <c r="K19" s="1112"/>
      <c r="L19" s="1117">
        <v>0</v>
      </c>
      <c r="M19" s="2841"/>
      <c r="N19" s="1118">
        <v>0</v>
      </c>
      <c r="O19" s="1112"/>
      <c r="P19" s="1117">
        <v>0</v>
      </c>
      <c r="Q19" s="2841"/>
      <c r="R19" s="1118">
        <v>0</v>
      </c>
      <c r="S19" s="1112"/>
      <c r="T19" s="2842"/>
      <c r="U19" s="2842"/>
      <c r="V19" s="2843">
        <f>SUM(D19)+SUM(H19)+SUM(L19)+SUM(P19)</f>
        <v>-15.199999999999932</v>
      </c>
      <c r="W19" s="1114"/>
      <c r="X19" s="2843">
        <f>SUM(F19)+SUM(J19)+SUM(N19)+SUM(R19)</f>
        <v>-770.3</v>
      </c>
      <c r="Y19" s="2844"/>
      <c r="Z19" s="2845"/>
      <c r="AA19" s="1094"/>
      <c r="AB19" s="2850">
        <v>-21.199999999999932</v>
      </c>
      <c r="AC19" s="1093"/>
      <c r="AD19" s="2841">
        <v>-624.79999999999995</v>
      </c>
      <c r="AE19" s="2841"/>
      <c r="AF19" s="2846"/>
      <c r="AG19" s="2844"/>
      <c r="AH19" s="2847">
        <f>-ROUND(SUM(X19)-SUM(AD19),1)</f>
        <v>145.5</v>
      </c>
      <c r="AI19" s="2848"/>
      <c r="AJ19" s="2849">
        <f>-ROUND(AH19/AD19,3)</f>
        <v>0.23300000000000001</v>
      </c>
      <c r="AK19" s="2549"/>
      <c r="AL19" s="2544"/>
    </row>
    <row r="20" spans="1:38" ht="18" customHeight="1">
      <c r="A20" s="2840" t="s">
        <v>1015</v>
      </c>
      <c r="B20" s="2829" t="s">
        <v>15</v>
      </c>
      <c r="C20" s="2829"/>
      <c r="D20" s="1113">
        <v>118.80000000000007</v>
      </c>
      <c r="E20" s="1112"/>
      <c r="F20" s="2851">
        <v>1079.2</v>
      </c>
      <c r="G20" s="1112"/>
      <c r="H20" s="1117">
        <v>0</v>
      </c>
      <c r="I20" s="2841"/>
      <c r="J20" s="2551">
        <v>0</v>
      </c>
      <c r="K20" s="1112"/>
      <c r="L20" s="1117">
        <v>0</v>
      </c>
      <c r="M20" s="2841"/>
      <c r="N20" s="1118">
        <v>0</v>
      </c>
      <c r="O20" s="1112"/>
      <c r="P20" s="1117">
        <v>0</v>
      </c>
      <c r="Q20" s="2841"/>
      <c r="R20" s="1118">
        <v>0</v>
      </c>
      <c r="S20" s="1112"/>
      <c r="T20" s="2842"/>
      <c r="U20" s="2842"/>
      <c r="V20" s="2843">
        <f>SUM(D20)+SUM(H20)+SUM(L20)+SUM(P20)</f>
        <v>118.80000000000007</v>
      </c>
      <c r="W20" s="1114"/>
      <c r="X20" s="2843">
        <f>SUM(F20)+SUM(J20)+SUM(N20)+SUM(R20)</f>
        <v>1079.2</v>
      </c>
      <c r="Y20" s="2844"/>
      <c r="Z20" s="2845"/>
      <c r="AA20" s="1094"/>
      <c r="AB20" s="2841">
        <v>107.70000000000005</v>
      </c>
      <c r="AC20" s="1093"/>
      <c r="AD20" s="2841">
        <v>968.7</v>
      </c>
      <c r="AE20" s="2841"/>
      <c r="AF20" s="2846"/>
      <c r="AG20" s="2844"/>
      <c r="AH20" s="2852">
        <f>ROUND(SUM(X20)-SUM(AD20),1)</f>
        <v>110.5</v>
      </c>
      <c r="AI20" s="2848"/>
      <c r="AJ20" s="2853">
        <f>ROUND(AH20/AD20,3)</f>
        <v>0.114</v>
      </c>
      <c r="AK20" s="2549"/>
      <c r="AL20" s="2544"/>
    </row>
    <row r="21" spans="1:38" s="2556" customFormat="1" ht="18" customHeight="1">
      <c r="A21" s="2828" t="s">
        <v>1016</v>
      </c>
      <c r="B21" s="2828"/>
      <c r="C21" s="2828"/>
      <c r="D21" s="2854">
        <f>ROUND(SUM(D16:D20),1)</f>
        <v>7740.4</v>
      </c>
      <c r="E21" s="186"/>
      <c r="F21" s="2854">
        <f>ROUND(SUM(F16:F20),1)</f>
        <v>46612.6</v>
      </c>
      <c r="G21" s="184"/>
      <c r="H21" s="2854">
        <f>ROUND(SUM(H16:H20),1)</f>
        <v>0</v>
      </c>
      <c r="I21" s="2855"/>
      <c r="J21" s="2854">
        <f>ROUND(SUM(J16:J20),1)</f>
        <v>0</v>
      </c>
      <c r="K21" s="184"/>
      <c r="L21" s="2854">
        <f>ROUND(SUM(L16:L20),1)</f>
        <v>0</v>
      </c>
      <c r="M21" s="2855"/>
      <c r="N21" s="2854">
        <f>ROUND(SUM(N16:N20),1)</f>
        <v>0</v>
      </c>
      <c r="O21" s="184"/>
      <c r="P21" s="2854">
        <f>ROUND(SUM(P16:P20),1)</f>
        <v>0</v>
      </c>
      <c r="Q21" s="2855"/>
      <c r="R21" s="2854">
        <f>ROUND(SUM(R16:R20),1)</f>
        <v>0</v>
      </c>
      <c r="S21" s="184"/>
      <c r="T21" s="2856"/>
      <c r="U21" s="2856"/>
      <c r="V21" s="2857">
        <f>ROUND(SUM(V16:V20),1)</f>
        <v>7740.4</v>
      </c>
      <c r="W21" s="186"/>
      <c r="X21" s="2857">
        <f>ROUND(SUM(X16:X20),1)</f>
        <v>46612.6</v>
      </c>
      <c r="Y21" s="2858"/>
      <c r="Z21" s="2859"/>
      <c r="AA21" s="186"/>
      <c r="AB21" s="2857">
        <f>ROUND(SUM(AB16:AB20),1)</f>
        <v>7574.4</v>
      </c>
      <c r="AC21" s="184"/>
      <c r="AD21" s="2857">
        <f>ROUND(SUM(AD16:AD20),1)</f>
        <v>46977.8</v>
      </c>
      <c r="AE21" s="2860"/>
      <c r="AF21" s="2861"/>
      <c r="AG21" s="2858"/>
      <c r="AH21" s="2862">
        <f>ROUND(SUM(X21)-SUM(AD21),1)</f>
        <v>-365.2</v>
      </c>
      <c r="AI21" s="28"/>
      <c r="AJ21" s="2863">
        <f>ROUND(AH21/AD21,3)</f>
        <v>-8.0000000000000002E-3</v>
      </c>
      <c r="AK21" s="2554"/>
      <c r="AL21" s="2555"/>
    </row>
    <row r="22" spans="1:38" ht="18" customHeight="1">
      <c r="A22" s="2840" t="s">
        <v>1017</v>
      </c>
      <c r="B22" s="2829"/>
      <c r="C22" s="2829"/>
      <c r="D22" s="2557">
        <v>-2243.6000000000004</v>
      </c>
      <c r="E22" s="2841"/>
      <c r="F22" s="1113">
        <v>-2895.9</v>
      </c>
      <c r="G22" s="1093"/>
      <c r="H22" s="1113">
        <v>2243.6000000000004</v>
      </c>
      <c r="I22" s="2841"/>
      <c r="J22" s="2864">
        <v>2895.9</v>
      </c>
      <c r="K22" s="1093"/>
      <c r="L22" s="2865">
        <v>0</v>
      </c>
      <c r="M22" s="2841"/>
      <c r="N22" s="2866">
        <v>0</v>
      </c>
      <c r="O22" s="1093"/>
      <c r="P22" s="2865">
        <v>0</v>
      </c>
      <c r="Q22" s="2841"/>
      <c r="R22" s="2866">
        <v>0</v>
      </c>
      <c r="S22" s="1093"/>
      <c r="T22" s="2867"/>
      <c r="U22" s="2867"/>
      <c r="V22" s="2865">
        <v>0</v>
      </c>
      <c r="W22" s="1094"/>
      <c r="X22" s="2865">
        <v>0</v>
      </c>
      <c r="Y22" s="2844"/>
      <c r="Z22" s="2845"/>
      <c r="AA22" s="1094"/>
      <c r="AB22" s="2868">
        <v>0</v>
      </c>
      <c r="AC22" s="1094"/>
      <c r="AD22" s="2868">
        <v>0</v>
      </c>
      <c r="AE22" s="1116"/>
      <c r="AF22" s="2846"/>
      <c r="AG22" s="2844"/>
      <c r="AH22" s="2551">
        <f>ROUND(SUM(X22)-SUM(AD22),1)</f>
        <v>0</v>
      </c>
      <c r="AI22" s="2848"/>
      <c r="AJ22" s="1780">
        <f>ROUND(IF(AD22=0,0,AH22/(AD22)),3)</f>
        <v>0</v>
      </c>
      <c r="AK22" s="2559"/>
      <c r="AL22" s="2544"/>
    </row>
    <row r="23" spans="1:38" ht="18" customHeight="1">
      <c r="A23" s="2840" t="s">
        <v>1018</v>
      </c>
      <c r="B23" s="2829"/>
      <c r="C23" s="2829"/>
      <c r="D23" s="1113">
        <v>-1898.7000000000007</v>
      </c>
      <c r="E23" s="1112"/>
      <c r="F23" s="1113">
        <v>-10118.200000000001</v>
      </c>
      <c r="G23" s="1093"/>
      <c r="H23" s="1117">
        <v>0</v>
      </c>
      <c r="I23" s="2841"/>
      <c r="J23" s="2551">
        <v>0</v>
      </c>
      <c r="K23" s="1093"/>
      <c r="L23" s="2847">
        <v>1898.7000000000007</v>
      </c>
      <c r="M23" s="2841"/>
      <c r="N23" s="2847">
        <v>10118.200000000001</v>
      </c>
      <c r="O23" s="1093"/>
      <c r="P23" s="1117">
        <v>0</v>
      </c>
      <c r="Q23" s="2841"/>
      <c r="R23" s="1118">
        <v>0</v>
      </c>
      <c r="S23" s="1093"/>
      <c r="T23" s="2867"/>
      <c r="U23" s="2867"/>
      <c r="V23" s="1117">
        <v>0</v>
      </c>
      <c r="W23" s="1094"/>
      <c r="X23" s="1117">
        <v>0</v>
      </c>
      <c r="Y23" s="2844"/>
      <c r="Z23" s="2845"/>
      <c r="AA23" s="1094"/>
      <c r="AB23" s="2557">
        <v>0</v>
      </c>
      <c r="AC23" s="1094"/>
      <c r="AD23" s="2557">
        <v>0</v>
      </c>
      <c r="AE23" s="1116"/>
      <c r="AF23" s="2846"/>
      <c r="AG23" s="2844"/>
      <c r="AH23" s="2551">
        <f>ROUND(SUM(X23)-SUM(AD23),1)</f>
        <v>0</v>
      </c>
      <c r="AI23" s="2848"/>
      <c r="AJ23" s="1780">
        <f>ROUND(IF(AD23=0,0,AH23/(AD23)),3)</f>
        <v>0</v>
      </c>
      <c r="AK23" s="2559"/>
      <c r="AL23" s="2544"/>
    </row>
    <row r="24" spans="1:38" ht="18" customHeight="1">
      <c r="A24" s="2829" t="s">
        <v>1019</v>
      </c>
      <c r="B24" s="2829"/>
      <c r="C24" s="2829"/>
      <c r="D24" s="1113">
        <v>-145.5</v>
      </c>
      <c r="E24" s="1114"/>
      <c r="F24" s="1113">
        <v>-6139.7</v>
      </c>
      <c r="G24" s="1112"/>
      <c r="H24" s="1117">
        <v>0</v>
      </c>
      <c r="I24" s="2841"/>
      <c r="J24" s="2551">
        <v>0</v>
      </c>
      <c r="K24" s="1112"/>
      <c r="L24" s="1117">
        <v>0</v>
      </c>
      <c r="M24" s="2841"/>
      <c r="N24" s="1118">
        <v>0</v>
      </c>
      <c r="O24" s="1112"/>
      <c r="P24" s="1117">
        <v>0</v>
      </c>
      <c r="Q24" s="2841"/>
      <c r="R24" s="1118">
        <v>0</v>
      </c>
      <c r="S24" s="1112"/>
      <c r="T24" s="2842"/>
      <c r="U24" s="2842"/>
      <c r="V24" s="2843">
        <f>SUM(D24)+SUM(H24)+SUM(L24)+SUM(P24)</f>
        <v>-145.5</v>
      </c>
      <c r="W24" s="1114"/>
      <c r="X24" s="2843">
        <f>SUM(F24)+SUM(J24)+SUM(N24)+SUM(R24)</f>
        <v>-6139.7</v>
      </c>
      <c r="Y24" s="2844"/>
      <c r="Z24" s="2845"/>
      <c r="AA24" s="1094"/>
      <c r="AB24" s="2850">
        <v>-353.20000000000073</v>
      </c>
      <c r="AC24" s="1093"/>
      <c r="AD24" s="2850">
        <v>-5736.1</v>
      </c>
      <c r="AE24" s="2841"/>
      <c r="AF24" s="2846"/>
      <c r="AG24" s="2844"/>
      <c r="AH24" s="2847">
        <f>-ROUND(SUM(X24)-SUM(AD24),1)</f>
        <v>403.6</v>
      </c>
      <c r="AI24" s="2848"/>
      <c r="AJ24" s="2869">
        <f>-ROUND(AH24/AD24,3)</f>
        <v>7.0000000000000007E-2</v>
      </c>
      <c r="AK24" s="2549"/>
      <c r="AL24" s="2544"/>
    </row>
    <row r="25" spans="1:38" ht="18" customHeight="1">
      <c r="A25" s="2870" t="s">
        <v>1020</v>
      </c>
      <c r="B25" s="2829"/>
      <c r="C25" s="2829"/>
      <c r="D25" s="2871">
        <f>ROUND(SUM(D21:D24),1)</f>
        <v>3452.6</v>
      </c>
      <c r="E25" s="186"/>
      <c r="F25" s="2871">
        <f>ROUND(SUM(F21:F24),1)</f>
        <v>27458.799999999999</v>
      </c>
      <c r="G25" s="184"/>
      <c r="H25" s="2871">
        <f>ROUND(SUM(H21:H24),1)</f>
        <v>2243.6</v>
      </c>
      <c r="I25" s="2855"/>
      <c r="J25" s="2871">
        <f>ROUND(SUM(J21:J24),1)</f>
        <v>2895.9</v>
      </c>
      <c r="K25" s="184"/>
      <c r="L25" s="2871">
        <f>ROUND(SUM(L21:L24),1)</f>
        <v>1898.7</v>
      </c>
      <c r="M25" s="2855"/>
      <c r="N25" s="2871">
        <f>ROUND(SUM(N21:N24),1)</f>
        <v>10118.200000000001</v>
      </c>
      <c r="O25" s="184"/>
      <c r="P25" s="2871">
        <f>ROUND(SUM(P21:P24),1)</f>
        <v>0</v>
      </c>
      <c r="Q25" s="2855"/>
      <c r="R25" s="2871">
        <f>ROUND(SUM(R21:R24),1)</f>
        <v>0</v>
      </c>
      <c r="S25" s="184"/>
      <c r="T25" s="2856"/>
      <c r="U25" s="2856"/>
      <c r="V25" s="2857">
        <f>ROUND(SUM(V21:V24),1)</f>
        <v>7594.9</v>
      </c>
      <c r="W25" s="186"/>
      <c r="X25" s="2857">
        <f>ROUND(SUM(X21:X24),1)</f>
        <v>40472.9</v>
      </c>
      <c r="Y25" s="2970"/>
      <c r="Z25" s="2859"/>
      <c r="AA25" s="186"/>
      <c r="AB25" s="2857">
        <f>ROUND(SUM(AB21:AB24),1)</f>
        <v>7221.2</v>
      </c>
      <c r="AC25" s="184"/>
      <c r="AD25" s="2857">
        <f>ROUND(SUM(AD21:AD24),1)</f>
        <v>41241.699999999997</v>
      </c>
      <c r="AE25" s="186" t="s">
        <v>15</v>
      </c>
      <c r="AF25" s="2861"/>
      <c r="AG25" s="2858"/>
      <c r="AH25" s="2872">
        <f>ROUND(SUM(X25)-SUM(AD25),1)</f>
        <v>-768.8</v>
      </c>
      <c r="AI25" s="28"/>
      <c r="AJ25" s="2873">
        <f>ROUND(AH25/AD25,3)</f>
        <v>-1.9E-2</v>
      </c>
      <c r="AK25" s="2554"/>
      <c r="AL25" s="2555"/>
    </row>
    <row r="26" spans="1:38" ht="18" customHeight="1">
      <c r="A26" s="2829"/>
      <c r="B26" s="2829"/>
      <c r="C26" s="2829"/>
      <c r="D26" s="2874"/>
      <c r="E26" s="1094"/>
      <c r="F26" s="2875"/>
      <c r="G26" s="1093"/>
      <c r="H26" s="2874"/>
      <c r="I26" s="1114"/>
      <c r="J26" s="2876"/>
      <c r="K26" s="1093"/>
      <c r="L26" s="2874"/>
      <c r="M26" s="1114"/>
      <c r="N26" s="2876"/>
      <c r="O26" s="1093"/>
      <c r="P26" s="2874"/>
      <c r="Q26" s="1114"/>
      <c r="R26" s="2876"/>
      <c r="S26" s="1093"/>
      <c r="T26" s="2867"/>
      <c r="U26" s="2867"/>
      <c r="V26" s="2875"/>
      <c r="W26" s="1094"/>
      <c r="X26" s="2875"/>
      <c r="Y26" s="1094"/>
      <c r="Z26" s="2845"/>
      <c r="AA26" s="1094"/>
      <c r="AB26" s="2874"/>
      <c r="AC26" s="1093"/>
      <c r="AD26" s="2876"/>
      <c r="AE26" s="1114"/>
      <c r="AF26" s="2846"/>
      <c r="AG26" s="1094"/>
      <c r="AH26" s="1114"/>
      <c r="AI26" s="1108"/>
      <c r="AJ26" s="2971"/>
      <c r="AK26" s="2559"/>
      <c r="AL26" s="2544"/>
    </row>
    <row r="27" spans="1:38" ht="18" customHeight="1">
      <c r="A27" s="2870" t="s">
        <v>1313</v>
      </c>
      <c r="B27" s="2829"/>
      <c r="C27" s="2550"/>
      <c r="D27" s="1113"/>
      <c r="E27" s="1093"/>
      <c r="F27" s="1093"/>
      <c r="G27" s="1093"/>
      <c r="H27" s="1113"/>
      <c r="I27" s="1112"/>
      <c r="J27" s="1112"/>
      <c r="K27" s="1093"/>
      <c r="L27" s="1113"/>
      <c r="M27" s="1112"/>
      <c r="N27" s="1112"/>
      <c r="O27" s="1093"/>
      <c r="P27" s="1113"/>
      <c r="Q27" s="1112"/>
      <c r="R27" s="1112"/>
      <c r="S27" s="1093"/>
      <c r="T27" s="2867"/>
      <c r="U27" s="2867"/>
      <c r="V27" s="1094"/>
      <c r="W27" s="1094"/>
      <c r="X27" s="1093"/>
      <c r="Y27" s="1093"/>
      <c r="Z27" s="2845"/>
      <c r="AA27" s="1094"/>
      <c r="AB27" s="1113"/>
      <c r="AC27" s="1093"/>
      <c r="AD27" s="1112"/>
      <c r="AE27" s="1112"/>
      <c r="AF27" s="2846"/>
      <c r="AG27" s="1093"/>
      <c r="AH27" s="1112"/>
      <c r="AI27" s="1109"/>
      <c r="AJ27" s="2971"/>
      <c r="AK27" s="2559"/>
      <c r="AL27" s="2544"/>
    </row>
    <row r="28" spans="1:38" ht="18" customHeight="1">
      <c r="A28" s="2829" t="s">
        <v>1021</v>
      </c>
      <c r="B28" s="2829"/>
      <c r="C28" s="2829"/>
      <c r="D28" s="1113">
        <v>535.40000000000055</v>
      </c>
      <c r="E28" s="1112"/>
      <c r="F28" s="1113">
        <v>5443.3</v>
      </c>
      <c r="G28" s="1093"/>
      <c r="H28" s="1113">
        <v>74.199999999999932</v>
      </c>
      <c r="I28" s="1112"/>
      <c r="J28" s="1113">
        <v>782.8</v>
      </c>
      <c r="K28" s="1093"/>
      <c r="L28" s="2847">
        <v>535</v>
      </c>
      <c r="M28" s="2841"/>
      <c r="N28" s="2847">
        <v>5440.3</v>
      </c>
      <c r="O28" s="1112"/>
      <c r="P28" s="1117">
        <v>0</v>
      </c>
      <c r="Q28" s="2841"/>
      <c r="R28" s="1118">
        <v>0</v>
      </c>
      <c r="S28" s="1093"/>
      <c r="T28" s="2867"/>
      <c r="U28" s="2867"/>
      <c r="V28" s="2843">
        <f t="shared" ref="V28:V35" si="0">SUM(D28)+SUM(H28)+SUM(L28)+SUM(P28)</f>
        <v>1144.6000000000004</v>
      </c>
      <c r="W28" s="1094"/>
      <c r="X28" s="2843">
        <f t="shared" ref="X28:X35" si="1">SUM(F28)+SUM(J28)+SUM(N28)+SUM(R28)</f>
        <v>11666.400000000001</v>
      </c>
      <c r="Y28" s="1093"/>
      <c r="Z28" s="2845"/>
      <c r="AA28" s="1094"/>
      <c r="AB28" s="2841">
        <v>1088.9000000000005</v>
      </c>
      <c r="AC28" s="1093"/>
      <c r="AD28" s="2841">
        <v>11208.300000000001</v>
      </c>
      <c r="AE28" s="2841"/>
      <c r="AF28" s="2877"/>
      <c r="AG28" s="1093"/>
      <c r="AH28" s="1113">
        <f t="shared" ref="AH28:AH36" si="2">ROUND(SUM(X28)-SUM(AD28),1)</f>
        <v>458.1</v>
      </c>
      <c r="AI28" s="2848"/>
      <c r="AJ28" s="2849">
        <f t="shared" ref="AJ28:AJ36" si="3">ROUND(AH28/AD28,3)</f>
        <v>4.1000000000000002E-2</v>
      </c>
      <c r="AK28" s="2549"/>
      <c r="AL28" s="2544"/>
    </row>
    <row r="29" spans="1:38" ht="18" customHeight="1">
      <c r="A29" s="2840" t="s">
        <v>1022</v>
      </c>
      <c r="B29" s="2829"/>
      <c r="C29" s="1248"/>
      <c r="D29" s="1117">
        <v>0</v>
      </c>
      <c r="E29" s="2843"/>
      <c r="F29" s="1118">
        <v>0</v>
      </c>
      <c r="G29" s="1093"/>
      <c r="H29" s="1113">
        <v>3.3999999999999986</v>
      </c>
      <c r="I29" s="2841"/>
      <c r="J29" s="1113">
        <v>43.3</v>
      </c>
      <c r="K29" s="1093"/>
      <c r="L29" s="1117">
        <v>0</v>
      </c>
      <c r="M29" s="2841"/>
      <c r="N29" s="1118">
        <v>0</v>
      </c>
      <c r="O29" s="1112"/>
      <c r="P29" s="2557">
        <v>5.8999999999999915</v>
      </c>
      <c r="Q29" s="1112"/>
      <c r="R29" s="2557">
        <v>70.3</v>
      </c>
      <c r="S29" s="1093"/>
      <c r="T29" s="2867"/>
      <c r="U29" s="2867"/>
      <c r="V29" s="2843">
        <f t="shared" si="0"/>
        <v>9.2999999999999901</v>
      </c>
      <c r="W29" s="1094"/>
      <c r="X29" s="2843">
        <f t="shared" si="1"/>
        <v>113.6</v>
      </c>
      <c r="Y29" s="2844"/>
      <c r="Z29" s="2845"/>
      <c r="AA29" s="1094"/>
      <c r="AB29" s="2878">
        <v>0.29999999999999716</v>
      </c>
      <c r="AC29" s="1093"/>
      <c r="AD29" s="2841">
        <v>104.8</v>
      </c>
      <c r="AE29" s="2841"/>
      <c r="AF29" s="2846"/>
      <c r="AG29" s="2844"/>
      <c r="AH29" s="2847">
        <f t="shared" si="2"/>
        <v>8.8000000000000007</v>
      </c>
      <c r="AI29" s="2879"/>
      <c r="AJ29" s="2849">
        <f t="shared" si="3"/>
        <v>8.4000000000000005E-2</v>
      </c>
      <c r="AK29" s="2549"/>
      <c r="AL29" s="2544"/>
    </row>
    <row r="30" spans="1:38" ht="18" customHeight="1">
      <c r="A30" s="2829" t="s">
        <v>1023</v>
      </c>
      <c r="B30" s="2829"/>
      <c r="C30" s="2829"/>
      <c r="D30" s="1113">
        <v>27</v>
      </c>
      <c r="E30" s="1112"/>
      <c r="F30" s="1113">
        <v>311.39999999999998</v>
      </c>
      <c r="G30" s="1093"/>
      <c r="H30" s="1113">
        <v>72.799999999999955</v>
      </c>
      <c r="I30" s="2841"/>
      <c r="J30" s="2864">
        <v>759.3</v>
      </c>
      <c r="K30" s="1093"/>
      <c r="L30" s="1117">
        <v>0</v>
      </c>
      <c r="M30" s="2841"/>
      <c r="N30" s="1118">
        <v>0</v>
      </c>
      <c r="O30" s="1112"/>
      <c r="P30" s="1117">
        <v>0</v>
      </c>
      <c r="Q30" s="2841"/>
      <c r="R30" s="1118">
        <v>0</v>
      </c>
      <c r="S30" s="1093"/>
      <c r="T30" s="2867"/>
      <c r="U30" s="2867"/>
      <c r="V30" s="2843">
        <f t="shared" si="0"/>
        <v>99.799999999999955</v>
      </c>
      <c r="W30" s="1094"/>
      <c r="X30" s="2843">
        <f t="shared" si="1"/>
        <v>1070.6999999999998</v>
      </c>
      <c r="Y30" s="2844"/>
      <c r="Z30" s="2845"/>
      <c r="AA30" s="1094"/>
      <c r="AB30" s="2850">
        <v>82.599999999999966</v>
      </c>
      <c r="AC30" s="1093"/>
      <c r="AD30" s="2850">
        <v>1070.6999999999998</v>
      </c>
      <c r="AE30" s="2850"/>
      <c r="AF30" s="2846"/>
      <c r="AG30" s="2844"/>
      <c r="AH30" s="2847">
        <f t="shared" si="2"/>
        <v>0</v>
      </c>
      <c r="AI30" s="2848"/>
      <c r="AJ30" s="2849">
        <f t="shared" si="3"/>
        <v>0</v>
      </c>
      <c r="AK30" s="2549"/>
      <c r="AL30" s="2544"/>
    </row>
    <row r="31" spans="1:38" ht="18" customHeight="1">
      <c r="A31" s="2829" t="s">
        <v>1447</v>
      </c>
      <c r="B31" s="2829"/>
      <c r="C31" s="2829"/>
      <c r="D31" s="1113">
        <v>0</v>
      </c>
      <c r="E31" s="1112"/>
      <c r="F31" s="1113">
        <v>0</v>
      </c>
      <c r="G31" s="1093"/>
      <c r="H31" s="1113">
        <v>0</v>
      </c>
      <c r="I31" s="2841"/>
      <c r="J31" s="2864">
        <v>0.4</v>
      </c>
      <c r="K31" s="1093"/>
      <c r="L31" s="1117">
        <v>0</v>
      </c>
      <c r="M31" s="2841"/>
      <c r="N31" s="1118">
        <v>0</v>
      </c>
      <c r="O31" s="1112"/>
      <c r="P31" s="1117">
        <v>0</v>
      </c>
      <c r="Q31" s="2841"/>
      <c r="R31" s="1118">
        <v>0</v>
      </c>
      <c r="S31" s="1093"/>
      <c r="T31" s="2867"/>
      <c r="U31" s="2867"/>
      <c r="V31" s="2843">
        <f t="shared" ref="V31" si="4">SUM(D31)+SUM(H31)+SUM(L31)+SUM(P31)</f>
        <v>0</v>
      </c>
      <c r="W31" s="1094"/>
      <c r="X31" s="2843">
        <f t="shared" ref="X31" si="5">SUM(F31)+SUM(J31)+SUM(N31)+SUM(R31)</f>
        <v>0.4</v>
      </c>
      <c r="Y31" s="2844"/>
      <c r="Z31" s="2845"/>
      <c r="AA31" s="1094"/>
      <c r="AB31" s="2850">
        <v>0</v>
      </c>
      <c r="AC31" s="1093"/>
      <c r="AD31" s="2850">
        <v>0</v>
      </c>
      <c r="AE31" s="2850"/>
      <c r="AF31" s="2846"/>
      <c r="AG31" s="2844"/>
      <c r="AH31" s="2847">
        <f t="shared" ref="AH31" si="6">ROUND(SUM(X31)-SUM(AD31),1)</f>
        <v>0.4</v>
      </c>
      <c r="AI31" s="2848"/>
      <c r="AJ31" s="2679">
        <f>ROUND(IF(AD31=0,1,AH31/(AD31)),3)</f>
        <v>1</v>
      </c>
      <c r="AK31" s="2549"/>
      <c r="AL31" s="2544"/>
    </row>
    <row r="32" spans="1:38" ht="18" customHeight="1">
      <c r="A32" s="2829" t="s">
        <v>1024</v>
      </c>
      <c r="B32" s="2829"/>
      <c r="C32" s="2829"/>
      <c r="D32" s="1117">
        <v>0</v>
      </c>
      <c r="E32" s="2843"/>
      <c r="F32" s="1118">
        <v>0</v>
      </c>
      <c r="G32" s="1093"/>
      <c r="H32" s="1113">
        <v>9</v>
      </c>
      <c r="I32" s="2841"/>
      <c r="J32" s="2847">
        <v>92.3</v>
      </c>
      <c r="K32" s="1093"/>
      <c r="L32" s="1117">
        <v>0</v>
      </c>
      <c r="M32" s="2841"/>
      <c r="N32" s="1118">
        <v>0</v>
      </c>
      <c r="O32" s="1112"/>
      <c r="P32" s="1113">
        <v>33.199999999999989</v>
      </c>
      <c r="Q32" s="2841"/>
      <c r="R32" s="2847">
        <v>345.9</v>
      </c>
      <c r="S32" s="1093"/>
      <c r="T32" s="2867"/>
      <c r="U32" s="2867"/>
      <c r="V32" s="2843">
        <f t="shared" si="0"/>
        <v>42.199999999999989</v>
      </c>
      <c r="W32" s="1094"/>
      <c r="X32" s="2843">
        <f t="shared" si="1"/>
        <v>438.2</v>
      </c>
      <c r="Y32" s="1093"/>
      <c r="Z32" s="2845"/>
      <c r="AA32" s="1094"/>
      <c r="AB32" s="2850">
        <v>43.69999999999996</v>
      </c>
      <c r="AC32" s="1093"/>
      <c r="AD32" s="2850">
        <v>419.2</v>
      </c>
      <c r="AE32" s="2841"/>
      <c r="AF32" s="2846"/>
      <c r="AG32" s="1093"/>
      <c r="AH32" s="2847">
        <f t="shared" si="2"/>
        <v>19</v>
      </c>
      <c r="AI32" s="1109"/>
      <c r="AJ32" s="2849">
        <f t="shared" si="3"/>
        <v>4.4999999999999998E-2</v>
      </c>
      <c r="AK32" s="2549"/>
      <c r="AL32" s="2544"/>
    </row>
    <row r="33" spans="1:38" ht="18" customHeight="1">
      <c r="A33" s="2829" t="s">
        <v>1025</v>
      </c>
      <c r="B33" s="2829"/>
      <c r="C33" s="2829"/>
      <c r="D33" s="1113">
        <v>32.400000000000006</v>
      </c>
      <c r="E33" s="1112"/>
      <c r="F33" s="1113">
        <v>227.4</v>
      </c>
      <c r="G33" s="1093"/>
      <c r="H33" s="1117">
        <v>0</v>
      </c>
      <c r="I33" s="2841"/>
      <c r="J33" s="2551">
        <v>0</v>
      </c>
      <c r="K33" s="1093"/>
      <c r="L33" s="1117">
        <v>0</v>
      </c>
      <c r="M33" s="2841"/>
      <c r="N33" s="1118">
        <v>0</v>
      </c>
      <c r="O33" s="1112"/>
      <c r="P33" s="1117">
        <v>0</v>
      </c>
      <c r="Q33" s="2841"/>
      <c r="R33" s="1118">
        <v>0</v>
      </c>
      <c r="S33" s="1093"/>
      <c r="T33" s="2867"/>
      <c r="U33" s="2867"/>
      <c r="V33" s="2843">
        <f t="shared" si="0"/>
        <v>32.400000000000006</v>
      </c>
      <c r="W33" s="1094"/>
      <c r="X33" s="2843">
        <f t="shared" si="1"/>
        <v>227.4</v>
      </c>
      <c r="Y33" s="2844"/>
      <c r="Z33" s="2845"/>
      <c r="AA33" s="1094"/>
      <c r="AB33" s="2850">
        <v>32.300000000000011</v>
      </c>
      <c r="AC33" s="1093"/>
      <c r="AD33" s="2850">
        <v>224</v>
      </c>
      <c r="AE33" s="2841"/>
      <c r="AF33" s="2846"/>
      <c r="AG33" s="2844"/>
      <c r="AH33" s="2847">
        <f t="shared" si="2"/>
        <v>3.4</v>
      </c>
      <c r="AI33" s="2848"/>
      <c r="AJ33" s="2849">
        <f t="shared" si="3"/>
        <v>1.4999999999999999E-2</v>
      </c>
      <c r="AK33" s="2549"/>
      <c r="AL33" s="2544"/>
    </row>
    <row r="34" spans="1:38" ht="18" customHeight="1">
      <c r="A34" s="2829" t="s">
        <v>1026</v>
      </c>
      <c r="B34" s="2829"/>
      <c r="C34" s="2829"/>
      <c r="D34" s="1117">
        <v>0</v>
      </c>
      <c r="E34" s="2843"/>
      <c r="F34" s="1118">
        <v>0</v>
      </c>
      <c r="G34" s="1093"/>
      <c r="H34" s="1117">
        <v>-0.20000000000000018</v>
      </c>
      <c r="I34" s="2841"/>
      <c r="J34" s="2551">
        <v>2</v>
      </c>
      <c r="K34" s="1093"/>
      <c r="L34" s="1117">
        <v>0</v>
      </c>
      <c r="M34" s="2841"/>
      <c r="N34" s="1118">
        <v>0</v>
      </c>
      <c r="O34" s="1093"/>
      <c r="P34" s="1113">
        <v>11.200000000000003</v>
      </c>
      <c r="Q34" s="2841"/>
      <c r="R34" s="2847">
        <v>117</v>
      </c>
      <c r="S34" s="1093"/>
      <c r="T34" s="2867"/>
      <c r="U34" s="2867"/>
      <c r="V34" s="2843">
        <f t="shared" si="0"/>
        <v>11.000000000000004</v>
      </c>
      <c r="W34" s="1094"/>
      <c r="X34" s="2843">
        <f t="shared" si="1"/>
        <v>119</v>
      </c>
      <c r="Y34" s="2844"/>
      <c r="Z34" s="2845"/>
      <c r="AA34" s="1094"/>
      <c r="AB34" s="2850">
        <v>11.400000000000006</v>
      </c>
      <c r="AC34" s="1093"/>
      <c r="AD34" s="2850">
        <v>137.5</v>
      </c>
      <c r="AE34" s="2850"/>
      <c r="AF34" s="2846"/>
      <c r="AG34" s="2844"/>
      <c r="AH34" s="2551">
        <f t="shared" si="2"/>
        <v>-18.5</v>
      </c>
      <c r="AI34" s="2879"/>
      <c r="AJ34" s="2849">
        <f t="shared" si="3"/>
        <v>-0.13500000000000001</v>
      </c>
      <c r="AK34" s="2549"/>
      <c r="AL34" s="2544"/>
    </row>
    <row r="35" spans="1:38" ht="18" customHeight="1">
      <c r="A35" s="2840" t="s">
        <v>1027</v>
      </c>
      <c r="B35" s="2829"/>
      <c r="C35" s="2829"/>
      <c r="D35" s="1117">
        <v>0</v>
      </c>
      <c r="E35" s="1114"/>
      <c r="F35" s="1117">
        <v>0</v>
      </c>
      <c r="G35" s="1093"/>
      <c r="H35" s="2560">
        <v>14</v>
      </c>
      <c r="I35" s="2841"/>
      <c r="J35" s="2847">
        <v>63.3</v>
      </c>
      <c r="K35" s="1093"/>
      <c r="L35" s="1117">
        <v>0</v>
      </c>
      <c r="M35" s="2841"/>
      <c r="N35" s="1118">
        <v>0</v>
      </c>
      <c r="O35" s="1093"/>
      <c r="P35" s="1117">
        <v>0</v>
      </c>
      <c r="Q35" s="1114"/>
      <c r="R35" s="1118">
        <v>0</v>
      </c>
      <c r="S35" s="1093"/>
      <c r="T35" s="2867"/>
      <c r="U35" s="2867"/>
      <c r="V35" s="2843">
        <f t="shared" si="0"/>
        <v>14</v>
      </c>
      <c r="W35" s="1094"/>
      <c r="X35" s="2843">
        <f t="shared" si="1"/>
        <v>63.3</v>
      </c>
      <c r="Y35" s="2972"/>
      <c r="Z35" s="2845"/>
      <c r="AA35" s="1094"/>
      <c r="AB35" s="2850">
        <v>16.200000000000003</v>
      </c>
      <c r="AC35" s="1093"/>
      <c r="AD35" s="2850">
        <v>71.7</v>
      </c>
      <c r="AE35" s="2850"/>
      <c r="AF35" s="2877"/>
      <c r="AG35" s="2844"/>
      <c r="AH35" s="2852">
        <f t="shared" si="2"/>
        <v>-8.4</v>
      </c>
      <c r="AI35" s="2848"/>
      <c r="AJ35" s="2869">
        <f t="shared" si="3"/>
        <v>-0.11700000000000001</v>
      </c>
      <c r="AK35" s="2549"/>
      <c r="AL35" s="2544"/>
    </row>
    <row r="36" spans="1:38" ht="18" customHeight="1">
      <c r="A36" s="2828" t="s">
        <v>1028</v>
      </c>
      <c r="B36" s="2829"/>
      <c r="C36" s="2829"/>
      <c r="D36" s="2871">
        <f>ROUND(SUM(D28:D35),1)</f>
        <v>594.79999999999995</v>
      </c>
      <c r="E36" s="186"/>
      <c r="F36" s="3073">
        <f>ROUND(SUM(F28:F35),1)</f>
        <v>5982.1</v>
      </c>
      <c r="G36" s="184"/>
      <c r="H36" s="2871">
        <f>ROUND(SUM(H28:H35),1)</f>
        <v>173.2</v>
      </c>
      <c r="I36" s="67"/>
      <c r="J36" s="2871">
        <f>ROUND(SUM(J28:J35),1)</f>
        <v>1743.4</v>
      </c>
      <c r="K36" s="184"/>
      <c r="L36" s="2871">
        <f>ROUND(SUM(L28:L35),1)</f>
        <v>535</v>
      </c>
      <c r="M36" s="67"/>
      <c r="N36" s="2871">
        <f>ROUND(SUM(N28:N35),1)</f>
        <v>5440.3</v>
      </c>
      <c r="O36" s="184"/>
      <c r="P36" s="2871">
        <f>ROUND(SUM(P28:P35),1)</f>
        <v>50.3</v>
      </c>
      <c r="Q36" s="67"/>
      <c r="R36" s="3073">
        <f>ROUND(SUM(R28:R35),1)</f>
        <v>533.20000000000005</v>
      </c>
      <c r="S36" s="184"/>
      <c r="T36" s="2856"/>
      <c r="U36" s="2856"/>
      <c r="V36" s="2880">
        <f>ROUND(SUM(V28:V35),1)</f>
        <v>1353.3</v>
      </c>
      <c r="W36" s="186"/>
      <c r="X36" s="2880">
        <f>ROUND(SUM(X28:X35),1)</f>
        <v>13699</v>
      </c>
      <c r="Y36" s="2973"/>
      <c r="Z36" s="2859"/>
      <c r="AA36" s="186"/>
      <c r="AB36" s="2880">
        <f>ROUND(SUM(AB28:AB35),1)</f>
        <v>1275.4000000000001</v>
      </c>
      <c r="AC36" s="184"/>
      <c r="AD36" s="2880">
        <f>ROUND(SUM(AD28:AD35),1)</f>
        <v>13236.2</v>
      </c>
      <c r="AE36" s="67"/>
      <c r="AF36" s="2861"/>
      <c r="AG36" s="186"/>
      <c r="AH36" s="2872">
        <f t="shared" si="2"/>
        <v>462.8</v>
      </c>
      <c r="AI36" s="18"/>
      <c r="AJ36" s="2873">
        <f t="shared" si="3"/>
        <v>3.5000000000000003E-2</v>
      </c>
      <c r="AK36" s="2554"/>
      <c r="AL36" s="2555"/>
    </row>
    <row r="37" spans="1:38" ht="18" customHeight="1">
      <c r="A37" s="2829"/>
      <c r="B37" s="2829"/>
      <c r="C37" s="2829"/>
      <c r="D37" s="2874"/>
      <c r="E37" s="1094"/>
      <c r="F37" s="2875"/>
      <c r="G37" s="1093"/>
      <c r="H37" s="2874"/>
      <c r="I37" s="1114"/>
      <c r="J37" s="2876"/>
      <c r="K37" s="1093"/>
      <c r="L37" s="2874"/>
      <c r="M37" s="1114"/>
      <c r="N37" s="2876"/>
      <c r="O37" s="1093"/>
      <c r="P37" s="2874"/>
      <c r="Q37" s="1114"/>
      <c r="R37" s="2876"/>
      <c r="S37" s="1093"/>
      <c r="T37" s="2867"/>
      <c r="U37" s="2867"/>
      <c r="V37" s="2875"/>
      <c r="W37" s="1094"/>
      <c r="X37" s="2875"/>
      <c r="Y37" s="1094"/>
      <c r="Z37" s="2845"/>
      <c r="AA37" s="1094"/>
      <c r="AB37" s="2874"/>
      <c r="AC37" s="1093"/>
      <c r="AD37" s="2876"/>
      <c r="AE37" s="1114"/>
      <c r="AF37" s="2846"/>
      <c r="AG37" s="1094"/>
      <c r="AH37" s="1114"/>
      <c r="AI37" s="1108"/>
      <c r="AJ37" s="2971"/>
      <c r="AK37" s="2559"/>
      <c r="AL37" s="2544"/>
    </row>
    <row r="38" spans="1:38" ht="18" customHeight="1">
      <c r="A38" s="2828" t="s">
        <v>1314</v>
      </c>
      <c r="B38" s="2829"/>
      <c r="C38" s="2829"/>
      <c r="D38" s="1113"/>
      <c r="E38" s="1093"/>
      <c r="F38" s="1093"/>
      <c r="G38" s="1093"/>
      <c r="H38" s="1113"/>
      <c r="I38" s="1112"/>
      <c r="J38" s="1112"/>
      <c r="K38" s="1093"/>
      <c r="L38" s="1113"/>
      <c r="M38" s="1112"/>
      <c r="N38" s="1112"/>
      <c r="O38" s="1093"/>
      <c r="P38" s="1113"/>
      <c r="Q38" s="1112"/>
      <c r="R38" s="1112"/>
      <c r="S38" s="1093"/>
      <c r="T38" s="2867"/>
      <c r="U38" s="2867"/>
      <c r="V38" s="1094"/>
      <c r="W38" s="1094"/>
      <c r="X38" s="1093"/>
      <c r="Y38" s="1093"/>
      <c r="Z38" s="2845"/>
      <c r="AA38" s="1094"/>
      <c r="AB38" s="2924"/>
      <c r="AC38" s="1093"/>
      <c r="AD38" s="2924"/>
      <c r="AE38" s="1112"/>
      <c r="AF38" s="2846"/>
      <c r="AG38" s="1093"/>
      <c r="AH38" s="1113"/>
      <c r="AI38" s="1109"/>
      <c r="AJ38" s="2849"/>
      <c r="AK38" s="2559"/>
      <c r="AL38" s="2544"/>
    </row>
    <row r="39" spans="1:38" ht="18" customHeight="1">
      <c r="A39" s="2829" t="s">
        <v>1029</v>
      </c>
      <c r="B39" s="2829"/>
      <c r="C39" s="2829"/>
      <c r="D39" s="1113">
        <v>-3.2000000000002728</v>
      </c>
      <c r="E39" s="1112"/>
      <c r="F39" s="1113">
        <v>2071.6</v>
      </c>
      <c r="G39" s="1093"/>
      <c r="H39" s="1113">
        <v>36.799999999999955</v>
      </c>
      <c r="I39" s="1112"/>
      <c r="J39" s="1113">
        <v>558</v>
      </c>
      <c r="K39" s="1112"/>
      <c r="L39" s="1117">
        <v>0</v>
      </c>
      <c r="M39" s="2841"/>
      <c r="N39" s="1118">
        <v>0</v>
      </c>
      <c r="O39" s="1112"/>
      <c r="P39" s="1117">
        <v>0</v>
      </c>
      <c r="Q39" s="2841"/>
      <c r="R39" s="1118">
        <v>0</v>
      </c>
      <c r="S39" s="1093"/>
      <c r="T39" s="2867"/>
      <c r="U39" s="2867"/>
      <c r="V39" s="2843">
        <f>SUM(D39)+SUM(H39)+SUM(L39)+SUM(P39)</f>
        <v>33.599999999999682</v>
      </c>
      <c r="W39" s="1094"/>
      <c r="X39" s="2843">
        <f>SUM(F39)+SUM(J39)+SUM(N39)+SUM(R39)</f>
        <v>2629.6</v>
      </c>
      <c r="Y39" s="1093"/>
      <c r="Z39" s="2845"/>
      <c r="AA39" s="1094"/>
      <c r="AB39" s="2850">
        <v>-126.2999999999999</v>
      </c>
      <c r="AC39" s="1093"/>
      <c r="AD39" s="2850">
        <v>3135.9</v>
      </c>
      <c r="AE39" s="2841"/>
      <c r="AF39" s="2877"/>
      <c r="AG39" s="1093"/>
      <c r="AH39" s="2847">
        <f t="shared" ref="AH39:AH44" si="7">ROUND(SUM(X39)-SUM(AD39),1)</f>
        <v>-506.3</v>
      </c>
      <c r="AI39" s="2848"/>
      <c r="AJ39" s="2849">
        <f t="shared" ref="AJ39:AJ44" si="8">ROUND(AH39/AD39,3)</f>
        <v>-0.161</v>
      </c>
      <c r="AK39" s="2549"/>
      <c r="AL39" s="2544"/>
    </row>
    <row r="40" spans="1:38" ht="18" customHeight="1">
      <c r="A40" s="2829" t="s">
        <v>1030</v>
      </c>
      <c r="B40" s="2829"/>
      <c r="C40" s="2829"/>
      <c r="D40" s="2560">
        <v>4</v>
      </c>
      <c r="E40" s="1112"/>
      <c r="F40" s="1113">
        <v>359.3</v>
      </c>
      <c r="G40" s="1093"/>
      <c r="H40" s="2560">
        <v>20.699999999999989</v>
      </c>
      <c r="I40" s="1112"/>
      <c r="J40" s="1113">
        <v>121.6</v>
      </c>
      <c r="K40" s="1112"/>
      <c r="L40" s="1117">
        <v>0</v>
      </c>
      <c r="M40" s="2841"/>
      <c r="N40" s="1118">
        <v>0</v>
      </c>
      <c r="O40" s="1112"/>
      <c r="P40" s="1113">
        <v>4.1999999999999993</v>
      </c>
      <c r="Q40" s="2841"/>
      <c r="R40" s="2847">
        <v>12.1</v>
      </c>
      <c r="S40" s="1093"/>
      <c r="T40" s="2867"/>
      <c r="U40" s="2867"/>
      <c r="V40" s="2843">
        <f>SUM(D40)+SUM(H40)+SUM(L40)+SUM(P40)</f>
        <v>28.899999999999988</v>
      </c>
      <c r="W40" s="1094"/>
      <c r="X40" s="2843">
        <f>SUM(F40)+SUM(J40)+SUM(N40)+SUM(R40)</f>
        <v>493</v>
      </c>
      <c r="Y40" s="1093"/>
      <c r="Z40" s="2845"/>
      <c r="AA40" s="1094"/>
      <c r="AB40" s="2850">
        <v>17.199999999999982</v>
      </c>
      <c r="AC40" s="1093"/>
      <c r="AD40" s="2850">
        <v>500.49999999999994</v>
      </c>
      <c r="AE40" s="2841"/>
      <c r="AF40" s="2877"/>
      <c r="AG40" s="1093"/>
      <c r="AH40" s="2847">
        <f t="shared" si="7"/>
        <v>-7.5</v>
      </c>
      <c r="AI40" s="2848"/>
      <c r="AJ40" s="2849">
        <f t="shared" si="8"/>
        <v>-1.4999999999999999E-2</v>
      </c>
      <c r="AK40" s="2549"/>
      <c r="AL40" s="2544"/>
    </row>
    <row r="41" spans="1:38" ht="18" customHeight="1">
      <c r="A41" s="2829" t="s">
        <v>1031</v>
      </c>
      <c r="B41" s="2829"/>
      <c r="C41" s="2829"/>
      <c r="D41" s="1113">
        <v>4.3999999999999773</v>
      </c>
      <c r="E41" s="1112"/>
      <c r="F41" s="1113">
        <v>891.1</v>
      </c>
      <c r="G41" s="1093"/>
      <c r="H41" s="1113">
        <v>0.10000000000000853</v>
      </c>
      <c r="I41" s="1112"/>
      <c r="J41" s="1113">
        <v>118.7</v>
      </c>
      <c r="K41" s="1112"/>
      <c r="L41" s="1117">
        <v>0</v>
      </c>
      <c r="M41" s="2841"/>
      <c r="N41" s="1118">
        <v>0</v>
      </c>
      <c r="O41" s="1112"/>
      <c r="P41" s="1117">
        <v>0</v>
      </c>
      <c r="Q41" s="2841"/>
      <c r="R41" s="1118">
        <v>0</v>
      </c>
      <c r="S41" s="1093"/>
      <c r="T41" s="2867"/>
      <c r="U41" s="2867"/>
      <c r="V41" s="2843">
        <f>SUM(D41)+SUM(H41)+SUM(L41)+SUM(P41)</f>
        <v>4.4999999999999858</v>
      </c>
      <c r="W41" s="1094"/>
      <c r="X41" s="2843">
        <f>SUM(F41)+SUM(J41)+SUM(N41)+SUM(R41)</f>
        <v>1009.8000000000001</v>
      </c>
      <c r="Y41" s="1093"/>
      <c r="Z41" s="2845"/>
      <c r="AA41" s="1094"/>
      <c r="AB41" s="2850">
        <v>11.300000000000054</v>
      </c>
      <c r="AC41" s="1093"/>
      <c r="AD41" s="2850">
        <v>940.7</v>
      </c>
      <c r="AE41" s="2841"/>
      <c r="AF41" s="2877"/>
      <c r="AG41" s="1093"/>
      <c r="AH41" s="2847">
        <f t="shared" si="7"/>
        <v>69.099999999999994</v>
      </c>
      <c r="AI41" s="2848"/>
      <c r="AJ41" s="2849">
        <f t="shared" si="8"/>
        <v>7.2999999999999995E-2</v>
      </c>
      <c r="AK41" s="2549"/>
      <c r="AL41" s="2544"/>
    </row>
    <row r="42" spans="1:38" ht="18" customHeight="1">
      <c r="A42" s="2829" t="s">
        <v>1032</v>
      </c>
      <c r="B42" s="2829"/>
      <c r="C42" s="2829"/>
      <c r="D42" s="1113">
        <v>-13.399999999999977</v>
      </c>
      <c r="E42" s="1112"/>
      <c r="F42" s="1113">
        <v>312.8</v>
      </c>
      <c r="G42" s="1093"/>
      <c r="H42" s="1113">
        <v>-9.3999999999999986</v>
      </c>
      <c r="I42" s="1112"/>
      <c r="J42" s="1113">
        <v>55.1</v>
      </c>
      <c r="K42" s="1112"/>
      <c r="L42" s="1117">
        <v>0</v>
      </c>
      <c r="M42" s="2841"/>
      <c r="N42" s="1118">
        <v>0</v>
      </c>
      <c r="O42" s="1112"/>
      <c r="P42" s="1117">
        <v>0</v>
      </c>
      <c r="Q42" s="2841"/>
      <c r="R42" s="1118">
        <v>0</v>
      </c>
      <c r="S42" s="1093"/>
      <c r="T42" s="2867"/>
      <c r="U42" s="2867"/>
      <c r="V42" s="2843">
        <f>SUM(D42)+SUM(H42)+SUM(L42)+SUM(P42)</f>
        <v>-22.799999999999976</v>
      </c>
      <c r="W42" s="1094"/>
      <c r="X42" s="2843">
        <f>SUM(F42)+SUM(J42)+SUM(N42)+SUM(R42)</f>
        <v>367.90000000000003</v>
      </c>
      <c r="Y42" s="1093"/>
      <c r="Z42" s="2845"/>
      <c r="AA42" s="1094"/>
      <c r="AB42" s="2841">
        <v>13.000000000000002</v>
      </c>
      <c r="AC42" s="1093"/>
      <c r="AD42" s="2841">
        <v>-68.5</v>
      </c>
      <c r="AE42" s="2841"/>
      <c r="AF42" s="2877"/>
      <c r="AG42" s="1093"/>
      <c r="AH42" s="2847">
        <f t="shared" si="7"/>
        <v>436.4</v>
      </c>
      <c r="AI42" s="2848"/>
      <c r="AJ42" s="2849">
        <f>-ROUND(AH42/AD42,3)</f>
        <v>6.3710000000000004</v>
      </c>
      <c r="AK42" s="2549"/>
      <c r="AL42" s="2544"/>
    </row>
    <row r="43" spans="1:38" ht="18" customHeight="1">
      <c r="A43" s="2829" t="s">
        <v>1033</v>
      </c>
      <c r="B43" s="2829"/>
      <c r="C43" s="2829"/>
      <c r="D43" s="1117">
        <v>0</v>
      </c>
      <c r="E43" s="2843"/>
      <c r="F43" s="2551">
        <v>0</v>
      </c>
      <c r="G43" s="1093"/>
      <c r="H43" s="1113">
        <v>39.900000000000034</v>
      </c>
      <c r="I43" s="2841"/>
      <c r="J43" s="2847">
        <v>423.6</v>
      </c>
      <c r="K43" s="1112"/>
      <c r="L43" s="1117">
        <v>0</v>
      </c>
      <c r="M43" s="2841"/>
      <c r="N43" s="1118">
        <v>0</v>
      </c>
      <c r="O43" s="1112"/>
      <c r="P43" s="1113">
        <v>49.699999999999989</v>
      </c>
      <c r="Q43" s="2841"/>
      <c r="R43" s="2847">
        <v>528.9</v>
      </c>
      <c r="S43" s="1093"/>
      <c r="T43" s="2867"/>
      <c r="U43" s="2867"/>
      <c r="V43" s="2843">
        <f>SUM(D43)+SUM(H43)+SUM(L43)+SUM(P43)</f>
        <v>89.600000000000023</v>
      </c>
      <c r="W43" s="1094"/>
      <c r="X43" s="2843">
        <f>SUM(F43)+SUM(J43)+SUM(N43)+SUM(R43)</f>
        <v>952.5</v>
      </c>
      <c r="Y43" s="1093"/>
      <c r="Z43" s="2845"/>
      <c r="AA43" s="1094"/>
      <c r="AB43" s="2841">
        <v>100.49999999999994</v>
      </c>
      <c r="AC43" s="1093"/>
      <c r="AD43" s="2841">
        <v>948.7</v>
      </c>
      <c r="AE43" s="2841"/>
      <c r="AF43" s="2877"/>
      <c r="AG43" s="1093"/>
      <c r="AH43" s="2847">
        <f t="shared" si="7"/>
        <v>3.8</v>
      </c>
      <c r="AI43" s="2879"/>
      <c r="AJ43" s="2849">
        <f t="shared" si="8"/>
        <v>4.0000000000000001E-3</v>
      </c>
      <c r="AK43" s="2549"/>
      <c r="AL43" s="2544"/>
    </row>
    <row r="44" spans="1:38" ht="18" customHeight="1">
      <c r="A44" s="2828" t="s">
        <v>1028</v>
      </c>
      <c r="B44" s="2829"/>
      <c r="C44" s="2829"/>
      <c r="D44" s="2871">
        <f>ROUND(SUM(D39:D43),1)</f>
        <v>-8.1999999999999993</v>
      </c>
      <c r="E44" s="186"/>
      <c r="F44" s="3073">
        <f>ROUND(SUM(F39:F43),1)</f>
        <v>3634.8</v>
      </c>
      <c r="G44" s="184"/>
      <c r="H44" s="2871">
        <f>ROUND(SUM(H39:H43),1)</f>
        <v>88.1</v>
      </c>
      <c r="I44" s="67"/>
      <c r="J44" s="2871">
        <f>ROUND(SUM(J39:J43),1)</f>
        <v>1277</v>
      </c>
      <c r="K44" s="184"/>
      <c r="L44" s="2881">
        <f>ROUND(SUM(L39:L43),1)</f>
        <v>0</v>
      </c>
      <c r="M44" s="2855"/>
      <c r="N44" s="3074">
        <f>ROUND(SUM(N39:N43),1)</f>
        <v>0</v>
      </c>
      <c r="O44" s="184"/>
      <c r="P44" s="2871">
        <f>ROUND(SUM(P39:P43),1)</f>
        <v>53.9</v>
      </c>
      <c r="Q44" s="67"/>
      <c r="R44" s="3073">
        <f>ROUND(SUM(R39:R43),1)</f>
        <v>541</v>
      </c>
      <c r="S44" s="184"/>
      <c r="T44" s="2856"/>
      <c r="U44" s="2856"/>
      <c r="V44" s="2880">
        <f>ROUND(SUM(V39:V43),1)</f>
        <v>133.80000000000001</v>
      </c>
      <c r="W44" s="186"/>
      <c r="X44" s="2880">
        <f>ROUND(SUM(X39:X43),1)</f>
        <v>5452.8</v>
      </c>
      <c r="Y44" s="2973"/>
      <c r="Z44" s="2859"/>
      <c r="AA44" s="186"/>
      <c r="AB44" s="2880">
        <f>ROUND(SUM(AB39:AB43),1)</f>
        <v>15.7</v>
      </c>
      <c r="AC44" s="184"/>
      <c r="AD44" s="2880">
        <f>ROUND(SUM(AD39:AD43),1)</f>
        <v>5457.3</v>
      </c>
      <c r="AE44" s="67"/>
      <c r="AF44" s="2861"/>
      <c r="AG44" s="186"/>
      <c r="AH44" s="2882">
        <f t="shared" si="7"/>
        <v>-4.5</v>
      </c>
      <c r="AI44" s="18"/>
      <c r="AJ44" s="2873">
        <f t="shared" si="8"/>
        <v>-1E-3</v>
      </c>
      <c r="AK44" s="2554"/>
      <c r="AL44" s="2555"/>
    </row>
    <row r="45" spans="1:38" ht="18" customHeight="1">
      <c r="A45" s="2829"/>
      <c r="B45" s="2829"/>
      <c r="C45" s="2829"/>
      <c r="D45" s="2874"/>
      <c r="E45" s="1094"/>
      <c r="F45" s="2875"/>
      <c r="G45" s="1093"/>
      <c r="H45" s="2874"/>
      <c r="I45" s="1114"/>
      <c r="J45" s="2876"/>
      <c r="K45" s="1093"/>
      <c r="L45" s="2874"/>
      <c r="M45" s="1114"/>
      <c r="N45" s="2876"/>
      <c r="O45" s="1093"/>
      <c r="P45" s="2874"/>
      <c r="Q45" s="1114"/>
      <c r="R45" s="2876"/>
      <c r="S45" s="1093"/>
      <c r="T45" s="2867"/>
      <c r="U45" s="2867"/>
      <c r="V45" s="2875"/>
      <c r="W45" s="1094"/>
      <c r="X45" s="2875"/>
      <c r="Y45" s="1094"/>
      <c r="Z45" s="2845"/>
      <c r="AA45" s="1094"/>
      <c r="AB45" s="2874"/>
      <c r="AC45" s="1093"/>
      <c r="AD45" s="2876"/>
      <c r="AE45" s="1114"/>
      <c r="AF45" s="2846"/>
      <c r="AG45" s="1094"/>
      <c r="AH45" s="1114"/>
      <c r="AI45" s="1108"/>
      <c r="AJ45" s="2971"/>
      <c r="AK45" s="2559"/>
      <c r="AL45" s="2544"/>
    </row>
    <row r="46" spans="1:38" ht="18" customHeight="1">
      <c r="A46" s="2870" t="s">
        <v>1315</v>
      </c>
      <c r="B46" s="2829"/>
      <c r="C46" s="2829"/>
      <c r="D46" s="1113"/>
      <c r="E46" s="1093"/>
      <c r="F46" s="1093"/>
      <c r="G46" s="1093"/>
      <c r="H46" s="1113"/>
      <c r="I46" s="1112"/>
      <c r="J46" s="1112"/>
      <c r="K46" s="1093"/>
      <c r="L46" s="1113"/>
      <c r="M46" s="1112"/>
      <c r="N46" s="1112"/>
      <c r="O46" s="1093"/>
      <c r="P46" s="1113"/>
      <c r="Q46" s="1112"/>
      <c r="R46" s="1112"/>
      <c r="S46" s="1093"/>
      <c r="T46" s="2867"/>
      <c r="U46" s="2867"/>
      <c r="V46" s="1094"/>
      <c r="W46" s="1094"/>
      <c r="X46" s="1093"/>
      <c r="Y46" s="1093"/>
      <c r="Z46" s="2845"/>
      <c r="AA46" s="1094"/>
      <c r="AB46" s="1115"/>
      <c r="AC46" s="1093"/>
      <c r="AD46" s="1112"/>
      <c r="AE46" s="1112"/>
      <c r="AF46" s="2846"/>
      <c r="AG46" s="1093"/>
      <c r="AH46" s="1113"/>
      <c r="AI46" s="1109"/>
      <c r="AJ46" s="2849"/>
      <c r="AK46" s="2559"/>
      <c r="AL46" s="2544"/>
    </row>
    <row r="47" spans="1:38" ht="18" customHeight="1">
      <c r="A47" s="2829" t="s">
        <v>1034</v>
      </c>
      <c r="B47" s="2829"/>
      <c r="C47" s="2829"/>
      <c r="D47" s="1117">
        <v>0</v>
      </c>
      <c r="E47" s="1112"/>
      <c r="F47" s="1113">
        <v>0.1</v>
      </c>
      <c r="G47" s="1093"/>
      <c r="H47" s="1117">
        <v>0</v>
      </c>
      <c r="I47" s="2841"/>
      <c r="J47" s="2551">
        <v>0</v>
      </c>
      <c r="K47" s="1112"/>
      <c r="L47" s="1117">
        <v>0</v>
      </c>
      <c r="M47" s="2841"/>
      <c r="N47" s="1118">
        <v>0</v>
      </c>
      <c r="O47" s="1112"/>
      <c r="P47" s="1117">
        <v>0</v>
      </c>
      <c r="Q47" s="2841"/>
      <c r="R47" s="1118">
        <v>0</v>
      </c>
      <c r="S47" s="1093"/>
      <c r="T47" s="2867"/>
      <c r="U47" s="2867"/>
      <c r="V47" s="2883">
        <f t="shared" ref="V47:V52" si="9">SUM(D47)+SUM(H47)+SUM(L47)+SUM(P47)</f>
        <v>0</v>
      </c>
      <c r="W47" s="1094"/>
      <c r="X47" s="2843">
        <f t="shared" ref="X47:X52" si="10">SUM(F47)+SUM(J47)+SUM(N47)+SUM(R47)</f>
        <v>0.1</v>
      </c>
      <c r="Y47" s="2844"/>
      <c r="Z47" s="2845"/>
      <c r="AA47" s="1094"/>
      <c r="AB47" s="2878">
        <v>0</v>
      </c>
      <c r="AC47" s="1093"/>
      <c r="AD47" s="2883">
        <v>0</v>
      </c>
      <c r="AE47" s="2841"/>
      <c r="AF47" s="2877"/>
      <c r="AG47" s="2844"/>
      <c r="AH47" s="2847">
        <f t="shared" ref="AH47:AH53" si="11">ROUND(SUM(X47)-SUM(AD47),1)</f>
        <v>0.1</v>
      </c>
      <c r="AI47" s="2848"/>
      <c r="AJ47" s="2679">
        <f>ROUND(IF(AD47=0,1,-AH47/(AD47)),3)</f>
        <v>1</v>
      </c>
      <c r="AK47" s="2549"/>
      <c r="AL47" s="2544"/>
    </row>
    <row r="48" spans="1:38" ht="18" customHeight="1">
      <c r="A48" s="2829" t="s">
        <v>1035</v>
      </c>
      <c r="B48" s="2829"/>
      <c r="C48" s="2829"/>
      <c r="D48" s="1113">
        <v>62.899999999999977</v>
      </c>
      <c r="E48" s="1112"/>
      <c r="F48" s="1113">
        <v>949.3</v>
      </c>
      <c r="G48" s="1093"/>
      <c r="H48" s="1117">
        <v>0</v>
      </c>
      <c r="I48" s="2841"/>
      <c r="J48" s="2551">
        <v>0</v>
      </c>
      <c r="K48" s="1112"/>
      <c r="L48" s="1117">
        <v>0</v>
      </c>
      <c r="M48" s="2841"/>
      <c r="N48" s="1118">
        <v>0</v>
      </c>
      <c r="O48" s="1112"/>
      <c r="P48" s="1117">
        <v>0</v>
      </c>
      <c r="Q48" s="2841"/>
      <c r="R48" s="1118">
        <v>0</v>
      </c>
      <c r="S48" s="1093"/>
      <c r="T48" s="2867"/>
      <c r="U48" s="2867"/>
      <c r="V48" s="2843">
        <f t="shared" si="9"/>
        <v>62.899999999999977</v>
      </c>
      <c r="W48" s="1094"/>
      <c r="X48" s="2843">
        <f t="shared" si="10"/>
        <v>949.3</v>
      </c>
      <c r="Y48" s="2844"/>
      <c r="Z48" s="2845"/>
      <c r="AA48" s="1094"/>
      <c r="AB48" s="2850">
        <v>106.39999999999986</v>
      </c>
      <c r="AC48" s="1093"/>
      <c r="AD48" s="2850">
        <v>1346.3</v>
      </c>
      <c r="AE48" s="2850"/>
      <c r="AF48" s="2877"/>
      <c r="AG48" s="2844"/>
      <c r="AH48" s="2847">
        <f t="shared" si="11"/>
        <v>-397</v>
      </c>
      <c r="AI48" s="2848"/>
      <c r="AJ48" s="2849">
        <f>ROUND(AH48/AD48,3)</f>
        <v>-0.29499999999999998</v>
      </c>
      <c r="AK48" s="2549"/>
      <c r="AL48" s="2544"/>
    </row>
    <row r="49" spans="1:38" ht="18" customHeight="1">
      <c r="A49" s="2829" t="s">
        <v>1036</v>
      </c>
      <c r="B49" s="2829"/>
      <c r="C49" s="2829"/>
      <c r="D49" s="1113">
        <v>0.69999999999999929</v>
      </c>
      <c r="E49" s="1112"/>
      <c r="F49" s="1113">
        <v>13.6</v>
      </c>
      <c r="G49" s="1093"/>
      <c r="H49" s="1117">
        <v>0</v>
      </c>
      <c r="I49" s="2841"/>
      <c r="J49" s="2551">
        <v>0</v>
      </c>
      <c r="K49" s="1112"/>
      <c r="L49" s="1117">
        <v>0</v>
      </c>
      <c r="M49" s="2841"/>
      <c r="N49" s="1118">
        <v>0</v>
      </c>
      <c r="O49" s="1112"/>
      <c r="P49" s="1117">
        <v>0</v>
      </c>
      <c r="Q49" s="2841"/>
      <c r="R49" s="1118">
        <v>0</v>
      </c>
      <c r="S49" s="1093"/>
      <c r="T49" s="2867"/>
      <c r="U49" s="2867"/>
      <c r="V49" s="2843">
        <f t="shared" si="9"/>
        <v>0.69999999999999929</v>
      </c>
      <c r="W49" s="1094"/>
      <c r="X49" s="2843">
        <f t="shared" si="10"/>
        <v>13.6</v>
      </c>
      <c r="Y49" s="2844"/>
      <c r="Z49" s="2845"/>
      <c r="AA49" s="1094"/>
      <c r="AB49" s="2850">
        <v>1</v>
      </c>
      <c r="AC49" s="1093"/>
      <c r="AD49" s="2850">
        <v>14.9</v>
      </c>
      <c r="AE49" s="2850"/>
      <c r="AF49" s="2877"/>
      <c r="AG49" s="2844"/>
      <c r="AH49" s="2847">
        <f t="shared" si="11"/>
        <v>-1.3</v>
      </c>
      <c r="AI49" s="2848"/>
      <c r="AJ49" s="2849">
        <f>ROUND(AH49/AD49,3)</f>
        <v>-8.6999999999999994E-2</v>
      </c>
      <c r="AK49" s="2549"/>
      <c r="AL49" s="2544"/>
    </row>
    <row r="50" spans="1:38" ht="18" customHeight="1">
      <c r="A50" s="2829" t="s">
        <v>1037</v>
      </c>
      <c r="B50" s="2829"/>
      <c r="C50" s="2829"/>
      <c r="D50" s="1117">
        <v>0</v>
      </c>
      <c r="E50" s="2843"/>
      <c r="F50" s="1118">
        <v>0</v>
      </c>
      <c r="G50" s="1093"/>
      <c r="H50" s="1117">
        <v>0</v>
      </c>
      <c r="I50" s="2841"/>
      <c r="J50" s="2551">
        <v>0</v>
      </c>
      <c r="K50" s="1112"/>
      <c r="L50" s="2847">
        <v>83.399999999999977</v>
      </c>
      <c r="M50" s="2841"/>
      <c r="N50" s="2847">
        <v>864.3</v>
      </c>
      <c r="O50" s="1112"/>
      <c r="P50" s="2557">
        <v>11.899999999999991</v>
      </c>
      <c r="Q50" s="2841"/>
      <c r="R50" s="2864">
        <v>95.3</v>
      </c>
      <c r="S50" s="1093"/>
      <c r="T50" s="2867"/>
      <c r="U50" s="2867"/>
      <c r="V50" s="2843">
        <f t="shared" si="9"/>
        <v>95.299999999999969</v>
      </c>
      <c r="W50" s="1094"/>
      <c r="X50" s="2843">
        <f t="shared" si="10"/>
        <v>959.59999999999991</v>
      </c>
      <c r="Y50" s="2844"/>
      <c r="Z50" s="2845"/>
      <c r="AA50" s="1094"/>
      <c r="AB50" s="2850">
        <v>112.69999999999995</v>
      </c>
      <c r="AC50" s="1093"/>
      <c r="AD50" s="2850">
        <v>979.09999999999991</v>
      </c>
      <c r="AE50" s="2841"/>
      <c r="AF50" s="2877"/>
      <c r="AG50" s="2844"/>
      <c r="AH50" s="2847">
        <f t="shared" si="11"/>
        <v>-19.5</v>
      </c>
      <c r="AI50" s="2884"/>
      <c r="AJ50" s="2849">
        <f>ROUND(AH50/AD50,3)</f>
        <v>-0.02</v>
      </c>
      <c r="AK50" s="2549"/>
      <c r="AL50" s="2544"/>
    </row>
    <row r="51" spans="1:38" ht="18" customHeight="1">
      <c r="A51" s="2829" t="s">
        <v>1038</v>
      </c>
      <c r="B51" s="2829"/>
      <c r="C51" s="2829"/>
      <c r="D51" s="1113">
        <v>0.10000000000000009</v>
      </c>
      <c r="E51" s="1114"/>
      <c r="F51" s="2864">
        <v>2.5</v>
      </c>
      <c r="G51" s="1093"/>
      <c r="H51" s="1117">
        <v>0</v>
      </c>
      <c r="I51" s="2841"/>
      <c r="J51" s="2551">
        <v>0</v>
      </c>
      <c r="K51" s="1112"/>
      <c r="L51" s="1117">
        <v>0</v>
      </c>
      <c r="M51" s="2841"/>
      <c r="N51" s="1118">
        <v>0</v>
      </c>
      <c r="O51" s="1112"/>
      <c r="P51" s="1117">
        <v>0</v>
      </c>
      <c r="Q51" s="2841"/>
      <c r="R51" s="1118">
        <v>0</v>
      </c>
      <c r="S51" s="1093"/>
      <c r="T51" s="2867"/>
      <c r="U51" s="2867"/>
      <c r="V51" s="2843">
        <f t="shared" si="9"/>
        <v>0.10000000000000009</v>
      </c>
      <c r="W51" s="1094"/>
      <c r="X51" s="2843">
        <f t="shared" si="10"/>
        <v>2.5</v>
      </c>
      <c r="Y51" s="2844"/>
      <c r="Z51" s="2845"/>
      <c r="AA51" s="1094"/>
      <c r="AB51" s="2850">
        <v>0.19999999999999996</v>
      </c>
      <c r="AC51" s="1093"/>
      <c r="AD51" s="2878">
        <v>1.4</v>
      </c>
      <c r="AE51" s="2841"/>
      <c r="AF51" s="2877"/>
      <c r="AG51" s="2844"/>
      <c r="AH51" s="2847">
        <f t="shared" si="11"/>
        <v>1.1000000000000001</v>
      </c>
      <c r="AI51" s="2884"/>
      <c r="AJ51" s="1780">
        <f>ROUND(IF(AD51=0,0,AH51/(AD51)),3)</f>
        <v>0.78600000000000003</v>
      </c>
      <c r="AK51" s="2549"/>
      <c r="AL51" s="2544"/>
    </row>
    <row r="52" spans="1:38" ht="18" customHeight="1">
      <c r="A52" s="2840" t="s">
        <v>1039</v>
      </c>
      <c r="B52" s="2829"/>
      <c r="C52" s="2829"/>
      <c r="D52" s="1117">
        <v>0</v>
      </c>
      <c r="E52" s="1114"/>
      <c r="F52" s="1117">
        <v>0</v>
      </c>
      <c r="G52" s="1093"/>
      <c r="H52" s="1113">
        <v>180.79999999999995</v>
      </c>
      <c r="I52" s="2841"/>
      <c r="J52" s="2847">
        <v>1105.0999999999999</v>
      </c>
      <c r="K52" s="1112"/>
      <c r="L52" s="1117">
        <v>0</v>
      </c>
      <c r="M52" s="2841"/>
      <c r="N52" s="1118">
        <v>0</v>
      </c>
      <c r="O52" s="1112"/>
      <c r="P52" s="1117">
        <v>0</v>
      </c>
      <c r="Q52" s="2841"/>
      <c r="R52" s="1118">
        <v>0</v>
      </c>
      <c r="S52" s="1093"/>
      <c r="T52" s="2867"/>
      <c r="U52" s="2867"/>
      <c r="V52" s="2843">
        <f t="shared" si="9"/>
        <v>180.79999999999995</v>
      </c>
      <c r="W52" s="1094"/>
      <c r="X52" s="2843">
        <f t="shared" si="10"/>
        <v>1105.0999999999999</v>
      </c>
      <c r="Y52" s="2844"/>
      <c r="Z52" s="2845"/>
      <c r="AA52" s="1094"/>
      <c r="AB52" s="2850">
        <v>146.79999999999995</v>
      </c>
      <c r="AC52" s="1093"/>
      <c r="AD52" s="2850">
        <v>1036.3</v>
      </c>
      <c r="AE52" s="2841"/>
      <c r="AF52" s="2877"/>
      <c r="AG52" s="2844"/>
      <c r="AH52" s="2551">
        <f t="shared" si="11"/>
        <v>68.8</v>
      </c>
      <c r="AI52" s="2884"/>
      <c r="AJ52" s="2885">
        <f>ROUND(AH52/AD52,3)</f>
        <v>6.6000000000000003E-2</v>
      </c>
      <c r="AK52" s="2549"/>
      <c r="AL52" s="2544"/>
    </row>
    <row r="53" spans="1:38" ht="18" customHeight="1">
      <c r="A53" s="2828" t="s">
        <v>1028</v>
      </c>
      <c r="B53" s="2829"/>
      <c r="C53" s="2829"/>
      <c r="D53" s="2871">
        <f>ROUND(SUM(D47:D52),1)</f>
        <v>63.7</v>
      </c>
      <c r="E53" s="186"/>
      <c r="F53" s="2880">
        <f>ROUND(SUM(F47:F52),1)</f>
        <v>965.5</v>
      </c>
      <c r="G53" s="184"/>
      <c r="H53" s="2886">
        <f>ROUND(SUM(H47:H52),1)</f>
        <v>180.8</v>
      </c>
      <c r="I53" s="2855"/>
      <c r="J53" s="2886">
        <f>ROUND(SUM(J47:J52),1)</f>
        <v>1105.0999999999999</v>
      </c>
      <c r="K53" s="184"/>
      <c r="L53" s="2871">
        <f>ROUND(SUM(L47:L52),1)</f>
        <v>83.4</v>
      </c>
      <c r="M53" s="67"/>
      <c r="N53" s="2871">
        <f>ROUND(SUM(N47:N52),1)</f>
        <v>864.3</v>
      </c>
      <c r="O53" s="184" t="s">
        <v>15</v>
      </c>
      <c r="P53" s="2871">
        <f>ROUND(SUM(P47:P52),1)</f>
        <v>11.9</v>
      </c>
      <c r="Q53" s="67"/>
      <c r="R53" s="2871">
        <f>ROUND(SUM(R47:R52),1)</f>
        <v>95.3</v>
      </c>
      <c r="S53" s="184"/>
      <c r="T53" s="2856"/>
      <c r="U53" s="2856"/>
      <c r="V53" s="2857">
        <f>ROUND(SUM(V47:V52),1)</f>
        <v>339.8</v>
      </c>
      <c r="W53" s="186"/>
      <c r="X53" s="2857">
        <f>ROUND(SUM(X47:X52),1)</f>
        <v>3030.2</v>
      </c>
      <c r="Y53" s="2970"/>
      <c r="Z53" s="2859"/>
      <c r="AA53" s="186"/>
      <c r="AB53" s="2857">
        <f>ROUND(SUM(AB47:AB52),1)</f>
        <v>367.1</v>
      </c>
      <c r="AC53" s="184"/>
      <c r="AD53" s="2857">
        <f>ROUND(SUM(AD47:AD52),1)</f>
        <v>3378</v>
      </c>
      <c r="AE53" s="2860"/>
      <c r="AF53" s="2861"/>
      <c r="AG53" s="2858"/>
      <c r="AH53" s="2872">
        <f t="shared" si="11"/>
        <v>-347.8</v>
      </c>
      <c r="AI53" s="18"/>
      <c r="AJ53" s="2873">
        <f>ROUND(AH53/AD53,3)</f>
        <v>-0.10299999999999999</v>
      </c>
      <c r="AK53" s="2554"/>
      <c r="AL53" s="2555"/>
    </row>
    <row r="54" spans="1:38" ht="18" customHeight="1">
      <c r="A54" s="2829"/>
      <c r="B54" s="2829"/>
      <c r="C54" s="2829"/>
      <c r="D54" s="2887"/>
      <c r="E54" s="160"/>
      <c r="F54" s="2888"/>
      <c r="G54" s="1244"/>
      <c r="H54" s="2887"/>
      <c r="I54" s="18"/>
      <c r="J54" s="2889"/>
      <c r="K54" s="1244"/>
      <c r="L54" s="2887"/>
      <c r="M54" s="18"/>
      <c r="N54" s="2889"/>
      <c r="O54" s="1244"/>
      <c r="P54" s="2887"/>
      <c r="Q54" s="18"/>
      <c r="R54" s="2889"/>
      <c r="S54" s="1244"/>
      <c r="T54" s="2890"/>
      <c r="U54" s="2890"/>
      <c r="V54" s="2888"/>
      <c r="W54" s="199"/>
      <c r="X54" s="2888"/>
      <c r="Y54" s="160"/>
      <c r="Z54" s="2891"/>
      <c r="AA54" s="199"/>
      <c r="AB54" s="2887"/>
      <c r="AC54" s="1244"/>
      <c r="AD54" s="2889"/>
      <c r="AE54" s="18"/>
      <c r="AF54" s="2892"/>
      <c r="AG54" s="160"/>
      <c r="AH54" s="2893"/>
      <c r="AI54" s="18"/>
      <c r="AJ54" s="2894"/>
      <c r="AK54" s="2555"/>
      <c r="AL54" s="2555"/>
    </row>
    <row r="55" spans="1:38" ht="18" customHeight="1" thickBot="1">
      <c r="A55" s="2828" t="s">
        <v>1040</v>
      </c>
      <c r="B55" s="2829"/>
      <c r="C55" s="2829"/>
      <c r="D55" s="2895">
        <f>ROUND(SUM(D25)+SUM(D36)+SUM(D44)+SUM(D53),1)</f>
        <v>4102.8999999999996</v>
      </c>
      <c r="E55" s="2896"/>
      <c r="F55" s="3075">
        <f>ROUND(SUM(F25)+SUM(F36)+SUM(F44)+SUM(F53),1)</f>
        <v>38041.199999999997</v>
      </c>
      <c r="G55" s="3076"/>
      <c r="H55" s="2895">
        <f>ROUND(SUM(H25)+SUM(H36)+SUM(H44)+SUM(H53),1)</f>
        <v>2685.7</v>
      </c>
      <c r="I55" s="2896"/>
      <c r="J55" s="3075">
        <f>ROUND(SUM(J25)+SUM(J36)+SUM(J44)+SUM(J53),1)</f>
        <v>7021.4</v>
      </c>
      <c r="K55" s="2896"/>
      <c r="L55" s="2895">
        <f>ROUND(SUM(L25)+SUM(L36)+SUM(L44)+SUM(L53),1)</f>
        <v>2517.1</v>
      </c>
      <c r="M55" s="2896"/>
      <c r="N55" s="2895">
        <f>ROUND(SUM(N25)+SUM(N36)+SUM(N44)+SUM(N53),1)</f>
        <v>16422.8</v>
      </c>
      <c r="O55" s="2896"/>
      <c r="P55" s="2895">
        <f>ROUND(SUM(P25)+SUM(P36)+SUM(P44)+SUM(P53),1)</f>
        <v>116.1</v>
      </c>
      <c r="Q55" s="2896"/>
      <c r="R55" s="3075">
        <f>ROUND(SUM(R25)+SUM(R36)+SUM(R44)+SUM(R53),1)</f>
        <v>1169.5</v>
      </c>
      <c r="S55" s="2897"/>
      <c r="T55" s="2898"/>
      <c r="U55" s="2896"/>
      <c r="V55" s="2899">
        <f>ROUND(SUM(V25)+SUM(V36)+SUM(V44)+SUM(V53),1)</f>
        <v>9421.7999999999993</v>
      </c>
      <c r="W55" s="2896"/>
      <c r="X55" s="2899">
        <f>ROUND(SUM(X25)+SUM(X36)+SUM(X44)+SUM(X53),1)</f>
        <v>62654.9</v>
      </c>
      <c r="Y55" s="2974"/>
      <c r="Z55" s="2900"/>
      <c r="AA55" s="2896"/>
      <c r="AB55" s="2899">
        <f>ROUND(SUM(AB25)+SUM(AB36)+SUM(AB44)+SUM(AB53),1)</f>
        <v>8879.4</v>
      </c>
      <c r="AC55" s="2896"/>
      <c r="AD55" s="2899">
        <f>ROUND(SUM(AD25)+SUM(AD36)+SUM(AD44)+SUM(AD53),1)</f>
        <v>63313.2</v>
      </c>
      <c r="AE55" s="2901"/>
      <c r="AF55" s="2902"/>
      <c r="AG55" s="2901"/>
      <c r="AH55" s="2903">
        <f>ROUND(SUM(X55)-SUM(AD55),1)</f>
        <v>-658.3</v>
      </c>
      <c r="AI55" s="18"/>
      <c r="AJ55" s="2904">
        <f>ROUND(AH55/AD55,3)</f>
        <v>-0.01</v>
      </c>
      <c r="AK55" s="2554"/>
      <c r="AL55" s="2555"/>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6" orientation="landscape" useFirstPageNumber="1" r:id="rId2"/>
  <headerFooter scaleWithDoc="0" alignWithMargins="0">
    <oddFooter>&amp;C&amp;8&amp;P</oddFooter>
  </headerFooter>
  <ignoredErrors>
    <ignoredError sqref="F36 R36 F44 N44 R44 F55 J55 R55 AJ22:AJ23" unlockedFormula="1"/>
    <ignoredError sqref="AH24 AJ19 AH19 V31 AJ31 AJ42" formula="1"/>
    <ignoredError sqref="AJ51" formula="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8"/>
  <sheetViews>
    <sheetView showGridLines="0" zoomScale="70" workbookViewId="0"/>
  </sheetViews>
  <sheetFormatPr defaultColWidth="8.88671875" defaultRowHeight="16.5" customHeight="1"/>
  <cols>
    <col min="1" max="1" width="43.6640625" style="417" customWidth="1"/>
    <col min="2" max="2" width="1.6640625" style="417" customWidth="1"/>
    <col min="3" max="3" width="13.44140625" style="417" customWidth="1"/>
    <col min="4" max="4" width="1.6640625" style="417" customWidth="1"/>
    <col min="5" max="5" width="13.21875" style="417" bestFit="1" customWidth="1"/>
    <col min="6" max="6" width="1.6640625" style="417" customWidth="1"/>
    <col min="7" max="7" width="12.88671875" style="417" bestFit="1" customWidth="1"/>
    <col min="8" max="8" width="1.6640625" style="417" customWidth="1"/>
    <col min="9" max="9" width="14.44140625" style="417" customWidth="1"/>
    <col min="10" max="10" width="1.6640625" style="417" customWidth="1"/>
    <col min="11" max="11" width="13.21875" style="417" bestFit="1" customWidth="1"/>
    <col min="12" max="12" width="1.6640625" style="417" customWidth="1"/>
    <col min="13" max="13" width="13.33203125" style="417" customWidth="1"/>
    <col min="14" max="14" width="1.6640625" style="417" customWidth="1"/>
    <col min="15" max="15" width="13.21875" style="417" bestFit="1" customWidth="1"/>
    <col min="16" max="16" width="1.6640625" style="417" customWidth="1"/>
    <col min="17" max="17" width="13.44140625" style="417" bestFit="1" customWidth="1"/>
    <col min="18" max="18" width="1.6640625" style="417" customWidth="1"/>
    <col min="19" max="19" width="13.33203125" style="417" customWidth="1"/>
    <col min="20" max="20" width="1.6640625" style="417" customWidth="1"/>
    <col min="21" max="21" width="13" style="417" customWidth="1"/>
    <col min="22" max="22" width="1.6640625" style="417" customWidth="1"/>
    <col min="23" max="23" width="12.33203125" style="417" customWidth="1"/>
    <col min="24" max="24" width="1.6640625" style="417" customWidth="1"/>
    <col min="25" max="25" width="12.88671875" style="417" bestFit="1" customWidth="1"/>
    <col min="26" max="27" width="1.6640625" style="417" customWidth="1"/>
    <col min="28" max="28" width="15.21875" style="417" customWidth="1"/>
    <col min="29" max="30" width="1.6640625" style="417" customWidth="1"/>
    <col min="31" max="31" width="13.5546875" style="417" bestFit="1" customWidth="1"/>
    <col min="32" max="33" width="1.6640625" style="417" customWidth="1"/>
    <col min="34" max="34" width="12.88671875" style="417" bestFit="1" customWidth="1"/>
    <col min="35" max="35" width="1.33203125" style="417" customWidth="1"/>
    <col min="36" max="36" width="11.77734375" style="417" customWidth="1"/>
    <col min="37" max="16384" width="8.88671875" style="417"/>
  </cols>
  <sheetData>
    <row r="1" spans="1:37" ht="16.5" customHeight="1">
      <c r="A1" s="1159" t="s">
        <v>1090</v>
      </c>
    </row>
    <row r="2" spans="1:37" ht="16.5" customHeight="1">
      <c r="A2" s="1649"/>
    </row>
    <row r="3" spans="1:37" ht="20.25" customHeight="1">
      <c r="A3" s="425" t="s">
        <v>0</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I3" s="428"/>
    </row>
    <row r="4" spans="1:37" ht="20.25" customHeight="1">
      <c r="A4" s="425" t="s">
        <v>126</v>
      </c>
      <c r="B4" s="428"/>
      <c r="C4" s="428"/>
      <c r="D4" s="428"/>
      <c r="E4" s="428"/>
      <c r="F4" s="428"/>
      <c r="G4" s="428"/>
      <c r="H4" s="428"/>
      <c r="I4" s="428" t="s">
        <v>15</v>
      </c>
      <c r="J4" s="428"/>
      <c r="K4" s="428"/>
      <c r="L4" s="428"/>
      <c r="M4" s="428"/>
      <c r="N4" s="428"/>
      <c r="O4" s="428"/>
      <c r="P4" s="428"/>
      <c r="Q4" s="428"/>
      <c r="R4" s="428"/>
      <c r="S4" s="428"/>
      <c r="T4" s="428"/>
      <c r="U4" s="428"/>
      <c r="V4" s="428"/>
      <c r="W4" s="428"/>
      <c r="X4" s="428"/>
      <c r="Y4" s="428" t="s">
        <v>15</v>
      </c>
      <c r="Z4" s="428"/>
      <c r="AA4" s="428"/>
      <c r="AB4" s="428"/>
      <c r="AC4" s="428"/>
      <c r="AD4" s="428"/>
      <c r="AE4" s="428"/>
      <c r="AF4" s="428"/>
      <c r="AG4" s="428"/>
      <c r="AI4" s="428"/>
    </row>
    <row r="5" spans="1:37" ht="20.25" customHeight="1">
      <c r="A5" s="427" t="s">
        <v>127</v>
      </c>
      <c r="B5" s="428"/>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C5" s="3500"/>
      <c r="AD5" s="3501"/>
      <c r="AE5" s="3501"/>
      <c r="AF5" s="3501"/>
      <c r="AG5" s="3501"/>
      <c r="AH5" s="3501"/>
      <c r="AI5" s="3501"/>
      <c r="AJ5" s="3501"/>
    </row>
    <row r="6" spans="1:37" ht="20.25" customHeight="1">
      <c r="A6" s="427" t="s">
        <v>1413</v>
      </c>
      <c r="B6" s="428"/>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I6" s="428"/>
    </row>
    <row r="7" spans="1:37" ht="20.25" customHeight="1">
      <c r="A7" s="425" t="s">
        <v>979</v>
      </c>
      <c r="B7" s="428"/>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I7" s="428"/>
    </row>
    <row r="8" spans="1:37" ht="16.5" customHeight="1">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I8" s="428"/>
    </row>
    <row r="9" spans="1:37" ht="16.5" customHeight="1">
      <c r="A9" s="428"/>
      <c r="B9" s="428"/>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I9" s="428"/>
    </row>
    <row r="10" spans="1:37" ht="16.5" customHeight="1">
      <c r="A10" s="428"/>
      <c r="B10" s="428"/>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I10" s="428"/>
    </row>
    <row r="11" spans="1:37" ht="16.5" customHeight="1">
      <c r="A11" s="428"/>
      <c r="B11" s="428"/>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C11" s="428"/>
      <c r="AD11" s="428"/>
      <c r="AE11" s="428"/>
      <c r="AF11" s="428"/>
      <c r="AG11" s="428"/>
      <c r="AI11" s="428"/>
    </row>
    <row r="12" spans="1:37" ht="16.5" customHeight="1">
      <c r="A12" s="428"/>
      <c r="B12" s="428"/>
      <c r="C12" s="428"/>
      <c r="D12" s="428"/>
      <c r="E12" s="428"/>
      <c r="F12" s="428"/>
      <c r="G12" s="428"/>
      <c r="H12" s="428"/>
      <c r="I12" s="428"/>
      <c r="J12" s="428"/>
      <c r="K12" s="428"/>
      <c r="L12" s="428"/>
      <c r="M12" s="428"/>
      <c r="N12" s="428"/>
      <c r="O12" s="428"/>
      <c r="P12" s="428"/>
      <c r="Q12" s="428"/>
      <c r="R12" s="428"/>
      <c r="S12" s="428"/>
      <c r="T12" s="428"/>
      <c r="U12" s="428"/>
      <c r="V12" s="428"/>
      <c r="W12" s="428"/>
      <c r="X12" s="428"/>
      <c r="Z12" s="428"/>
      <c r="AA12" s="968"/>
      <c r="AB12" s="3502" t="s">
        <v>1559</v>
      </c>
      <c r="AC12" s="3502"/>
      <c r="AD12" s="3502"/>
      <c r="AE12" s="3502"/>
      <c r="AF12" s="3502"/>
      <c r="AG12" s="3502"/>
      <c r="AH12" s="3502"/>
      <c r="AI12" s="3502"/>
      <c r="AJ12" s="3502"/>
    </row>
    <row r="13" spans="1:37" ht="16.5" customHeight="1">
      <c r="A13" s="428"/>
      <c r="B13" s="428"/>
      <c r="C13" s="3022">
        <v>2016</v>
      </c>
      <c r="D13" s="966"/>
      <c r="E13" s="966"/>
      <c r="F13" s="966"/>
      <c r="G13" s="966"/>
      <c r="H13" s="966"/>
      <c r="I13" s="966"/>
      <c r="J13" s="966"/>
      <c r="K13" s="966"/>
      <c r="L13" s="966"/>
      <c r="M13" s="966"/>
      <c r="N13" s="966"/>
      <c r="O13" s="966"/>
      <c r="P13" s="966"/>
      <c r="Q13" s="966"/>
      <c r="R13" s="966"/>
      <c r="S13" s="966"/>
      <c r="T13" s="966"/>
      <c r="U13" s="3022">
        <v>2017</v>
      </c>
      <c r="V13" s="966"/>
      <c r="W13" s="966"/>
      <c r="X13" s="966"/>
      <c r="Y13" s="966"/>
      <c r="Z13" s="966"/>
      <c r="AA13" s="966"/>
      <c r="AB13" s="966"/>
      <c r="AC13" s="1444"/>
      <c r="AD13" s="1444"/>
      <c r="AE13" s="1444"/>
      <c r="AF13" s="966"/>
      <c r="AG13" s="966"/>
      <c r="AH13" s="1445" t="s">
        <v>8</v>
      </c>
      <c r="AI13" s="1443"/>
      <c r="AJ13" s="1445" t="s">
        <v>9</v>
      </c>
    </row>
    <row r="14" spans="1:37" ht="16.5" customHeight="1">
      <c r="A14" s="428"/>
      <c r="B14" s="428"/>
      <c r="C14" s="1445" t="s">
        <v>128</v>
      </c>
      <c r="D14" s="966"/>
      <c r="E14" s="1445" t="s">
        <v>129</v>
      </c>
      <c r="F14" s="966"/>
      <c r="G14" s="1445" t="s">
        <v>130</v>
      </c>
      <c r="H14" s="966"/>
      <c r="I14" s="1445" t="s">
        <v>131</v>
      </c>
      <c r="J14" s="966"/>
      <c r="K14" s="1445" t="s">
        <v>132</v>
      </c>
      <c r="L14" s="966"/>
      <c r="M14" s="1445" t="s">
        <v>133</v>
      </c>
      <c r="N14" s="966"/>
      <c r="O14" s="1445" t="s">
        <v>134</v>
      </c>
      <c r="P14" s="966"/>
      <c r="Q14" s="1445" t="s">
        <v>135</v>
      </c>
      <c r="R14" s="966"/>
      <c r="S14" s="1445" t="s">
        <v>136</v>
      </c>
      <c r="T14" s="966"/>
      <c r="U14" s="1445" t="s">
        <v>137</v>
      </c>
      <c r="V14" s="966"/>
      <c r="W14" s="1445" t="s">
        <v>138</v>
      </c>
      <c r="X14" s="966"/>
      <c r="Y14" s="1445" t="s">
        <v>139</v>
      </c>
      <c r="Z14" s="966"/>
      <c r="AA14" s="966"/>
      <c r="AB14" s="1446">
        <v>2017</v>
      </c>
      <c r="AC14" s="966"/>
      <c r="AD14" s="966"/>
      <c r="AE14" s="1446">
        <v>2016</v>
      </c>
      <c r="AF14" s="966"/>
      <c r="AG14" s="966"/>
      <c r="AH14" s="1447" t="s">
        <v>12</v>
      </c>
      <c r="AI14" s="1443"/>
      <c r="AJ14" s="1447" t="s">
        <v>13</v>
      </c>
    </row>
    <row r="15" spans="1:37" ht="6" customHeight="1">
      <c r="A15" s="428"/>
      <c r="B15" s="428"/>
      <c r="C15" s="969"/>
      <c r="D15" s="428"/>
      <c r="E15" s="969"/>
      <c r="F15" s="428"/>
      <c r="G15" s="969"/>
      <c r="H15" s="428"/>
      <c r="I15" s="969"/>
      <c r="J15" s="428"/>
      <c r="K15" s="969"/>
      <c r="L15" s="428"/>
      <c r="M15" s="969"/>
      <c r="N15" s="428"/>
      <c r="O15" s="969" t="s">
        <v>15</v>
      </c>
      <c r="P15" s="428"/>
      <c r="Q15" s="969"/>
      <c r="R15" s="428"/>
      <c r="S15" s="969"/>
      <c r="T15" s="428"/>
      <c r="U15" s="969" t="s">
        <v>15</v>
      </c>
      <c r="V15" s="428"/>
      <c r="W15" s="969"/>
      <c r="X15" s="428"/>
      <c r="Y15" s="969"/>
      <c r="Z15" s="428"/>
      <c r="AA15" s="428"/>
      <c r="AB15" s="969"/>
      <c r="AC15" s="428"/>
      <c r="AD15" s="428"/>
      <c r="AE15" s="969"/>
      <c r="AF15" s="428"/>
      <c r="AG15" s="428"/>
      <c r="AI15" s="428"/>
    </row>
    <row r="16" spans="1:37" ht="16.5" customHeight="1">
      <c r="A16" s="967" t="s">
        <v>140</v>
      </c>
      <c r="B16" s="428"/>
      <c r="C16" s="1300">
        <v>11810.1</v>
      </c>
      <c r="D16" s="970"/>
      <c r="E16" s="970">
        <f>C144</f>
        <v>14231.2</v>
      </c>
      <c r="F16" s="970"/>
      <c r="G16" s="970">
        <f>E144</f>
        <v>12089.8</v>
      </c>
      <c r="H16" s="970"/>
      <c r="I16" s="970">
        <f>G144</f>
        <v>12220.4</v>
      </c>
      <c r="J16" s="970"/>
      <c r="K16" s="970">
        <f>I144</f>
        <v>12499.3</v>
      </c>
      <c r="L16" s="970"/>
      <c r="M16" s="970">
        <f>K144</f>
        <v>12188</v>
      </c>
      <c r="N16" s="970"/>
      <c r="O16" s="970">
        <f>M144</f>
        <v>13427.3</v>
      </c>
      <c r="P16" s="970"/>
      <c r="Q16" s="970">
        <f>+O144</f>
        <v>13265.5</v>
      </c>
      <c r="R16" s="970"/>
      <c r="S16" s="970">
        <f>Q144</f>
        <v>10457.5</v>
      </c>
      <c r="T16" s="970"/>
      <c r="U16" s="970">
        <f>S144</f>
        <v>12974.8</v>
      </c>
      <c r="V16" s="970"/>
      <c r="W16" s="970"/>
      <c r="X16" s="970"/>
      <c r="Y16" s="970"/>
      <c r="Z16" s="970"/>
      <c r="AA16" s="971"/>
      <c r="AB16" s="970">
        <f>C16</f>
        <v>11810.1</v>
      </c>
      <c r="AC16" s="970"/>
      <c r="AD16" s="972"/>
      <c r="AE16" s="970">
        <v>9355.6</v>
      </c>
      <c r="AF16" s="970"/>
      <c r="AG16" s="970"/>
      <c r="AH16" s="970">
        <f>ROUND(SUM(AB16-AE16),1)</f>
        <v>2454.5</v>
      </c>
      <c r="AI16" s="966"/>
      <c r="AJ16" s="511">
        <f>ROUND(SUM(AH16/AE16),3)</f>
        <v>0.26200000000000001</v>
      </c>
      <c r="AK16" s="792"/>
    </row>
    <row r="17" spans="1:36" ht="16.5" customHeight="1">
      <c r="A17" s="428"/>
      <c r="B17" s="428"/>
      <c r="C17" s="428" t="s">
        <v>15</v>
      </c>
      <c r="D17" s="428"/>
      <c r="E17" s="973"/>
      <c r="F17" s="428"/>
      <c r="G17" s="973"/>
      <c r="H17" s="428"/>
      <c r="I17" s="973"/>
      <c r="J17" s="428"/>
      <c r="K17" s="973"/>
      <c r="L17" s="428"/>
      <c r="M17" s="973"/>
      <c r="N17" s="428"/>
      <c r="O17" s="973"/>
      <c r="P17" s="428"/>
      <c r="Q17" s="973"/>
      <c r="R17" s="428"/>
      <c r="S17" s="973"/>
      <c r="T17" s="428"/>
      <c r="U17" s="973"/>
      <c r="V17" s="428"/>
      <c r="W17" s="973"/>
      <c r="X17" s="428"/>
      <c r="Y17" s="973"/>
      <c r="Z17" s="428"/>
      <c r="AA17" s="974"/>
      <c r="AB17" s="428" t="s">
        <v>15</v>
      </c>
      <c r="AC17" s="428"/>
      <c r="AD17" s="975"/>
      <c r="AE17" s="428" t="s">
        <v>15</v>
      </c>
      <c r="AF17" s="428"/>
      <c r="AG17" s="428"/>
      <c r="AH17" s="1632"/>
      <c r="AI17" s="428"/>
      <c r="AJ17" s="1632"/>
    </row>
    <row r="18" spans="1:36" ht="16.5" customHeight="1">
      <c r="A18" s="408" t="s">
        <v>14</v>
      </c>
      <c r="B18" s="428"/>
      <c r="C18" s="428"/>
      <c r="D18" s="428"/>
      <c r="E18" s="973"/>
      <c r="F18" s="428"/>
      <c r="G18" s="973"/>
      <c r="H18" s="428"/>
      <c r="I18" s="973"/>
      <c r="J18" s="428"/>
      <c r="K18" s="973"/>
      <c r="L18" s="428"/>
      <c r="M18" s="973"/>
      <c r="N18" s="428"/>
      <c r="O18" s="973"/>
      <c r="P18" s="428"/>
      <c r="Q18" s="973"/>
      <c r="R18" s="428"/>
      <c r="S18" s="973"/>
      <c r="T18" s="428"/>
      <c r="U18" s="973"/>
      <c r="V18" s="428"/>
      <c r="W18" s="973"/>
      <c r="X18" s="428"/>
      <c r="Y18" s="973"/>
      <c r="Z18" s="428"/>
      <c r="AA18" s="974"/>
      <c r="AB18" s="428"/>
      <c r="AC18" s="428"/>
      <c r="AD18" s="975"/>
      <c r="AE18" s="428"/>
      <c r="AF18" s="428"/>
      <c r="AG18" s="428"/>
      <c r="AH18" s="1632"/>
      <c r="AI18" s="428"/>
      <c r="AJ18" s="1632"/>
    </row>
    <row r="19" spans="1:36" ht="16.5" customHeight="1">
      <c r="A19" s="488" t="s">
        <v>1206</v>
      </c>
      <c r="B19" s="428"/>
      <c r="C19" s="428"/>
      <c r="D19" s="428"/>
      <c r="E19" s="973"/>
      <c r="F19" s="428"/>
      <c r="G19" s="973"/>
      <c r="H19" s="428"/>
      <c r="I19" s="973"/>
      <c r="J19" s="428"/>
      <c r="K19" s="973"/>
      <c r="L19" s="428"/>
      <c r="M19" s="973"/>
      <c r="N19" s="428"/>
      <c r="O19" s="973"/>
      <c r="P19" s="428"/>
      <c r="Q19" s="973"/>
      <c r="R19" s="428"/>
      <c r="S19" s="973"/>
      <c r="T19" s="428"/>
      <c r="U19" s="973"/>
      <c r="V19" s="428"/>
      <c r="W19" s="973"/>
      <c r="X19" s="428"/>
      <c r="Y19" s="973"/>
      <c r="Z19" s="428"/>
      <c r="AA19" s="974"/>
      <c r="AB19" s="428"/>
      <c r="AC19" s="428"/>
      <c r="AD19" s="975"/>
      <c r="AE19" s="428"/>
      <c r="AF19" s="428"/>
      <c r="AG19" s="428"/>
      <c r="AH19" s="1632"/>
      <c r="AI19" s="428"/>
      <c r="AJ19" s="1632"/>
    </row>
    <row r="20" spans="1:36" ht="16.5" customHeight="1">
      <c r="A20" s="1990" t="s">
        <v>1275</v>
      </c>
      <c r="B20" s="1243"/>
      <c r="C20" s="1109"/>
      <c r="D20" s="1109"/>
      <c r="E20" s="1109"/>
      <c r="F20" s="1109"/>
      <c r="G20" s="1109"/>
      <c r="H20" s="428"/>
      <c r="I20" s="973"/>
      <c r="J20" s="428"/>
      <c r="K20" s="973"/>
      <c r="L20" s="428"/>
      <c r="M20" s="973"/>
      <c r="N20" s="428"/>
      <c r="O20" s="973"/>
      <c r="P20" s="428"/>
      <c r="Q20" s="3464"/>
      <c r="R20" s="428"/>
      <c r="S20" s="973"/>
      <c r="T20" s="428"/>
      <c r="U20" s="973"/>
      <c r="V20" s="428"/>
      <c r="W20" s="973"/>
      <c r="X20" s="428"/>
      <c r="Y20" s="973"/>
      <c r="Z20" s="428"/>
      <c r="AA20" s="1845"/>
      <c r="AB20" s="428"/>
      <c r="AC20" s="428"/>
      <c r="AD20" s="975"/>
      <c r="AE20" s="428"/>
      <c r="AF20" s="428"/>
      <c r="AG20" s="428"/>
      <c r="AH20" s="1632"/>
      <c r="AI20" s="428"/>
      <c r="AJ20" s="1632"/>
    </row>
    <row r="21" spans="1:36" ht="16.5" customHeight="1">
      <c r="A21" s="1243" t="s">
        <v>1214</v>
      </c>
      <c r="B21" s="1243"/>
      <c r="C21" s="693">
        <f>+'Exhibit F'!D19</f>
        <v>2649.4</v>
      </c>
      <c r="D21" s="1112"/>
      <c r="E21" s="693">
        <f>+'Exhibit F'!F19</f>
        <v>2595</v>
      </c>
      <c r="F21" s="1112"/>
      <c r="G21" s="693">
        <f>+'Exhibit F'!H19</f>
        <v>2860</v>
      </c>
      <c r="H21" s="976"/>
      <c r="I21" s="693">
        <f>+'Exhibit F'!J19</f>
        <v>2545.1</v>
      </c>
      <c r="J21" s="976"/>
      <c r="K21" s="693">
        <f>+'Exhibit F'!L19</f>
        <v>2914.8</v>
      </c>
      <c r="L21" s="428"/>
      <c r="M21" s="693">
        <f>+'Exhibit F'!N19</f>
        <v>2466</v>
      </c>
      <c r="N21" s="428"/>
      <c r="O21" s="693">
        <f>+'Exhibit F'!P19</f>
        <v>2562.4</v>
      </c>
      <c r="P21" s="428"/>
      <c r="Q21" s="693">
        <f>+'Exhibit F'!R19</f>
        <v>2828.4</v>
      </c>
      <c r="R21" s="428"/>
      <c r="S21" s="693">
        <f>+'Exhibit F'!T19</f>
        <v>3535.3</v>
      </c>
      <c r="T21" s="428"/>
      <c r="U21" s="693">
        <f>+'Exhibit F'!V19</f>
        <v>4135.7</v>
      </c>
      <c r="V21" s="428"/>
      <c r="W21" s="693"/>
      <c r="X21" s="428"/>
      <c r="Y21" s="693"/>
      <c r="Z21" s="428"/>
      <c r="AA21" s="1845"/>
      <c r="AB21" s="976">
        <f t="shared" ref="AB21:AB30" si="0">ROUND(SUM(C21:Y21),1)</f>
        <v>29092.1</v>
      </c>
      <c r="AC21" s="428"/>
      <c r="AD21" s="975"/>
      <c r="AE21" s="693">
        <f>+'Exhibit F'!AF19</f>
        <v>28264.400000000001</v>
      </c>
      <c r="AF21" s="428"/>
      <c r="AG21" s="428"/>
      <c r="AH21" s="1146">
        <f>ROUND(SUM(+AB21-AE21),1)</f>
        <v>827.7</v>
      </c>
      <c r="AI21" s="2005"/>
      <c r="AJ21" s="1780">
        <f>ROUND(IF(AE21=0,0,AH21/ABS(AE21)),3)</f>
        <v>2.9000000000000001E-2</v>
      </c>
    </row>
    <row r="22" spans="1:36" ht="16.5" customHeight="1">
      <c r="A22" s="1243" t="s">
        <v>1215</v>
      </c>
      <c r="B22" s="1248"/>
      <c r="C22" s="693">
        <f>+'Exhibit F'!D20</f>
        <v>4784</v>
      </c>
      <c r="D22" s="1112"/>
      <c r="E22" s="693">
        <f>+'Exhibit F'!F20</f>
        <v>137</v>
      </c>
      <c r="F22" s="1112"/>
      <c r="G22" s="693">
        <f>+'Exhibit F'!H20</f>
        <v>1950.5</v>
      </c>
      <c r="H22" s="976"/>
      <c r="I22" s="693">
        <f>+'Exhibit F'!J20</f>
        <v>95</v>
      </c>
      <c r="J22" s="976"/>
      <c r="K22" s="693">
        <f>+'Exhibit F'!L20</f>
        <v>97.1</v>
      </c>
      <c r="L22" s="428"/>
      <c r="M22" s="693">
        <f>+'Exhibit F'!N20</f>
        <v>2355.6999999999998</v>
      </c>
      <c r="N22" s="428"/>
      <c r="O22" s="693">
        <f>+'Exhibit F'!P20</f>
        <v>162.4</v>
      </c>
      <c r="P22" s="428"/>
      <c r="Q22" s="693">
        <f>+'Exhibit F'!R20</f>
        <v>79.599999999999994</v>
      </c>
      <c r="R22" s="428"/>
      <c r="S22" s="693">
        <f>+'Exhibit F'!T20</f>
        <v>1647.2</v>
      </c>
      <c r="T22" s="428"/>
      <c r="U22" s="693">
        <f>+'Exhibit F'!V20</f>
        <v>3481.6</v>
      </c>
      <c r="V22" s="428"/>
      <c r="W22" s="693"/>
      <c r="X22" s="428"/>
      <c r="Y22" s="693"/>
      <c r="Z22" s="428"/>
      <c r="AA22" s="1845"/>
      <c r="AB22" s="976">
        <f t="shared" si="0"/>
        <v>14790.1</v>
      </c>
      <c r="AC22" s="428"/>
      <c r="AD22" s="975"/>
      <c r="AE22" s="693">
        <f>+'Exhibit F'!AF20</f>
        <v>15925.9</v>
      </c>
      <c r="AF22" s="428"/>
      <c r="AG22" s="428"/>
      <c r="AH22" s="1146">
        <f>ROUND(SUM(+AB22-AE22),1)</f>
        <v>-1135.8</v>
      </c>
      <c r="AI22" s="2005"/>
      <c r="AJ22" s="1780">
        <f>ROUND(IF(AE22=0,0,AH22/ABS(AE22)),3)</f>
        <v>-7.0999999999999994E-2</v>
      </c>
    </row>
    <row r="23" spans="1:36" ht="16.5" customHeight="1">
      <c r="A23" s="1243" t="s">
        <v>1216</v>
      </c>
      <c r="B23" s="1243"/>
      <c r="C23" s="693">
        <f>+'Exhibit F'!D21</f>
        <v>1717.3</v>
      </c>
      <c r="D23" s="1112"/>
      <c r="E23" s="693">
        <f>+'Exhibit F'!F21</f>
        <v>63.3</v>
      </c>
      <c r="F23" s="1112"/>
      <c r="G23" s="693">
        <f>+'Exhibit F'!H21</f>
        <v>38.799999999999997</v>
      </c>
      <c r="H23" s="976"/>
      <c r="I23" s="693">
        <f>+'Exhibit F'!J21</f>
        <v>30.2</v>
      </c>
      <c r="J23" s="976"/>
      <c r="K23" s="693">
        <f>+'Exhibit F'!L21</f>
        <v>33.9</v>
      </c>
      <c r="L23" s="428"/>
      <c r="M23" s="693">
        <f>+'Exhibit F'!N21</f>
        <v>63</v>
      </c>
      <c r="N23" s="428"/>
      <c r="O23" s="693">
        <f>+'Exhibit F'!P21</f>
        <v>399.2</v>
      </c>
      <c r="P23" s="428"/>
      <c r="Q23" s="693">
        <f>+'Exhibit F'!R21</f>
        <v>33.4</v>
      </c>
      <c r="R23" s="428"/>
      <c r="S23" s="693">
        <f>+'Exhibit F'!T21</f>
        <v>22.9</v>
      </c>
      <c r="T23" s="428"/>
      <c r="U23" s="693">
        <f>+'Exhibit F'!V21</f>
        <v>19.5</v>
      </c>
      <c r="V23" s="428"/>
      <c r="W23" s="693"/>
      <c r="X23" s="428"/>
      <c r="Y23" s="693"/>
      <c r="Z23" s="428"/>
      <c r="AA23" s="1845"/>
      <c r="AB23" s="976">
        <f t="shared" si="0"/>
        <v>2421.5</v>
      </c>
      <c r="AC23" s="428"/>
      <c r="AD23" s="975"/>
      <c r="AE23" s="693">
        <f>+'Exhibit F'!AF21</f>
        <v>2443.6</v>
      </c>
      <c r="AF23" s="428"/>
      <c r="AG23" s="428"/>
      <c r="AH23" s="1146">
        <f>ROUND(SUM(+AB23-AE23),1)</f>
        <v>-22.1</v>
      </c>
      <c r="AI23" s="2005"/>
      <c r="AJ23" s="1780">
        <f>ROUND(IF(AE23=0,0,AH23/ABS(AE23)),3)</f>
        <v>-8.9999999999999993E-3</v>
      </c>
    </row>
    <row r="24" spans="1:36" ht="16.5" customHeight="1">
      <c r="A24" s="2028" t="s">
        <v>1217</v>
      </c>
      <c r="B24" s="1243"/>
      <c r="C24" s="693">
        <f>+'Exhibit F'!D22</f>
        <v>-184.9</v>
      </c>
      <c r="D24" s="1112"/>
      <c r="E24" s="693">
        <f>+'Exhibit F'!F22</f>
        <v>-18.2</v>
      </c>
      <c r="F24" s="1112"/>
      <c r="G24" s="693">
        <f>+'Exhibit F'!H22</f>
        <v>-16.7</v>
      </c>
      <c r="H24" s="976"/>
      <c r="I24" s="693">
        <f>+'Exhibit F'!J22</f>
        <v>-15.9</v>
      </c>
      <c r="J24" s="976"/>
      <c r="K24" s="693">
        <f>+'Exhibit F'!L22</f>
        <v>-18.8</v>
      </c>
      <c r="L24" s="428"/>
      <c r="M24" s="693">
        <f>+'Exhibit F'!N22</f>
        <v>-64.900000000000006</v>
      </c>
      <c r="N24" s="428"/>
      <c r="O24" s="693">
        <f>+'Exhibit F'!P22</f>
        <v>-294.7</v>
      </c>
      <c r="P24" s="428"/>
      <c r="Q24" s="693">
        <f>+'Exhibit F'!R22</f>
        <v>-121.1</v>
      </c>
      <c r="R24" s="428"/>
      <c r="S24" s="693">
        <f>+'Exhibit F'!T22</f>
        <v>-19.899999999999999</v>
      </c>
      <c r="T24" s="428"/>
      <c r="U24" s="693">
        <f>+'Exhibit F'!V22</f>
        <v>-15.2</v>
      </c>
      <c r="V24" s="428"/>
      <c r="W24" s="693"/>
      <c r="X24" s="428"/>
      <c r="Y24" s="693"/>
      <c r="Z24" s="428"/>
      <c r="AA24" s="1845"/>
      <c r="AB24" s="976">
        <f t="shared" si="0"/>
        <v>-770.3</v>
      </c>
      <c r="AC24" s="428"/>
      <c r="AD24" s="975"/>
      <c r="AE24" s="693">
        <f>+'Exhibit F'!AF22</f>
        <v>-624.79999999999995</v>
      </c>
      <c r="AF24" s="428"/>
      <c r="AG24" s="428"/>
      <c r="AH24" s="1146">
        <f>-ROUND(SUM(+AB24-AE24),1)</f>
        <v>145.5</v>
      </c>
      <c r="AI24" s="2005"/>
      <c r="AJ24" s="2679">
        <f>ROUND(IF(AE24=0,0,AH24/ABS(AE24)),3)</f>
        <v>0.23300000000000001</v>
      </c>
    </row>
    <row r="25" spans="1:36" ht="16.5" customHeight="1">
      <c r="A25" s="2028" t="s">
        <v>1218</v>
      </c>
      <c r="B25" s="1243"/>
      <c r="C25" s="693">
        <f>+'Exhibit F'!D23</f>
        <v>170.4</v>
      </c>
      <c r="D25" s="1112"/>
      <c r="E25" s="693">
        <f>+'Exhibit F'!F23</f>
        <v>104.2</v>
      </c>
      <c r="F25" s="1112"/>
      <c r="G25" s="693">
        <f>+'Exhibit F'!H23</f>
        <v>122.9</v>
      </c>
      <c r="H25" s="976"/>
      <c r="I25" s="693">
        <f>+'Exhibit F'!J23</f>
        <v>79.400000000000006</v>
      </c>
      <c r="J25" s="976"/>
      <c r="K25" s="693">
        <f>+'Exhibit F'!L23</f>
        <v>90.8</v>
      </c>
      <c r="L25" s="428"/>
      <c r="M25" s="693">
        <f>+'Exhibit F'!N23</f>
        <v>93.1</v>
      </c>
      <c r="N25" s="428"/>
      <c r="O25" s="693">
        <f>+'Exhibit F'!P23</f>
        <v>103.9</v>
      </c>
      <c r="P25" s="428"/>
      <c r="Q25" s="693">
        <f>+'Exhibit F'!R23</f>
        <v>93.3</v>
      </c>
      <c r="R25" s="428"/>
      <c r="S25" s="693">
        <f>+'Exhibit F'!T23</f>
        <v>102.4</v>
      </c>
      <c r="T25" s="428"/>
      <c r="U25" s="693">
        <f>+'Exhibit F'!V23</f>
        <v>118.8</v>
      </c>
      <c r="V25" s="428"/>
      <c r="W25" s="693"/>
      <c r="X25" s="428"/>
      <c r="Y25" s="693"/>
      <c r="Z25" s="428"/>
      <c r="AA25" s="1845"/>
      <c r="AB25" s="976">
        <f t="shared" si="0"/>
        <v>1079.2</v>
      </c>
      <c r="AC25" s="428"/>
      <c r="AD25" s="975"/>
      <c r="AE25" s="693">
        <f>+'Exhibit F'!AF23</f>
        <v>968.7</v>
      </c>
      <c r="AF25" s="428"/>
      <c r="AG25" s="428"/>
      <c r="AH25" s="1146">
        <f>ROUND(SUM(+AB25-AE25),1)</f>
        <v>110.5</v>
      </c>
      <c r="AI25" s="2005"/>
      <c r="AJ25" s="2682">
        <f t="shared" ref="AJ25:AJ30" si="1">ROUND(IF(AE25=0,0,AH25/ABS(AE25)),3)</f>
        <v>0.114</v>
      </c>
    </row>
    <row r="26" spans="1:36" ht="16.5" customHeight="1">
      <c r="A26" s="1244" t="s">
        <v>1219</v>
      </c>
      <c r="B26" s="1244"/>
      <c r="C26" s="1247">
        <f>ROUND(SUM(C21:C25),1)</f>
        <v>9136.2000000000007</v>
      </c>
      <c r="D26" s="184"/>
      <c r="E26" s="1247">
        <f>ROUND(SUM(E21:E25),1)</f>
        <v>2881.3</v>
      </c>
      <c r="F26" s="184"/>
      <c r="G26" s="1742">
        <f>ROUND(SUM(G21:G25),1)</f>
        <v>4955.5</v>
      </c>
      <c r="H26" s="428"/>
      <c r="I26" s="1742">
        <f>ROUND(SUM(I21:I25),1)</f>
        <v>2733.8</v>
      </c>
      <c r="J26" s="428"/>
      <c r="K26" s="1742">
        <f>ROUND(SUM(K21:K25),1)</f>
        <v>3117.8</v>
      </c>
      <c r="L26" s="428"/>
      <c r="M26" s="1742">
        <f>ROUND(SUM(M21:M25),1)</f>
        <v>4912.8999999999996</v>
      </c>
      <c r="N26" s="428"/>
      <c r="O26" s="1742">
        <f>ROUND(SUM(O21:O25),1)</f>
        <v>2933.2</v>
      </c>
      <c r="P26" s="428"/>
      <c r="Q26" s="1742">
        <f>ROUND(SUM(Q21:Q25),1)</f>
        <v>2913.6</v>
      </c>
      <c r="R26" s="428"/>
      <c r="S26" s="1742">
        <f>ROUND(SUM(S21:S25),1)</f>
        <v>5287.9</v>
      </c>
      <c r="T26" s="428"/>
      <c r="U26" s="1742">
        <f>ROUND(SUM(U21:U25),1)</f>
        <v>7740.4</v>
      </c>
      <c r="V26" s="428"/>
      <c r="W26" s="1742">
        <f>ROUND(SUM(W21:W25),1)</f>
        <v>0</v>
      </c>
      <c r="X26" s="428"/>
      <c r="Y26" s="1742">
        <f>ROUND(SUM(Y21:Y25),1)</f>
        <v>0</v>
      </c>
      <c r="Z26" s="428"/>
      <c r="AA26" s="1845"/>
      <c r="AB26" s="993">
        <f t="shared" si="0"/>
        <v>46612.6</v>
      </c>
      <c r="AC26" s="428"/>
      <c r="AD26" s="975"/>
      <c r="AE26" s="1742">
        <f>ROUND(SUM(AE21:AE25),1)</f>
        <v>46977.8</v>
      </c>
      <c r="AF26" s="428"/>
      <c r="AG26" s="428"/>
      <c r="AH26" s="482">
        <f>ROUND(SUM(AB26-AE26),1)</f>
        <v>-365.2</v>
      </c>
      <c r="AI26" s="2005"/>
      <c r="AJ26" s="2683">
        <f t="shared" si="1"/>
        <v>-8.0000000000000002E-3</v>
      </c>
    </row>
    <row r="27" spans="1:36" ht="16.5" customHeight="1">
      <c r="A27" s="2028" t="s">
        <v>1221</v>
      </c>
      <c r="B27" s="1243"/>
      <c r="C27" s="2558">
        <f>+'Exhibit F'!D25+'Exhibit G'!D18</f>
        <v>0</v>
      </c>
      <c r="D27" s="1113"/>
      <c r="E27" s="2558">
        <f>+'Exhibit F'!F25+'Exhibit G'!F18</f>
        <v>0</v>
      </c>
      <c r="F27" s="1113"/>
      <c r="G27" s="2558">
        <f>+'Exhibit F'!H25+'Exhibit G'!H18</f>
        <v>0</v>
      </c>
      <c r="H27" s="2680"/>
      <c r="I27" s="2558">
        <f>+'Exhibit F'!J25+'Exhibit G'!J18</f>
        <v>0</v>
      </c>
      <c r="J27" s="2680"/>
      <c r="K27" s="2558">
        <f>+'Exhibit F'!L25+'Exhibit G'!L18</f>
        <v>0</v>
      </c>
      <c r="L27" s="2681"/>
      <c r="M27" s="2558">
        <f>+'Exhibit F'!N25+'Exhibit G'!N18</f>
        <v>0</v>
      </c>
      <c r="N27" s="2681"/>
      <c r="O27" s="2558">
        <f>+'Exhibit F'!P25+'Exhibit G'!P18</f>
        <v>0</v>
      </c>
      <c r="P27" s="428"/>
      <c r="Q27" s="2558">
        <f>+'Exhibit F'!R25+'Exhibit G'!R18</f>
        <v>0</v>
      </c>
      <c r="R27" s="428"/>
      <c r="S27" s="2558">
        <f>+'Exhibit F'!T25+'Exhibit G'!T18</f>
        <v>0</v>
      </c>
      <c r="T27" s="428"/>
      <c r="U27" s="2558">
        <f>+'Exhibit F'!V25+'Exhibit G'!V18</f>
        <v>0</v>
      </c>
      <c r="V27" s="428"/>
      <c r="W27" s="2558"/>
      <c r="X27" s="428"/>
      <c r="Y27" s="2753"/>
      <c r="Z27" s="428"/>
      <c r="AA27" s="1845"/>
      <c r="AB27" s="976">
        <f t="shared" si="0"/>
        <v>0</v>
      </c>
      <c r="AC27" s="428"/>
      <c r="AD27" s="975"/>
      <c r="AE27" s="2558">
        <f>+'Exhibit F'!AF25+'Exhibit G'!AH18</f>
        <v>0</v>
      </c>
      <c r="AF27" s="428"/>
      <c r="AG27" s="428"/>
      <c r="AH27" s="1146">
        <f>ROUND(SUM(+AB27-AE27),1)</f>
        <v>0</v>
      </c>
      <c r="AI27" s="2005"/>
      <c r="AJ27" s="2679">
        <f t="shared" si="1"/>
        <v>0</v>
      </c>
    </row>
    <row r="28" spans="1:36" ht="16.5" customHeight="1">
      <c r="A28" s="2028" t="s">
        <v>1222</v>
      </c>
      <c r="B28" s="1243"/>
      <c r="C28" s="1117">
        <f>+'Exhibit F'!D26+'Exhibit H'!B16</f>
        <v>0</v>
      </c>
      <c r="D28" s="1113"/>
      <c r="E28" s="1117">
        <f>+'Exhibit F'!F26+'Exhibit H'!D16</f>
        <v>0</v>
      </c>
      <c r="F28" s="1113"/>
      <c r="G28" s="1117">
        <f>+'Exhibit F'!H26+'Exhibit H'!F16</f>
        <v>0</v>
      </c>
      <c r="H28" s="2680"/>
      <c r="I28" s="1117">
        <f>+'Exhibit F'!J26+'Exhibit H'!H16</f>
        <v>0</v>
      </c>
      <c r="J28" s="2680"/>
      <c r="K28" s="1117">
        <f>+'Exhibit F'!L26+'Exhibit H'!J16</f>
        <v>0</v>
      </c>
      <c r="L28" s="2681"/>
      <c r="M28" s="1117">
        <f>+'Exhibit F'!N26+'Exhibit H'!L16</f>
        <v>0</v>
      </c>
      <c r="N28" s="2681"/>
      <c r="O28" s="1117">
        <f>+'Exhibit F'!P26+'Exhibit H'!N16</f>
        <v>0</v>
      </c>
      <c r="P28" s="428"/>
      <c r="Q28" s="1117">
        <f>+'Exhibit F'!R26+'Exhibit H'!P16</f>
        <v>0</v>
      </c>
      <c r="R28" s="428"/>
      <c r="S28" s="1117">
        <f>+'Exhibit F'!T26+'Exhibit H'!R16</f>
        <v>0</v>
      </c>
      <c r="T28" s="428"/>
      <c r="U28" s="1117">
        <f>+'Exhibit F'!V26+'Exhibit H'!T16</f>
        <v>0</v>
      </c>
      <c r="V28" s="428"/>
      <c r="W28" s="1117"/>
      <c r="X28" s="428"/>
      <c r="Y28" s="2754"/>
      <c r="Z28" s="428"/>
      <c r="AA28" s="1845"/>
      <c r="AB28" s="976">
        <f t="shared" si="0"/>
        <v>0</v>
      </c>
      <c r="AC28" s="428"/>
      <c r="AD28" s="975"/>
      <c r="AE28" s="1117">
        <f>+'Exhibit F'!AF26+'Exhibit H'!AD16</f>
        <v>0</v>
      </c>
      <c r="AF28" s="428"/>
      <c r="AG28" s="428"/>
      <c r="AH28" s="1146">
        <f>ROUND(SUM(+AB28-AE28),1)</f>
        <v>0</v>
      </c>
      <c r="AI28" s="2005"/>
      <c r="AJ28" s="2679">
        <f>ROUND(IF(AE28=0,0,AH28/ABS(AE28)),3)</f>
        <v>0</v>
      </c>
    </row>
    <row r="29" spans="1:36" ht="16.5" customHeight="1">
      <c r="A29" s="1243" t="s">
        <v>1223</v>
      </c>
      <c r="B29" s="1243"/>
      <c r="C29" s="693">
        <f>+'Exhibit F'!D27</f>
        <v>-2752.5</v>
      </c>
      <c r="D29" s="1112"/>
      <c r="E29" s="693">
        <f>+'Exhibit F'!F27</f>
        <v>-695.6</v>
      </c>
      <c r="F29" s="1112"/>
      <c r="G29" s="693">
        <f>+'Exhibit F'!H27</f>
        <v>-231.6</v>
      </c>
      <c r="H29" s="976"/>
      <c r="I29" s="693">
        <f>+'Exhibit F'!J27</f>
        <v>-172</v>
      </c>
      <c r="J29" s="976"/>
      <c r="K29" s="693">
        <f>+'Exhibit F'!L27</f>
        <v>-178</v>
      </c>
      <c r="L29" s="428"/>
      <c r="M29" s="693">
        <f>+'Exhibit F'!N27</f>
        <v>-208.5</v>
      </c>
      <c r="N29" s="428"/>
      <c r="O29" s="693">
        <f>+'Exhibit F'!P27</f>
        <v>-400.5</v>
      </c>
      <c r="P29" s="428"/>
      <c r="Q29" s="693">
        <f>+'Exhibit F'!R27</f>
        <v>-819.8</v>
      </c>
      <c r="R29" s="428"/>
      <c r="S29" s="693">
        <f>+'Exhibit F'!T27</f>
        <v>-535.70000000000005</v>
      </c>
      <c r="T29" s="428"/>
      <c r="U29" s="693">
        <f>+'Exhibit F'!V27</f>
        <v>-145.5</v>
      </c>
      <c r="V29" s="428"/>
      <c r="W29" s="693"/>
      <c r="X29" s="428"/>
      <c r="Y29" s="693"/>
      <c r="Z29" s="428"/>
      <c r="AA29" s="1845"/>
      <c r="AB29" s="976">
        <f t="shared" si="0"/>
        <v>-6139.7</v>
      </c>
      <c r="AC29" s="428"/>
      <c r="AD29" s="975"/>
      <c r="AE29" s="693">
        <f>+'Exhibit F'!AF27</f>
        <v>-5736.1</v>
      </c>
      <c r="AF29" s="428"/>
      <c r="AG29" s="428"/>
      <c r="AH29" s="1146">
        <f>-ROUND(SUM(+AB29-AE29),1)</f>
        <v>403.6</v>
      </c>
      <c r="AI29" s="2005"/>
      <c r="AJ29" s="2679">
        <f t="shared" si="1"/>
        <v>7.0000000000000007E-2</v>
      </c>
    </row>
    <row r="30" spans="1:36" ht="16.5" customHeight="1">
      <c r="A30" s="587" t="s">
        <v>1220</v>
      </c>
      <c r="B30" s="1243"/>
      <c r="C30" s="1742">
        <f>ROUND(SUM(C26)+SUM(C27)+SUM(C28)+SUM(C29),1)</f>
        <v>6383.7</v>
      </c>
      <c r="D30" s="184"/>
      <c r="E30" s="1742">
        <f>ROUND(SUM(E26)+SUM(E27)+SUM(E28)+SUM(E29),1)</f>
        <v>2185.6999999999998</v>
      </c>
      <c r="F30" s="184"/>
      <c r="G30" s="1742">
        <f>ROUND(SUM(G26)+SUM(G27)+SUM(G28)+SUM(G29),1)</f>
        <v>4723.8999999999996</v>
      </c>
      <c r="H30" s="428"/>
      <c r="I30" s="1742">
        <f>ROUND(SUM(I26)+SUM(I27)+SUM(I28)+SUM(I29),1)</f>
        <v>2561.8000000000002</v>
      </c>
      <c r="J30" s="428"/>
      <c r="K30" s="1742">
        <f>ROUND(SUM(K26)+SUM(K27)+SUM(K28)+SUM(K29),1)</f>
        <v>2939.8</v>
      </c>
      <c r="L30" s="428"/>
      <c r="M30" s="1742">
        <f>ROUND(SUM(M26)+SUM(M27)+SUM(M28)+SUM(M29),1)</f>
        <v>4704.3999999999996</v>
      </c>
      <c r="N30" s="428"/>
      <c r="O30" s="1742">
        <f>ROUND(SUM(O26)+SUM(O27)+SUM(O28)+SUM(O29),1)</f>
        <v>2532.6999999999998</v>
      </c>
      <c r="P30" s="428"/>
      <c r="Q30" s="1742">
        <f>ROUND(SUM(Q26)+SUM(Q27)+SUM(Q28)+SUM(Q29),1)</f>
        <v>2093.8000000000002</v>
      </c>
      <c r="R30" s="428"/>
      <c r="S30" s="1742">
        <f>ROUND(SUM(S26)+SUM(S27)+SUM(S28)+SUM(S29),1)</f>
        <v>4752.2</v>
      </c>
      <c r="T30" s="428"/>
      <c r="U30" s="1742">
        <f>ROUND(SUM(U26)+SUM(U27)+SUM(U28)+SUM(U29),1)</f>
        <v>7594.9</v>
      </c>
      <c r="V30" s="428"/>
      <c r="W30" s="1742">
        <f>ROUND(SUM(W26)+SUM(W27)+SUM(W28)+SUM(W29),1)</f>
        <v>0</v>
      </c>
      <c r="X30" s="428"/>
      <c r="Y30" s="1742">
        <f>ROUND(SUM(Y26)+SUM(Y27)+SUM(Y28)+SUM(Y29),1)</f>
        <v>0</v>
      </c>
      <c r="Z30" s="428"/>
      <c r="AA30" s="1845"/>
      <c r="AB30" s="993">
        <f t="shared" si="0"/>
        <v>40472.9</v>
      </c>
      <c r="AC30" s="428"/>
      <c r="AD30" s="975"/>
      <c r="AE30" s="1742">
        <f>ROUND(SUM(AE26)+SUM(AE27)+SUM(AE28)+SUM(AE29),1)</f>
        <v>41241.699999999997</v>
      </c>
      <c r="AF30" s="428"/>
      <c r="AG30" s="428"/>
      <c r="AH30" s="482">
        <f>ROUND(SUM(AH26+AH27+AH28-AH29),1)</f>
        <v>-768.8</v>
      </c>
      <c r="AI30" s="1823"/>
      <c r="AJ30" s="2683">
        <f t="shared" si="1"/>
        <v>-1.9E-2</v>
      </c>
    </row>
    <row r="31" spans="1:36" ht="16.5" customHeight="1">
      <c r="A31" s="1990" t="s">
        <v>1276</v>
      </c>
      <c r="B31" s="1248"/>
      <c r="C31" s="1093"/>
      <c r="D31" s="1093"/>
      <c r="E31" s="1093"/>
      <c r="F31" s="1093"/>
      <c r="G31" s="1093"/>
      <c r="H31" s="428"/>
      <c r="I31" s="973"/>
      <c r="J31" s="428"/>
      <c r="K31" s="973"/>
      <c r="L31" s="428"/>
      <c r="M31" s="973"/>
      <c r="N31" s="428"/>
      <c r="O31" s="973"/>
      <c r="P31" s="428"/>
      <c r="Q31" s="973"/>
      <c r="R31" s="428"/>
      <c r="S31" s="973"/>
      <c r="T31" s="428"/>
      <c r="U31" s="973"/>
      <c r="V31" s="428"/>
      <c r="W31" s="973"/>
      <c r="X31" s="428"/>
      <c r="Y31" s="973"/>
      <c r="Z31" s="428"/>
      <c r="AA31" s="1845"/>
      <c r="AB31" s="428"/>
      <c r="AC31" s="428"/>
      <c r="AD31" s="975"/>
      <c r="AE31" s="973"/>
      <c r="AF31" s="428"/>
      <c r="AG31" s="428"/>
      <c r="AH31" s="272"/>
      <c r="AI31" s="1823"/>
      <c r="AJ31" s="1988"/>
    </row>
    <row r="32" spans="1:36" ht="16.5" customHeight="1">
      <c r="A32" s="1243" t="s">
        <v>1226</v>
      </c>
      <c r="B32" s="1248"/>
      <c r="C32" s="693">
        <f>+'Exhibit F'!D30+'Exhibit G'!D21+'Exhibit H'!B19</f>
        <v>1087</v>
      </c>
      <c r="D32" s="1112"/>
      <c r="E32" s="693">
        <f>+'Exhibit F'!F30+'Exhibit G'!F21+'Exhibit H'!D19</f>
        <v>1014.8</v>
      </c>
      <c r="F32" s="1112"/>
      <c r="G32" s="693">
        <f>+'Exhibit F'!H30+'Exhibit G'!H21+'Exhibit H'!F19</f>
        <v>1400</v>
      </c>
      <c r="H32" s="976"/>
      <c r="I32" s="693">
        <f>+'Exhibit F'!J30+'Exhibit G'!J21+'Exhibit H'!H19</f>
        <v>1086.5</v>
      </c>
      <c r="J32" s="976"/>
      <c r="K32" s="693">
        <f>+'Exhibit F'!L30+'Exhibit G'!L21+'Exhibit H'!J19</f>
        <v>1036.9000000000001</v>
      </c>
      <c r="L32" s="428"/>
      <c r="M32" s="693">
        <f>+'Exhibit F'!N30+'Exhibit G'!N21+'Exhibit H'!L19</f>
        <v>1397.6999999999998</v>
      </c>
      <c r="N32" s="428"/>
      <c r="O32" s="693">
        <f>+'Exhibit F'!P30+'Exhibit G'!P21+'Exhibit H'!N19</f>
        <v>1069.8</v>
      </c>
      <c r="P32" s="428"/>
      <c r="Q32" s="693">
        <f>+'Exhibit F'!R30+'Exhibit G'!R21+'Exhibit H'!P19</f>
        <v>1066.8</v>
      </c>
      <c r="R32" s="428"/>
      <c r="S32" s="693">
        <f>+'Exhibit F'!T30+'Exhibit G'!T21+'Exhibit H'!R19</f>
        <v>1362.3000000000002</v>
      </c>
      <c r="T32" s="428"/>
      <c r="U32" s="693">
        <f>+'Exhibit F'!V30+'Exhibit G'!V21+'Exhibit H'!T19</f>
        <v>1144.5999999999999</v>
      </c>
      <c r="V32" s="428"/>
      <c r="W32" s="693"/>
      <c r="X32" s="428"/>
      <c r="Y32" s="693"/>
      <c r="Z32" s="428"/>
      <c r="AA32" s="1845"/>
      <c r="AB32" s="976">
        <f t="shared" ref="AB32:AB39" si="2">ROUND(SUM(C32:Y32),1)</f>
        <v>11666.4</v>
      </c>
      <c r="AC32" s="428"/>
      <c r="AD32" s="975"/>
      <c r="AE32" s="693">
        <f>+'Exhibit F'!AF30+'Exhibit G'!AH21+'Exhibit H'!AD19</f>
        <v>11208.300000000001</v>
      </c>
      <c r="AF32" s="428"/>
      <c r="AG32" s="428"/>
      <c r="AH32" s="1146">
        <f t="shared" ref="AH32:AH39" si="3">ROUND(SUM(+AB32-AE32),1)</f>
        <v>458.1</v>
      </c>
      <c r="AI32" s="1823"/>
      <c r="AJ32" s="1780">
        <f t="shared" ref="AJ32:AJ40" si="4">ROUND(IF(AE32=0,0,AH32/ABS(AE32)),3)</f>
        <v>4.1000000000000002E-2</v>
      </c>
    </row>
    <row r="33" spans="1:36" ht="16.5" customHeight="1">
      <c r="A33" s="1243" t="s">
        <v>1227</v>
      </c>
      <c r="B33" s="1248"/>
      <c r="C33" s="693">
        <f>+'Exhibit F'!D31+'Exhibit G'!D22+' Exhbit I '!E20</f>
        <v>1</v>
      </c>
      <c r="D33" s="1112"/>
      <c r="E33" s="693">
        <f>+'Exhibit F'!F31+'Exhibit G'!F22+' Exhbit I '!G20</f>
        <v>0</v>
      </c>
      <c r="F33" s="1112"/>
      <c r="G33" s="693">
        <f>+'Exhibit F'!H31+'Exhibit G'!H22+' Exhbit I '!I20</f>
        <v>32.299999999999997</v>
      </c>
      <c r="H33" s="976"/>
      <c r="I33" s="693">
        <f>+'Exhibit F'!J31+'Exhibit G'!J22+' Exhbit I '!K20</f>
        <v>4.5999999999999996</v>
      </c>
      <c r="J33" s="976"/>
      <c r="K33" s="693">
        <f>+'Exhibit F'!L31+'Exhibit G'!L22+' Exhbit I '!M20</f>
        <v>4.5</v>
      </c>
      <c r="L33" s="428"/>
      <c r="M33" s="693">
        <f>+'Exhibit F'!N31+'Exhibit G'!N22+' Exhbit I '!O20</f>
        <v>28.6</v>
      </c>
      <c r="N33" s="428"/>
      <c r="O33" s="693">
        <f>+'Exhibit F'!P31+'Exhibit G'!P22+' Exhbit I '!Q20</f>
        <v>3.7</v>
      </c>
      <c r="P33" s="428"/>
      <c r="Q33" s="693">
        <f>+'Exhibit F'!R31+'Exhibit G'!R22+' Exhbit I '!S20</f>
        <v>3.9</v>
      </c>
      <c r="R33" s="428"/>
      <c r="S33" s="693">
        <f>+'Exhibit F'!T31+'Exhibit G'!T22+' Exhbit I '!U20</f>
        <v>25.7</v>
      </c>
      <c r="T33" s="428"/>
      <c r="U33" s="693">
        <f>+'Exhibit F'!V31+'Exhibit G'!V22+' Exhbit I '!W20</f>
        <v>9.3000000000000007</v>
      </c>
      <c r="V33" s="428"/>
      <c r="W33" s="693"/>
      <c r="X33" s="428"/>
      <c r="Y33" s="693"/>
      <c r="Z33" s="428"/>
      <c r="AA33" s="1845"/>
      <c r="AB33" s="976">
        <f t="shared" si="2"/>
        <v>113.6</v>
      </c>
      <c r="AC33" s="428"/>
      <c r="AD33" s="975"/>
      <c r="AE33" s="693">
        <f>+'Exhibit F'!AF31+'Exhibit G'!AH22+' Exhbit I '!AI20</f>
        <v>104.8</v>
      </c>
      <c r="AF33" s="428"/>
      <c r="AG33" s="428"/>
      <c r="AH33" s="1146">
        <f t="shared" si="3"/>
        <v>8.8000000000000007</v>
      </c>
      <c r="AI33" s="1823"/>
      <c r="AJ33" s="1780">
        <f t="shared" si="4"/>
        <v>8.4000000000000005E-2</v>
      </c>
    </row>
    <row r="34" spans="1:36" ht="16.5" customHeight="1">
      <c r="A34" s="1243" t="s">
        <v>1228</v>
      </c>
      <c r="B34" s="1243"/>
      <c r="C34" s="693">
        <f>+'Exhibit F'!D32+'Exhibit G'!D23</f>
        <v>98.600000000000009</v>
      </c>
      <c r="D34" s="1112"/>
      <c r="E34" s="693">
        <f>+'Exhibit F'!F32+'Exhibit G'!F23</f>
        <v>99.4</v>
      </c>
      <c r="F34" s="1112"/>
      <c r="G34" s="693">
        <f>+'Exhibit F'!H32+'Exhibit G'!H23</f>
        <v>120.80000000000001</v>
      </c>
      <c r="H34" s="976"/>
      <c r="I34" s="693">
        <f>+'Exhibit F'!J32+'Exhibit G'!J23</f>
        <v>103.8</v>
      </c>
      <c r="J34" s="976"/>
      <c r="K34" s="693">
        <f>+'Exhibit F'!L32+'Exhibit G'!L23</f>
        <v>120.6</v>
      </c>
      <c r="L34" s="428"/>
      <c r="M34" s="693">
        <f>+'Exhibit F'!N32+'Exhibit G'!N23</f>
        <v>111.8</v>
      </c>
      <c r="N34" s="428"/>
      <c r="O34" s="693">
        <f>+'Exhibit F'!P32+'Exhibit G'!P23</f>
        <v>101.39999999999999</v>
      </c>
      <c r="P34" s="428"/>
      <c r="Q34" s="693">
        <f>+'Exhibit F'!R32+'Exhibit G'!R23</f>
        <v>110.69999999999999</v>
      </c>
      <c r="R34" s="428"/>
      <c r="S34" s="693">
        <f>+'Exhibit F'!T32+'Exhibit G'!T23</f>
        <v>103.80000000000001</v>
      </c>
      <c r="T34" s="428"/>
      <c r="U34" s="693">
        <f>+'Exhibit F'!V32+'Exhibit G'!V23</f>
        <v>99.8</v>
      </c>
      <c r="V34" s="428"/>
      <c r="W34" s="693"/>
      <c r="X34" s="428"/>
      <c r="Y34" s="693"/>
      <c r="Z34" s="428"/>
      <c r="AA34" s="1845"/>
      <c r="AB34" s="976">
        <f t="shared" si="2"/>
        <v>1070.7</v>
      </c>
      <c r="AC34" s="428"/>
      <c r="AD34" s="975"/>
      <c r="AE34" s="693">
        <f>+'Exhibit F'!AF32+'Exhibit G'!AH23</f>
        <v>1070.6999999999998</v>
      </c>
      <c r="AF34" s="428"/>
      <c r="AG34" s="428"/>
      <c r="AH34" s="1146">
        <f t="shared" si="3"/>
        <v>0</v>
      </c>
      <c r="AI34" s="1823"/>
      <c r="AJ34" s="1780">
        <f t="shared" si="4"/>
        <v>0</v>
      </c>
    </row>
    <row r="35" spans="1:36" ht="16.5" customHeight="1">
      <c r="A35" s="1243" t="s">
        <v>1406</v>
      </c>
      <c r="B35" s="1243"/>
      <c r="C35" s="693">
        <f>'Exhibit G'!D24</f>
        <v>0</v>
      </c>
      <c r="D35" s="1112"/>
      <c r="E35" s="693">
        <f>'Exhibit G'!F24</f>
        <v>0</v>
      </c>
      <c r="F35" s="1112"/>
      <c r="G35" s="693">
        <f>'Exhibit G'!H24</f>
        <v>0.1</v>
      </c>
      <c r="H35" s="976"/>
      <c r="I35" s="693">
        <f>'Exhibit G'!J24</f>
        <v>0</v>
      </c>
      <c r="J35" s="976"/>
      <c r="K35" s="693">
        <f>'Exhibit G'!L24</f>
        <v>0</v>
      </c>
      <c r="L35" s="2927"/>
      <c r="M35" s="693">
        <f>'Exhibit G'!N24</f>
        <v>0.1</v>
      </c>
      <c r="N35" s="2927"/>
      <c r="O35" s="693">
        <f>'Exhibit G'!P24</f>
        <v>0.1</v>
      </c>
      <c r="P35" s="2927"/>
      <c r="Q35" s="693">
        <f>'Exhibit G'!R24</f>
        <v>0</v>
      </c>
      <c r="R35" s="2927"/>
      <c r="S35" s="693">
        <f>'Exhibit G'!T24</f>
        <v>0.1</v>
      </c>
      <c r="T35" s="2927"/>
      <c r="U35" s="693">
        <f>'Exhibit G'!V24</f>
        <v>0</v>
      </c>
      <c r="V35" s="2927"/>
      <c r="W35" s="693"/>
      <c r="X35" s="2927"/>
      <c r="Y35" s="693"/>
      <c r="Z35" s="2927"/>
      <c r="AA35" s="1845"/>
      <c r="AB35" s="976">
        <f t="shared" si="2"/>
        <v>0.4</v>
      </c>
      <c r="AC35" s="2927"/>
      <c r="AD35" s="975"/>
      <c r="AE35" s="693">
        <v>0</v>
      </c>
      <c r="AF35" s="2927"/>
      <c r="AG35" s="2927"/>
      <c r="AH35" s="2925">
        <f t="shared" ref="AH35" si="5">ROUND(SUM(+AB35-AE35),1)</f>
        <v>0.4</v>
      </c>
      <c r="AI35" s="1823"/>
      <c r="AJ35" s="2679">
        <f>ROUND(IF(AE35=0,1,AH35/ABS(AE35)),3)</f>
        <v>1</v>
      </c>
    </row>
    <row r="36" spans="1:36" ht="16.5" customHeight="1">
      <c r="A36" s="1243" t="s">
        <v>1229</v>
      </c>
      <c r="B36" s="1243"/>
      <c r="C36" s="693">
        <f>+'Exhibit F'!D33+'Exhibit G'!D25+' Exhbit I '!E21</f>
        <v>39</v>
      </c>
      <c r="D36" s="1112"/>
      <c r="E36" s="693">
        <f>+'Exhibit F'!F33+'Exhibit G'!F25+' Exhbit I '!G21</f>
        <v>37.299999999999997</v>
      </c>
      <c r="F36" s="1112"/>
      <c r="G36" s="693">
        <f>+'Exhibit F'!H33+'Exhibit G'!H25+' Exhbit I '!I21</f>
        <v>44.3</v>
      </c>
      <c r="H36" s="976"/>
      <c r="I36" s="693">
        <f>+'Exhibit F'!J33+'Exhibit G'!J25+' Exhbit I '!K21</f>
        <v>46.5</v>
      </c>
      <c r="J36" s="976"/>
      <c r="K36" s="693">
        <f>+'Exhibit F'!L33+'Exhibit G'!L25+' Exhbit I '!M21</f>
        <v>50</v>
      </c>
      <c r="L36" s="428"/>
      <c r="M36" s="693">
        <f>+'Exhibit F'!N33+'Exhibit G'!N25+' Exhbit I '!O21</f>
        <v>44.8</v>
      </c>
      <c r="N36" s="428"/>
      <c r="O36" s="693">
        <f>+'Exhibit F'!P33+'Exhibit G'!P25+' Exhbit I '!Q21</f>
        <v>44.9</v>
      </c>
      <c r="P36" s="428"/>
      <c r="Q36" s="693">
        <f>+'Exhibit F'!R33+'Exhibit G'!R25+' Exhbit I '!S21</f>
        <v>45.5</v>
      </c>
      <c r="R36" s="428"/>
      <c r="S36" s="693">
        <f>+'Exhibit F'!T33+'Exhibit G'!T25+' Exhbit I '!U21</f>
        <v>43.699999999999996</v>
      </c>
      <c r="T36" s="428"/>
      <c r="U36" s="693">
        <f>+'Exhibit F'!V33+'Exhibit G'!V25+' Exhbit I '!W21</f>
        <v>42.2</v>
      </c>
      <c r="V36" s="428"/>
      <c r="W36" s="693"/>
      <c r="X36" s="428"/>
      <c r="Y36" s="693"/>
      <c r="Z36" s="428"/>
      <c r="AA36" s="1845"/>
      <c r="AB36" s="976">
        <f t="shared" si="2"/>
        <v>438.2</v>
      </c>
      <c r="AC36" s="428"/>
      <c r="AD36" s="975"/>
      <c r="AE36" s="693">
        <f>+'Exhibit F'!AF33+'Exhibit G'!AH25+' Exhbit I '!AI21</f>
        <v>419.2</v>
      </c>
      <c r="AF36" s="428"/>
      <c r="AG36" s="428"/>
      <c r="AH36" s="1146">
        <f t="shared" si="3"/>
        <v>19</v>
      </c>
      <c r="AI36" s="1823"/>
      <c r="AJ36" s="1780">
        <f t="shared" si="4"/>
        <v>4.4999999999999998E-2</v>
      </c>
    </row>
    <row r="37" spans="1:36" ht="16.5" customHeight="1">
      <c r="A37" s="1243" t="s">
        <v>1230</v>
      </c>
      <c r="B37" s="1243"/>
      <c r="C37" s="693">
        <f>+'Exhibit F'!D34+'Exhibit G'!D26</f>
        <v>20.399999999999999</v>
      </c>
      <c r="D37" s="1112"/>
      <c r="E37" s="693">
        <f>+'Exhibit F'!F34+'Exhibit G'!F26</f>
        <v>19.3</v>
      </c>
      <c r="F37" s="1112"/>
      <c r="G37" s="693">
        <f>+'Exhibit F'!H34+'Exhibit G'!H26</f>
        <v>21.7</v>
      </c>
      <c r="H37" s="976"/>
      <c r="I37" s="693">
        <f>+'Exhibit F'!J34+'Exhibit G'!J26</f>
        <v>29.8</v>
      </c>
      <c r="J37" s="976"/>
      <c r="K37" s="693">
        <f>+'Exhibit F'!L34+'Exhibit G'!L26</f>
        <v>16.5</v>
      </c>
      <c r="L37" s="428"/>
      <c r="M37" s="693">
        <f>+'Exhibit F'!N34+'Exhibit G'!N26</f>
        <v>24.4</v>
      </c>
      <c r="N37" s="428"/>
      <c r="O37" s="693">
        <f>+'Exhibit F'!P34+'Exhibit G'!P26</f>
        <v>20.3</v>
      </c>
      <c r="P37" s="428"/>
      <c r="Q37" s="693">
        <f>+'Exhibit F'!R34+'Exhibit G'!R26</f>
        <v>20.6</v>
      </c>
      <c r="R37" s="428"/>
      <c r="S37" s="693">
        <f>+'Exhibit F'!T34+'Exhibit G'!T26</f>
        <v>22</v>
      </c>
      <c r="T37" s="428"/>
      <c r="U37" s="693">
        <f>+'Exhibit F'!V34+'Exhibit G'!V26</f>
        <v>32.4</v>
      </c>
      <c r="V37" s="428"/>
      <c r="W37" s="693"/>
      <c r="X37" s="428"/>
      <c r="Y37" s="693"/>
      <c r="Z37" s="428"/>
      <c r="AA37" s="1845"/>
      <c r="AB37" s="976">
        <f t="shared" si="2"/>
        <v>227.4</v>
      </c>
      <c r="AC37" s="428"/>
      <c r="AD37" s="975"/>
      <c r="AE37" s="693">
        <f>+'Exhibit F'!AF34+'Exhibit G'!AH26</f>
        <v>224</v>
      </c>
      <c r="AF37" s="428"/>
      <c r="AG37" s="428"/>
      <c r="AH37" s="1146">
        <f t="shared" si="3"/>
        <v>3.4</v>
      </c>
      <c r="AI37" s="1823"/>
      <c r="AJ37" s="1780">
        <f t="shared" si="4"/>
        <v>1.4999999999999999E-2</v>
      </c>
    </row>
    <row r="38" spans="1:36" ht="16.5" customHeight="1">
      <c r="A38" s="1243" t="s">
        <v>1231</v>
      </c>
      <c r="B38" s="1243"/>
      <c r="C38" s="693">
        <f>+'Exhibit F'!D35+'Exhibit G'!D27+' Exhbit I '!E22</f>
        <v>12.6</v>
      </c>
      <c r="D38" s="1112"/>
      <c r="E38" s="693">
        <f>+'Exhibit F'!F35+'Exhibit G'!F27+' Exhbit I '!G22</f>
        <v>10.7</v>
      </c>
      <c r="F38" s="1112"/>
      <c r="G38" s="693">
        <f>+'Exhibit F'!H35+'Exhibit G'!H27+' Exhbit I '!I22</f>
        <v>12.3</v>
      </c>
      <c r="H38" s="976"/>
      <c r="I38" s="693">
        <f>+'Exhibit F'!J35+'Exhibit G'!J27+' Exhbit I '!K22</f>
        <v>12.5</v>
      </c>
      <c r="J38" s="976"/>
      <c r="K38" s="693">
        <f>+'Exhibit F'!L35+'Exhibit G'!L27+' Exhbit I '!M22</f>
        <v>12.3</v>
      </c>
      <c r="L38" s="428"/>
      <c r="M38" s="693">
        <f>+'Exhibit F'!N35+'Exhibit G'!N27+' Exhbit I '!O22</f>
        <v>11.7</v>
      </c>
      <c r="N38" s="428"/>
      <c r="O38" s="693">
        <f>+'Exhibit F'!P35+'Exhibit G'!P27+' Exhbit I '!Q22</f>
        <v>13</v>
      </c>
      <c r="P38" s="428"/>
      <c r="Q38" s="693">
        <f>+'Exhibit F'!R35+'Exhibit G'!R27+' Exhbit I '!S22</f>
        <v>11.2</v>
      </c>
      <c r="R38" s="428"/>
      <c r="S38" s="693">
        <f>+'Exhibit F'!T35+'Exhibit G'!T27+' Exhbit I '!U22</f>
        <v>11.700000000000001</v>
      </c>
      <c r="T38" s="428"/>
      <c r="U38" s="693">
        <f>+'Exhibit F'!V35+'Exhibit G'!V27+' Exhbit I '!W22</f>
        <v>11</v>
      </c>
      <c r="V38" s="428"/>
      <c r="W38" s="693"/>
      <c r="X38" s="428"/>
      <c r="Y38" s="693"/>
      <c r="Z38" s="428"/>
      <c r="AA38" s="1845"/>
      <c r="AB38" s="976">
        <f t="shared" si="2"/>
        <v>119</v>
      </c>
      <c r="AC38" s="428"/>
      <c r="AD38" s="975"/>
      <c r="AE38" s="693">
        <f>+'Exhibit F'!AF35+'Exhibit G'!AH27+' Exhbit I '!AI22</f>
        <v>137.5</v>
      </c>
      <c r="AF38" s="428"/>
      <c r="AG38" s="428"/>
      <c r="AH38" s="1146">
        <f t="shared" si="3"/>
        <v>-18.5</v>
      </c>
      <c r="AI38" s="1823"/>
      <c r="AJ38" s="1780">
        <f t="shared" si="4"/>
        <v>-0.13500000000000001</v>
      </c>
    </row>
    <row r="39" spans="1:36" ht="16.5" customHeight="1">
      <c r="A39" s="2029" t="s">
        <v>1232</v>
      </c>
      <c r="B39" s="1243"/>
      <c r="C39" s="693">
        <f>+'Exhibit F'!D36+'Exhibit G'!D28</f>
        <v>15.7</v>
      </c>
      <c r="D39" s="1112"/>
      <c r="E39" s="693">
        <f>+'Exhibit F'!F36+'Exhibit G'!F28</f>
        <v>0.6</v>
      </c>
      <c r="F39" s="1112"/>
      <c r="G39" s="693">
        <f>+'Exhibit F'!H36+'Exhibit G'!H28</f>
        <v>0.6</v>
      </c>
      <c r="H39" s="976"/>
      <c r="I39" s="693">
        <f>+'Exhibit F'!J36+'Exhibit G'!J28</f>
        <v>15.7</v>
      </c>
      <c r="J39" s="976"/>
      <c r="K39" s="693">
        <f>+'Exhibit F'!L36+'Exhibit G'!L28</f>
        <v>0.5</v>
      </c>
      <c r="L39" s="428"/>
      <c r="M39" s="693">
        <f>+'Exhibit F'!N36+'Exhibit G'!N28</f>
        <v>0.6</v>
      </c>
      <c r="N39" s="428"/>
      <c r="O39" s="693">
        <f>+'Exhibit F'!P36+'Exhibit G'!P28</f>
        <v>14.5</v>
      </c>
      <c r="P39" s="428"/>
      <c r="Q39" s="693">
        <f>+'Exhibit F'!R36+'Exhibit G'!R28</f>
        <v>0.3</v>
      </c>
      <c r="R39" s="428"/>
      <c r="S39" s="693">
        <f>+'Exhibit F'!T36+'Exhibit G'!T28</f>
        <v>0.8</v>
      </c>
      <c r="T39" s="428"/>
      <c r="U39" s="693">
        <f>+'Exhibit F'!V36+'Exhibit G'!V28</f>
        <v>14</v>
      </c>
      <c r="V39" s="428"/>
      <c r="W39" s="693"/>
      <c r="X39" s="428"/>
      <c r="Y39" s="693"/>
      <c r="Z39" s="428"/>
      <c r="AA39" s="1845"/>
      <c r="AB39" s="976">
        <f t="shared" si="2"/>
        <v>63.3</v>
      </c>
      <c r="AC39" s="428"/>
      <c r="AD39" s="975"/>
      <c r="AE39" s="693">
        <f>+'Exhibit F'!AF36+'Exhibit G'!AH28</f>
        <v>71.7</v>
      </c>
      <c r="AF39" s="428"/>
      <c r="AG39" s="428"/>
      <c r="AH39" s="1146">
        <f t="shared" si="3"/>
        <v>-8.4</v>
      </c>
      <c r="AI39" s="1823"/>
      <c r="AJ39" s="1780">
        <f t="shared" si="4"/>
        <v>-0.11700000000000001</v>
      </c>
    </row>
    <row r="40" spans="1:36" ht="16.5" customHeight="1">
      <c r="A40" s="587" t="s">
        <v>1225</v>
      </c>
      <c r="B40" s="1243"/>
      <c r="C40" s="1742">
        <f>ROUND(SUM(C32:C39),1)</f>
        <v>1274.3</v>
      </c>
      <c r="D40" s="184"/>
      <c r="E40" s="1742">
        <f>ROUND(SUM(E32:E39),1)</f>
        <v>1182.0999999999999</v>
      </c>
      <c r="F40" s="184"/>
      <c r="G40" s="1742">
        <f>ROUND(SUM(G32:G39),1)</f>
        <v>1632.1</v>
      </c>
      <c r="H40" s="428"/>
      <c r="I40" s="1742">
        <f>ROUND(SUM(I32:I39),1)</f>
        <v>1299.4000000000001</v>
      </c>
      <c r="J40" s="428"/>
      <c r="K40" s="1742">
        <f>ROUND(SUM(K32:K39),1)</f>
        <v>1241.3</v>
      </c>
      <c r="L40" s="428"/>
      <c r="M40" s="1742">
        <f>ROUND(SUM(M32:M39),1)</f>
        <v>1619.7</v>
      </c>
      <c r="N40" s="428"/>
      <c r="O40" s="1742">
        <f>ROUND(SUM(O32:O39),1)</f>
        <v>1267.7</v>
      </c>
      <c r="P40" s="428"/>
      <c r="Q40" s="1742">
        <f>ROUND(SUM(Q32:Q39),1)</f>
        <v>1259</v>
      </c>
      <c r="R40" s="428"/>
      <c r="S40" s="1742">
        <f>ROUND(SUM(S32:S39),1)</f>
        <v>1570.1</v>
      </c>
      <c r="T40" s="428"/>
      <c r="U40" s="1742">
        <f>ROUND(SUM(U32:U39),1)</f>
        <v>1353.3</v>
      </c>
      <c r="V40" s="428"/>
      <c r="W40" s="1742">
        <f>ROUND(SUM(W32:W39),1)</f>
        <v>0</v>
      </c>
      <c r="X40" s="428"/>
      <c r="Y40" s="1742">
        <f>ROUND(SUM(Y32:Y39),1)</f>
        <v>0</v>
      </c>
      <c r="Z40" s="428"/>
      <c r="AA40" s="1845"/>
      <c r="AB40" s="1742">
        <f>ROUND(SUM(AB32:AB39),1)</f>
        <v>13699</v>
      </c>
      <c r="AC40" s="428"/>
      <c r="AD40" s="975"/>
      <c r="AE40" s="1742">
        <f>ROUND(SUM(AE32:AE39),1)</f>
        <v>13236.2</v>
      </c>
      <c r="AF40" s="428"/>
      <c r="AG40" s="428"/>
      <c r="AH40" s="482">
        <f>ROUND(SUM(AH32:AH39),1)</f>
        <v>462.8</v>
      </c>
      <c r="AI40" s="272"/>
      <c r="AJ40" s="72">
        <f t="shared" si="4"/>
        <v>3.5000000000000003E-2</v>
      </c>
    </row>
    <row r="41" spans="1:36" ht="16.5" customHeight="1">
      <c r="A41" s="1990" t="s">
        <v>1277</v>
      </c>
      <c r="B41" s="1243"/>
      <c r="C41" s="1093"/>
      <c r="D41" s="1093"/>
      <c r="E41" s="1093"/>
      <c r="F41" s="1093"/>
      <c r="G41" s="1093"/>
      <c r="H41" s="428"/>
      <c r="I41" s="973"/>
      <c r="J41" s="428"/>
      <c r="K41" s="973"/>
      <c r="L41" s="428"/>
      <c r="M41" s="973"/>
      <c r="N41" s="428"/>
      <c r="O41" s="973"/>
      <c r="P41" s="428"/>
      <c r="Q41" s="973"/>
      <c r="R41" s="428"/>
      <c r="S41" s="973"/>
      <c r="T41" s="428"/>
      <c r="U41" s="973"/>
      <c r="V41" s="428"/>
      <c r="W41" s="973"/>
      <c r="X41" s="428"/>
      <c r="Y41" s="973"/>
      <c r="Z41" s="428"/>
      <c r="AA41" s="1845"/>
      <c r="AB41" s="428"/>
      <c r="AC41" s="428"/>
      <c r="AD41" s="975"/>
      <c r="AE41" s="973"/>
      <c r="AF41" s="428"/>
      <c r="AG41" s="428"/>
      <c r="AH41" s="272"/>
      <c r="AI41" s="272"/>
      <c r="AJ41" s="1988"/>
    </row>
    <row r="42" spans="1:36" ht="16.5" customHeight="1">
      <c r="A42" s="1243" t="s">
        <v>1234</v>
      </c>
      <c r="B42" s="1243"/>
      <c r="C42" s="693">
        <f>+'Exhibit F'!D39+'Exhibit G'!D31+' Exhbit I '!E25</f>
        <v>155.69999999999999</v>
      </c>
      <c r="D42" s="1112"/>
      <c r="E42" s="693">
        <f>+'Exhibit F'!F39+'Exhibit G'!F31+' Exhbit I '!G25</f>
        <v>83.5</v>
      </c>
      <c r="F42" s="1112"/>
      <c r="G42" s="693">
        <f>+'Exhibit F'!H39+'Exhibit G'!H31+' Exhbit I '!I25</f>
        <v>628.5</v>
      </c>
      <c r="H42" s="976"/>
      <c r="I42" s="693">
        <f>+'Exhibit F'!J39+'Exhibit G'!J31+' Exhbit I '!K25</f>
        <v>75</v>
      </c>
      <c r="J42" s="976"/>
      <c r="K42" s="693">
        <f>+'Exhibit F'!L39+'Exhibit G'!L31+' Exhbit I '!M25</f>
        <v>17.5</v>
      </c>
      <c r="L42" s="428"/>
      <c r="M42" s="693">
        <f>+'Exhibit F'!N39+'Exhibit G'!N31+' Exhbit I '!O25</f>
        <v>833</v>
      </c>
      <c r="N42" s="428"/>
      <c r="O42" s="693">
        <f>+'Exhibit F'!P39+'Exhibit G'!P31+' Exhbit I '!Q25</f>
        <v>175.5</v>
      </c>
      <c r="P42" s="428"/>
      <c r="Q42" s="693">
        <f>+'Exhibit F'!R39+'Exhibit G'!R31+' Exhbit I '!S25</f>
        <v>-108.19999999999999</v>
      </c>
      <c r="R42" s="428"/>
      <c r="S42" s="693">
        <f>+'Exhibit F'!T39+'Exhibit G'!T31+' Exhbit I '!U25</f>
        <v>735.5</v>
      </c>
      <c r="T42" s="428"/>
      <c r="U42" s="693">
        <f>+'Exhibit F'!V39+'Exhibit G'!V31+' Exhbit I '!W25</f>
        <v>33.599999999999994</v>
      </c>
      <c r="V42" s="428"/>
      <c r="W42" s="693"/>
      <c r="X42" s="428"/>
      <c r="Y42" s="693"/>
      <c r="Z42" s="428"/>
      <c r="AA42" s="1845"/>
      <c r="AB42" s="976">
        <f>ROUND(SUM(C42:Y42),1)</f>
        <v>2629.6</v>
      </c>
      <c r="AC42" s="428"/>
      <c r="AD42" s="975"/>
      <c r="AE42" s="693">
        <f>+'Exhibit F'!AF39+'Exhibit G'!AH31+' Exhbit I '!AI25</f>
        <v>3135.9</v>
      </c>
      <c r="AF42" s="428"/>
      <c r="AG42" s="428"/>
      <c r="AH42" s="1146">
        <f>ROUND(SUM(+AB42-AE42),1)</f>
        <v>-506.3</v>
      </c>
      <c r="AI42" s="272"/>
      <c r="AJ42" s="1780">
        <f t="shared" ref="AJ42:AJ47" si="6">ROUND(IF(AE42=0,0,AH42/ABS(AE42)),3)</f>
        <v>-0.161</v>
      </c>
    </row>
    <row r="43" spans="1:36" ht="16.5" customHeight="1">
      <c r="A43" s="1243" t="s">
        <v>1235</v>
      </c>
      <c r="B43" s="1243"/>
      <c r="C43" s="693">
        <f>+'Exhibit F'!D40+'Exhibit G'!D32+' Exhbit I '!E26</f>
        <v>11.2</v>
      </c>
      <c r="D43" s="1112"/>
      <c r="E43" s="693">
        <f>+'Exhibit F'!F40+'Exhibit G'!F32+' Exhbit I '!G26</f>
        <v>1.2000000000000002</v>
      </c>
      <c r="F43" s="1112"/>
      <c r="G43" s="693">
        <f>+'Exhibit F'!H40+'Exhibit G'!H32+' Exhbit I '!I26</f>
        <v>126</v>
      </c>
      <c r="H43" s="976"/>
      <c r="I43" s="693">
        <f>+'Exhibit F'!J40+'Exhibit G'!J32+' Exhbit I '!K26</f>
        <v>5.3</v>
      </c>
      <c r="J43" s="976"/>
      <c r="K43" s="693">
        <f>+'Exhibit F'!L40+'Exhibit G'!L32+' Exhbit I '!M26</f>
        <v>0.5</v>
      </c>
      <c r="L43" s="428"/>
      <c r="M43" s="693">
        <f>+'Exhibit F'!N40+'Exhibit G'!N32+' Exhbit I '!O26</f>
        <v>140.5</v>
      </c>
      <c r="N43" s="428"/>
      <c r="O43" s="693">
        <f>+'Exhibit F'!P40+'Exhibit G'!P32+' Exhbit I '!Q26</f>
        <v>4.3</v>
      </c>
      <c r="P43" s="428"/>
      <c r="Q43" s="693">
        <f>+'Exhibit F'!R40+'Exhibit G'!R32+' Exhbit I '!S26</f>
        <v>-2.1</v>
      </c>
      <c r="R43" s="428"/>
      <c r="S43" s="693">
        <f>+'Exhibit F'!T40+'Exhibit G'!T32+' Exhbit I '!U26</f>
        <v>177.2</v>
      </c>
      <c r="T43" s="428"/>
      <c r="U43" s="693">
        <f>+'Exhibit F'!V40+'Exhibit G'!V32+' Exhbit I '!W26</f>
        <v>28.9</v>
      </c>
      <c r="V43" s="428"/>
      <c r="W43" s="693"/>
      <c r="X43" s="428"/>
      <c r="Y43" s="693"/>
      <c r="Z43" s="428"/>
      <c r="AA43" s="1845"/>
      <c r="AB43" s="976">
        <f>ROUND(SUM(C43:Y43),1)</f>
        <v>493</v>
      </c>
      <c r="AC43" s="428"/>
      <c r="AD43" s="975"/>
      <c r="AE43" s="693">
        <f>+'Exhibit F'!AF40+'Exhibit G'!AH32+' Exhbit I '!AI26</f>
        <v>500.49999999999994</v>
      </c>
      <c r="AF43" s="428"/>
      <c r="AG43" s="428"/>
      <c r="AH43" s="1146">
        <f>ROUND(SUM(+AB43-AE43),1)</f>
        <v>-7.5</v>
      </c>
      <c r="AI43" s="272"/>
      <c r="AJ43" s="1780">
        <f t="shared" si="6"/>
        <v>-1.4999999999999999E-2</v>
      </c>
    </row>
    <row r="44" spans="1:36" ht="16.5" customHeight="1">
      <c r="A44" s="1243" t="s">
        <v>1236</v>
      </c>
      <c r="B44" s="1243"/>
      <c r="C44" s="693">
        <f>+'Exhibit F'!D41+'Exhibit G'!D33</f>
        <v>19.7</v>
      </c>
      <c r="D44" s="1112"/>
      <c r="E44" s="693">
        <f>+'Exhibit F'!F41+'Exhibit G'!F33</f>
        <v>20.2</v>
      </c>
      <c r="F44" s="1112"/>
      <c r="G44" s="693">
        <f>+'Exhibit F'!H41+'Exhibit G'!H33</f>
        <v>327.2</v>
      </c>
      <c r="H44" s="976"/>
      <c r="I44" s="693">
        <f>+'Exhibit F'!J41+'Exhibit G'!J33</f>
        <v>3.7</v>
      </c>
      <c r="J44" s="976"/>
      <c r="K44" s="693">
        <f>+'Exhibit F'!L41+'Exhibit G'!L33</f>
        <v>14.6</v>
      </c>
      <c r="L44" s="428"/>
      <c r="M44" s="693">
        <f>+'Exhibit F'!N41+'Exhibit G'!N33</f>
        <v>315.40000000000003</v>
      </c>
      <c r="N44" s="428"/>
      <c r="O44" s="693">
        <f>+'Exhibit F'!P41+'Exhibit G'!P33</f>
        <v>2.5</v>
      </c>
      <c r="P44" s="428"/>
      <c r="Q44" s="693">
        <f>+'Exhibit F'!R41+'Exhibit G'!R33</f>
        <v>6.4</v>
      </c>
      <c r="R44" s="428"/>
      <c r="S44" s="693">
        <f>+'Exhibit F'!T41+'Exhibit G'!T33</f>
        <v>295.60000000000002</v>
      </c>
      <c r="T44" s="428"/>
      <c r="U44" s="693">
        <f>+'Exhibit F'!V41+'Exhibit G'!V33</f>
        <v>4.5</v>
      </c>
      <c r="V44" s="428"/>
      <c r="W44" s="693"/>
      <c r="X44" s="428"/>
      <c r="Y44" s="693"/>
      <c r="Z44" s="428"/>
      <c r="AA44" s="1845"/>
      <c r="AB44" s="976">
        <f>ROUND(SUM(C44:Y44),1)</f>
        <v>1009.8</v>
      </c>
      <c r="AC44" s="428"/>
      <c r="AD44" s="975"/>
      <c r="AE44" s="693">
        <f>+'Exhibit F'!AF41+'Exhibit G'!AH33</f>
        <v>940.7</v>
      </c>
      <c r="AF44" s="428"/>
      <c r="AG44" s="428"/>
      <c r="AH44" s="1146">
        <f>ROUND(SUM(+AB44-AE44),1)</f>
        <v>69.099999999999994</v>
      </c>
      <c r="AI44" s="272"/>
      <c r="AJ44" s="1780">
        <f t="shared" si="6"/>
        <v>7.2999999999999995E-2</v>
      </c>
    </row>
    <row r="45" spans="1:36" ht="16.5" customHeight="1">
      <c r="A45" s="1243" t="s">
        <v>1237</v>
      </c>
      <c r="B45" s="1243"/>
      <c r="C45" s="693">
        <f>+'Exhibit F'!D42+'Exhibit G'!D34</f>
        <v>6.2</v>
      </c>
      <c r="D45" s="1112"/>
      <c r="E45" s="693">
        <f>+'Exhibit F'!F42+'Exhibit G'!F34</f>
        <v>-0.89999999999999991</v>
      </c>
      <c r="F45" s="1112"/>
      <c r="G45" s="693">
        <f>+'Exhibit F'!H42+'Exhibit G'!H34</f>
        <v>-25.1</v>
      </c>
      <c r="H45" s="976"/>
      <c r="I45" s="693">
        <f>+'Exhibit F'!J42+'Exhibit G'!J34</f>
        <v>2.8</v>
      </c>
      <c r="J45" s="976"/>
      <c r="K45" s="693">
        <f>+'Exhibit F'!L42+'Exhibit G'!L34</f>
        <v>38.1</v>
      </c>
      <c r="L45" s="428"/>
      <c r="M45" s="693">
        <f>+'Exhibit F'!N42+'Exhibit G'!N34</f>
        <v>-4.8</v>
      </c>
      <c r="N45" s="428"/>
      <c r="O45" s="693">
        <f>+'Exhibit F'!P42+'Exhibit G'!P34</f>
        <v>317.09999999999997</v>
      </c>
      <c r="P45" s="428"/>
      <c r="Q45" s="693">
        <f>+'Exhibit F'!R42+'Exhibit G'!R34</f>
        <v>-7.5</v>
      </c>
      <c r="R45" s="428"/>
      <c r="S45" s="693">
        <f>+'Exhibit F'!T42+'Exhibit G'!T34</f>
        <v>64.8</v>
      </c>
      <c r="T45" s="428"/>
      <c r="U45" s="693">
        <f>+'Exhibit F'!V42+'Exhibit G'!V34</f>
        <v>-22.8</v>
      </c>
      <c r="V45" s="428"/>
      <c r="W45" s="693"/>
      <c r="X45" s="428"/>
      <c r="Y45" s="693"/>
      <c r="Z45" s="428"/>
      <c r="AA45" s="1845"/>
      <c r="AB45" s="976">
        <f>ROUND(SUM(C45:Y45),1)</f>
        <v>367.9</v>
      </c>
      <c r="AC45" s="428"/>
      <c r="AD45" s="975"/>
      <c r="AE45" s="693">
        <f>+'Exhibit F'!AF42+'Exhibit G'!AH34</f>
        <v>-68.5</v>
      </c>
      <c r="AF45" s="428"/>
      <c r="AG45" s="428"/>
      <c r="AH45" s="1146">
        <f>ROUND(SUM(+AB45-AE45),1)</f>
        <v>436.4</v>
      </c>
      <c r="AI45" s="272"/>
      <c r="AJ45" s="1780">
        <f t="shared" si="6"/>
        <v>6.3710000000000004</v>
      </c>
    </row>
    <row r="46" spans="1:36" ht="16.5" customHeight="1">
      <c r="A46" s="1243" t="s">
        <v>1238</v>
      </c>
      <c r="B46" s="1243"/>
      <c r="C46" s="693">
        <f>+'Exhibit F'!D43+'Exhibit G'!D35+' Exhbit I '!E27</f>
        <v>87.5</v>
      </c>
      <c r="D46" s="1112"/>
      <c r="E46" s="693">
        <f>+'Exhibit F'!F43+'Exhibit G'!F35+' Exhbit I '!G27</f>
        <v>77.900000000000006</v>
      </c>
      <c r="F46" s="1112"/>
      <c r="G46" s="693">
        <f>+'Exhibit F'!H43+'Exhibit G'!H35+' Exhbit I '!I27</f>
        <v>93.6</v>
      </c>
      <c r="H46" s="976"/>
      <c r="I46" s="693">
        <f>+'Exhibit F'!J43+'Exhibit G'!J35+' Exhbit I '!K27</f>
        <v>118.7</v>
      </c>
      <c r="J46" s="976"/>
      <c r="K46" s="693">
        <f>+'Exhibit F'!L43+'Exhibit G'!L35+' Exhbit I '!M27</f>
        <v>93.1</v>
      </c>
      <c r="L46" s="428"/>
      <c r="M46" s="693">
        <f>+'Exhibit F'!N43+'Exhibit G'!N35+' Exhbit I '!O27</f>
        <v>98.8</v>
      </c>
      <c r="N46" s="428"/>
      <c r="O46" s="693">
        <f>+'Exhibit F'!P43+'Exhibit G'!P35+' Exhbit I '!Q27</f>
        <v>98.9</v>
      </c>
      <c r="P46" s="428"/>
      <c r="Q46" s="693">
        <f>+'Exhibit F'!R43+'Exhibit G'!R35+' Exhbit I '!S27</f>
        <v>94</v>
      </c>
      <c r="R46" s="428"/>
      <c r="S46" s="693">
        <f>+'Exhibit F'!T43+'Exhibit G'!T35+' Exhbit I '!U27</f>
        <v>100.4</v>
      </c>
      <c r="T46" s="428"/>
      <c r="U46" s="693">
        <f>+'Exhibit F'!V43+'Exhibit G'!V35+' Exhbit I '!W27</f>
        <v>89.6</v>
      </c>
      <c r="V46" s="428"/>
      <c r="W46" s="693"/>
      <c r="X46" s="428"/>
      <c r="Y46" s="693"/>
      <c r="Z46" s="428"/>
      <c r="AA46" s="1845"/>
      <c r="AB46" s="976">
        <f>ROUND(SUM(C46:Y46),1)</f>
        <v>952.5</v>
      </c>
      <c r="AC46" s="428"/>
      <c r="AD46" s="975"/>
      <c r="AE46" s="693">
        <f>+'Exhibit F'!AF43+'Exhibit G'!AH35+' Exhbit I '!AI27</f>
        <v>948.7</v>
      </c>
      <c r="AF46" s="428"/>
      <c r="AG46" s="428"/>
      <c r="AH46" s="1146">
        <f>ROUND(SUM(+AB46-AE46),1)</f>
        <v>3.8</v>
      </c>
      <c r="AI46" s="272"/>
      <c r="AJ46" s="1780">
        <f t="shared" si="6"/>
        <v>4.0000000000000001E-3</v>
      </c>
    </row>
    <row r="47" spans="1:36" ht="16.5" customHeight="1">
      <c r="A47" s="587" t="s">
        <v>1233</v>
      </c>
      <c r="B47" s="1243"/>
      <c r="C47" s="1742">
        <f>ROUND(SUM(C42:C46),1)</f>
        <v>280.3</v>
      </c>
      <c r="D47" s="184"/>
      <c r="E47" s="1742">
        <f>ROUND(SUM(E42:E46),1)</f>
        <v>181.9</v>
      </c>
      <c r="F47" s="184"/>
      <c r="G47" s="1742">
        <f>ROUND(SUM(G42:G46),1)</f>
        <v>1150.2</v>
      </c>
      <c r="H47" s="428"/>
      <c r="I47" s="1742">
        <f>ROUND(SUM(I42:I46),1)</f>
        <v>205.5</v>
      </c>
      <c r="J47" s="428"/>
      <c r="K47" s="1742">
        <f>ROUND(SUM(K42:K46),1)</f>
        <v>163.80000000000001</v>
      </c>
      <c r="L47" s="428"/>
      <c r="M47" s="1742">
        <f>ROUND(SUM(M42:M46),1)</f>
        <v>1382.9</v>
      </c>
      <c r="N47" s="428"/>
      <c r="O47" s="1742">
        <f>ROUND(SUM(O42:O46),1)</f>
        <v>598.29999999999995</v>
      </c>
      <c r="P47" s="428"/>
      <c r="Q47" s="1742">
        <f>ROUND(SUM(Q42:Q46),1)</f>
        <v>-17.399999999999999</v>
      </c>
      <c r="R47" s="428"/>
      <c r="S47" s="1742">
        <f>ROUND(SUM(S42:S46),1)</f>
        <v>1373.5</v>
      </c>
      <c r="T47" s="428"/>
      <c r="U47" s="1742">
        <f>ROUND(SUM(U42:U46),1)</f>
        <v>133.80000000000001</v>
      </c>
      <c r="V47" s="428"/>
      <c r="W47" s="1742">
        <f>ROUND(SUM(W42:W46),1)</f>
        <v>0</v>
      </c>
      <c r="X47" s="428"/>
      <c r="Y47" s="1742">
        <f>ROUND(SUM(Y42:Y46),1)</f>
        <v>0</v>
      </c>
      <c r="Z47" s="428"/>
      <c r="AA47" s="1845"/>
      <c r="AB47" s="1742">
        <f>ROUND(SUM(AB42:AB46),1)</f>
        <v>5452.8</v>
      </c>
      <c r="AC47" s="428"/>
      <c r="AD47" s="975"/>
      <c r="AE47" s="1742">
        <f>ROUND(SUM(AE42:AE46),1)</f>
        <v>5457.3</v>
      </c>
      <c r="AF47" s="428"/>
      <c r="AG47" s="428"/>
      <c r="AH47" s="1742">
        <f>ROUND(SUM(AH42:AH46),1)</f>
        <v>-4.5</v>
      </c>
      <c r="AI47" s="272"/>
      <c r="AJ47" s="72">
        <f t="shared" si="6"/>
        <v>-1E-3</v>
      </c>
    </row>
    <row r="48" spans="1:36" ht="16.5" customHeight="1">
      <c r="A48" s="1990" t="s">
        <v>1278</v>
      </c>
      <c r="B48" s="1243"/>
      <c r="C48" s="1093"/>
      <c r="D48" s="1093"/>
      <c r="E48" s="1093"/>
      <c r="F48" s="1093"/>
      <c r="G48" s="1093"/>
      <c r="H48" s="428"/>
      <c r="I48" s="973"/>
      <c r="J48" s="428"/>
      <c r="K48" s="973"/>
      <c r="L48" s="428"/>
      <c r="M48" s="973"/>
      <c r="N48" s="428"/>
      <c r="O48" s="973"/>
      <c r="P48" s="428"/>
      <c r="Q48" s="973"/>
      <c r="R48" s="428"/>
      <c r="S48" s="973"/>
      <c r="T48" s="428"/>
      <c r="U48" s="973"/>
      <c r="V48" s="428"/>
      <c r="W48" s="973"/>
      <c r="X48" s="428"/>
      <c r="Y48" s="973"/>
      <c r="Z48" s="428"/>
      <c r="AA48" s="1845"/>
      <c r="AB48" s="428"/>
      <c r="AC48" s="428"/>
      <c r="AD48" s="975"/>
      <c r="AE48" s="973"/>
      <c r="AF48" s="428"/>
      <c r="AG48" s="428"/>
      <c r="AH48" s="272"/>
      <c r="AI48" s="272"/>
      <c r="AJ48" s="1988"/>
    </row>
    <row r="49" spans="1:36" ht="16.5" customHeight="1">
      <c r="A49" s="1243" t="s">
        <v>1241</v>
      </c>
      <c r="B49" s="1243"/>
      <c r="C49" s="1177">
        <v>0</v>
      </c>
      <c r="D49" s="1112"/>
      <c r="E49" s="2940">
        <v>0</v>
      </c>
      <c r="F49" s="1112"/>
      <c r="G49" s="2940">
        <v>0</v>
      </c>
      <c r="H49" s="976"/>
      <c r="I49" s="2940">
        <v>0</v>
      </c>
      <c r="J49" s="976"/>
      <c r="K49" s="2940">
        <v>0</v>
      </c>
      <c r="L49" s="428"/>
      <c r="M49" s="2940">
        <v>0</v>
      </c>
      <c r="N49" s="428"/>
      <c r="O49" s="2940">
        <v>0</v>
      </c>
      <c r="P49" s="428"/>
      <c r="Q49" s="2557">
        <f>+'Exhibit F'!R46</f>
        <v>0.1</v>
      </c>
      <c r="R49" s="428"/>
      <c r="S49" s="2557">
        <f>+'Exhibit F'!T46</f>
        <v>0</v>
      </c>
      <c r="T49" s="428"/>
      <c r="U49" s="2557">
        <f>+'Exhibit F'!V46</f>
        <v>0</v>
      </c>
      <c r="V49" s="428"/>
      <c r="W49" s="2940"/>
      <c r="X49" s="428"/>
      <c r="Y49" s="2045"/>
      <c r="Z49" s="428"/>
      <c r="AA49" s="1845"/>
      <c r="AB49" s="976">
        <f t="shared" ref="AB49:AB54" si="7">ROUND(SUM(C49:Y49),1)</f>
        <v>0.1</v>
      </c>
      <c r="AC49" s="428"/>
      <c r="AD49" s="975"/>
      <c r="AE49" s="2557">
        <f>+'Exhibit F'!AF46</f>
        <v>0</v>
      </c>
      <c r="AF49" s="2681"/>
      <c r="AG49" s="2681"/>
      <c r="AH49" s="2684">
        <f t="shared" ref="AH49:AH54" si="8">ROUND(SUM(+AB49-AE49),1)</f>
        <v>0.1</v>
      </c>
      <c r="AI49" s="2685"/>
      <c r="AJ49" s="2679">
        <f>ROUND(IF(AE49=0,1,AH49/ABS(AE49)),3)</f>
        <v>1</v>
      </c>
    </row>
    <row r="50" spans="1:36" ht="16.5" customHeight="1">
      <c r="A50" s="1243" t="s">
        <v>1242</v>
      </c>
      <c r="B50" s="1243"/>
      <c r="C50" s="693">
        <f>+'Exhibit F'!D47</f>
        <v>74.900000000000006</v>
      </c>
      <c r="D50" s="1112"/>
      <c r="E50" s="693">
        <f>+'Exhibit F'!F47</f>
        <v>106.1</v>
      </c>
      <c r="F50" s="1112"/>
      <c r="G50" s="693">
        <f>+'Exhibit F'!H47</f>
        <v>77.2</v>
      </c>
      <c r="H50" s="976"/>
      <c r="I50" s="693">
        <f>+'Exhibit F'!J47</f>
        <v>72.7</v>
      </c>
      <c r="J50" s="976"/>
      <c r="K50" s="693">
        <f>+'Exhibit F'!L47</f>
        <v>122</v>
      </c>
      <c r="L50" s="976"/>
      <c r="M50" s="693">
        <f>+'Exhibit F'!N47</f>
        <v>85.7</v>
      </c>
      <c r="N50" s="428"/>
      <c r="O50" s="693">
        <f>+'Exhibit F'!P47</f>
        <v>99</v>
      </c>
      <c r="P50" s="428"/>
      <c r="Q50" s="693">
        <f>+'Exhibit F'!R47</f>
        <v>92</v>
      </c>
      <c r="R50" s="428"/>
      <c r="S50" s="693">
        <f>+'Exhibit F'!T47</f>
        <v>156.80000000000001</v>
      </c>
      <c r="T50" s="428"/>
      <c r="U50" s="693">
        <f>+'Exhibit F'!V47</f>
        <v>62.9</v>
      </c>
      <c r="V50" s="428"/>
      <c r="W50" s="693"/>
      <c r="X50" s="428"/>
      <c r="Y50" s="693"/>
      <c r="Z50" s="428"/>
      <c r="AA50" s="1845"/>
      <c r="AB50" s="976">
        <f t="shared" si="7"/>
        <v>949.3</v>
      </c>
      <c r="AC50" s="428"/>
      <c r="AD50" s="975"/>
      <c r="AE50" s="693">
        <f>+'Exhibit F'!AF47</f>
        <v>1346.3</v>
      </c>
      <c r="AF50" s="428"/>
      <c r="AG50" s="428"/>
      <c r="AH50" s="1146">
        <f t="shared" si="8"/>
        <v>-397</v>
      </c>
      <c r="AI50" s="272"/>
      <c r="AJ50" s="1780">
        <f t="shared" ref="AJ50:AJ55" si="9">ROUND(IF(AE50=0,0,AH50/ABS(AE50)),3)</f>
        <v>-0.29499999999999998</v>
      </c>
    </row>
    <row r="51" spans="1:36" ht="16.5" customHeight="1">
      <c r="A51" s="1243" t="s">
        <v>1243</v>
      </c>
      <c r="B51" s="1243"/>
      <c r="C51" s="693">
        <f>+'Exhibit F'!D48</f>
        <v>0.7</v>
      </c>
      <c r="D51" s="1112"/>
      <c r="E51" s="693">
        <f>+'Exhibit F'!F48</f>
        <v>1.4</v>
      </c>
      <c r="F51" s="1112"/>
      <c r="G51" s="693">
        <f>+'Exhibit F'!H48</f>
        <v>1.7</v>
      </c>
      <c r="H51" s="976"/>
      <c r="I51" s="693">
        <f>+'Exhibit F'!J48</f>
        <v>1.3</v>
      </c>
      <c r="J51" s="976"/>
      <c r="K51" s="693">
        <f>+'Exhibit F'!L48</f>
        <v>2.2999999999999998</v>
      </c>
      <c r="L51" s="976"/>
      <c r="M51" s="693">
        <f>+'Exhibit F'!N48</f>
        <v>2.2999999999999998</v>
      </c>
      <c r="N51" s="428"/>
      <c r="O51" s="693">
        <f>+'Exhibit F'!P48</f>
        <v>1.1000000000000001</v>
      </c>
      <c r="P51" s="428"/>
      <c r="Q51" s="693">
        <f>+'Exhibit F'!R48</f>
        <v>1.1000000000000001</v>
      </c>
      <c r="R51" s="428"/>
      <c r="S51" s="693">
        <f>+'Exhibit F'!T48</f>
        <v>1</v>
      </c>
      <c r="T51" s="428"/>
      <c r="U51" s="693">
        <f>+'Exhibit F'!V48</f>
        <v>0.7</v>
      </c>
      <c r="V51" s="428"/>
      <c r="W51" s="693"/>
      <c r="X51" s="428"/>
      <c r="Y51" s="693"/>
      <c r="Z51" s="428"/>
      <c r="AA51" s="1845"/>
      <c r="AB51" s="976">
        <f t="shared" si="7"/>
        <v>13.6</v>
      </c>
      <c r="AC51" s="428"/>
      <c r="AD51" s="975"/>
      <c r="AE51" s="693">
        <f>+'Exhibit F'!AF48</f>
        <v>14.9</v>
      </c>
      <c r="AF51" s="428"/>
      <c r="AG51" s="428"/>
      <c r="AH51" s="1146">
        <f t="shared" si="8"/>
        <v>-1.3</v>
      </c>
      <c r="AI51" s="272"/>
      <c r="AJ51" s="1780">
        <f t="shared" si="9"/>
        <v>-8.6999999999999994E-2</v>
      </c>
    </row>
    <row r="52" spans="1:36" ht="16.5" customHeight="1">
      <c r="A52" s="1243" t="s">
        <v>1244</v>
      </c>
      <c r="B52" s="1243"/>
      <c r="C52" s="693">
        <f>+'Exhibit F'!D49+'Exhibit H'!B22+' Exhbit I '!E30</f>
        <v>90.4</v>
      </c>
      <c r="D52" s="1112"/>
      <c r="E52" s="693">
        <f>+'Exhibit F'!F49+'Exhibit H'!D22+' Exhbit I '!G30</f>
        <v>74</v>
      </c>
      <c r="F52" s="1112"/>
      <c r="G52" s="693">
        <f>+'Exhibit F'!H49+'Exhibit H'!F22+' Exhbit I '!I30</f>
        <v>103</v>
      </c>
      <c r="H52" s="976"/>
      <c r="I52" s="693">
        <f>+'Exhibit F'!J49+'Exhibit H'!H22+' Exhbit I '!K30</f>
        <v>113.9</v>
      </c>
      <c r="J52" s="976"/>
      <c r="K52" s="693">
        <f>+'Exhibit F'!L49+'Exhibit H'!J22+' Exhbit I '!M30</f>
        <v>102.4</v>
      </c>
      <c r="L52" s="976"/>
      <c r="M52" s="693">
        <f>+'Exhibit F'!N49+'Exhibit H'!L22+' Exhbit I '!O30</f>
        <v>100.7</v>
      </c>
      <c r="N52" s="428"/>
      <c r="O52" s="693">
        <f>+'Exhibit F'!P49+'Exhibit H'!N22+' Exhbit I '!Q30</f>
        <v>96.5</v>
      </c>
      <c r="P52" s="428"/>
      <c r="Q52" s="693">
        <f>+'Exhibit F'!R49+'Exhibit H'!P22+' Exhbit I '!S30</f>
        <v>94.6</v>
      </c>
      <c r="R52" s="428"/>
      <c r="S52" s="693">
        <f>+'Exhibit F'!T49+'Exhibit H'!R22+' Exhbit I '!U30</f>
        <v>88.800000000000011</v>
      </c>
      <c r="T52" s="428"/>
      <c r="U52" s="693">
        <f>+'Exhibit F'!V49+'Exhibit H'!T22+' Exhbit I '!W30</f>
        <v>95.299999999999983</v>
      </c>
      <c r="V52" s="428"/>
      <c r="W52" s="693"/>
      <c r="X52" s="428"/>
      <c r="Y52" s="693"/>
      <c r="Z52" s="428"/>
      <c r="AA52" s="1845"/>
      <c r="AB52" s="976">
        <f t="shared" si="7"/>
        <v>959.6</v>
      </c>
      <c r="AC52" s="428"/>
      <c r="AD52" s="975"/>
      <c r="AE52" s="693">
        <f>+'Exhibit F'!AF49+'Exhibit H'!AD22+' Exhbit I '!AI30</f>
        <v>979.09999999999991</v>
      </c>
      <c r="AF52" s="428"/>
      <c r="AG52" s="428"/>
      <c r="AH52" s="1146">
        <f t="shared" si="8"/>
        <v>-19.5</v>
      </c>
      <c r="AI52" s="272"/>
      <c r="AJ52" s="1780">
        <f t="shared" si="9"/>
        <v>-0.02</v>
      </c>
    </row>
    <row r="53" spans="1:36" ht="16.5" customHeight="1">
      <c r="A53" s="1243" t="s">
        <v>1245</v>
      </c>
      <c r="B53" s="1243"/>
      <c r="C53" s="693">
        <f>+'Exhibit F'!D50</f>
        <v>0</v>
      </c>
      <c r="D53" s="1112"/>
      <c r="E53" s="693">
        <f>+'Exhibit F'!F50</f>
        <v>0.1</v>
      </c>
      <c r="F53" s="1112"/>
      <c r="G53" s="693">
        <f>+'Exhibit F'!H50</f>
        <v>0</v>
      </c>
      <c r="H53" s="976"/>
      <c r="I53" s="693">
        <f>+'Exhibit F'!J50</f>
        <v>0.1</v>
      </c>
      <c r="J53" s="976"/>
      <c r="K53" s="693">
        <f>+'Exhibit F'!L50</f>
        <v>0.4</v>
      </c>
      <c r="L53" s="976"/>
      <c r="M53" s="693">
        <f>+'Exhibit F'!N50</f>
        <v>0.3</v>
      </c>
      <c r="N53" s="428"/>
      <c r="O53" s="693">
        <f>+'Exhibit F'!P50</f>
        <v>0</v>
      </c>
      <c r="P53" s="428"/>
      <c r="Q53" s="693">
        <f>+'Exhibit F'!R50</f>
        <v>1.6</v>
      </c>
      <c r="R53" s="428"/>
      <c r="S53" s="693">
        <f>+'Exhibit F'!T50</f>
        <v>-0.1</v>
      </c>
      <c r="T53" s="428"/>
      <c r="U53" s="693">
        <f>+'Exhibit F'!V50</f>
        <v>0.1</v>
      </c>
      <c r="V53" s="428"/>
      <c r="W53" s="693"/>
      <c r="X53" s="428"/>
      <c r="Y53" s="693"/>
      <c r="Z53" s="428"/>
      <c r="AA53" s="1845"/>
      <c r="AB53" s="976">
        <f t="shared" si="7"/>
        <v>2.5</v>
      </c>
      <c r="AC53" s="428"/>
      <c r="AD53" s="975"/>
      <c r="AE53" s="693">
        <f>+'Exhibit F'!AF50</f>
        <v>1.4</v>
      </c>
      <c r="AF53" s="428"/>
      <c r="AG53" s="428"/>
      <c r="AH53" s="1146">
        <f t="shared" si="8"/>
        <v>1.1000000000000001</v>
      </c>
      <c r="AI53" s="272"/>
      <c r="AJ53" s="1780">
        <f>ROUND(IF(AE53=0,0,AH53/ABS(AE53)),3)</f>
        <v>0.78600000000000003</v>
      </c>
    </row>
    <row r="54" spans="1:36" ht="16.5" customHeight="1">
      <c r="A54" s="2029" t="s">
        <v>1246</v>
      </c>
      <c r="B54" s="1243"/>
      <c r="C54" s="693">
        <f>+'Exhibit F'!D51+'Exhibit G'!D38</f>
        <v>116.6</v>
      </c>
      <c r="D54" s="1112"/>
      <c r="E54" s="693">
        <f>+'Exhibit F'!F51+'Exhibit G'!F38</f>
        <v>94</v>
      </c>
      <c r="F54" s="1112"/>
      <c r="G54" s="693">
        <f>+'Exhibit F'!H51+'Exhibit G'!H38</f>
        <v>100.6</v>
      </c>
      <c r="H54" s="976"/>
      <c r="I54" s="693">
        <f>+'Exhibit F'!J51+'Exhibit G'!J38</f>
        <v>85.2</v>
      </c>
      <c r="J54" s="976"/>
      <c r="K54" s="693">
        <f>+'Exhibit F'!L51+'Exhibit G'!L38</f>
        <v>107.8</v>
      </c>
      <c r="L54" s="428"/>
      <c r="M54" s="693">
        <f>+'Exhibit F'!N51+'Exhibit G'!N38</f>
        <v>104.7</v>
      </c>
      <c r="N54" s="428"/>
      <c r="O54" s="693">
        <f>+'Exhibit F'!P51+'Exhibit G'!P38</f>
        <v>111.7</v>
      </c>
      <c r="P54" s="428"/>
      <c r="Q54" s="693">
        <f>+'Exhibit F'!R51+'Exhibit G'!R38</f>
        <v>97.2</v>
      </c>
      <c r="R54" s="428"/>
      <c r="S54" s="693">
        <f>+'Exhibit F'!T51+'Exhibit G'!T38</f>
        <v>106.5</v>
      </c>
      <c r="T54" s="428"/>
      <c r="U54" s="693">
        <f>+'Exhibit F'!V51+'Exhibit G'!V38</f>
        <v>180.8</v>
      </c>
      <c r="V54" s="428"/>
      <c r="W54" s="693"/>
      <c r="X54" s="428"/>
      <c r="Y54" s="693"/>
      <c r="Z54" s="428"/>
      <c r="AA54" s="1845"/>
      <c r="AB54" s="976">
        <f t="shared" si="7"/>
        <v>1105.0999999999999</v>
      </c>
      <c r="AC54" s="428"/>
      <c r="AD54" s="975"/>
      <c r="AE54" s="693">
        <f>+'Exhibit F'!AF51+'Exhibit G'!AH38</f>
        <v>1036.3</v>
      </c>
      <c r="AF54" s="428"/>
      <c r="AG54" s="428"/>
      <c r="AH54" s="1146">
        <f t="shared" si="8"/>
        <v>68.8</v>
      </c>
      <c r="AI54" s="272"/>
      <c r="AJ54" s="1780">
        <f t="shared" si="9"/>
        <v>6.6000000000000003E-2</v>
      </c>
    </row>
    <row r="55" spans="1:36" ht="16.5" customHeight="1">
      <c r="A55" s="587" t="s">
        <v>1239</v>
      </c>
      <c r="B55" s="1243"/>
      <c r="C55" s="1742">
        <f>ROUND(SUM(C49:C54),1)</f>
        <v>282.60000000000002</v>
      </c>
      <c r="D55" s="184"/>
      <c r="E55" s="1742">
        <f>ROUND(SUM(E49:E54),1)</f>
        <v>275.60000000000002</v>
      </c>
      <c r="F55" s="184"/>
      <c r="G55" s="1742">
        <f>ROUND(SUM(G49:G54),1)</f>
        <v>282.5</v>
      </c>
      <c r="H55" s="428"/>
      <c r="I55" s="1742">
        <f>ROUND(SUM(I49:I54),1)</f>
        <v>273.2</v>
      </c>
      <c r="J55" s="428"/>
      <c r="K55" s="1742">
        <f>ROUND(SUM(K49:K54),1)</f>
        <v>334.9</v>
      </c>
      <c r="L55" s="428"/>
      <c r="M55" s="1742">
        <f>ROUND(SUM(M49:M54),1)</f>
        <v>293.7</v>
      </c>
      <c r="N55" s="428"/>
      <c r="O55" s="1742">
        <f>ROUND(SUM(O49:O54),1)</f>
        <v>308.3</v>
      </c>
      <c r="P55" s="428"/>
      <c r="Q55" s="1742">
        <f>ROUND(SUM(Q49:Q54),1)</f>
        <v>286.60000000000002</v>
      </c>
      <c r="R55" s="428"/>
      <c r="S55" s="1742">
        <f>ROUND(SUM(S49:S54),1)</f>
        <v>353</v>
      </c>
      <c r="T55" s="428"/>
      <c r="U55" s="1742">
        <f>ROUND(SUM(U49:U54),1)</f>
        <v>339.8</v>
      </c>
      <c r="V55" s="428"/>
      <c r="W55" s="1742">
        <f>ROUND(SUM(W49:W54),1)</f>
        <v>0</v>
      </c>
      <c r="X55" s="428"/>
      <c r="Y55" s="1742">
        <f>ROUND(SUM(Y49:Y54),1)</f>
        <v>0</v>
      </c>
      <c r="Z55" s="428"/>
      <c r="AA55" s="1845"/>
      <c r="AB55" s="1742">
        <f>ROUND(SUM(AB49:AB54),1)</f>
        <v>3030.2</v>
      </c>
      <c r="AC55" s="428"/>
      <c r="AD55" s="975"/>
      <c r="AE55" s="1742">
        <f>ROUND(SUM(AE49:AE54),1)</f>
        <v>3378</v>
      </c>
      <c r="AF55" s="428"/>
      <c r="AG55" s="428"/>
      <c r="AH55" s="1742">
        <f>ROUND(SUM(AH49:AH54),1)</f>
        <v>-347.8</v>
      </c>
      <c r="AI55" s="272"/>
      <c r="AJ55" s="72">
        <f t="shared" si="9"/>
        <v>-0.10299999999999999</v>
      </c>
    </row>
    <row r="56" spans="1:36" ht="16.5" customHeight="1">
      <c r="A56" s="587"/>
      <c r="B56" s="1243"/>
      <c r="C56" s="186"/>
      <c r="D56" s="186"/>
      <c r="E56" s="186"/>
      <c r="F56" s="186"/>
      <c r="G56" s="186"/>
      <c r="H56" s="2025"/>
      <c r="I56" s="2253"/>
      <c r="J56" s="2025"/>
      <c r="K56" s="2253"/>
      <c r="L56" s="2025"/>
      <c r="M56" s="2253"/>
      <c r="N56" s="2025"/>
      <c r="O56" s="2253"/>
      <c r="P56" s="2025"/>
      <c r="Q56" s="2253"/>
      <c r="R56" s="2025"/>
      <c r="S56" s="2253"/>
      <c r="T56" s="2025"/>
      <c r="U56" s="2253"/>
      <c r="V56" s="2025"/>
      <c r="W56" s="2253"/>
      <c r="X56" s="2025"/>
      <c r="Y56" s="2253"/>
      <c r="Z56" s="428"/>
      <c r="AA56" s="974"/>
      <c r="AB56" s="2025"/>
      <c r="AC56" s="428"/>
      <c r="AD56" s="975"/>
      <c r="AE56" s="2025"/>
      <c r="AF56" s="428"/>
      <c r="AG56" s="428"/>
      <c r="AH56" s="1240"/>
      <c r="AI56" s="428"/>
      <c r="AJ56" s="1240"/>
    </row>
    <row r="57" spans="1:36" ht="16.5" customHeight="1">
      <c r="A57" s="587" t="s">
        <v>1240</v>
      </c>
      <c r="B57" s="222"/>
      <c r="C57" s="195">
        <f>ROUND(SUM(C55+C47+C40+C30),1)</f>
        <v>8220.9</v>
      </c>
      <c r="D57" s="260"/>
      <c r="E57" s="195">
        <f>ROUND(SUM(E55+E47+E40+E30),1)</f>
        <v>3825.3</v>
      </c>
      <c r="F57" s="260"/>
      <c r="G57" s="195">
        <f>ROUND(SUM(G55+G47+G40+G30),1)</f>
        <v>7788.7</v>
      </c>
      <c r="H57" s="260"/>
      <c r="I57" s="195">
        <f>ROUND(SUM(I55+I47+I40+I30),1)</f>
        <v>4339.8999999999996</v>
      </c>
      <c r="J57" s="260"/>
      <c r="K57" s="195">
        <f>ROUND(SUM(K55+K47+K40+K30),1)</f>
        <v>4679.8</v>
      </c>
      <c r="L57" s="260"/>
      <c r="M57" s="195">
        <f>ROUND(SUM(M55+M47+M40+M30),1)</f>
        <v>8000.7</v>
      </c>
      <c r="N57" s="260"/>
      <c r="O57" s="195">
        <f>ROUND(SUM(O55+O47+O40+O30),1)</f>
        <v>4707</v>
      </c>
      <c r="P57" s="260"/>
      <c r="Q57" s="195">
        <f>ROUND(SUM(Q55+Q47+Q40+Q30),1)</f>
        <v>3622</v>
      </c>
      <c r="R57" s="260"/>
      <c r="S57" s="195">
        <f>ROUND(SUM(S55+S47+S40+S30),1)</f>
        <v>8048.8</v>
      </c>
      <c r="T57" s="260"/>
      <c r="U57" s="195">
        <f>ROUND(SUM(U55+U47+U40+U30),1)</f>
        <v>9421.7999999999993</v>
      </c>
      <c r="V57" s="260"/>
      <c r="W57" s="195">
        <f>ROUND(SUM(W55+W47+W40+W30),1)</f>
        <v>0</v>
      </c>
      <c r="X57" s="366"/>
      <c r="Y57" s="195">
        <f>ROUND(SUM(Y55+Y47+Y40+Y30),1)</f>
        <v>0</v>
      </c>
      <c r="Z57" s="366"/>
      <c r="AA57" s="237"/>
      <c r="AB57" s="614">
        <f>ROUND(+AB55+AB47+AB40+AB30,1)</f>
        <v>62654.9</v>
      </c>
      <c r="AC57" s="260"/>
      <c r="AD57" s="249"/>
      <c r="AE57" s="614">
        <f>ROUND(+AE55+AE47+AE40+AE30,1)</f>
        <v>63313.2</v>
      </c>
      <c r="AF57" s="248"/>
      <c r="AG57" s="1259"/>
      <c r="AH57" s="614">
        <f>ROUND(+AH55+AH47+AH40+AH30,1)</f>
        <v>-658.3</v>
      </c>
      <c r="AI57" s="1823"/>
      <c r="AJ57" s="1876">
        <f>ROUND(IF(AE57=0,0,AH57/ABS(AE57)),3)</f>
        <v>-0.01</v>
      </c>
    </row>
    <row r="58" spans="1:36" ht="16.5" customHeight="1">
      <c r="A58" s="428"/>
      <c r="B58" s="428"/>
      <c r="C58" s="976"/>
      <c r="D58" s="976"/>
      <c r="E58" s="976"/>
      <c r="F58" s="976"/>
      <c r="G58" s="976"/>
      <c r="H58" s="976"/>
      <c r="I58" s="976"/>
      <c r="J58" s="976"/>
      <c r="K58" s="976"/>
      <c r="L58" s="976"/>
      <c r="M58" s="976"/>
      <c r="N58" s="976"/>
      <c r="O58" s="186"/>
      <c r="P58" s="976"/>
      <c r="Q58" s="976"/>
      <c r="R58" s="976"/>
      <c r="S58" s="976"/>
      <c r="T58" s="976"/>
      <c r="U58" s="976"/>
      <c r="V58" s="976"/>
      <c r="X58" s="976"/>
      <c r="Y58" s="976"/>
      <c r="Z58" s="976"/>
      <c r="AA58" s="977"/>
      <c r="AB58" s="976"/>
      <c r="AC58" s="976"/>
      <c r="AD58" s="978"/>
      <c r="AE58" s="976"/>
      <c r="AF58" s="976"/>
      <c r="AG58" s="976"/>
      <c r="AH58" s="976"/>
      <c r="AI58" s="428"/>
      <c r="AJ58" s="1847"/>
    </row>
    <row r="59" spans="1:36" ht="16.5" customHeight="1">
      <c r="A59" s="488" t="s">
        <v>1157</v>
      </c>
      <c r="B59" s="1746"/>
      <c r="C59" s="976"/>
      <c r="D59" s="976"/>
      <c r="E59" s="976"/>
      <c r="F59" s="976"/>
      <c r="G59" s="976"/>
      <c r="H59" s="976"/>
      <c r="I59" s="976"/>
      <c r="J59" s="976"/>
      <c r="K59" s="976"/>
      <c r="L59" s="976"/>
      <c r="M59" s="976"/>
      <c r="N59" s="976"/>
      <c r="O59" s="976"/>
      <c r="P59" s="976"/>
      <c r="Q59" s="976"/>
      <c r="R59" s="976"/>
      <c r="S59" s="976"/>
      <c r="T59" s="976"/>
      <c r="U59" s="976"/>
      <c r="V59" s="976"/>
      <c r="X59" s="976"/>
      <c r="Y59" s="976"/>
      <c r="Z59" s="976"/>
      <c r="AA59" s="977"/>
      <c r="AB59" s="976"/>
      <c r="AC59" s="976"/>
      <c r="AD59" s="978"/>
      <c r="AE59" s="976"/>
      <c r="AF59" s="976"/>
      <c r="AG59" s="976"/>
      <c r="AH59" s="976"/>
      <c r="AI59" s="428"/>
      <c r="AJ59" s="1847"/>
    </row>
    <row r="60" spans="1:36" ht="16.5" customHeight="1">
      <c r="A60" s="1748" t="s">
        <v>1269</v>
      </c>
      <c r="B60" s="1746"/>
      <c r="C60" s="976"/>
      <c r="D60" s="976"/>
      <c r="E60" s="976"/>
      <c r="F60" s="976"/>
      <c r="G60" s="976"/>
      <c r="H60" s="976"/>
      <c r="I60" s="976"/>
      <c r="J60" s="976"/>
      <c r="K60" s="976"/>
      <c r="L60" s="976"/>
      <c r="M60" s="976"/>
      <c r="N60" s="976"/>
      <c r="O60" s="976"/>
      <c r="P60" s="976"/>
      <c r="Q60" s="976"/>
      <c r="R60" s="976"/>
      <c r="S60" s="976"/>
      <c r="T60" s="976"/>
      <c r="U60" s="976"/>
      <c r="V60" s="976"/>
      <c r="X60" s="976"/>
      <c r="Y60" s="976"/>
      <c r="Z60" s="976"/>
      <c r="AA60" s="977"/>
      <c r="AB60" s="976"/>
      <c r="AC60" s="976"/>
      <c r="AD60" s="978"/>
      <c r="AE60" s="976"/>
      <c r="AF60" s="976"/>
      <c r="AG60" s="976"/>
      <c r="AH60" s="976"/>
      <c r="AI60" s="428"/>
      <c r="AJ60" s="1847"/>
    </row>
    <row r="61" spans="1:36" ht="16.5" customHeight="1">
      <c r="A61" s="1748" t="s">
        <v>1498</v>
      </c>
      <c r="B61" s="1748"/>
      <c r="C61" s="976">
        <f>+'Exhibit F'!D58+'Exhibit G'!D45</f>
        <v>0.9</v>
      </c>
      <c r="D61" s="976"/>
      <c r="E61" s="976">
        <f>+'Exhibit F'!F58+'Exhibit G'!F45</f>
        <v>-0.1</v>
      </c>
      <c r="F61" s="976"/>
      <c r="G61" s="976">
        <f>+'Exhibit F'!H58+'Exhibit G'!H45</f>
        <v>1.8</v>
      </c>
      <c r="H61" s="976"/>
      <c r="I61" s="976">
        <f>+'Exhibit F'!J58+'Exhibit G'!J45</f>
        <v>0.9</v>
      </c>
      <c r="J61" s="976"/>
      <c r="K61" s="976">
        <f>+'Exhibit F'!L58+'Exhibit G'!L45</f>
        <v>0</v>
      </c>
      <c r="L61" s="976"/>
      <c r="M61" s="976">
        <f>+'Exhibit F'!N58+'Exhibit G'!N45</f>
        <v>40</v>
      </c>
      <c r="N61" s="976"/>
      <c r="O61" s="976">
        <f>+'Exhibit F'!P58+'Exhibit G'!P45</f>
        <v>30</v>
      </c>
      <c r="P61" s="976"/>
      <c r="Q61" s="976">
        <f>+'Exhibit F'!R58+'Exhibit G'!R45</f>
        <v>160</v>
      </c>
      <c r="R61" s="976"/>
      <c r="S61" s="976">
        <f>+'Exhibit F'!T58+'Exhibit G'!T45</f>
        <v>50</v>
      </c>
      <c r="T61" s="976"/>
      <c r="U61" s="976">
        <f>+'Exhibit F'!V58+'Exhibit G'!V45</f>
        <v>0.7</v>
      </c>
      <c r="V61" s="976"/>
      <c r="W61" s="976"/>
      <c r="X61" s="976"/>
      <c r="Y61" s="2755"/>
      <c r="Z61" s="976"/>
      <c r="AA61" s="977"/>
      <c r="AB61" s="976">
        <f t="shared" ref="AB61:AB100" si="10">ROUND(SUM(C61:Y61),1)</f>
        <v>284.2</v>
      </c>
      <c r="AC61" s="976"/>
      <c r="AD61" s="978"/>
      <c r="AE61" s="976">
        <f>+'Exhibit F'!AF58+'Exhibit G'!AH45</f>
        <v>242.3</v>
      </c>
      <c r="AF61" s="976"/>
      <c r="AG61" s="976"/>
      <c r="AH61" s="976">
        <f t="shared" ref="AH61:AH100" si="11">ROUND(SUM(AB61-AE61),1)</f>
        <v>41.9</v>
      </c>
      <c r="AI61" s="428"/>
      <c r="AJ61" s="1780">
        <f>ROUND(IF(AE61=0,0,AH61/ABS(AE61)),3)</f>
        <v>0.17299999999999999</v>
      </c>
    </row>
    <row r="62" spans="1:36" ht="16.5" customHeight="1">
      <c r="A62" s="1748" t="s">
        <v>1499</v>
      </c>
      <c r="B62" s="1748"/>
      <c r="C62" s="976">
        <f>+'Exhibit F'!D59+' Exhbit I '!E37</f>
        <v>-0.3</v>
      </c>
      <c r="D62" s="976"/>
      <c r="E62" s="976">
        <f>+'Exhibit F'!F59+' Exhbit I '!G37</f>
        <v>0.1</v>
      </c>
      <c r="F62" s="976"/>
      <c r="G62" s="976">
        <f>+'Exhibit F'!H59+' Exhbit I '!I37</f>
        <v>31.1</v>
      </c>
      <c r="H62" s="976"/>
      <c r="I62" s="976">
        <f>+'Exhibit F'!J59+' Exhbit I '!K37</f>
        <v>0.1</v>
      </c>
      <c r="J62" s="976"/>
      <c r="K62" s="976">
        <f>+'Exhibit F'!L59+' Exhbit I '!M37</f>
        <v>0.1</v>
      </c>
      <c r="L62" s="976"/>
      <c r="M62" s="976">
        <f>+'Exhibit F'!N59+' Exhbit I '!O37</f>
        <v>36.5</v>
      </c>
      <c r="N62" s="976"/>
      <c r="O62" s="976">
        <f>+'Exhibit F'!P59+' Exhbit I '!Q37</f>
        <v>0.8</v>
      </c>
      <c r="P62" s="976"/>
      <c r="Q62" s="976">
        <f>+'Exhibit F'!R59+' Exhbit I '!S37</f>
        <v>0.3</v>
      </c>
      <c r="R62" s="976"/>
      <c r="S62" s="976">
        <f>+'Exhibit F'!T59+' Exhbit I '!U37</f>
        <v>17.600000000000001</v>
      </c>
      <c r="T62" s="976"/>
      <c r="U62" s="976">
        <f>+'Exhibit F'!V59+' Exhbit I '!W37</f>
        <v>2.7</v>
      </c>
      <c r="V62" s="976"/>
      <c r="W62" s="976"/>
      <c r="X62" s="976"/>
      <c r="Y62" s="2755"/>
      <c r="Z62" s="976"/>
      <c r="AA62" s="977"/>
      <c r="AB62" s="976">
        <f t="shared" si="10"/>
        <v>89</v>
      </c>
      <c r="AC62" s="976"/>
      <c r="AD62" s="978"/>
      <c r="AE62" s="976">
        <f>+'Exhibit F'!AF59+' Exhbit I '!AI37</f>
        <v>83.1</v>
      </c>
      <c r="AF62" s="976"/>
      <c r="AG62" s="976"/>
      <c r="AH62" s="976">
        <f t="shared" si="11"/>
        <v>5.9</v>
      </c>
      <c r="AI62" s="428"/>
      <c r="AJ62" s="1780">
        <f>ROUND(IF(AE62=0,0,AH62/ABS(AE62)),3)</f>
        <v>7.0999999999999994E-2</v>
      </c>
    </row>
    <row r="63" spans="1:36" ht="16.5" customHeight="1">
      <c r="A63" s="1748" t="s">
        <v>1270</v>
      </c>
      <c r="B63" s="1748"/>
      <c r="C63" s="976"/>
      <c r="D63" s="976"/>
      <c r="E63" s="976"/>
      <c r="F63" s="976"/>
      <c r="G63" s="976"/>
      <c r="H63" s="976"/>
      <c r="I63" s="976"/>
      <c r="J63" s="976"/>
      <c r="K63" s="976"/>
      <c r="L63" s="976"/>
      <c r="M63" s="976"/>
      <c r="N63" s="976"/>
      <c r="O63" s="976"/>
      <c r="P63" s="976"/>
      <c r="Q63" s="976"/>
      <c r="R63" s="976"/>
      <c r="S63" s="976"/>
      <c r="T63" s="976"/>
      <c r="U63" s="976"/>
      <c r="V63" s="976"/>
      <c r="W63" s="976"/>
      <c r="X63" s="976"/>
      <c r="Y63" s="2755"/>
      <c r="Z63" s="976"/>
      <c r="AA63" s="977"/>
      <c r="AB63" s="976"/>
      <c r="AC63" s="976"/>
      <c r="AD63" s="978"/>
      <c r="AE63" s="976"/>
      <c r="AF63" s="976"/>
      <c r="AG63" s="976"/>
      <c r="AH63" s="976"/>
      <c r="AI63" s="428"/>
      <c r="AJ63" s="1780"/>
    </row>
    <row r="64" spans="1:36" ht="16.5" customHeight="1">
      <c r="A64" s="1748" t="s">
        <v>1521</v>
      </c>
      <c r="B64" s="1748"/>
      <c r="C64" s="976">
        <f>+'Exhibit F'!D61+'Exhibit G'!D47+' Exhbit I '!E39</f>
        <v>41.8</v>
      </c>
      <c r="D64" s="976"/>
      <c r="E64" s="976">
        <f>+'Exhibit F'!F61+'Exhibit G'!F47+' Exhbit I '!G39</f>
        <v>318.2</v>
      </c>
      <c r="F64" s="976"/>
      <c r="G64" s="976">
        <f>+'Exhibit F'!H61+'Exhibit G'!H47+' Exhbit I '!I39</f>
        <v>123.69999999999999</v>
      </c>
      <c r="H64" s="976"/>
      <c r="I64" s="976">
        <f>+'Exhibit F'!J61+'Exhibit G'!J47+' Exhbit I '!K39</f>
        <v>19.799999999999997</v>
      </c>
      <c r="J64" s="976"/>
      <c r="K64" s="976">
        <f>+'Exhibit F'!L61+'Exhibit G'!L47+' Exhbit I '!M39</f>
        <v>46.399999999999991</v>
      </c>
      <c r="L64" s="976"/>
      <c r="M64" s="976">
        <f>+'Exhibit F'!N61+'Exhibit G'!N47+' Exhbit I '!O39</f>
        <v>125.8</v>
      </c>
      <c r="N64" s="976"/>
      <c r="O64" s="976">
        <f>+'Exhibit F'!P61+'Exhibit G'!P47+' Exhbit I '!Q39</f>
        <v>18.399999999999999</v>
      </c>
      <c r="P64" s="976"/>
      <c r="Q64" s="976">
        <f>+'Exhibit F'!R61+'Exhibit G'!R47+' Exhbit I '!S39</f>
        <v>45.4</v>
      </c>
      <c r="R64" s="976"/>
      <c r="S64" s="976">
        <f>+'Exhibit F'!T61+'Exhibit G'!T47+' Exhbit I '!U39</f>
        <v>110.1</v>
      </c>
      <c r="T64" s="976"/>
      <c r="U64" s="976">
        <f>+'Exhibit F'!V61+'Exhibit G'!V47+' Exhbit I '!W39</f>
        <v>26.1</v>
      </c>
      <c r="V64" s="976"/>
      <c r="W64" s="976"/>
      <c r="X64" s="976"/>
      <c r="Y64" s="2755"/>
      <c r="Z64" s="976"/>
      <c r="AA64" s="977"/>
      <c r="AB64" s="976">
        <f t="shared" si="10"/>
        <v>875.7</v>
      </c>
      <c r="AC64" s="976"/>
      <c r="AD64" s="978"/>
      <c r="AE64" s="976">
        <f>+'Exhibit F'!AF61+'Exhibit G'!AH47+' Exhbit I '!AI39</f>
        <v>1012.4</v>
      </c>
      <c r="AF64" s="976"/>
      <c r="AG64" s="976"/>
      <c r="AH64" s="976">
        <f t="shared" si="11"/>
        <v>-136.69999999999999</v>
      </c>
      <c r="AI64" s="428"/>
      <c r="AJ64" s="1780">
        <f>ROUND(IF(AE64=0,0,AH64/ABS(AE64)),3)</f>
        <v>-0.13500000000000001</v>
      </c>
    </row>
    <row r="65" spans="1:36" ht="16.5" customHeight="1">
      <c r="A65" s="1748" t="s">
        <v>1501</v>
      </c>
      <c r="B65" s="1748"/>
      <c r="C65" s="976">
        <f>+'Exhibit F'!D62+'Exhibit G'!D48</f>
        <v>423</v>
      </c>
      <c r="D65" s="976"/>
      <c r="E65" s="976">
        <f>+'Exhibit F'!F62+'Exhibit G'!F48</f>
        <v>482.09999999999997</v>
      </c>
      <c r="F65" s="976"/>
      <c r="G65" s="976">
        <f>+'Exhibit F'!H62+'Exhibit G'!H48</f>
        <v>490.3</v>
      </c>
      <c r="H65" s="976"/>
      <c r="I65" s="976">
        <f>+'Exhibit F'!J62+'Exhibit G'!J48</f>
        <v>468.7</v>
      </c>
      <c r="J65" s="976"/>
      <c r="K65" s="976">
        <f>+'Exhibit F'!L62+'Exhibit G'!L48</f>
        <v>455.7</v>
      </c>
      <c r="L65" s="976"/>
      <c r="M65" s="976">
        <f>+'Exhibit F'!N62+'Exhibit G'!N48</f>
        <v>451.9</v>
      </c>
      <c r="N65" s="976"/>
      <c r="O65" s="976">
        <f>+'Exhibit F'!P62+'Exhibit G'!P48</f>
        <v>467.1</v>
      </c>
      <c r="P65" s="976"/>
      <c r="Q65" s="976">
        <f>+'Exhibit F'!R62+'Exhibit G'!R48</f>
        <v>434.9</v>
      </c>
      <c r="R65" s="976"/>
      <c r="S65" s="976">
        <f>+'Exhibit F'!T62+'Exhibit G'!T48</f>
        <v>501.3</v>
      </c>
      <c r="T65" s="976"/>
      <c r="U65" s="976">
        <f>+'Exhibit F'!V62+'Exhibit G'!V48</f>
        <v>461.2</v>
      </c>
      <c r="V65" s="976"/>
      <c r="W65" s="976"/>
      <c r="X65" s="976"/>
      <c r="Y65" s="2755"/>
      <c r="Z65" s="976"/>
      <c r="AA65" s="977"/>
      <c r="AB65" s="976">
        <f t="shared" si="10"/>
        <v>4636.2</v>
      </c>
      <c r="AC65" s="976"/>
      <c r="AD65" s="978"/>
      <c r="AE65" s="976">
        <f>+'Exhibit F'!AF62+'Exhibit G'!AH48+'Exhibit H'!AD29</f>
        <v>4338.6000000000004</v>
      </c>
      <c r="AF65" s="976"/>
      <c r="AG65" s="976"/>
      <c r="AH65" s="976">
        <f t="shared" si="11"/>
        <v>297.60000000000002</v>
      </c>
      <c r="AI65" s="428"/>
      <c r="AJ65" s="1780">
        <f>ROUND(IF(AE65=0,0,AH65/ABS(AE65)),3)</f>
        <v>6.9000000000000006E-2</v>
      </c>
    </row>
    <row r="66" spans="1:36" ht="16.5" customHeight="1">
      <c r="A66" s="1748" t="s">
        <v>1502</v>
      </c>
      <c r="B66" s="1748"/>
      <c r="C66" s="976">
        <f>+'Exhibit F'!D63+'Exhibit G'!D49</f>
        <v>5.7</v>
      </c>
      <c r="D66" s="976"/>
      <c r="E66" s="976">
        <f>+'Exhibit F'!F63+'Exhibit G'!F49</f>
        <v>0.2</v>
      </c>
      <c r="F66" s="976"/>
      <c r="G66" s="976">
        <f>+'Exhibit F'!H63+'Exhibit G'!H49</f>
        <v>-0.1</v>
      </c>
      <c r="H66" s="976"/>
      <c r="I66" s="976">
        <f>+'Exhibit F'!J63+'Exhibit G'!J49</f>
        <v>0</v>
      </c>
      <c r="J66" s="976"/>
      <c r="K66" s="976">
        <f>+'Exhibit F'!L63+'Exhibit G'!L49</f>
        <v>0.7</v>
      </c>
      <c r="L66" s="976"/>
      <c r="M66" s="976">
        <f>+'Exhibit F'!N63+'Exhibit G'!N49</f>
        <v>100.1</v>
      </c>
      <c r="N66" s="976"/>
      <c r="O66" s="976">
        <f>+'Exhibit F'!P63+'Exhibit G'!P49</f>
        <v>-0.1</v>
      </c>
      <c r="P66" s="976"/>
      <c r="Q66" s="976">
        <f>+'Exhibit F'!R63+'Exhibit G'!R49</f>
        <v>-14</v>
      </c>
      <c r="R66" s="976"/>
      <c r="S66" s="976">
        <f>+'Exhibit F'!T63+'Exhibit G'!T49</f>
        <v>0.29999999999999982</v>
      </c>
      <c r="T66" s="976"/>
      <c r="U66" s="976">
        <f>+'Exhibit F'!V63+'Exhibit G'!V49</f>
        <v>-0.1</v>
      </c>
      <c r="V66" s="976"/>
      <c r="W66" s="976"/>
      <c r="X66" s="976"/>
      <c r="Y66" s="2755"/>
      <c r="Z66" s="976"/>
      <c r="AA66" s="977"/>
      <c r="AB66" s="976">
        <f t="shared" si="10"/>
        <v>92.7</v>
      </c>
      <c r="AC66" s="976"/>
      <c r="AD66" s="978"/>
      <c r="AE66" s="976">
        <f>+'Exhibit F'!AF63+'Exhibit G'!AH49</f>
        <v>158.79999999999998</v>
      </c>
      <c r="AF66" s="976"/>
      <c r="AG66" s="976"/>
      <c r="AH66" s="976">
        <f t="shared" si="11"/>
        <v>-66.099999999999994</v>
      </c>
      <c r="AI66" s="428"/>
      <c r="AJ66" s="1780">
        <f>ROUND(IF(AE66=0,0,AH66/ABS(AE66)),3)</f>
        <v>-0.41599999999999998</v>
      </c>
    </row>
    <row r="67" spans="1:36" ht="16.5" customHeight="1">
      <c r="A67" s="1748" t="s">
        <v>1503</v>
      </c>
      <c r="B67" s="1748"/>
      <c r="C67" s="976">
        <f>+'Exhibit F'!D64+'Exhibit G'!D50</f>
        <v>20.5</v>
      </c>
      <c r="D67" s="976"/>
      <c r="E67" s="976">
        <f>+'Exhibit F'!F64+'Exhibit G'!F50</f>
        <v>18.899999999999999</v>
      </c>
      <c r="F67" s="976"/>
      <c r="G67" s="976">
        <f>+'Exhibit F'!H64+'Exhibit G'!H50</f>
        <v>19.3</v>
      </c>
      <c r="H67" s="976"/>
      <c r="I67" s="976">
        <f>+'Exhibit F'!J64+'Exhibit G'!J50</f>
        <v>19.8</v>
      </c>
      <c r="J67" s="976"/>
      <c r="K67" s="976">
        <f>+'Exhibit F'!L64+'Exhibit G'!L50</f>
        <v>19.200000000000003</v>
      </c>
      <c r="L67" s="976"/>
      <c r="M67" s="976">
        <f>+'Exhibit F'!N64+'Exhibit G'!N50</f>
        <v>19.7</v>
      </c>
      <c r="N67" s="976"/>
      <c r="O67" s="976">
        <f>+'Exhibit F'!P64+'Exhibit G'!P50</f>
        <v>19.100000000000001</v>
      </c>
      <c r="P67" s="976"/>
      <c r="Q67" s="976">
        <f>+'Exhibit F'!R64+'Exhibit G'!R50</f>
        <v>18.600000000000001</v>
      </c>
      <c r="R67" s="976"/>
      <c r="S67" s="976">
        <f>+'Exhibit F'!T64+'Exhibit G'!T50</f>
        <v>10.199999999999999</v>
      </c>
      <c r="T67" s="976"/>
      <c r="U67" s="976">
        <f>+'Exhibit F'!V64+'Exhibit G'!V50</f>
        <v>9.1</v>
      </c>
      <c r="V67" s="976"/>
      <c r="W67" s="976"/>
      <c r="X67" s="976"/>
      <c r="Y67" s="2755"/>
      <c r="Z67" s="976"/>
      <c r="AA67" s="977"/>
      <c r="AB67" s="976">
        <f t="shared" si="10"/>
        <v>174.4</v>
      </c>
      <c r="AC67" s="976"/>
      <c r="AD67" s="978"/>
      <c r="AE67" s="976">
        <f>+'Exhibit F'!AF64+'Exhibit G'!AH50</f>
        <v>185.9</v>
      </c>
      <c r="AF67" s="976"/>
      <c r="AG67" s="976"/>
      <c r="AH67" s="976">
        <f t="shared" si="11"/>
        <v>-11.5</v>
      </c>
      <c r="AI67" s="428"/>
      <c r="AJ67" s="1780">
        <f>ROUND(IF(AE67=0,0,AH67/ABS(AE67)),3)</f>
        <v>-6.2E-2</v>
      </c>
    </row>
    <row r="68" spans="1:36" ht="16.5" customHeight="1">
      <c r="A68" s="1748" t="s">
        <v>1274</v>
      </c>
      <c r="B68" s="1748"/>
      <c r="C68" s="976"/>
      <c r="D68" s="976"/>
      <c r="E68" s="976"/>
      <c r="F68" s="976"/>
      <c r="G68" s="976"/>
      <c r="H68" s="976"/>
      <c r="I68" s="976"/>
      <c r="J68" s="976"/>
      <c r="K68" s="976"/>
      <c r="L68" s="976"/>
      <c r="M68" s="976"/>
      <c r="N68" s="976"/>
      <c r="O68" s="976"/>
      <c r="P68" s="976"/>
      <c r="Q68" s="976"/>
      <c r="R68" s="976"/>
      <c r="S68" s="976"/>
      <c r="T68" s="976"/>
      <c r="U68" s="976"/>
      <c r="V68" s="976"/>
      <c r="W68" s="976"/>
      <c r="X68" s="976"/>
      <c r="Y68" s="2755"/>
      <c r="Z68" s="976"/>
      <c r="AA68" s="977"/>
      <c r="AB68" s="976"/>
      <c r="AC68" s="976"/>
      <c r="AD68" s="978"/>
      <c r="AE68" s="976"/>
      <c r="AF68" s="976"/>
      <c r="AG68" s="976"/>
      <c r="AH68" s="976"/>
      <c r="AI68" s="428"/>
      <c r="AJ68" s="1780"/>
    </row>
    <row r="69" spans="1:36" ht="16.5" customHeight="1">
      <c r="A69" s="1748" t="s">
        <v>1504</v>
      </c>
      <c r="B69" s="1748"/>
      <c r="C69" s="976">
        <f>+'Exhibit F'!D66+'Exhibit H'!B31</f>
        <v>5.6</v>
      </c>
      <c r="D69" s="976"/>
      <c r="E69" s="976">
        <f>+'Exhibit F'!F66+'Exhibit H'!D31</f>
        <v>5.0999999999999996</v>
      </c>
      <c r="F69" s="976"/>
      <c r="G69" s="976">
        <f>+'Exhibit F'!H66+'Exhibit H'!F31</f>
        <v>4.4000000000000004</v>
      </c>
      <c r="H69" s="976"/>
      <c r="I69" s="976">
        <f>+'Exhibit F'!J66+'Exhibit H'!H31</f>
        <v>4.5</v>
      </c>
      <c r="J69" s="976"/>
      <c r="K69" s="976">
        <f>+'Exhibit F'!L66+'Exhibit H'!J31</f>
        <v>5</v>
      </c>
      <c r="L69" s="976"/>
      <c r="M69" s="976">
        <f>+'Exhibit F'!N66+'Exhibit H'!L31</f>
        <v>5.2</v>
      </c>
      <c r="N69" s="976"/>
      <c r="O69" s="976">
        <f>+'Exhibit F'!P66+'Exhibit H'!N31</f>
        <v>5.4</v>
      </c>
      <c r="P69" s="976"/>
      <c r="Q69" s="976">
        <f>+'Exhibit F'!R66+'Exhibit H'!P31</f>
        <v>4.4000000000000004</v>
      </c>
      <c r="R69" s="976"/>
      <c r="S69" s="976">
        <f>+'Exhibit F'!T66+'Exhibit H'!R31</f>
        <v>4.3</v>
      </c>
      <c r="T69" s="976"/>
      <c r="U69" s="976">
        <f>+'Exhibit F'!V66+'Exhibit H'!T31</f>
        <v>6.3</v>
      </c>
      <c r="V69" s="976"/>
      <c r="W69" s="976"/>
      <c r="X69" s="976"/>
      <c r="Y69" s="2755"/>
      <c r="Z69" s="976"/>
      <c r="AA69" s="977"/>
      <c r="AB69" s="976">
        <f t="shared" si="10"/>
        <v>50.2</v>
      </c>
      <c r="AC69" s="976"/>
      <c r="AD69" s="978"/>
      <c r="AE69" s="976">
        <f>+'Exhibit F'!AF66+'Exhibit H'!AD31</f>
        <v>56.4</v>
      </c>
      <c r="AF69" s="976"/>
      <c r="AG69" s="976"/>
      <c r="AH69" s="976">
        <f t="shared" si="11"/>
        <v>-6.2</v>
      </c>
      <c r="AI69" s="428"/>
      <c r="AJ69" s="1780">
        <f t="shared" ref="AJ69:AJ76" si="12">ROUND(IF(AE69=0,0,AH69/ABS(AE69)),3)</f>
        <v>-0.11</v>
      </c>
    </row>
    <row r="70" spans="1:36" ht="16.5" customHeight="1">
      <c r="A70" s="1748" t="s">
        <v>1522</v>
      </c>
      <c r="B70" s="1748"/>
      <c r="C70" s="976">
        <f>'Exhibit G'!D52</f>
        <v>0</v>
      </c>
      <c r="D70" s="976"/>
      <c r="E70" s="976">
        <f>'Exhibit G'!F52</f>
        <v>0.9</v>
      </c>
      <c r="F70" s="976"/>
      <c r="G70" s="976">
        <f>'Exhibit G'!H52</f>
        <v>1</v>
      </c>
      <c r="H70" s="976"/>
      <c r="I70" s="976">
        <f>'Exhibit G'!J52</f>
        <v>0.1</v>
      </c>
      <c r="J70" s="976"/>
      <c r="K70" s="976">
        <f>'Exhibit G'!L52</f>
        <v>0</v>
      </c>
      <c r="L70" s="976"/>
      <c r="M70" s="976">
        <f>'Exhibit G'!N52</f>
        <v>0</v>
      </c>
      <c r="N70" s="976"/>
      <c r="O70" s="976">
        <f>'Exhibit G'!P52</f>
        <v>0.1</v>
      </c>
      <c r="P70" s="976"/>
      <c r="Q70" s="976">
        <f>'Exhibit G'!R52</f>
        <v>0.1</v>
      </c>
      <c r="R70" s="976"/>
      <c r="S70" s="976">
        <f>'Exhibit G'!T52</f>
        <v>0</v>
      </c>
      <c r="T70" s="976"/>
      <c r="U70" s="976">
        <f>'Exhibit G'!V52</f>
        <v>0</v>
      </c>
      <c r="V70" s="976"/>
      <c r="W70" s="976"/>
      <c r="X70" s="976"/>
      <c r="Y70" s="2755"/>
      <c r="Z70" s="976"/>
      <c r="AA70" s="1846"/>
      <c r="AB70" s="976">
        <f t="shared" si="10"/>
        <v>2.2000000000000002</v>
      </c>
      <c r="AC70" s="976"/>
      <c r="AD70" s="978"/>
      <c r="AE70" s="976">
        <f>'Exhibit G'!AH52</f>
        <v>2.1</v>
      </c>
      <c r="AF70" s="976"/>
      <c r="AG70" s="976"/>
      <c r="AH70" s="976">
        <f t="shared" ref="AH70:AH71" si="13">ROUND(SUM(AB70-AE70),1)</f>
        <v>0.1</v>
      </c>
      <c r="AI70" s="2927"/>
      <c r="AJ70" s="2679">
        <f>ROUND(IF(AE70=0,1,AH70/ABS(AE70)),3)</f>
        <v>4.8000000000000001E-2</v>
      </c>
    </row>
    <row r="71" spans="1:36" ht="16.5" customHeight="1">
      <c r="A71" s="1748" t="s">
        <v>1505</v>
      </c>
      <c r="B71" s="1748"/>
      <c r="C71" s="976">
        <f>+'Exhibit F'!D67+'Exhibit G'!D53+' Exhbit I '!E41+'Exhibit H'!B32</f>
        <v>51.2</v>
      </c>
      <c r="D71" s="976"/>
      <c r="E71" s="976">
        <f>+'Exhibit F'!F67+'Exhibit G'!F53+' Exhbit I '!G41+'Exhibit H'!D32</f>
        <v>51.5</v>
      </c>
      <c r="F71" s="976"/>
      <c r="G71" s="976">
        <f>+'Exhibit F'!H67+'Exhibit G'!H53+' Exhbit I '!I41+'Exhibit H'!F32</f>
        <v>106.7</v>
      </c>
      <c r="H71" s="976"/>
      <c r="I71" s="976">
        <f>+'Exhibit F'!J67+'Exhibit G'!J53+' Exhbit I '!K41+'Exhibit H'!H32</f>
        <v>47.5</v>
      </c>
      <c r="J71" s="976"/>
      <c r="K71" s="976">
        <f>+'Exhibit F'!L67+'Exhibit G'!L53+' Exhbit I '!M41+'Exhibit H'!J32</f>
        <v>69.7</v>
      </c>
      <c r="L71" s="976"/>
      <c r="M71" s="976">
        <f>+'Exhibit F'!N67+'Exhibit G'!N53+' Exhbit I '!O41+'Exhibit H'!L32</f>
        <v>101.69999999999999</v>
      </c>
      <c r="N71" s="976"/>
      <c r="O71" s="976">
        <f>+'Exhibit F'!P67+'Exhibit G'!P53+' Exhbit I '!Q41+'Exhibit H'!N32</f>
        <v>66.599999999999994</v>
      </c>
      <c r="P71" s="976"/>
      <c r="Q71" s="976">
        <f>+'Exhibit F'!R67+'Exhibit G'!R53+' Exhbit I '!S41+'Exhibit H'!P32</f>
        <v>79.800000000000011</v>
      </c>
      <c r="R71" s="976"/>
      <c r="S71" s="976">
        <f>+'Exhibit F'!T67+'Exhibit G'!T53+' Exhbit I '!U41+'Exhibit H'!R32</f>
        <v>103.3</v>
      </c>
      <c r="T71" s="976"/>
      <c r="U71" s="976">
        <f>+'Exhibit F'!V67+'Exhibit G'!V53+' Exhbit I '!W41+'Exhibit H'!T32</f>
        <v>89.399999999999991</v>
      </c>
      <c r="V71" s="976"/>
      <c r="W71" s="976"/>
      <c r="X71" s="976"/>
      <c r="Y71" s="2755"/>
      <c r="Z71" s="976"/>
      <c r="AA71" s="977"/>
      <c r="AB71" s="976">
        <f t="shared" si="10"/>
        <v>767.4</v>
      </c>
      <c r="AC71" s="976"/>
      <c r="AD71" s="978"/>
      <c r="AE71" s="976">
        <f>+'Exhibit F'!AF67+'Exhibit G'!AH53+' Exhbit I '!AI41+'Exhibit H'!AD32</f>
        <v>1071.9000000000001</v>
      </c>
      <c r="AF71" s="976"/>
      <c r="AG71" s="976"/>
      <c r="AH71" s="976">
        <f t="shared" si="13"/>
        <v>-304.5</v>
      </c>
      <c r="AI71" s="2927"/>
      <c r="AJ71" s="1780">
        <f t="shared" ref="AJ71" si="14">ROUND(IF(AE71=0,0,AH71/ABS(AE71)),3)</f>
        <v>-0.28399999999999997</v>
      </c>
    </row>
    <row r="72" spans="1:36" ht="16.5" customHeight="1">
      <c r="A72" s="1748" t="s">
        <v>1506</v>
      </c>
      <c r="B72" s="1748"/>
      <c r="C72" s="976">
        <f>+'Exhibit F'!D68+'Exhibit G'!D54+'Exhibit H'!B33</f>
        <v>24.6</v>
      </c>
      <c r="D72" s="976"/>
      <c r="E72" s="976">
        <f>+'Exhibit F'!F68+'Exhibit G'!F54+'Exhibit H'!D33</f>
        <v>18.100000000000001</v>
      </c>
      <c r="F72" s="976"/>
      <c r="G72" s="976">
        <f>+'Exhibit F'!H68+'Exhibit G'!H54+'Exhibit H'!F33</f>
        <v>25</v>
      </c>
      <c r="H72" s="976"/>
      <c r="I72" s="976">
        <f>+'Exhibit F'!J68+'Exhibit G'!J54+'Exhibit H'!H33</f>
        <v>31</v>
      </c>
      <c r="J72" s="976"/>
      <c r="K72" s="976">
        <f>+'Exhibit F'!L68+'Exhibit G'!L54+'Exhibit H'!J33</f>
        <v>13.7</v>
      </c>
      <c r="L72" s="976"/>
      <c r="M72" s="976">
        <f>+'Exhibit F'!N68+'Exhibit G'!N54+'Exhibit H'!L33</f>
        <v>22.599999999999998</v>
      </c>
      <c r="N72" s="976"/>
      <c r="O72" s="976">
        <f>+'Exhibit F'!P68+'Exhibit G'!P54+'Exhibit H'!N33</f>
        <v>23.299999999999997</v>
      </c>
      <c r="P72" s="976"/>
      <c r="Q72" s="976">
        <f>+'Exhibit F'!R68+'Exhibit G'!R54+'Exhibit H'!P33</f>
        <v>26.1</v>
      </c>
      <c r="R72" s="976"/>
      <c r="S72" s="976">
        <f>+'Exhibit F'!T68+'Exhibit G'!T54+'Exhibit H'!R33</f>
        <v>21.599999999999998</v>
      </c>
      <c r="T72" s="976"/>
      <c r="U72" s="976">
        <f>+'Exhibit F'!V68+'Exhibit G'!V54+'Exhibit H'!T33</f>
        <v>22</v>
      </c>
      <c r="V72" s="976"/>
      <c r="W72" s="976"/>
      <c r="X72" s="976"/>
      <c r="Y72" s="2755"/>
      <c r="Z72" s="976"/>
      <c r="AA72" s="977"/>
      <c r="AB72" s="976">
        <f t="shared" si="10"/>
        <v>228</v>
      </c>
      <c r="AC72" s="976"/>
      <c r="AD72" s="978"/>
      <c r="AE72" s="976">
        <f>+'Exhibit F'!AF68+'Exhibit G'!AH54+'Exhibit H'!AD33+' Exhbit I '!AI42</f>
        <v>240.1</v>
      </c>
      <c r="AF72" s="976"/>
      <c r="AG72" s="976"/>
      <c r="AH72" s="976">
        <f t="shared" si="11"/>
        <v>-12.1</v>
      </c>
      <c r="AI72" s="428"/>
      <c r="AJ72" s="1780">
        <f t="shared" si="12"/>
        <v>-0.05</v>
      </c>
    </row>
    <row r="73" spans="1:36" ht="16.5" customHeight="1">
      <c r="A73" s="1748" t="s">
        <v>1507</v>
      </c>
      <c r="B73" s="1748"/>
      <c r="C73" s="976">
        <f>+'Exhibit F'!D69+'Exhibit G'!D55+'Exhibit H'!B34</f>
        <v>0</v>
      </c>
      <c r="D73" s="976"/>
      <c r="E73" s="976">
        <f>+'Exhibit F'!F69+'Exhibit G'!F55+'Exhibit H'!D34</f>
        <v>2.1</v>
      </c>
      <c r="F73" s="976"/>
      <c r="G73" s="976">
        <f>+'Exhibit F'!H69+'Exhibit G'!H55+'Exhibit H'!F34</f>
        <v>0.3</v>
      </c>
      <c r="H73" s="976"/>
      <c r="I73" s="976">
        <f>+'Exhibit F'!J69+'Exhibit G'!J55+'Exhibit H'!H34</f>
        <v>0.4</v>
      </c>
      <c r="J73" s="976"/>
      <c r="K73" s="976">
        <f>+'Exhibit F'!L69+'Exhibit G'!L55+'Exhibit H'!J34</f>
        <v>1.9000000000000001</v>
      </c>
      <c r="L73" s="976"/>
      <c r="M73" s="976">
        <f>+'Exhibit F'!N69+'Exhibit G'!N55+'Exhibit H'!L34</f>
        <v>0</v>
      </c>
      <c r="N73" s="976"/>
      <c r="O73" s="976">
        <f>+'Exhibit F'!P69+'Exhibit G'!P55+'Exhibit H'!N34</f>
        <v>0.7</v>
      </c>
      <c r="P73" s="976"/>
      <c r="Q73" s="976">
        <f>+'Exhibit F'!R69+'Exhibit G'!R55+'Exhibit H'!P34</f>
        <v>0.3</v>
      </c>
      <c r="R73" s="976"/>
      <c r="S73" s="976">
        <f>+'Exhibit F'!T69+'Exhibit G'!T55+'Exhibit H'!R34</f>
        <v>1.4000000000000001</v>
      </c>
      <c r="T73" s="976"/>
      <c r="U73" s="976">
        <f>+'Exhibit F'!V69+'Exhibit G'!V55+'Exhibit H'!T34</f>
        <v>0.3</v>
      </c>
      <c r="V73" s="976"/>
      <c r="W73" s="976"/>
      <c r="X73" s="976"/>
      <c r="Y73" s="2755"/>
      <c r="Z73" s="976"/>
      <c r="AA73" s="977"/>
      <c r="AB73" s="976">
        <f t="shared" si="10"/>
        <v>7.4</v>
      </c>
      <c r="AC73" s="976"/>
      <c r="AD73" s="978"/>
      <c r="AE73" s="976">
        <f>+'Exhibit F'!AF69+'Exhibit G'!AH55+'Exhibit H'!AD34</f>
        <v>7.7</v>
      </c>
      <c r="AF73" s="976"/>
      <c r="AG73" s="976"/>
      <c r="AH73" s="976">
        <f t="shared" si="11"/>
        <v>-0.3</v>
      </c>
      <c r="AI73" s="428"/>
      <c r="AJ73" s="1780">
        <f t="shared" si="12"/>
        <v>-3.9E-2</v>
      </c>
    </row>
    <row r="74" spans="1:36" ht="16.5" customHeight="1">
      <c r="A74" s="1748" t="s">
        <v>1519</v>
      </c>
      <c r="B74" s="1748"/>
      <c r="C74" s="976">
        <f>+'Exhibit F'!D70+'Exhibit G'!D56+' Exhbit I '!E43+'Exhibit H'!B35</f>
        <v>122.89999999999999</v>
      </c>
      <c r="D74" s="976"/>
      <c r="E74" s="976">
        <f>+'Exhibit F'!F70+'Exhibit G'!F56+' Exhbit I '!G43+'Exhibit H'!D35</f>
        <v>123.3</v>
      </c>
      <c r="F74" s="976"/>
      <c r="G74" s="976">
        <f>+'Exhibit F'!H70+'Exhibit G'!H56+' Exhbit I '!I43+'Exhibit H'!F35</f>
        <v>130.6</v>
      </c>
      <c r="H74" s="976"/>
      <c r="I74" s="976">
        <f>+'Exhibit F'!J70+'Exhibit G'!J56+' Exhbit I '!K43+'Exhibit H'!H35</f>
        <v>106.1</v>
      </c>
      <c r="J74" s="976"/>
      <c r="K74" s="976">
        <f>+'Exhibit F'!L70+'Exhibit G'!L56+' Exhbit I '!M43+'Exhibit H'!J35</f>
        <v>121.2</v>
      </c>
      <c r="L74" s="976"/>
      <c r="M74" s="976">
        <f>+'Exhibit F'!N70+'Exhibit G'!N56+' Exhbit I '!O43+'Exhibit H'!L35</f>
        <v>108.8</v>
      </c>
      <c r="N74" s="976"/>
      <c r="O74" s="976">
        <f>+'Exhibit F'!P70+'Exhibit G'!P56+' Exhbit I '!Q43+'Exhibit H'!N35</f>
        <v>42.400000000000006</v>
      </c>
      <c r="P74" s="976"/>
      <c r="Q74" s="976">
        <f>+'Exhibit F'!R70+'Exhibit G'!R56+' Exhbit I '!S43+'Exhibit H'!P35</f>
        <v>162.9</v>
      </c>
      <c r="R74" s="976"/>
      <c r="S74" s="976">
        <f>+'Exhibit F'!T70+'Exhibit G'!T56+' Exhbit I '!U43+'Exhibit H'!R35</f>
        <v>120.8</v>
      </c>
      <c r="T74" s="976"/>
      <c r="U74" s="976">
        <f>+'Exhibit F'!V70+'Exhibit G'!V56+' Exhbit I '!W43+'Exhibit H'!T35</f>
        <v>91.1</v>
      </c>
      <c r="V74" s="976"/>
      <c r="W74" s="976"/>
      <c r="X74" s="976"/>
      <c r="Y74" s="2755"/>
      <c r="Z74" s="976"/>
      <c r="AA74" s="977"/>
      <c r="AB74" s="976">
        <f t="shared" si="10"/>
        <v>1130.0999999999999</v>
      </c>
      <c r="AC74" s="976"/>
      <c r="AD74" s="978"/>
      <c r="AE74" s="976">
        <f>+'Exhibit F'!AF70+'Exhibit G'!AH56+' Exhbit I '!AI43+'Exhibit H'!AD35</f>
        <v>1126.8</v>
      </c>
      <c r="AF74" s="976"/>
      <c r="AG74" s="976"/>
      <c r="AH74" s="976">
        <f t="shared" si="11"/>
        <v>3.3</v>
      </c>
      <c r="AI74" s="428"/>
      <c r="AJ74" s="1780">
        <f t="shared" si="12"/>
        <v>3.0000000000000001E-3</v>
      </c>
    </row>
    <row r="75" spans="1:36" ht="16.5" customHeight="1">
      <c r="A75" s="1748" t="s">
        <v>1520</v>
      </c>
      <c r="B75" s="1748"/>
      <c r="C75" s="976">
        <f>+'Exhibit F'!D71+'Exhibit G'!D57+' Exhbit I '!E44+'Exhibit H'!B36</f>
        <v>40.400000000000006</v>
      </c>
      <c r="D75" s="976"/>
      <c r="E75" s="976">
        <f>+'Exhibit F'!F71+'Exhibit G'!F57+' Exhbit I '!G44+'Exhibit H'!D36</f>
        <v>41</v>
      </c>
      <c r="F75" s="976"/>
      <c r="G75" s="976">
        <f>+'Exhibit F'!H71+'Exhibit G'!H57+' Exhbit I '!I44+'Exhibit H'!F36</f>
        <v>48.8</v>
      </c>
      <c r="H75" s="976"/>
      <c r="I75" s="976">
        <f>+'Exhibit F'!J71+'Exhibit G'!J57+' Exhbit I '!K44+'Exhibit H'!H36</f>
        <v>39.799999999999997</v>
      </c>
      <c r="J75" s="976"/>
      <c r="K75" s="976">
        <f>+'Exhibit F'!L71+'Exhibit G'!L57+' Exhbit I '!M44+'Exhibit H'!J36</f>
        <v>71.300000000000011</v>
      </c>
      <c r="L75" s="976"/>
      <c r="M75" s="976">
        <f>+'Exhibit F'!N71+'Exhibit G'!N57+' Exhbit I '!O44+'Exhibit H'!L36</f>
        <v>123.8</v>
      </c>
      <c r="N75" s="976"/>
      <c r="O75" s="976">
        <f>+'Exhibit F'!P71+'Exhibit G'!P57+' Exhbit I '!Q44+'Exhibit H'!N36</f>
        <v>66.2</v>
      </c>
      <c r="P75" s="976"/>
      <c r="Q75" s="976">
        <f>+'Exhibit F'!R71+'Exhibit G'!R57+' Exhbit I '!S44+'Exhibit H'!P36</f>
        <v>66.900000000000006</v>
      </c>
      <c r="R75" s="976"/>
      <c r="S75" s="976">
        <f>+'Exhibit F'!T71+'Exhibit G'!T57+' Exhbit I '!U44+'Exhibit H'!R36</f>
        <v>60.2</v>
      </c>
      <c r="T75" s="976"/>
      <c r="U75" s="976">
        <f>+'Exhibit F'!V71+'Exhibit G'!V57+' Exhbit I '!W44+'Exhibit H'!T36</f>
        <v>64.3</v>
      </c>
      <c r="V75" s="976"/>
      <c r="W75" s="976"/>
      <c r="X75" s="976"/>
      <c r="Y75" s="2755"/>
      <c r="Z75" s="976"/>
      <c r="AA75" s="977"/>
      <c r="AB75" s="976">
        <f t="shared" si="10"/>
        <v>622.70000000000005</v>
      </c>
      <c r="AC75" s="976"/>
      <c r="AD75" s="978"/>
      <c r="AE75" s="976">
        <f>+'Exhibit F'!AF71+'Exhibit G'!AH57+' Exhbit I '!AI44+'Exhibit H'!AD36</f>
        <v>259.2</v>
      </c>
      <c r="AF75" s="976"/>
      <c r="AG75" s="976"/>
      <c r="AH75" s="976">
        <f t="shared" si="11"/>
        <v>363.5</v>
      </c>
      <c r="AI75" s="428"/>
      <c r="AJ75" s="1780">
        <f t="shared" si="12"/>
        <v>1.4019999999999999</v>
      </c>
    </row>
    <row r="76" spans="1:36" ht="16.5" customHeight="1">
      <c r="A76" s="1748" t="s">
        <v>1158</v>
      </c>
      <c r="B76" s="1748"/>
      <c r="C76" s="976">
        <f>+'Exhibit F'!D72+'Exhibit G'!D58+' Exhbit I '!E45</f>
        <v>9.1999999999999993</v>
      </c>
      <c r="D76" s="976"/>
      <c r="E76" s="976">
        <f>+'Exhibit F'!F72+'Exhibit G'!F58+' Exhbit I '!G45</f>
        <v>75.599999999999994</v>
      </c>
      <c r="F76" s="976"/>
      <c r="G76" s="976">
        <f>+'Exhibit F'!H72+'Exhibit G'!H58+' Exhbit I '!I45</f>
        <v>33.5</v>
      </c>
      <c r="H76" s="976"/>
      <c r="I76" s="976">
        <f>+'Exhibit F'!J72+'Exhibit G'!J58+' Exhbit I '!K45</f>
        <v>26.799999999999997</v>
      </c>
      <c r="J76" s="976"/>
      <c r="K76" s="976">
        <f>+'Exhibit F'!L72+'Exhibit G'!L58+' Exhbit I '!M45</f>
        <v>241.00000000000003</v>
      </c>
      <c r="L76" s="976"/>
      <c r="M76" s="976">
        <f>+'Exhibit F'!N72+'Exhibit G'!N58+' Exhbit I '!O45</f>
        <v>12.8</v>
      </c>
      <c r="N76" s="976"/>
      <c r="O76" s="976">
        <f>+'Exhibit F'!P72+'Exhibit G'!P58+' Exhbit I '!Q45</f>
        <v>38.6</v>
      </c>
      <c r="P76" s="976"/>
      <c r="Q76" s="976">
        <f>+'Exhibit F'!R72+'Exhibit G'!R58+' Exhbit I '!S45</f>
        <v>303.89999999999998</v>
      </c>
      <c r="R76" s="976"/>
      <c r="S76" s="976">
        <f>+'Exhibit F'!T72+'Exhibit G'!T58+' Exhbit I '!U45</f>
        <v>284.7</v>
      </c>
      <c r="T76" s="976"/>
      <c r="U76" s="976">
        <f>+'Exhibit F'!V72+'Exhibit G'!V58+' Exhbit I '!W45</f>
        <v>45</v>
      </c>
      <c r="V76" s="976"/>
      <c r="W76" s="976"/>
      <c r="X76" s="976"/>
      <c r="Y76" s="2755"/>
      <c r="Z76" s="976"/>
      <c r="AA76" s="977"/>
      <c r="AB76" s="976">
        <f t="shared" si="10"/>
        <v>1071.0999999999999</v>
      </c>
      <c r="AC76" s="976"/>
      <c r="AD76" s="978"/>
      <c r="AE76" s="976">
        <f>+'Exhibit F'!AF72+'Exhibit G'!AH58+' Exhbit I '!AI45</f>
        <v>2555.2999999999997</v>
      </c>
      <c r="AF76" s="976"/>
      <c r="AG76" s="976"/>
      <c r="AH76" s="976">
        <f t="shared" si="11"/>
        <v>-1484.2</v>
      </c>
      <c r="AI76" s="428"/>
      <c r="AJ76" s="1780">
        <f t="shared" si="12"/>
        <v>-0.58099999999999996</v>
      </c>
    </row>
    <row r="77" spans="1:36" ht="16.5" customHeight="1">
      <c r="A77" s="1748" t="s">
        <v>1271</v>
      </c>
      <c r="B77" s="1748"/>
      <c r="C77" s="976"/>
      <c r="D77" s="976"/>
      <c r="E77" s="976"/>
      <c r="F77" s="976"/>
      <c r="G77" s="976"/>
      <c r="H77" s="976"/>
      <c r="I77" s="976"/>
      <c r="J77" s="976"/>
      <c r="K77" s="976"/>
      <c r="L77" s="976"/>
      <c r="M77" s="976"/>
      <c r="N77" s="976"/>
      <c r="O77" s="976"/>
      <c r="P77" s="976"/>
      <c r="Q77" s="976"/>
      <c r="R77" s="976"/>
      <c r="S77" s="976"/>
      <c r="T77" s="976"/>
      <c r="U77" s="976"/>
      <c r="V77" s="976"/>
      <c r="W77" s="976"/>
      <c r="X77" s="976"/>
      <c r="Y77" s="2755"/>
      <c r="Z77" s="976"/>
      <c r="AA77" s="977"/>
      <c r="AB77" s="976"/>
      <c r="AC77" s="976"/>
      <c r="AD77" s="978"/>
      <c r="AE77" s="976"/>
      <c r="AF77" s="976"/>
      <c r="AG77" s="976"/>
      <c r="AH77" s="976"/>
      <c r="AI77" s="428"/>
      <c r="AJ77" s="1780"/>
    </row>
    <row r="78" spans="1:36" ht="16.5" customHeight="1">
      <c r="A78" s="1748" t="s">
        <v>1523</v>
      </c>
      <c r="B78" s="1748"/>
      <c r="C78" s="976">
        <f>+'Exhibit G'!D60</f>
        <v>15.3</v>
      </c>
      <c r="D78" s="976"/>
      <c r="E78" s="976">
        <f>+'Exhibit G'!F60</f>
        <v>0</v>
      </c>
      <c r="F78" s="976"/>
      <c r="G78" s="976">
        <f>+'Exhibit G'!H60</f>
        <v>34.4</v>
      </c>
      <c r="H78" s="976"/>
      <c r="I78" s="976">
        <f>+'Exhibit G'!J60</f>
        <v>15.6</v>
      </c>
      <c r="J78" s="976"/>
      <c r="K78" s="976">
        <f>+'Exhibit G'!L60</f>
        <v>0</v>
      </c>
      <c r="L78" s="976"/>
      <c r="M78" s="976">
        <f>+'Exhibit G'!N60</f>
        <v>37</v>
      </c>
      <c r="N78" s="976"/>
      <c r="O78" s="976">
        <f>+'Exhibit G'!P60</f>
        <v>16.3</v>
      </c>
      <c r="P78" s="976"/>
      <c r="Q78" s="976">
        <f>+'Exhibit G'!R60</f>
        <v>0</v>
      </c>
      <c r="R78" s="976"/>
      <c r="S78" s="976">
        <f>+'Exhibit G'!T60</f>
        <v>39.700000000000003</v>
      </c>
      <c r="T78" s="976"/>
      <c r="U78" s="976">
        <f>+'Exhibit G'!V60</f>
        <v>16</v>
      </c>
      <c r="V78" s="976"/>
      <c r="W78" s="976"/>
      <c r="X78" s="976"/>
      <c r="Y78" s="2755"/>
      <c r="Z78" s="976"/>
      <c r="AA78" s="977"/>
      <c r="AB78" s="976">
        <f t="shared" si="10"/>
        <v>174.3</v>
      </c>
      <c r="AC78" s="976"/>
      <c r="AD78" s="978"/>
      <c r="AE78" s="976">
        <f>+'Exhibit G'!AH60</f>
        <v>203.6</v>
      </c>
      <c r="AF78" s="976"/>
      <c r="AG78" s="976"/>
      <c r="AH78" s="976">
        <f t="shared" si="11"/>
        <v>-29.3</v>
      </c>
      <c r="AI78" s="428"/>
      <c r="AJ78" s="2650">
        <f>ROUND(IF(AE78=0,0,AH78/ABS(AE78)),3)</f>
        <v>-0.14399999999999999</v>
      </c>
    </row>
    <row r="79" spans="1:36" ht="16.5" customHeight="1">
      <c r="A79" s="1748" t="s">
        <v>1524</v>
      </c>
      <c r="B79" s="1748"/>
      <c r="C79" s="976">
        <f>+'Exhibit G'!D61</f>
        <v>188.8</v>
      </c>
      <c r="D79" s="976"/>
      <c r="E79" s="976">
        <f>+'Exhibit G'!F61</f>
        <v>202.5</v>
      </c>
      <c r="F79" s="976"/>
      <c r="G79" s="976">
        <f>+'Exhibit G'!H61</f>
        <v>244.8</v>
      </c>
      <c r="H79" s="976"/>
      <c r="I79" s="976">
        <f>+'Exhibit G'!J61</f>
        <v>200.9</v>
      </c>
      <c r="J79" s="976"/>
      <c r="K79" s="976">
        <f>+'Exhibit G'!L61</f>
        <v>228</v>
      </c>
      <c r="L79" s="976"/>
      <c r="M79" s="976">
        <f>+'Exhibit G'!N61</f>
        <v>175.1</v>
      </c>
      <c r="N79" s="976"/>
      <c r="O79" s="976">
        <f>+'Exhibit G'!P61</f>
        <v>174.8</v>
      </c>
      <c r="P79" s="976"/>
      <c r="Q79" s="976">
        <f>+'Exhibit G'!R61</f>
        <v>217.8</v>
      </c>
      <c r="R79" s="976"/>
      <c r="S79" s="976">
        <f>+'Exhibit G'!T61</f>
        <v>183</v>
      </c>
      <c r="T79" s="976"/>
      <c r="U79" s="976">
        <f>+'Exhibit G'!V61</f>
        <v>181.6</v>
      </c>
      <c r="V79" s="976"/>
      <c r="W79" s="976"/>
      <c r="X79" s="976"/>
      <c r="Y79" s="2755"/>
      <c r="Z79" s="976"/>
      <c r="AA79" s="977"/>
      <c r="AB79" s="976">
        <f t="shared" si="10"/>
        <v>1997.3</v>
      </c>
      <c r="AC79" s="976"/>
      <c r="AD79" s="978"/>
      <c r="AE79" s="976">
        <f>+'Exhibit G'!AH61</f>
        <v>2100.9</v>
      </c>
      <c r="AF79" s="976"/>
      <c r="AG79" s="976"/>
      <c r="AH79" s="976">
        <f t="shared" si="11"/>
        <v>-103.6</v>
      </c>
      <c r="AI79" s="428"/>
      <c r="AJ79" s="2650">
        <f>ROUND(IF(AE79=0,0,AH79/ABS(AE79)),3)</f>
        <v>-4.9000000000000002E-2</v>
      </c>
    </row>
    <row r="80" spans="1:36" ht="16.5" customHeight="1">
      <c r="A80" s="1748" t="s">
        <v>1525</v>
      </c>
      <c r="B80" s="1748"/>
      <c r="C80" s="976">
        <f>+'Exhibit G'!D62</f>
        <v>78.400000000000006</v>
      </c>
      <c r="D80" s="976"/>
      <c r="E80" s="976">
        <f>+'Exhibit G'!F62</f>
        <v>77.400000000000006</v>
      </c>
      <c r="F80" s="976"/>
      <c r="G80" s="976">
        <f>+'Exhibit G'!H62</f>
        <v>90.8</v>
      </c>
      <c r="H80" s="976"/>
      <c r="I80" s="976">
        <f>+'Exhibit G'!J62</f>
        <v>76.599999999999994</v>
      </c>
      <c r="J80" s="976"/>
      <c r="K80" s="976">
        <f>+'Exhibit G'!L62</f>
        <v>93.1</v>
      </c>
      <c r="L80" s="976"/>
      <c r="M80" s="976">
        <f>+'Exhibit G'!N62</f>
        <v>74.099999999999994</v>
      </c>
      <c r="N80" s="976"/>
      <c r="O80" s="976">
        <f>+'Exhibit G'!P62</f>
        <v>71.8</v>
      </c>
      <c r="P80" s="976"/>
      <c r="Q80" s="976">
        <f>+'Exhibit G'!R62</f>
        <v>87.7</v>
      </c>
      <c r="R80" s="976"/>
      <c r="S80" s="976">
        <f>+'Exhibit G'!T62</f>
        <v>62.9</v>
      </c>
      <c r="T80" s="976"/>
      <c r="U80" s="976">
        <f>+'Exhibit G'!V62</f>
        <v>75.3</v>
      </c>
      <c r="V80" s="976"/>
      <c r="W80" s="976"/>
      <c r="X80" s="976"/>
      <c r="Y80" s="2755"/>
      <c r="Z80" s="976"/>
      <c r="AA80" s="977"/>
      <c r="AB80" s="976">
        <f t="shared" si="10"/>
        <v>788.1</v>
      </c>
      <c r="AC80" s="976"/>
      <c r="AD80" s="978"/>
      <c r="AE80" s="976">
        <f>+'Exhibit G'!AH62</f>
        <v>791.3</v>
      </c>
      <c r="AF80" s="976"/>
      <c r="AG80" s="976"/>
      <c r="AH80" s="976">
        <f t="shared" si="11"/>
        <v>-3.2</v>
      </c>
      <c r="AI80" s="428"/>
      <c r="AJ80" s="2650">
        <f>ROUND(IF(AE80=0,0,AH80/ABS(AE80)),3)</f>
        <v>-4.0000000000000001E-3</v>
      </c>
    </row>
    <row r="81" spans="1:36" ht="16.5" customHeight="1">
      <c r="A81" s="1748" t="s">
        <v>1159</v>
      </c>
      <c r="B81" s="1748"/>
      <c r="C81" s="976">
        <f>+'Exhibit F'!D73+'Exhibit G'!D63+'Exhibit H'!B37+' Exhbit I '!E46</f>
        <v>5.4</v>
      </c>
      <c r="D81" s="976"/>
      <c r="E81" s="976">
        <f>+'Exhibit F'!F73+'Exhibit G'!F63+'Exhibit H'!D37+' Exhbit I '!G46</f>
        <v>7.4</v>
      </c>
      <c r="F81" s="976"/>
      <c r="G81" s="976">
        <f>+'Exhibit F'!H73+'Exhibit G'!H63+'Exhibit H'!F37+' Exhbit I '!I46</f>
        <v>6.3000000000000007</v>
      </c>
      <c r="H81" s="976"/>
      <c r="I81" s="976">
        <f>+'Exhibit F'!J73+'Exhibit G'!J63+'Exhibit H'!H37+' Exhbit I '!K46</f>
        <v>6.0999999999999988</v>
      </c>
      <c r="J81" s="976"/>
      <c r="K81" s="976">
        <f>+'Exhibit F'!L73+'Exhibit G'!L63+'Exhibit H'!J37+' Exhbit I '!M46</f>
        <v>6.6999999999999993</v>
      </c>
      <c r="L81" s="976"/>
      <c r="M81" s="976">
        <f>+'Exhibit F'!N73+'Exhibit G'!N63+'Exhibit H'!L37+' Exhbit I '!O46</f>
        <v>5.5000000000000009</v>
      </c>
      <c r="N81" s="976"/>
      <c r="O81" s="976">
        <f>+'Exhibit F'!P73+'Exhibit G'!P63+'Exhibit H'!N37+' Exhbit I '!Q46</f>
        <v>5.9</v>
      </c>
      <c r="P81" s="976"/>
      <c r="Q81" s="976">
        <f>+'Exhibit F'!R73+'Exhibit G'!R63+'Exhibit H'!P37+' Exhbit I '!S46</f>
        <v>6.8</v>
      </c>
      <c r="R81" s="976"/>
      <c r="S81" s="976">
        <f>+'Exhibit F'!T73+'Exhibit G'!T63+'Exhibit H'!R37+' Exhbit I '!U46</f>
        <v>5.8999999999999995</v>
      </c>
      <c r="T81" s="976"/>
      <c r="U81" s="976">
        <f>+'Exhibit F'!V73+'Exhibit G'!V63+'Exhibit H'!T37+' Exhbit I '!W46</f>
        <v>6.7</v>
      </c>
      <c r="V81" s="976"/>
      <c r="W81" s="976"/>
      <c r="X81" s="976"/>
      <c r="Y81" s="2755"/>
      <c r="Z81" s="976"/>
      <c r="AA81" s="977"/>
      <c r="AB81" s="976">
        <f t="shared" si="10"/>
        <v>62.7</v>
      </c>
      <c r="AC81" s="976"/>
      <c r="AD81" s="978"/>
      <c r="AE81" s="976">
        <f>+'Exhibit F'!AF73+'Exhibit G'!AH63+'Exhibit H'!AD37+' Exhbit I '!AI46</f>
        <v>37.6</v>
      </c>
      <c r="AF81" s="976"/>
      <c r="AG81" s="976"/>
      <c r="AH81" s="976">
        <f t="shared" si="11"/>
        <v>25.1</v>
      </c>
      <c r="AI81" s="428"/>
      <c r="AJ81" s="2650">
        <f>ROUND(IF(AE81=0,0,AH81/ABS(AE81)),3)</f>
        <v>0.66800000000000004</v>
      </c>
    </row>
    <row r="82" spans="1:36" ht="16.5" customHeight="1">
      <c r="A82" s="1748" t="s">
        <v>1272</v>
      </c>
      <c r="B82" s="1748"/>
      <c r="C82" s="976"/>
      <c r="D82" s="976"/>
      <c r="E82" s="976"/>
      <c r="F82" s="976"/>
      <c r="G82" s="976"/>
      <c r="H82" s="976"/>
      <c r="I82" s="976"/>
      <c r="J82" s="976"/>
      <c r="K82" s="976"/>
      <c r="L82" s="976"/>
      <c r="M82" s="976"/>
      <c r="N82" s="976"/>
      <c r="O82" s="976"/>
      <c r="P82" s="976"/>
      <c r="Q82" s="976"/>
      <c r="R82" s="976"/>
      <c r="S82" s="976"/>
      <c r="T82" s="976"/>
      <c r="U82" s="976"/>
      <c r="V82" s="976"/>
      <c r="W82" s="976"/>
      <c r="X82" s="976"/>
      <c r="Y82" s="2755"/>
      <c r="Z82" s="976"/>
      <c r="AA82" s="977"/>
      <c r="AB82" s="976"/>
      <c r="AC82" s="976"/>
      <c r="AD82" s="978"/>
      <c r="AE82" s="976"/>
      <c r="AF82" s="976"/>
      <c r="AG82" s="976"/>
      <c r="AH82" s="976"/>
      <c r="AI82" s="428"/>
      <c r="AJ82" s="1780"/>
    </row>
    <row r="83" spans="1:36" ht="16.5" customHeight="1">
      <c r="A83" s="1748" t="s">
        <v>1526</v>
      </c>
      <c r="B83" s="1748"/>
      <c r="C83" s="976">
        <f>+'Exhibit G'!D65+' Exhbit I '!E48</f>
        <v>0</v>
      </c>
      <c r="D83" s="976"/>
      <c r="E83" s="976">
        <f>+'Exhibit G'!F65+' Exhbit I '!G48</f>
        <v>112.9</v>
      </c>
      <c r="F83" s="976"/>
      <c r="G83" s="976">
        <f>+'Exhibit G'!H65+' Exhbit I '!I48</f>
        <v>556</v>
      </c>
      <c r="H83" s="976"/>
      <c r="I83" s="976">
        <f>+'Exhibit G'!J65+' Exhbit I '!K48</f>
        <v>4.2</v>
      </c>
      <c r="J83" s="976"/>
      <c r="K83" s="976">
        <f>+'Exhibit G'!L65+' Exhbit I '!M48</f>
        <v>9</v>
      </c>
      <c r="L83" s="976"/>
      <c r="M83" s="976">
        <f>+'Exhibit G'!N65+' Exhbit I '!O48</f>
        <v>536.5</v>
      </c>
      <c r="N83" s="976"/>
      <c r="O83" s="976">
        <f>+'Exhibit G'!P65+' Exhbit I '!Q48</f>
        <v>251.4</v>
      </c>
      <c r="P83" s="976"/>
      <c r="Q83" s="976">
        <f>+'Exhibit G'!R65+' Exhbit I '!S48</f>
        <v>3.8</v>
      </c>
      <c r="R83" s="976"/>
      <c r="S83" s="976">
        <f>+'Exhibit G'!T65+' Exhbit I '!U48</f>
        <v>48</v>
      </c>
      <c r="T83" s="976"/>
      <c r="U83" s="976">
        <f>+'Exhibit G'!V65+' Exhbit I '!W48</f>
        <v>144.69999999999999</v>
      </c>
      <c r="V83" s="976"/>
      <c r="W83" s="976"/>
      <c r="X83" s="976"/>
      <c r="Y83" s="2755"/>
      <c r="Z83" s="976"/>
      <c r="AA83" s="977"/>
      <c r="AB83" s="976">
        <f t="shared" si="10"/>
        <v>1666.5</v>
      </c>
      <c r="AC83" s="976"/>
      <c r="AD83" s="978"/>
      <c r="AE83" s="976">
        <f>+'Exhibit G'!AH65+' Exhbit I '!AI48</f>
        <v>2228.8000000000002</v>
      </c>
      <c r="AF83" s="976"/>
      <c r="AG83" s="976"/>
      <c r="AH83" s="976">
        <f t="shared" si="11"/>
        <v>-562.29999999999995</v>
      </c>
      <c r="AI83" s="428"/>
      <c r="AJ83" s="1780">
        <f t="shared" ref="AJ83:AJ88" si="15">ROUND(IF(AE83=0,0,AH83/ABS(AE83)),3)</f>
        <v>-0.252</v>
      </c>
    </row>
    <row r="84" spans="1:36" ht="16.5" customHeight="1">
      <c r="A84" s="1748" t="s">
        <v>1508</v>
      </c>
      <c r="B84" s="1748"/>
      <c r="C84" s="976">
        <f>+'Exhibit F'!D75+'Exhibit G'!D66</f>
        <v>0</v>
      </c>
      <c r="D84" s="976"/>
      <c r="E84" s="976">
        <f>+'Exhibit F'!F75+'Exhibit G'!F66</f>
        <v>0</v>
      </c>
      <c r="F84" s="976"/>
      <c r="G84" s="976">
        <f>+'Exhibit F'!H75+'Exhibit G'!H66</f>
        <v>22.6</v>
      </c>
      <c r="H84" s="976"/>
      <c r="I84" s="976">
        <f>+'Exhibit F'!J75+'Exhibit G'!J66</f>
        <v>0</v>
      </c>
      <c r="J84" s="976"/>
      <c r="K84" s="976">
        <f>+'Exhibit F'!L75+'Exhibit G'!L66</f>
        <v>0</v>
      </c>
      <c r="L84" s="976"/>
      <c r="M84" s="976">
        <f>+'Exhibit F'!N75+'Exhibit G'!N66</f>
        <v>0</v>
      </c>
      <c r="N84" s="976"/>
      <c r="O84" s="976">
        <f>+'Exhibit F'!P75+'Exhibit G'!P66</f>
        <v>0</v>
      </c>
      <c r="P84" s="976"/>
      <c r="Q84" s="976">
        <f>+'Exhibit F'!R75+'Exhibit G'!R66</f>
        <v>10.5</v>
      </c>
      <c r="R84" s="976"/>
      <c r="S84" s="976">
        <f>+'Exhibit F'!T75+'Exhibit G'!T66</f>
        <v>0</v>
      </c>
      <c r="T84" s="976"/>
      <c r="U84" s="976">
        <f>+'Exhibit F'!V75+'Exhibit G'!V66</f>
        <v>0.1</v>
      </c>
      <c r="V84" s="976"/>
      <c r="W84" s="976"/>
      <c r="X84" s="976"/>
      <c r="Y84" s="2755"/>
      <c r="Z84" s="976"/>
      <c r="AA84" s="977"/>
      <c r="AB84" s="976">
        <f t="shared" si="10"/>
        <v>33.200000000000003</v>
      </c>
      <c r="AC84" s="976"/>
      <c r="AD84" s="978"/>
      <c r="AE84" s="976">
        <f>+'Exhibit F'!AF75+'Exhibit G'!AH66</f>
        <v>37.599999999999994</v>
      </c>
      <c r="AF84" s="976"/>
      <c r="AG84" s="976"/>
      <c r="AH84" s="976">
        <f t="shared" si="11"/>
        <v>-4.4000000000000004</v>
      </c>
      <c r="AI84" s="428"/>
      <c r="AJ84" s="2679">
        <f>ROUND(IF(AE84=0,1,AH84/ABS(AE84)),3)</f>
        <v>-0.11700000000000001</v>
      </c>
    </row>
    <row r="85" spans="1:36" ht="16.5" customHeight="1">
      <c r="A85" s="1748" t="s">
        <v>1509</v>
      </c>
      <c r="B85" s="1748"/>
      <c r="C85" s="976">
        <f>+'Exhibit F'!D76+'Exhibit G'!D67</f>
        <v>15.600000000000001</v>
      </c>
      <c r="D85" s="976"/>
      <c r="E85" s="976">
        <f>+'Exhibit F'!F76+'Exhibit G'!F67</f>
        <v>6.1</v>
      </c>
      <c r="F85" s="976"/>
      <c r="G85" s="976">
        <f>+'Exhibit F'!H76+'Exhibit G'!H67</f>
        <v>3.2</v>
      </c>
      <c r="H85" s="976"/>
      <c r="I85" s="976">
        <f>+'Exhibit F'!J76+'Exhibit G'!J67</f>
        <v>8.4</v>
      </c>
      <c r="J85" s="976"/>
      <c r="K85" s="976">
        <f>+'Exhibit F'!L76+'Exhibit G'!L67</f>
        <v>5.2</v>
      </c>
      <c r="L85" s="976"/>
      <c r="M85" s="976">
        <f>+'Exhibit F'!N76+'Exhibit G'!N67</f>
        <v>17.2</v>
      </c>
      <c r="N85" s="976"/>
      <c r="O85" s="976">
        <f>+'Exhibit F'!P76+'Exhibit G'!P67</f>
        <v>13.8</v>
      </c>
      <c r="P85" s="976"/>
      <c r="Q85" s="976">
        <f>+'Exhibit F'!R76+'Exhibit G'!R67</f>
        <v>0.9</v>
      </c>
      <c r="R85" s="976"/>
      <c r="S85" s="976">
        <f>+'Exhibit F'!T76+'Exhibit G'!T67</f>
        <v>2.2999999999999998</v>
      </c>
      <c r="T85" s="976"/>
      <c r="U85" s="976">
        <f>+'Exhibit F'!V76+'Exhibit G'!V67</f>
        <v>7.3</v>
      </c>
      <c r="V85" s="976"/>
      <c r="W85" s="976"/>
      <c r="X85" s="976"/>
      <c r="Y85" s="2755"/>
      <c r="Z85" s="976"/>
      <c r="AA85" s="977"/>
      <c r="AB85" s="976">
        <f t="shared" si="10"/>
        <v>80</v>
      </c>
      <c r="AC85" s="976"/>
      <c r="AD85" s="978"/>
      <c r="AE85" s="976">
        <f>+'Exhibit F'!AF76+'Exhibit G'!AH67</f>
        <v>87</v>
      </c>
      <c r="AF85" s="976"/>
      <c r="AG85" s="976"/>
      <c r="AH85" s="976">
        <f t="shared" si="11"/>
        <v>-7</v>
      </c>
      <c r="AI85" s="428"/>
      <c r="AJ85" s="2650">
        <f t="shared" si="15"/>
        <v>-0.08</v>
      </c>
    </row>
    <row r="86" spans="1:36" ht="16.5" customHeight="1">
      <c r="A86" s="1748" t="s">
        <v>1510</v>
      </c>
      <c r="B86" s="1748"/>
      <c r="C86" s="976">
        <f>+'Exhibit F'!D77+'Exhibit G'!D68+' Exhbit I '!E50</f>
        <v>1</v>
      </c>
      <c r="D86" s="976"/>
      <c r="E86" s="976">
        <f>+'Exhibit F'!F77+'Exhibit G'!F68+' Exhbit I '!G50</f>
        <v>0.9</v>
      </c>
      <c r="F86" s="976"/>
      <c r="G86" s="976">
        <f>+'Exhibit F'!H77+'Exhibit G'!H68+' Exhbit I '!I50</f>
        <v>0.6</v>
      </c>
      <c r="H86" s="976"/>
      <c r="I86" s="976">
        <f>+'Exhibit F'!J77+'Exhibit G'!J68+' Exhbit I '!K50</f>
        <v>-0.39999999999999997</v>
      </c>
      <c r="J86" s="976"/>
      <c r="K86" s="976">
        <f>+'Exhibit F'!L77+'Exhibit G'!L68+' Exhbit I '!M50</f>
        <v>4.5</v>
      </c>
      <c r="L86" s="976"/>
      <c r="M86" s="976">
        <f>+'Exhibit F'!N77+'Exhibit G'!N68+' Exhbit I '!O50</f>
        <v>0.8</v>
      </c>
      <c r="N86" s="976"/>
      <c r="O86" s="976">
        <f>+'Exhibit F'!P77+'Exhibit G'!P68+' Exhbit I '!Q50</f>
        <v>23.2</v>
      </c>
      <c r="P86" s="976"/>
      <c r="Q86" s="976">
        <f>+'Exhibit F'!R77+'Exhibit G'!R68+' Exhbit I '!S50</f>
        <v>0.1</v>
      </c>
      <c r="R86" s="976"/>
      <c r="S86" s="976">
        <f>+'Exhibit F'!T77+'Exhibit G'!T68+' Exhbit I '!U50</f>
        <v>49</v>
      </c>
      <c r="T86" s="976"/>
      <c r="U86" s="976">
        <f>+'Exhibit F'!V77+'Exhibit G'!V68+' Exhbit I '!W50</f>
        <v>16.700000000000003</v>
      </c>
      <c r="V86" s="976"/>
      <c r="W86" s="976"/>
      <c r="X86" s="976"/>
      <c r="Y86" s="2755"/>
      <c r="Z86" s="976"/>
      <c r="AA86" s="977"/>
      <c r="AB86" s="976">
        <f t="shared" si="10"/>
        <v>96.4</v>
      </c>
      <c r="AC86" s="976"/>
      <c r="AD86" s="978"/>
      <c r="AE86" s="976">
        <f>+'Exhibit F'!AF77+'Exhibit G'!AH68+' Exhbit I '!AI50</f>
        <v>53.5</v>
      </c>
      <c r="AF86" s="976"/>
      <c r="AG86" s="976"/>
      <c r="AH86" s="976">
        <f t="shared" si="11"/>
        <v>42.9</v>
      </c>
      <c r="AI86" s="428"/>
      <c r="AJ86" s="1780">
        <f t="shared" si="15"/>
        <v>0.80200000000000005</v>
      </c>
    </row>
    <row r="87" spans="1:36" ht="16.5" customHeight="1">
      <c r="A87" s="1748" t="s">
        <v>1170</v>
      </c>
      <c r="B87" s="1748"/>
      <c r="C87" s="976">
        <f>+'Exhibit F'!D78+'Exhibit G'!D69+'Exhibit H'!B38+' Exhbit I '!E51</f>
        <v>58.4</v>
      </c>
      <c r="D87" s="976"/>
      <c r="E87" s="976">
        <f>+'Exhibit F'!F78+'Exhibit G'!F69+'Exhibit H'!D38+' Exhbit I '!G51</f>
        <v>24.9</v>
      </c>
      <c r="F87" s="976"/>
      <c r="G87" s="976">
        <f>+'Exhibit F'!H78+'Exhibit G'!H69+'Exhibit H'!F38+' Exhbit I '!I51</f>
        <v>54.3</v>
      </c>
      <c r="H87" s="976"/>
      <c r="I87" s="976">
        <f>+'Exhibit F'!J78+'Exhibit G'!J69+'Exhibit H'!H38+' Exhbit I '!K51</f>
        <v>21.799999999999997</v>
      </c>
      <c r="J87" s="976"/>
      <c r="K87" s="976">
        <f>+'Exhibit F'!L78+'Exhibit G'!L69+'Exhibit H'!J38+' Exhbit I '!M51</f>
        <v>21.7</v>
      </c>
      <c r="L87" s="976"/>
      <c r="M87" s="976">
        <f>+'Exhibit F'!N78+'Exhibit G'!N69+'Exhibit H'!L38+' Exhbit I '!O51</f>
        <v>24.800000000000004</v>
      </c>
      <c r="N87" s="976"/>
      <c r="O87" s="976">
        <f>+'Exhibit F'!P78+'Exhibit G'!P69+'Exhibit H'!N38+' Exhbit I '!Q51</f>
        <v>22.099999999999998</v>
      </c>
      <c r="P87" s="976"/>
      <c r="Q87" s="976">
        <f>+'Exhibit F'!R78+'Exhibit G'!R69+'Exhibit H'!P38+' Exhbit I '!S51</f>
        <v>21</v>
      </c>
      <c r="R87" s="976"/>
      <c r="S87" s="976">
        <f>+'Exhibit F'!T78+'Exhibit G'!T69+'Exhibit H'!R38+' Exhbit I '!U51</f>
        <v>23.8</v>
      </c>
      <c r="T87" s="976"/>
      <c r="U87" s="976">
        <f>+'Exhibit F'!V78+'Exhibit G'!V69+'Exhibit H'!T38+' Exhbit I '!W51</f>
        <v>21.4</v>
      </c>
      <c r="V87" s="976"/>
      <c r="W87" s="976"/>
      <c r="X87" s="976"/>
      <c r="Y87" s="2755"/>
      <c r="Z87" s="976"/>
      <c r="AA87" s="977"/>
      <c r="AB87" s="976">
        <f t="shared" si="10"/>
        <v>294.2</v>
      </c>
      <c r="AC87" s="976"/>
      <c r="AD87" s="978"/>
      <c r="AE87" s="976">
        <f>+'Exhibit F'!AF78+'Exhibit G'!AH69+'Exhibit H'!AD38+' Exhbit I '!AI51</f>
        <v>100.2</v>
      </c>
      <c r="AF87" s="976"/>
      <c r="AG87" s="976"/>
      <c r="AH87" s="976">
        <f t="shared" si="11"/>
        <v>194</v>
      </c>
      <c r="AI87" s="428"/>
      <c r="AJ87" s="1780">
        <f t="shared" si="15"/>
        <v>1.9359999999999999</v>
      </c>
    </row>
    <row r="88" spans="1:36" ht="16.5" customHeight="1">
      <c r="A88" s="1748" t="s">
        <v>1171</v>
      </c>
      <c r="B88" s="1748"/>
      <c r="C88" s="976">
        <f>+'Exhibit F'!D79+'Exhibit G'!D70+'Exhibit H'!B39+' Exhbit I '!E52</f>
        <v>56.1</v>
      </c>
      <c r="D88" s="976"/>
      <c r="E88" s="976">
        <f>+'Exhibit F'!F79+'Exhibit G'!F70+'Exhibit H'!D39+' Exhbit I '!G52</f>
        <v>31.7</v>
      </c>
      <c r="F88" s="976"/>
      <c r="G88" s="976">
        <f>+'Exhibit F'!H79+'Exhibit G'!H70+'Exhibit H'!F39+' Exhbit I '!I52</f>
        <v>21.8</v>
      </c>
      <c r="H88" s="976"/>
      <c r="I88" s="976">
        <f>+'Exhibit F'!J79+'Exhibit G'!J70+'Exhibit H'!H39+' Exhbit I '!K52</f>
        <v>3.7</v>
      </c>
      <c r="J88" s="976"/>
      <c r="K88" s="976">
        <f>+'Exhibit F'!L79+'Exhibit G'!L70+'Exhibit H'!J39+' Exhbit I '!M52</f>
        <v>47.499999999999993</v>
      </c>
      <c r="L88" s="976"/>
      <c r="M88" s="976">
        <f>+'Exhibit F'!N79+'Exhibit G'!N70+'Exhibit H'!L39+' Exhbit I '!O52</f>
        <v>2.9000000000000004</v>
      </c>
      <c r="N88" s="976"/>
      <c r="O88" s="976">
        <f>+'Exhibit F'!P79+'Exhibit G'!P70+'Exhibit H'!N39+' Exhbit I '!Q52</f>
        <v>35.199999999999996</v>
      </c>
      <c r="P88" s="976"/>
      <c r="Q88" s="976">
        <f>+'Exhibit F'!R79+'Exhibit G'!R70+'Exhibit H'!P39+' Exhbit I '!S52</f>
        <v>50.000000000000007</v>
      </c>
      <c r="R88" s="976"/>
      <c r="S88" s="976">
        <f>+'Exhibit F'!T79+'Exhibit G'!T70+'Exhibit H'!R39+' Exhbit I '!U52</f>
        <v>31.599999999999998</v>
      </c>
      <c r="T88" s="976"/>
      <c r="U88" s="976">
        <f>+'Exhibit F'!V79+'Exhibit G'!V70+'Exhibit H'!T39+' Exhbit I '!W52</f>
        <v>48.4</v>
      </c>
      <c r="V88" s="976"/>
      <c r="W88" s="976"/>
      <c r="X88" s="976"/>
      <c r="Y88" s="2755"/>
      <c r="Z88" s="976"/>
      <c r="AA88" s="977"/>
      <c r="AB88" s="976">
        <f t="shared" si="10"/>
        <v>328.9</v>
      </c>
      <c r="AC88" s="976"/>
      <c r="AD88" s="978"/>
      <c r="AE88" s="976">
        <f>+'Exhibit F'!AF79+'Exhibit G'!AH70+'Exhibit H'!AD39+' Exhbit I '!AI52</f>
        <v>218.9</v>
      </c>
      <c r="AF88" s="976"/>
      <c r="AG88" s="976"/>
      <c r="AH88" s="976">
        <f t="shared" si="11"/>
        <v>110</v>
      </c>
      <c r="AI88" s="428"/>
      <c r="AJ88" s="1780">
        <f t="shared" si="15"/>
        <v>0.503</v>
      </c>
    </row>
    <row r="89" spans="1:36" ht="16.5" customHeight="1">
      <c r="A89" s="1748" t="s">
        <v>1273</v>
      </c>
      <c r="B89" s="1748"/>
      <c r="C89" s="976"/>
      <c r="D89" s="976"/>
      <c r="E89" s="976"/>
      <c r="F89" s="976"/>
      <c r="G89" s="976"/>
      <c r="H89" s="976"/>
      <c r="I89" s="976"/>
      <c r="J89" s="976"/>
      <c r="K89" s="976"/>
      <c r="L89" s="976"/>
      <c r="M89" s="976"/>
      <c r="N89" s="976"/>
      <c r="O89" s="976"/>
      <c r="P89" s="976"/>
      <c r="Q89" s="976"/>
      <c r="R89" s="976"/>
      <c r="S89" s="976"/>
      <c r="T89" s="976"/>
      <c r="U89" s="976"/>
      <c r="V89" s="976"/>
      <c r="W89" s="976"/>
      <c r="X89" s="976"/>
      <c r="Y89" s="2755"/>
      <c r="Z89" s="976"/>
      <c r="AA89" s="977"/>
      <c r="AB89" s="976"/>
      <c r="AC89" s="976"/>
      <c r="AD89" s="978"/>
      <c r="AE89" s="976"/>
      <c r="AF89" s="976"/>
      <c r="AG89" s="976"/>
      <c r="AH89" s="976"/>
      <c r="AI89" s="428"/>
      <c r="AJ89" s="1780"/>
    </row>
    <row r="90" spans="1:36" ht="16.5" customHeight="1">
      <c r="A90" s="1748" t="s">
        <v>1511</v>
      </c>
      <c r="B90" s="1748"/>
      <c r="C90" s="976">
        <f>+'Exhibit F'!D81+'Exhibit G'!D72+' Exhbit I '!E54</f>
        <v>0.4</v>
      </c>
      <c r="D90" s="976"/>
      <c r="E90" s="976">
        <f>+'Exhibit F'!F81+'Exhibit G'!F72+' Exhbit I '!G54</f>
        <v>29.1</v>
      </c>
      <c r="F90" s="976"/>
      <c r="G90" s="976">
        <f>+'Exhibit F'!H81+'Exhibit G'!H72+' Exhbit I '!I54</f>
        <v>34.599999999999994</v>
      </c>
      <c r="H90" s="976"/>
      <c r="I90" s="976">
        <f>+'Exhibit F'!J81+'Exhibit G'!J72+' Exhbit I '!K54</f>
        <v>20.9</v>
      </c>
      <c r="J90" s="976"/>
      <c r="K90" s="976">
        <f>+'Exhibit F'!L81+'Exhibit G'!L72+' Exhbit I '!M54</f>
        <v>9.8999999999999986</v>
      </c>
      <c r="L90" s="976"/>
      <c r="M90" s="976">
        <f>+'Exhibit F'!N81+'Exhibit G'!N72+' Exhbit I '!O54</f>
        <v>28.6</v>
      </c>
      <c r="N90" s="976"/>
      <c r="O90" s="976">
        <f>+'Exhibit F'!P81+'Exhibit G'!P72+' Exhbit I '!Q54</f>
        <v>8.1</v>
      </c>
      <c r="P90" s="976"/>
      <c r="Q90" s="976">
        <f>+'Exhibit F'!R81+'Exhibit G'!R72+' Exhbit I '!S54</f>
        <v>9.6</v>
      </c>
      <c r="R90" s="976"/>
      <c r="S90" s="976">
        <f>+'Exhibit F'!T81+'Exhibit G'!T72+' Exhbit I '!U54</f>
        <v>40.4</v>
      </c>
      <c r="T90" s="976"/>
      <c r="U90" s="976">
        <f>+'Exhibit F'!V81+'Exhibit G'!V72+' Exhbit I '!W54</f>
        <v>5.7</v>
      </c>
      <c r="V90" s="976"/>
      <c r="W90" s="976"/>
      <c r="X90" s="976"/>
      <c r="Y90" s="2755"/>
      <c r="Z90" s="976"/>
      <c r="AA90" s="977"/>
      <c r="AB90" s="976">
        <f t="shared" si="10"/>
        <v>187.3</v>
      </c>
      <c r="AC90" s="976"/>
      <c r="AD90" s="978"/>
      <c r="AE90" s="976">
        <f>+'Exhibit F'!AF81+'Exhibit G'!AH72+' Exhbit I '!AI54</f>
        <v>145.9</v>
      </c>
      <c r="AF90" s="976"/>
      <c r="AG90" s="976"/>
      <c r="AH90" s="976">
        <f t="shared" si="11"/>
        <v>41.4</v>
      </c>
      <c r="AI90" s="428"/>
      <c r="AJ90" s="1780">
        <f>ROUND(IF(AE90=0,0,AH90/ABS(AE90)),3)</f>
        <v>0.28399999999999997</v>
      </c>
    </row>
    <row r="91" spans="1:36" ht="16.5" customHeight="1">
      <c r="A91" s="1748" t="s">
        <v>1512</v>
      </c>
      <c r="B91" s="1748"/>
      <c r="C91" s="976">
        <f>+'Exhibit G'!D73</f>
        <v>0.2</v>
      </c>
      <c r="D91" s="976"/>
      <c r="E91" s="976">
        <f>+'Exhibit G'!F73</f>
        <v>0.2</v>
      </c>
      <c r="F91" s="976"/>
      <c r="G91" s="976">
        <f>+'Exhibit G'!H73</f>
        <v>0.2</v>
      </c>
      <c r="H91" s="976"/>
      <c r="I91" s="976">
        <f>+'Exhibit G'!J73</f>
        <v>0.1</v>
      </c>
      <c r="J91" s="976"/>
      <c r="K91" s="976">
        <f>+'Exhibit G'!L73</f>
        <v>0.3</v>
      </c>
      <c r="L91" s="976"/>
      <c r="M91" s="976">
        <f>+'Exhibit G'!N73+'Exhibit F'!N82</f>
        <v>2.8000000000000003</v>
      </c>
      <c r="N91" s="976"/>
      <c r="O91" s="976">
        <f>+'Exhibit G'!P73+'Exhibit F'!P82</f>
        <v>0</v>
      </c>
      <c r="P91" s="976"/>
      <c r="Q91" s="976">
        <f>+'Exhibit G'!R73+'Exhibit F'!R82</f>
        <v>0.4</v>
      </c>
      <c r="R91" s="976"/>
      <c r="S91" s="976">
        <f>+'Exhibit G'!T73+'Exhibit F'!T82</f>
        <v>0.4</v>
      </c>
      <c r="T91" s="976"/>
      <c r="U91" s="976">
        <f>+'Exhibit G'!V73+'Exhibit F'!V82</f>
        <v>0.1</v>
      </c>
      <c r="V91" s="976"/>
      <c r="W91" s="976"/>
      <c r="X91" s="976"/>
      <c r="Y91" s="2755"/>
      <c r="Z91" s="976"/>
      <c r="AA91" s="977"/>
      <c r="AB91" s="976">
        <f t="shared" si="10"/>
        <v>4.7</v>
      </c>
      <c r="AC91" s="976"/>
      <c r="AD91" s="978"/>
      <c r="AE91" s="976">
        <f>+'Exhibit G'!AH73</f>
        <v>7.5</v>
      </c>
      <c r="AF91" s="976"/>
      <c r="AG91" s="976"/>
      <c r="AH91" s="976">
        <f t="shared" si="11"/>
        <v>-2.8</v>
      </c>
      <c r="AI91" s="428"/>
      <c r="AJ91" s="1780">
        <f t="shared" ref="AJ91:AJ99" si="16">ROUND(IF(AE91=0,0,AH91/ABS(AE91)),3)</f>
        <v>-0.373</v>
      </c>
    </row>
    <row r="92" spans="1:36" ht="16.5" customHeight="1">
      <c r="A92" s="1748" t="s">
        <v>1513</v>
      </c>
      <c r="B92" s="1748"/>
      <c r="C92" s="976">
        <f>+'Exhibit F'!D83+'Exhibit G'!D74+' Exhbit I '!E55</f>
        <v>3.4</v>
      </c>
      <c r="D92" s="976"/>
      <c r="E92" s="976">
        <f>+'Exhibit F'!F83+'Exhibit G'!F74+' Exhbit I '!G55</f>
        <v>2.6</v>
      </c>
      <c r="F92" s="976"/>
      <c r="G92" s="976">
        <f>+'Exhibit F'!H83+'Exhibit G'!H74+' Exhbit I '!I55</f>
        <v>3.2</v>
      </c>
      <c r="H92" s="976"/>
      <c r="I92" s="976">
        <f>+'Exhibit F'!J83+'Exhibit G'!J74+' Exhbit I '!K55</f>
        <v>1.6</v>
      </c>
      <c r="J92" s="976"/>
      <c r="K92" s="976">
        <f>+'Exhibit F'!L83+'Exhibit G'!L74+' Exhbit I '!M55</f>
        <v>0.7</v>
      </c>
      <c r="L92" s="976"/>
      <c r="M92" s="976">
        <f>+'Exhibit F'!N83+'Exhibit G'!N74+' Exhbit I '!O55</f>
        <v>4</v>
      </c>
      <c r="N92" s="976"/>
      <c r="O92" s="976">
        <f>+'Exhibit F'!P83+'Exhibit G'!P74+' Exhbit I '!Q55</f>
        <v>2.4000000000000004</v>
      </c>
      <c r="P92" s="976"/>
      <c r="Q92" s="976">
        <f>+'Exhibit F'!R83+'Exhibit G'!R74+' Exhbit I '!S55</f>
        <v>2.9</v>
      </c>
      <c r="R92" s="976"/>
      <c r="S92" s="976">
        <f>+'Exhibit F'!T83+'Exhibit G'!T74+' Exhbit I '!U55</f>
        <v>6.6999999999999993</v>
      </c>
      <c r="T92" s="976"/>
      <c r="U92" s="976">
        <f>+'Exhibit F'!V83+'Exhibit G'!V74+' Exhbit I '!W55</f>
        <v>0.7</v>
      </c>
      <c r="V92" s="976"/>
      <c r="W92" s="976"/>
      <c r="X92" s="976"/>
      <c r="Y92" s="2755"/>
      <c r="Z92" s="976"/>
      <c r="AA92" s="977"/>
      <c r="AB92" s="976">
        <f t="shared" si="10"/>
        <v>28.2</v>
      </c>
      <c r="AC92" s="976"/>
      <c r="AD92" s="978"/>
      <c r="AE92" s="976">
        <f>+'Exhibit F'!AF83+'Exhibit G'!AH74+' Exhbit I '!AI55</f>
        <v>7.5</v>
      </c>
      <c r="AF92" s="976"/>
      <c r="AG92" s="976"/>
      <c r="AH92" s="976">
        <f t="shared" si="11"/>
        <v>20.7</v>
      </c>
      <c r="AI92" s="428"/>
      <c r="AJ92" s="1780">
        <f t="shared" si="16"/>
        <v>2.76</v>
      </c>
    </row>
    <row r="93" spans="1:36" ht="16.5" customHeight="1">
      <c r="A93" s="1748" t="s">
        <v>1514</v>
      </c>
      <c r="B93" s="1748"/>
      <c r="C93" s="976">
        <f>+'Exhibit F'!D84+'Exhibit G'!D75</f>
        <v>0.4</v>
      </c>
      <c r="D93" s="976"/>
      <c r="E93" s="976">
        <f>+'Exhibit F'!F84+'Exhibit G'!F75</f>
        <v>25.7</v>
      </c>
      <c r="F93" s="976"/>
      <c r="G93" s="976">
        <f>+'Exhibit F'!H84+'Exhibit G'!H75</f>
        <v>6.8</v>
      </c>
      <c r="H93" s="976"/>
      <c r="I93" s="976">
        <f>+'Exhibit F'!J84+'Exhibit G'!J75</f>
        <v>-0.4</v>
      </c>
      <c r="J93" s="976"/>
      <c r="K93" s="976">
        <f>+'Exhibit F'!L84+'Exhibit G'!L75</f>
        <v>3.1</v>
      </c>
      <c r="L93" s="976"/>
      <c r="M93" s="976">
        <f>+'Exhibit F'!N84+'Exhibit G'!N75</f>
        <v>23.9</v>
      </c>
      <c r="N93" s="976"/>
      <c r="O93" s="976">
        <f>+'Exhibit F'!P84+'Exhibit G'!P75</f>
        <v>0.5</v>
      </c>
      <c r="P93" s="976"/>
      <c r="Q93" s="976">
        <f>+'Exhibit F'!R84+'Exhibit G'!R75</f>
        <v>25.9</v>
      </c>
      <c r="R93" s="976"/>
      <c r="S93" s="976">
        <f>+'Exhibit F'!T84+'Exhibit G'!T75</f>
        <v>3.2</v>
      </c>
      <c r="T93" s="976"/>
      <c r="U93" s="976">
        <f>+'Exhibit F'!V84+'Exhibit G'!V75</f>
        <v>3.6</v>
      </c>
      <c r="V93" s="976"/>
      <c r="W93" s="976"/>
      <c r="X93" s="976"/>
      <c r="Y93" s="2755"/>
      <c r="Z93" s="976"/>
      <c r="AA93" s="977"/>
      <c r="AB93" s="976">
        <f>ROUND(SUM(C93:Y93),1)</f>
        <v>92.7</v>
      </c>
      <c r="AC93" s="976"/>
      <c r="AD93" s="978"/>
      <c r="AE93" s="976">
        <f>+'Exhibit F'!AF84+'Exhibit G'!AH75+' Exhbit I '!AI56</f>
        <v>89.2</v>
      </c>
      <c r="AF93" s="976"/>
      <c r="AG93" s="976"/>
      <c r="AH93" s="976">
        <f t="shared" si="11"/>
        <v>3.5</v>
      </c>
      <c r="AI93" s="428"/>
      <c r="AJ93" s="1780">
        <f t="shared" si="16"/>
        <v>3.9E-2</v>
      </c>
    </row>
    <row r="94" spans="1:36" ht="16.5" customHeight="1">
      <c r="A94" s="1748" t="s">
        <v>1527</v>
      </c>
      <c r="B94" s="1748"/>
      <c r="C94" s="976">
        <f>+'Exhibit G'!D76+'Exhibit H'!B41</f>
        <v>156.5</v>
      </c>
      <c r="D94" s="976"/>
      <c r="E94" s="976">
        <f>+'Exhibit G'!F76+'Exhibit H'!D41</f>
        <v>215.6</v>
      </c>
      <c r="F94" s="976"/>
      <c r="G94" s="976">
        <f>+'Exhibit G'!H76+'Exhibit H'!F41</f>
        <v>53.699999999999996</v>
      </c>
      <c r="H94" s="976"/>
      <c r="I94" s="976">
        <f>+'Exhibit G'!J76+'Exhibit H'!H41</f>
        <v>258.7</v>
      </c>
      <c r="J94" s="976"/>
      <c r="K94" s="976">
        <f>+'Exhibit G'!L76+'Exhibit H'!J41</f>
        <v>251.89999999999998</v>
      </c>
      <c r="L94" s="976"/>
      <c r="M94" s="976">
        <f>+'Exhibit G'!N76+'Exhibit H'!L41</f>
        <v>275.3</v>
      </c>
      <c r="N94" s="976"/>
      <c r="O94" s="976">
        <f>+'Exhibit G'!P76+'Exhibit H'!N41</f>
        <v>162.9</v>
      </c>
      <c r="P94" s="976"/>
      <c r="Q94" s="976">
        <f>+'Exhibit G'!R76+'Exhibit H'!P41</f>
        <v>121.80000000000001</v>
      </c>
      <c r="R94" s="976"/>
      <c r="S94" s="976">
        <f>+'Exhibit G'!T76+'Exhibit H'!R41</f>
        <v>272.89999999999998</v>
      </c>
      <c r="T94" s="976"/>
      <c r="U94" s="976">
        <f>+'Exhibit G'!V76+'Exhibit H'!T41</f>
        <v>83.600000000000009</v>
      </c>
      <c r="V94" s="976"/>
      <c r="W94" s="976"/>
      <c r="X94" s="976"/>
      <c r="Y94" s="2755"/>
      <c r="Z94" s="976"/>
      <c r="AA94" s="977"/>
      <c r="AB94" s="976">
        <f t="shared" si="10"/>
        <v>1852.9</v>
      </c>
      <c r="AC94" s="976"/>
      <c r="AD94" s="978"/>
      <c r="AE94" s="976">
        <f>+'Exhibit G'!AH76+'Exhibit H'!AD41</f>
        <v>1168.5999999999999</v>
      </c>
      <c r="AF94" s="976"/>
      <c r="AG94" s="976"/>
      <c r="AH94" s="976">
        <f t="shared" si="11"/>
        <v>684.3</v>
      </c>
      <c r="AI94" s="428"/>
      <c r="AJ94" s="2650">
        <f t="shared" si="16"/>
        <v>0.58599999999999997</v>
      </c>
    </row>
    <row r="95" spans="1:36" ht="16.5" customHeight="1">
      <c r="A95" s="1748" t="s">
        <v>1515</v>
      </c>
      <c r="B95" s="1748"/>
      <c r="C95" s="976">
        <f>+'Exhibit G'!D77+'Exhibit F'!D85</f>
        <v>9.1999999999999993</v>
      </c>
      <c r="D95" s="976"/>
      <c r="E95" s="976">
        <f>+'Exhibit G'!F77+'Exhibit F'!F85</f>
        <v>12.7</v>
      </c>
      <c r="F95" s="976"/>
      <c r="G95" s="976">
        <f>+'Exhibit G'!H77+'Exhibit F'!H85</f>
        <v>11.4</v>
      </c>
      <c r="H95" s="976"/>
      <c r="I95" s="976">
        <f>+'Exhibit G'!J77+'Exhibit F'!J85</f>
        <v>22.4</v>
      </c>
      <c r="J95" s="976"/>
      <c r="K95" s="976">
        <f>+'Exhibit G'!L77+'Exhibit F'!L85+' Exhbit I '!M57</f>
        <v>10.1</v>
      </c>
      <c r="L95" s="976"/>
      <c r="M95" s="976">
        <f>+'Exhibit G'!N77+'Exhibit F'!N85+' Exhbit I '!O57</f>
        <v>13.8</v>
      </c>
      <c r="N95" s="976"/>
      <c r="O95" s="976">
        <f>+'Exhibit G'!P77+'Exhibit F'!P85+' Exhbit I '!Q57</f>
        <v>12.900000000000002</v>
      </c>
      <c r="P95" s="976"/>
      <c r="Q95" s="976">
        <f>+'Exhibit G'!R77+'Exhibit F'!R85+' Exhbit I '!S57</f>
        <v>12.3</v>
      </c>
      <c r="R95" s="976"/>
      <c r="S95" s="976">
        <f>+'Exhibit G'!T77+'Exhibit F'!T85+' Exhbit I '!U57</f>
        <v>14.3</v>
      </c>
      <c r="T95" s="976"/>
      <c r="U95" s="976">
        <f>+'Exhibit G'!V77+'Exhibit F'!V85+' Exhbit I '!W57</f>
        <v>12.299999999999999</v>
      </c>
      <c r="V95" s="976"/>
      <c r="W95" s="976"/>
      <c r="X95" s="976"/>
      <c r="Y95" s="2755"/>
      <c r="Z95" s="976"/>
      <c r="AA95" s="977"/>
      <c r="AB95" s="976">
        <f t="shared" si="10"/>
        <v>131.4</v>
      </c>
      <c r="AC95" s="976"/>
      <c r="AD95" s="978"/>
      <c r="AE95" s="976">
        <f>+'Exhibit G'!AH77+'Exhibit F'!AF85+' Exhbit I '!AI57</f>
        <v>127.8</v>
      </c>
      <c r="AF95" s="976"/>
      <c r="AG95" s="976"/>
      <c r="AH95" s="976">
        <f t="shared" si="11"/>
        <v>3.6</v>
      </c>
      <c r="AI95" s="428"/>
      <c r="AJ95" s="1780">
        <f t="shared" si="16"/>
        <v>2.8000000000000001E-2</v>
      </c>
    </row>
    <row r="96" spans="1:36" ht="16.5" customHeight="1">
      <c r="A96" s="1748" t="s">
        <v>1516</v>
      </c>
      <c r="B96" s="1748"/>
      <c r="C96" s="976">
        <f>+'Exhibit F'!D86+'Exhibit G'!D78+' Exhbit I '!E58</f>
        <v>7.2</v>
      </c>
      <c r="D96" s="976"/>
      <c r="E96" s="976">
        <f>+'Exhibit F'!F86+'Exhibit G'!F78+' Exhbit I '!G58</f>
        <v>132.69999999999999</v>
      </c>
      <c r="F96" s="976"/>
      <c r="G96" s="976">
        <f>+'Exhibit F'!H86+'Exhibit G'!H78+' Exhbit I '!I58</f>
        <v>63.3</v>
      </c>
      <c r="H96" s="976"/>
      <c r="I96" s="976">
        <f>+'Exhibit F'!J86+'Exhibit G'!J78+' Exhbit I '!K58</f>
        <v>35.5</v>
      </c>
      <c r="J96" s="976"/>
      <c r="K96" s="976">
        <f>+'Exhibit F'!L86+'Exhibit G'!L78+' Exhbit I '!M58</f>
        <v>2.4</v>
      </c>
      <c r="L96" s="976"/>
      <c r="M96" s="976">
        <f>+'Exhibit F'!N86+'Exhibit G'!N78+' Exhbit I '!O58</f>
        <v>3.5</v>
      </c>
      <c r="N96" s="976"/>
      <c r="O96" s="976">
        <f>+'Exhibit F'!P86+'Exhibit G'!P78+' Exhbit I '!Q58</f>
        <v>9.7999999999999989</v>
      </c>
      <c r="P96" s="976"/>
      <c r="Q96" s="976">
        <f>+'Exhibit F'!R86+'Exhibit G'!R78+' Exhbit I '!S58</f>
        <v>0.7</v>
      </c>
      <c r="R96" s="976"/>
      <c r="S96" s="976">
        <f>+'Exhibit F'!T86+'Exhibit G'!T78+' Exhbit I '!U58</f>
        <v>24.199999999999996</v>
      </c>
      <c r="T96" s="976"/>
      <c r="U96" s="976">
        <f>+'Exhibit F'!V86+'Exhibit G'!V78+' Exhbit I '!W58</f>
        <v>8.1</v>
      </c>
      <c r="V96" s="976"/>
      <c r="W96" s="976"/>
      <c r="X96" s="976"/>
      <c r="Y96" s="2755"/>
      <c r="Z96" s="976"/>
      <c r="AA96" s="977"/>
      <c r="AB96" s="976">
        <f t="shared" si="10"/>
        <v>287.39999999999998</v>
      </c>
      <c r="AC96" s="976"/>
      <c r="AD96" s="978"/>
      <c r="AE96" s="976">
        <f>+'Exhibit F'!AF86+'Exhibit G'!AH78+' Exhbit I '!AI58</f>
        <v>1272.3</v>
      </c>
      <c r="AF96" s="976"/>
      <c r="AG96" s="976"/>
      <c r="AH96" s="976">
        <f t="shared" si="11"/>
        <v>-984.9</v>
      </c>
      <c r="AI96" s="428"/>
      <c r="AJ96" s="1780">
        <f t="shared" si="16"/>
        <v>-0.77400000000000002</v>
      </c>
    </row>
    <row r="97" spans="1:45" ht="16.5" customHeight="1">
      <c r="A97" s="1748" t="s">
        <v>1517</v>
      </c>
      <c r="B97" s="1748"/>
      <c r="C97" s="976">
        <f>+'Exhibit F'!D87+'Exhibit G'!D79</f>
        <v>8.1999999999999993</v>
      </c>
      <c r="D97" s="976"/>
      <c r="E97" s="976">
        <f>+'Exhibit F'!F87+'Exhibit G'!F79</f>
        <v>6.9</v>
      </c>
      <c r="F97" s="976"/>
      <c r="G97" s="976">
        <f>+'Exhibit F'!H87+'Exhibit G'!H79</f>
        <v>6.2</v>
      </c>
      <c r="H97" s="976"/>
      <c r="I97" s="976">
        <f>+'Exhibit F'!J87+'Exhibit G'!J79</f>
        <v>7.4</v>
      </c>
      <c r="J97" s="976"/>
      <c r="K97" s="976">
        <f>+'Exhibit F'!L87+'Exhibit G'!L79</f>
        <v>6.4</v>
      </c>
      <c r="L97" s="976"/>
      <c r="M97" s="976">
        <f>+'Exhibit F'!N87+'Exhibit G'!N79</f>
        <v>6.4</v>
      </c>
      <c r="N97" s="976"/>
      <c r="O97" s="976">
        <f>+'Exhibit F'!P87+'Exhibit G'!P79</f>
        <v>7.9</v>
      </c>
      <c r="P97" s="976"/>
      <c r="Q97" s="976">
        <f>+'Exhibit F'!R87+'Exhibit G'!R79</f>
        <v>6</v>
      </c>
      <c r="R97" s="976"/>
      <c r="S97" s="976">
        <f>+'Exhibit F'!T87+'Exhibit G'!T79</f>
        <v>39.4</v>
      </c>
      <c r="T97" s="976"/>
      <c r="U97" s="976">
        <f>+'Exhibit F'!V87+'Exhibit G'!V79</f>
        <v>2.5</v>
      </c>
      <c r="V97" s="976"/>
      <c r="W97" s="976"/>
      <c r="X97" s="976"/>
      <c r="Y97" s="2755"/>
      <c r="Z97" s="976"/>
      <c r="AA97" s="977"/>
      <c r="AB97" s="976">
        <f t="shared" si="10"/>
        <v>97.3</v>
      </c>
      <c r="AC97" s="976"/>
      <c r="AD97" s="978"/>
      <c r="AE97" s="976">
        <f>+'Exhibit F'!AF87+'Exhibit G'!AH79</f>
        <v>57.9</v>
      </c>
      <c r="AF97" s="976"/>
      <c r="AG97" s="976"/>
      <c r="AH97" s="976">
        <f t="shared" si="11"/>
        <v>39.4</v>
      </c>
      <c r="AI97" s="428"/>
      <c r="AJ97" s="1780">
        <f t="shared" si="16"/>
        <v>0.68</v>
      </c>
    </row>
    <row r="98" spans="1:45" ht="16.5" customHeight="1">
      <c r="A98" s="1748" t="s">
        <v>1518</v>
      </c>
      <c r="B98" s="1748"/>
      <c r="C98" s="976">
        <f>+'Exhibit F'!D88+'Exhibit G'!D80+' Exhbit I '!E59</f>
        <v>49.000000000000007</v>
      </c>
      <c r="D98" s="976"/>
      <c r="E98" s="976">
        <f>+'Exhibit F'!F88+'Exhibit G'!F80+' Exhbit I '!G59</f>
        <v>28.400000000000002</v>
      </c>
      <c r="F98" s="976"/>
      <c r="G98" s="976">
        <f>+'Exhibit F'!H88+'Exhibit G'!H80+' Exhbit I '!I59</f>
        <v>54.400000000000006</v>
      </c>
      <c r="H98" s="976"/>
      <c r="I98" s="976">
        <f>+'Exhibit F'!J88+'Exhibit G'!J80+' Exhbit I '!K59</f>
        <v>43.3</v>
      </c>
      <c r="J98" s="976"/>
      <c r="K98" s="976">
        <f>+'Exhibit F'!L88+'Exhibit G'!L80+' Exhbit I '!M59</f>
        <v>39.900000000000006</v>
      </c>
      <c r="L98" s="976"/>
      <c r="M98" s="976">
        <f>+'Exhibit F'!N88+'Exhibit G'!N80+' Exhbit I '!O59</f>
        <v>56.499999999999993</v>
      </c>
      <c r="N98" s="976"/>
      <c r="O98" s="976">
        <f>+'Exhibit F'!P88+'Exhibit G'!P80+' Exhbit I '!Q59</f>
        <v>52</v>
      </c>
      <c r="P98" s="976"/>
      <c r="Q98" s="976">
        <f>+'Exhibit F'!R88+'Exhibit G'!R80+' Exhbit I '!S59</f>
        <v>37</v>
      </c>
      <c r="R98" s="976"/>
      <c r="S98" s="976">
        <f>+'Exhibit F'!T88+'Exhibit G'!T80+' Exhbit I '!U59</f>
        <v>22.5</v>
      </c>
      <c r="T98" s="976"/>
      <c r="U98" s="976">
        <f>+'Exhibit F'!V88+'Exhibit G'!V80+' Exhbit I '!W59</f>
        <v>36.4</v>
      </c>
      <c r="V98" s="976"/>
      <c r="W98" s="976"/>
      <c r="X98" s="976"/>
      <c r="Y98" s="2755"/>
      <c r="Z98" s="976"/>
      <c r="AA98" s="977"/>
      <c r="AB98" s="976">
        <f t="shared" si="10"/>
        <v>419.4</v>
      </c>
      <c r="AC98" s="976"/>
      <c r="AD98" s="978"/>
      <c r="AE98" s="976">
        <f>+'Exhibit F'!AF88+'Exhibit G'!AH80+' Exhbit I '!AI59</f>
        <v>76.8</v>
      </c>
      <c r="AF98" s="976"/>
      <c r="AG98" s="976"/>
      <c r="AH98" s="976">
        <f t="shared" si="11"/>
        <v>342.6</v>
      </c>
      <c r="AI98" s="428"/>
      <c r="AJ98" s="1780">
        <f t="shared" si="16"/>
        <v>4.4610000000000003</v>
      </c>
    </row>
    <row r="99" spans="1:45" ht="16.5" customHeight="1">
      <c r="A99" s="1748" t="s">
        <v>1172</v>
      </c>
      <c r="B99" s="1748"/>
      <c r="C99" s="976">
        <f>+'Exhibit F'!D89+'Exhibit G'!D81+' Exhbit I '!E60</f>
        <v>1.8</v>
      </c>
      <c r="D99" s="976"/>
      <c r="E99" s="976">
        <f>+'Exhibit F'!F89+'Exhibit G'!F81+' Exhbit I '!G60</f>
        <v>1.4</v>
      </c>
      <c r="F99" s="976"/>
      <c r="G99" s="976">
        <f>+'Exhibit F'!H89+'Exhibit G'!H81+' Exhbit I '!I60</f>
        <v>1.6</v>
      </c>
      <c r="H99" s="976"/>
      <c r="I99" s="976">
        <f>+'Exhibit F'!J89+'Exhibit G'!J81+' Exhbit I '!K60</f>
        <v>1.4000000000000001</v>
      </c>
      <c r="J99" s="976"/>
      <c r="K99" s="976">
        <f>+'Exhibit F'!L89+'Exhibit G'!L81+' Exhbit I '!M60+'Exhibit H'!J42</f>
        <v>1.6000000000000003</v>
      </c>
      <c r="L99" s="976"/>
      <c r="M99" s="976">
        <f>+'Exhibit F'!N89+'Exhibit G'!N81+' Exhbit I '!O60+'Exhibit H'!L42</f>
        <v>1.4000000000000001</v>
      </c>
      <c r="N99" s="976"/>
      <c r="O99" s="976">
        <f>+'Exhibit F'!P89+'Exhibit G'!P81+' Exhbit I '!Q60+'Exhibit H'!N42</f>
        <v>8.6999999999999993</v>
      </c>
      <c r="P99" s="976"/>
      <c r="Q99" s="976">
        <f>+'Exhibit F'!R89+'Exhibit G'!R81+' Exhbit I '!S60+'Exhibit H'!P42</f>
        <v>1</v>
      </c>
      <c r="R99" s="976"/>
      <c r="S99" s="976">
        <f>+'Exhibit F'!T89+'Exhibit G'!T81+' Exhbit I '!U60+'Exhibit H'!R42</f>
        <v>1.3</v>
      </c>
      <c r="T99" s="976"/>
      <c r="U99" s="976">
        <f>+'Exhibit F'!V89+'Exhibit G'!V81+' Exhbit I '!W60+'Exhibit H'!T42</f>
        <v>4.2</v>
      </c>
      <c r="V99" s="976"/>
      <c r="W99" s="976"/>
      <c r="X99" s="976"/>
      <c r="Y99" s="2755"/>
      <c r="Z99" s="976"/>
      <c r="AA99" s="977"/>
      <c r="AB99" s="976">
        <f t="shared" si="10"/>
        <v>24.4</v>
      </c>
      <c r="AC99" s="976"/>
      <c r="AD99" s="978"/>
      <c r="AE99" s="976">
        <f>+'Exhibit F'!AF89+'Exhibit G'!AH81+' Exhbit I '!AI60+'Exhibit H'!AD42</f>
        <v>20.6</v>
      </c>
      <c r="AF99" s="976"/>
      <c r="AG99" s="976"/>
      <c r="AH99" s="976">
        <f t="shared" si="11"/>
        <v>3.8</v>
      </c>
      <c r="AI99" s="428"/>
      <c r="AJ99" s="1780">
        <f t="shared" si="16"/>
        <v>0.184</v>
      </c>
    </row>
    <row r="100" spans="1:45" ht="16.5" customHeight="1">
      <c r="A100" s="1748" t="s">
        <v>1173</v>
      </c>
      <c r="B100" s="1748"/>
      <c r="C100" s="976">
        <f>+'Exhibit G'!D82</f>
        <v>54.7</v>
      </c>
      <c r="D100" s="976"/>
      <c r="E100" s="976">
        <f>+'Exhibit G'!F82</f>
        <v>45.5</v>
      </c>
      <c r="F100" s="976"/>
      <c r="G100" s="976">
        <f>+'Exhibit G'!H82</f>
        <v>60.7</v>
      </c>
      <c r="H100" s="976"/>
      <c r="I100" s="976">
        <f>+'Exhibit G'!J82</f>
        <v>48.7</v>
      </c>
      <c r="J100" s="976"/>
      <c r="K100" s="976">
        <f>+'Exhibit G'!L82</f>
        <v>177.7</v>
      </c>
      <c r="L100" s="976"/>
      <c r="M100" s="976">
        <f>+'Exhibit G'!N82</f>
        <v>418.7</v>
      </c>
      <c r="N100" s="976"/>
      <c r="O100" s="976">
        <f>+'Exhibit G'!P82</f>
        <v>164.5</v>
      </c>
      <c r="P100" s="976"/>
      <c r="Q100" s="976">
        <f>+'Exhibit G'!R82</f>
        <v>67.3</v>
      </c>
      <c r="R100" s="976"/>
      <c r="S100" s="976">
        <f>+'Exhibit G'!T82</f>
        <v>55.1</v>
      </c>
      <c r="T100" s="976"/>
      <c r="U100" s="976">
        <f>+'Exhibit G'!V82</f>
        <v>275.39999999999998</v>
      </c>
      <c r="V100" s="976"/>
      <c r="W100" s="976"/>
      <c r="X100" s="976"/>
      <c r="Y100" s="2755"/>
      <c r="Z100" s="976"/>
      <c r="AA100" s="977"/>
      <c r="AB100" s="976">
        <f t="shared" si="10"/>
        <v>1368.3</v>
      </c>
      <c r="AC100" s="976"/>
      <c r="AD100" s="978"/>
      <c r="AE100" s="976">
        <f>+'Exhibit G'!AH82</f>
        <v>1715</v>
      </c>
      <c r="AF100" s="976"/>
      <c r="AG100" s="976"/>
      <c r="AH100" s="976">
        <f t="shared" si="11"/>
        <v>-346.7</v>
      </c>
      <c r="AI100" s="428"/>
      <c r="AJ100" s="1780">
        <f>ROUND(IF(AE100=0,0,AH100/ABS(AE100)),3)</f>
        <v>-0.20200000000000001</v>
      </c>
    </row>
    <row r="101" spans="1:45" s="792" customFormat="1" ht="16.5" customHeight="1">
      <c r="A101" s="587" t="s">
        <v>1208</v>
      </c>
      <c r="B101" s="411"/>
      <c r="C101" s="482">
        <f>ROUND(SUM(C61:C100),1)</f>
        <v>1455.5</v>
      </c>
      <c r="D101" s="2015"/>
      <c r="E101" s="482">
        <f>ROUND(SUM(E61:E100),1)</f>
        <v>2101.6</v>
      </c>
      <c r="F101" s="2015"/>
      <c r="G101" s="482">
        <f>ROUND(SUM(G61:G100),1)</f>
        <v>2347.3000000000002</v>
      </c>
      <c r="H101" s="1802"/>
      <c r="I101" s="482">
        <f>ROUND(SUM(I61:I100),1)</f>
        <v>1542</v>
      </c>
      <c r="J101" s="1802"/>
      <c r="K101" s="482">
        <f>ROUND(SUM(K61:K100),1)</f>
        <v>1965.6</v>
      </c>
      <c r="L101" s="1802"/>
      <c r="M101" s="482">
        <f>ROUND(SUM(M61:M100),1)</f>
        <v>2857.7</v>
      </c>
      <c r="N101" s="1802"/>
      <c r="O101" s="482">
        <f>ROUND(SUM(O61:O100),1)</f>
        <v>1822.8</v>
      </c>
      <c r="P101" s="1802"/>
      <c r="Q101" s="482">
        <f>ROUND(SUM(Q61:Q100),1)</f>
        <v>1973.1</v>
      </c>
      <c r="R101" s="1802"/>
      <c r="S101" s="482">
        <f>ROUND(SUM(S61:S100),1)</f>
        <v>2212.4</v>
      </c>
      <c r="T101" s="1802"/>
      <c r="U101" s="482">
        <f>ROUND(SUM(U61:U100),1)</f>
        <v>1768.9</v>
      </c>
      <c r="V101" s="1802"/>
      <c r="W101" s="482">
        <f>ROUND(SUM(W61:W100),1)</f>
        <v>0</v>
      </c>
      <c r="X101" s="408"/>
      <c r="Y101" s="482">
        <f>ROUND(SUM(Y61:Y100),1)</f>
        <v>0</v>
      </c>
      <c r="Z101" s="408"/>
      <c r="AA101" s="483"/>
      <c r="AB101" s="482">
        <f>ROUND(SUM(AB61:AB100),1)</f>
        <v>20046.900000000001</v>
      </c>
      <c r="AC101" s="1802"/>
      <c r="AD101" s="258"/>
      <c r="AE101" s="482">
        <f>ROUND(SUM(AE61:AE100),1)</f>
        <v>21889.1</v>
      </c>
      <c r="AF101" s="272"/>
      <c r="AG101" s="2024"/>
      <c r="AH101" s="482">
        <f>ROUND(SUM(AH61:AH100),1)</f>
        <v>-1842.2</v>
      </c>
      <c r="AI101" s="272"/>
      <c r="AJ101" s="72">
        <f>ROUND(IF(AE101=0,0,AH101/ABS(AE101)),3)</f>
        <v>-8.4000000000000005E-2</v>
      </c>
    </row>
    <row r="102" spans="1:45" s="792" customFormat="1" ht="16.5" customHeight="1">
      <c r="A102" s="966"/>
      <c r="B102" s="966"/>
      <c r="C102" s="984"/>
      <c r="D102" s="984"/>
      <c r="E102" s="984"/>
      <c r="F102" s="984"/>
      <c r="G102" s="984"/>
      <c r="H102" s="984"/>
      <c r="I102" s="984"/>
      <c r="J102" s="984"/>
      <c r="K102" s="984"/>
      <c r="L102" s="984"/>
      <c r="M102" s="984"/>
      <c r="N102" s="984"/>
      <c r="O102" s="984"/>
      <c r="P102" s="984"/>
      <c r="Q102" s="984"/>
      <c r="R102" s="984"/>
      <c r="S102" s="984"/>
      <c r="T102" s="984"/>
      <c r="U102" s="984"/>
      <c r="V102" s="984"/>
      <c r="X102" s="984"/>
      <c r="Y102" s="984"/>
      <c r="Z102" s="984"/>
      <c r="AA102" s="985"/>
      <c r="AB102" s="984"/>
      <c r="AC102" s="2023"/>
      <c r="AD102" s="985"/>
      <c r="AE102" s="984"/>
      <c r="AF102" s="2023"/>
      <c r="AG102" s="984"/>
      <c r="AH102" s="984"/>
      <c r="AI102" s="966"/>
      <c r="AJ102" s="511"/>
    </row>
    <row r="103" spans="1:45" ht="16.5" customHeight="1">
      <c r="A103" s="428" t="s">
        <v>21</v>
      </c>
      <c r="B103" s="428"/>
      <c r="C103" s="981">
        <f>+'Exhibit F'!D92+'Exhibit G'!D85+'Exhibit H'!B45+' Exhbit I '!E63</f>
        <v>3275.7</v>
      </c>
      <c r="D103" s="976"/>
      <c r="E103" s="981">
        <f>+'Exhibit F'!F92+'Exhibit G'!F85+'Exhibit H'!D45+' Exhbit I '!G63</f>
        <v>4197.5</v>
      </c>
      <c r="F103" s="976"/>
      <c r="G103" s="981">
        <f>+'Exhibit F'!H92+'Exhibit G'!H85+'Exhibit H'!F45+' Exhbit I '!I63</f>
        <v>5208.4000000000005</v>
      </c>
      <c r="H103" s="976"/>
      <c r="I103" s="981">
        <f>+'Exhibit F'!J92+'Exhibit G'!J85+'Exhibit H'!H45+' Exhbit I '!K63</f>
        <v>3646.2000000000003</v>
      </c>
      <c r="J103" s="976"/>
      <c r="K103" s="981">
        <f>+'Exhibit F'!L92+'Exhibit G'!L85+'Exhibit H'!J45+' Exhbit I '!M63</f>
        <v>4205.3999999999996</v>
      </c>
      <c r="L103" s="976"/>
      <c r="M103" s="981">
        <f>+'Exhibit F'!N92+'Exhibit G'!N85+'Exhibit H'!L45+' Exhbit I '!O63</f>
        <v>5381.7999999999993</v>
      </c>
      <c r="N103" s="976"/>
      <c r="O103" s="981">
        <f>+'Exhibit F'!P92+'Exhibit G'!P85+'Exhibit H'!N45+' Exhbit I '!Q63</f>
        <v>3558</v>
      </c>
      <c r="P103" s="976"/>
      <c r="Q103" s="981">
        <f>+'Exhibit F'!R92+'Exhibit G'!R85+'Exhibit H'!P45+' Exhbit I '!S63</f>
        <v>4210.3999999999996</v>
      </c>
      <c r="R103" s="976"/>
      <c r="S103" s="981">
        <f>+'Exhibit F'!T92+'Exhibit G'!T85+'Exhibit H'!R45+' Exhbit I '!U63</f>
        <v>5992.3</v>
      </c>
      <c r="T103" s="976"/>
      <c r="U103" s="980">
        <f>+'Exhibit F'!V92+'Exhibit G'!V85+'Exhibit H'!T45+' Exhbit I '!W63</f>
        <v>4073.6</v>
      </c>
      <c r="V103" s="976"/>
      <c r="W103" s="980"/>
      <c r="X103" s="976"/>
      <c r="Y103" s="981"/>
      <c r="Z103" s="976"/>
      <c r="AA103" s="977"/>
      <c r="AB103" s="980">
        <f>ROUND(SUM(C103:Y103),1)</f>
        <v>43749.3</v>
      </c>
      <c r="AC103" s="976"/>
      <c r="AD103" s="978"/>
      <c r="AE103" s="981">
        <f>+'Exhibit F'!AF92+'Exhibit G'!AH85+'Exhibit H'!AD45+' Exhbit I '!AI63</f>
        <v>41425.000000000007</v>
      </c>
      <c r="AF103" s="988"/>
      <c r="AG103" s="976"/>
      <c r="AH103" s="980">
        <f>ROUND(SUM(AB103-AE103),1)</f>
        <v>2324.3000000000002</v>
      </c>
      <c r="AI103" s="428"/>
      <c r="AJ103" s="2510">
        <f>ROUND(IF(AE103=0,0,AH103/ABS(AE103)),3)</f>
        <v>5.6000000000000001E-2</v>
      </c>
    </row>
    <row r="104" spans="1:45" ht="16.5" customHeight="1">
      <c r="A104" s="428"/>
      <c r="B104" s="428"/>
      <c r="C104" s="976"/>
      <c r="D104" s="976"/>
      <c r="E104" s="976"/>
      <c r="F104" s="976"/>
      <c r="G104" s="976"/>
      <c r="H104" s="976"/>
      <c r="I104" s="976"/>
      <c r="J104" s="976"/>
      <c r="K104" s="976"/>
      <c r="L104" s="976"/>
      <c r="M104" s="976"/>
      <c r="N104" s="976"/>
      <c r="O104" s="976"/>
      <c r="P104" s="976"/>
      <c r="Q104" s="976"/>
      <c r="R104" s="976"/>
      <c r="S104" s="976"/>
      <c r="T104" s="976"/>
      <c r="U104" s="976"/>
      <c r="V104" s="976"/>
      <c r="W104" s="976"/>
      <c r="X104" s="976"/>
      <c r="Y104" s="976"/>
      <c r="Z104" s="976"/>
      <c r="AA104" s="977"/>
      <c r="AB104" s="976"/>
      <c r="AC104" s="976"/>
      <c r="AD104" s="978"/>
      <c r="AE104" s="976"/>
      <c r="AF104" s="988"/>
      <c r="AG104" s="976"/>
      <c r="AH104" s="976"/>
      <c r="AI104" s="428"/>
      <c r="AJ104" s="982"/>
    </row>
    <row r="105" spans="1:45" ht="16.5" customHeight="1">
      <c r="A105" s="221" t="s">
        <v>155</v>
      </c>
      <c r="B105" s="222"/>
      <c r="C105" s="1656">
        <f>ROUND(SUM(C103+C101+C57),1)</f>
        <v>12952.1</v>
      </c>
      <c r="D105" s="1802"/>
      <c r="E105" s="1656">
        <f>ROUND(SUM(E103+E101+E57),1)</f>
        <v>10124.4</v>
      </c>
      <c r="F105" s="1802"/>
      <c r="G105" s="1656">
        <f>ROUND(SUM(G103+G101+G57),1)</f>
        <v>15344.4</v>
      </c>
      <c r="H105" s="1802"/>
      <c r="I105" s="1656">
        <f>ROUND(SUM(I103+I101+I57),1)</f>
        <v>9528.1</v>
      </c>
      <c r="J105" s="1802"/>
      <c r="K105" s="1656">
        <f>ROUND(SUM(K103+K101+K57),1)</f>
        <v>10850.8</v>
      </c>
      <c r="L105" s="1802"/>
      <c r="M105" s="1656">
        <f>ROUND(SUM(M103+M101+M57),1)</f>
        <v>16240.2</v>
      </c>
      <c r="N105" s="1802"/>
      <c r="O105" s="1656">
        <f>ROUND(SUM(O103+O101+O57),1)</f>
        <v>10087.799999999999</v>
      </c>
      <c r="P105" s="1802"/>
      <c r="Q105" s="1656">
        <f>ROUND(SUM(Q103+Q101+Q57),1)</f>
        <v>9805.5</v>
      </c>
      <c r="R105" s="1802"/>
      <c r="S105" s="1656">
        <f>ROUND(SUM(S103+S101+S57),1)</f>
        <v>16253.5</v>
      </c>
      <c r="T105" s="1802"/>
      <c r="U105" s="1656">
        <f>ROUND(SUM(U103+U101+U57),1)</f>
        <v>15264.3</v>
      </c>
      <c r="V105" s="1802"/>
      <c r="W105" s="1656">
        <f>ROUND(SUM(W103+W101+W57),1)</f>
        <v>0</v>
      </c>
      <c r="X105" s="408"/>
      <c r="Y105" s="1656">
        <f>ROUND(SUM(Y103+Y101+Y57),1)</f>
        <v>0</v>
      </c>
      <c r="Z105" s="475"/>
      <c r="AA105" s="476"/>
      <c r="AB105" s="1656">
        <f>ROUND(SUM(AB103+AB101+AB57),1)</f>
        <v>126451.1</v>
      </c>
      <c r="AC105" s="1802"/>
      <c r="AD105" s="258"/>
      <c r="AE105" s="1656">
        <f>ROUND(SUM(AE103+AE101+AE57),1)</f>
        <v>126627.3</v>
      </c>
      <c r="AF105" s="272"/>
      <c r="AG105" s="2024"/>
      <c r="AH105" s="1656">
        <f>ROUND(SUM(AH103+AH101+AH57),1)</f>
        <v>-176.2</v>
      </c>
      <c r="AI105" s="272"/>
      <c r="AJ105" s="1876">
        <f>ROUND(IF(AE105=0,0,AH105/ABS(AE105)),3)</f>
        <v>-1E-3</v>
      </c>
      <c r="AK105" s="792"/>
      <c r="AL105" s="792"/>
      <c r="AM105" s="792"/>
      <c r="AN105" s="792"/>
      <c r="AO105" s="792"/>
      <c r="AP105" s="792"/>
      <c r="AQ105" s="792"/>
      <c r="AR105" s="792"/>
      <c r="AS105" s="792"/>
    </row>
    <row r="106" spans="1:45" ht="16.5" customHeight="1">
      <c r="A106" s="408"/>
      <c r="B106" s="428"/>
      <c r="C106" s="987"/>
      <c r="D106" s="976"/>
      <c r="E106" s="987"/>
      <c r="F106" s="976"/>
      <c r="G106" s="987"/>
      <c r="H106" s="976"/>
      <c r="I106" s="987"/>
      <c r="J106" s="976"/>
      <c r="K106" s="987"/>
      <c r="L106" s="976"/>
      <c r="M106" s="987"/>
      <c r="N106" s="976"/>
      <c r="O106" s="987"/>
      <c r="P106" s="976"/>
      <c r="Q106" s="987"/>
      <c r="R106" s="976"/>
      <c r="S106" s="987"/>
      <c r="T106" s="976"/>
      <c r="U106" s="987"/>
      <c r="V106" s="976"/>
      <c r="W106" s="987"/>
      <c r="X106" s="976"/>
      <c r="Y106" s="987"/>
      <c r="Z106" s="976"/>
      <c r="AA106" s="977"/>
      <c r="AB106" s="987"/>
      <c r="AC106" s="976"/>
      <c r="AD106" s="978"/>
      <c r="AE106" s="987"/>
      <c r="AF106" s="976"/>
      <c r="AG106" s="976"/>
      <c r="AH106" s="1146"/>
      <c r="AI106" s="428"/>
      <c r="AJ106" s="1632"/>
    </row>
    <row r="107" spans="1:45" ht="16.5" customHeight="1">
      <c r="A107" s="408" t="s">
        <v>23</v>
      </c>
      <c r="B107" s="428"/>
      <c r="C107" s="988"/>
      <c r="D107" s="976"/>
      <c r="E107" s="988"/>
      <c r="F107" s="976"/>
      <c r="G107" s="988"/>
      <c r="H107" s="976"/>
      <c r="I107" s="988"/>
      <c r="J107" s="976"/>
      <c r="K107" s="988"/>
      <c r="L107" s="976"/>
      <c r="M107" s="988"/>
      <c r="N107" s="976"/>
      <c r="O107" s="988"/>
      <c r="P107" s="976"/>
      <c r="Q107" s="988"/>
      <c r="R107" s="976"/>
      <c r="S107" s="988"/>
      <c r="T107" s="976"/>
      <c r="U107" s="988"/>
      <c r="V107" s="976"/>
      <c r="W107" s="988"/>
      <c r="X107" s="976"/>
      <c r="Y107" s="988"/>
      <c r="Z107" s="976"/>
      <c r="AA107" s="977"/>
      <c r="AB107" s="988"/>
      <c r="AC107" s="976"/>
      <c r="AD107" s="978"/>
      <c r="AE107" s="988"/>
      <c r="AF107" s="976"/>
      <c r="AG107" s="976"/>
      <c r="AH107" s="1146"/>
      <c r="AI107" s="428"/>
      <c r="AJ107" s="1632"/>
    </row>
    <row r="108" spans="1:45" ht="16.5" customHeight="1">
      <c r="A108" s="428" t="s">
        <v>141</v>
      </c>
      <c r="B108" s="428"/>
      <c r="C108" s="976"/>
      <c r="D108" s="976"/>
      <c r="E108" s="976"/>
      <c r="F108" s="976"/>
      <c r="G108" s="976"/>
      <c r="H108" s="976"/>
      <c r="I108" s="976"/>
      <c r="J108" s="976"/>
      <c r="K108" s="976"/>
      <c r="L108" s="976"/>
      <c r="M108" s="976"/>
      <c r="N108" s="976"/>
      <c r="O108" s="976"/>
      <c r="P108" s="976"/>
      <c r="Q108" s="976"/>
      <c r="R108" s="976"/>
      <c r="S108" s="976"/>
      <c r="T108" s="976"/>
      <c r="U108" s="976"/>
      <c r="V108" s="976"/>
      <c r="W108" s="976"/>
      <c r="X108" s="976"/>
      <c r="Y108" s="976"/>
      <c r="Z108" s="976"/>
      <c r="AA108" s="977"/>
      <c r="AB108" s="976"/>
      <c r="AC108" s="976"/>
      <c r="AD108" s="978"/>
      <c r="AE108" s="260"/>
      <c r="AF108" s="976"/>
      <c r="AG108" s="976"/>
      <c r="AH108" s="976"/>
      <c r="AI108" s="428"/>
      <c r="AJ108" s="1847"/>
    </row>
    <row r="109" spans="1:45" ht="16.5" customHeight="1">
      <c r="A109" s="479" t="s">
        <v>25</v>
      </c>
      <c r="B109" s="428"/>
      <c r="C109" s="976">
        <f>+'Exhibit F'!D98+'Exhibit G'!D91+' Exhbit I '!E69</f>
        <v>1097.9000000000001</v>
      </c>
      <c r="D109" s="976"/>
      <c r="E109" s="976">
        <f>+'Exhibit F'!F98+'Exhibit G'!F91+' Exhbit I '!G69</f>
        <v>3326.5</v>
      </c>
      <c r="F109" s="976"/>
      <c r="G109" s="976">
        <f>+'Exhibit F'!H98+'Exhibit G'!H91+' Exhbit I '!I69</f>
        <v>4064.1</v>
      </c>
      <c r="H109" s="976"/>
      <c r="I109" s="976">
        <f>+'Exhibit F'!J98+'Exhibit G'!J91+' Exhbit I '!K69</f>
        <v>593.59999999999991</v>
      </c>
      <c r="J109" s="976"/>
      <c r="K109" s="976">
        <f>+'Exhibit F'!L98+'Exhibit G'!L91+' Exhbit I '!M69</f>
        <v>1213.7</v>
      </c>
      <c r="L109" s="976"/>
      <c r="M109" s="976">
        <f>+'Exhibit F'!N98+'Exhibit G'!N91+' Exhbit I '!O69</f>
        <v>4245.8999999999996</v>
      </c>
      <c r="N109" s="976"/>
      <c r="O109" s="976">
        <f>+'Exhibit F'!P98+'Exhibit G'!P91+' Exhbit I '!Q69</f>
        <v>1864.3</v>
      </c>
      <c r="P109" s="976"/>
      <c r="Q109" s="976">
        <f>+'Exhibit F'!R98+'Exhibit G'!R91+' Exhbit I '!S69</f>
        <v>2000.5000000000002</v>
      </c>
      <c r="R109" s="976"/>
      <c r="S109" s="976">
        <f>+'Exhibit F'!T98+'Exhibit G'!T91+' Exhbit I '!U69</f>
        <v>2435</v>
      </c>
      <c r="T109" s="976"/>
      <c r="U109" s="2008">
        <f>+'Exhibit F'!V98+'Exhibit G'!V91+' Exhbit I '!W69</f>
        <v>3247.4</v>
      </c>
      <c r="V109" s="976"/>
      <c r="W109" s="2008"/>
      <c r="X109" s="976"/>
      <c r="Y109" s="2755"/>
      <c r="Z109" s="976"/>
      <c r="AA109" s="977"/>
      <c r="AB109" s="260">
        <f>ROUND(SUM(C109:Y109),1)</f>
        <v>24088.9</v>
      </c>
      <c r="AC109" s="976"/>
      <c r="AD109" s="978"/>
      <c r="AE109" s="260">
        <f>+'Exhibit F'!AF98+'Exhibit G'!AH91+' Exhbit I '!AI69</f>
        <v>24819.399999999998</v>
      </c>
      <c r="AF109" s="976"/>
      <c r="AG109" s="976"/>
      <c r="AH109" s="976">
        <f>ROUND(SUM(AB109-AE109),1)</f>
        <v>-730.5</v>
      </c>
      <c r="AI109" s="428"/>
      <c r="AJ109" s="1780">
        <f>ROUND(IF(AE109=0,0,AH109/ABS(AE109)),3)</f>
        <v>-2.9000000000000001E-2</v>
      </c>
    </row>
    <row r="110" spans="1:45" ht="16.5" customHeight="1">
      <c r="A110" s="479" t="s">
        <v>26</v>
      </c>
      <c r="B110" s="428"/>
      <c r="C110" s="976">
        <f>+'Exhibit F'!D99+'Exhibit G'!D92+' Exhbit I '!E70</f>
        <v>3.4000000000000004</v>
      </c>
      <c r="D110" s="976"/>
      <c r="E110" s="976">
        <f>+'Exhibit F'!F99+'Exhibit G'!F92+' Exhbit I '!G70</f>
        <v>4.3</v>
      </c>
      <c r="F110" s="976"/>
      <c r="G110" s="976">
        <f>+'Exhibit F'!H99+'Exhibit G'!H92+' Exhbit I '!I70</f>
        <v>8.5</v>
      </c>
      <c r="H110" s="976"/>
      <c r="I110" s="976">
        <f>+'Exhibit F'!J99+'Exhibit G'!J92+' Exhbit I '!K70</f>
        <v>12.700000000000001</v>
      </c>
      <c r="J110" s="976"/>
      <c r="K110" s="976">
        <f>+'Exhibit F'!L99+'Exhibit G'!L92+' Exhbit I '!M70</f>
        <v>15.3</v>
      </c>
      <c r="L110" s="976"/>
      <c r="M110" s="976">
        <f>+'Exhibit F'!N99+'Exhibit G'!N92+' Exhbit I '!O70</f>
        <v>6</v>
      </c>
      <c r="N110" s="976"/>
      <c r="O110" s="976">
        <f>+'Exhibit F'!P99+'Exhibit G'!P92+' Exhbit I '!Q70</f>
        <v>7.4</v>
      </c>
      <c r="P110" s="976"/>
      <c r="Q110" s="976">
        <f>+'Exhibit F'!R99+'Exhibit G'!R92+' Exhbit I '!S70</f>
        <v>32.9</v>
      </c>
      <c r="R110" s="976"/>
      <c r="S110" s="976">
        <f>+'Exhibit F'!T99+'Exhibit G'!T92+' Exhbit I '!U70</f>
        <v>179.5</v>
      </c>
      <c r="T110" s="976"/>
      <c r="U110" s="2008">
        <f>+'Exhibit F'!V99+'Exhibit G'!V92+' Exhbit I '!W70</f>
        <v>7.6000000000000005</v>
      </c>
      <c r="V110" s="976"/>
      <c r="W110" s="2008"/>
      <c r="X110" s="976"/>
      <c r="Y110" s="2755"/>
      <c r="Z110" s="976"/>
      <c r="AA110" s="977"/>
      <c r="AB110" s="260">
        <f t="shared" ref="AB110:AB117" si="17">ROUND(SUM(C110:Y110),1)</f>
        <v>277.60000000000002</v>
      </c>
      <c r="AC110" s="976"/>
      <c r="AD110" s="978"/>
      <c r="AE110" s="260">
        <f>+'Exhibit F'!AF99+'Exhibit G'!AH92+' Exhbit I '!AI70</f>
        <v>254.4</v>
      </c>
      <c r="AF110" s="976"/>
      <c r="AG110" s="976"/>
      <c r="AH110" s="976">
        <f t="shared" ref="AH110:AH117" si="18">ROUND(SUM(AB110-AE110),1)</f>
        <v>23.2</v>
      </c>
      <c r="AI110" s="428"/>
      <c r="AJ110" s="1780">
        <f>ROUND(IF(AE110=0,0,AH110/ABS(AE110)),3)</f>
        <v>9.0999999999999998E-2</v>
      </c>
    </row>
    <row r="111" spans="1:45" ht="16.5" customHeight="1">
      <c r="A111" s="479" t="s">
        <v>27</v>
      </c>
      <c r="B111" s="428"/>
      <c r="C111" s="976">
        <f>+'Exhibit F'!D100+'Exhibit G'!D93+' Exhbit I '!E71</f>
        <v>71.5</v>
      </c>
      <c r="D111" s="976"/>
      <c r="E111" s="976">
        <f>+'Exhibit F'!F100+'Exhibit G'!F93+' Exhbit I '!G71</f>
        <v>45.3</v>
      </c>
      <c r="F111" s="976"/>
      <c r="G111" s="976">
        <f>+'Exhibit F'!H100+'Exhibit G'!H93+' Exhbit I '!I71</f>
        <v>610.1</v>
      </c>
      <c r="H111" s="976"/>
      <c r="I111" s="976">
        <f>+'Exhibit F'!J100+'Exhibit G'!J93+' Exhbit I '!K71</f>
        <v>46.7</v>
      </c>
      <c r="J111" s="976"/>
      <c r="K111" s="976">
        <f>+'Exhibit F'!L100+'Exhibit G'!L93+' Exhbit I '!M71</f>
        <v>58</v>
      </c>
      <c r="L111" s="976"/>
      <c r="M111" s="976">
        <f>+'Exhibit F'!N100+'Exhibit G'!N93+' Exhbit I '!O71</f>
        <v>140.30000000000001</v>
      </c>
      <c r="N111" s="976"/>
      <c r="O111" s="976">
        <f>+'Exhibit F'!P100+'Exhibit G'!P93+' Exhbit I '!Q71</f>
        <v>130.30000000000001</v>
      </c>
      <c r="P111" s="976"/>
      <c r="Q111" s="976">
        <f>+'Exhibit F'!R100+'Exhibit G'!R93+' Exhbit I '!S71</f>
        <v>44.2</v>
      </c>
      <c r="R111" s="976"/>
      <c r="S111" s="976">
        <f>+'Exhibit F'!T100+'Exhibit G'!T93+' Exhbit I '!U71</f>
        <v>279</v>
      </c>
      <c r="T111" s="976"/>
      <c r="U111" s="2008">
        <f>+'Exhibit F'!V100+'Exhibit G'!V93+' Exhbit I '!W71</f>
        <v>61.8</v>
      </c>
      <c r="V111" s="976"/>
      <c r="W111" s="2008"/>
      <c r="X111" s="976"/>
      <c r="Y111" s="2755"/>
      <c r="Z111" s="976"/>
      <c r="AA111" s="977"/>
      <c r="AB111" s="260">
        <f t="shared" si="17"/>
        <v>1487.2</v>
      </c>
      <c r="AC111" s="976"/>
      <c r="AD111" s="978"/>
      <c r="AE111" s="260">
        <f>+'Exhibit F'!AF100+'Exhibit G'!AH93+' Exhbit I '!AI71</f>
        <v>1210.2</v>
      </c>
      <c r="AF111" s="976"/>
      <c r="AG111" s="976"/>
      <c r="AH111" s="976">
        <f t="shared" si="18"/>
        <v>277</v>
      </c>
      <c r="AI111" s="428"/>
      <c r="AJ111" s="1780">
        <f>ROUND(IF(AE111=0,0,AH111/ABS(AE111)),3)</f>
        <v>0.22900000000000001</v>
      </c>
    </row>
    <row r="112" spans="1:45" ht="16.5" customHeight="1">
      <c r="A112" s="479" t="s">
        <v>28</v>
      </c>
      <c r="B112" s="428"/>
      <c r="C112" s="976"/>
      <c r="D112" s="976"/>
      <c r="E112" s="976"/>
      <c r="F112" s="976"/>
      <c r="G112" s="976"/>
      <c r="H112" s="976"/>
      <c r="I112" s="976"/>
      <c r="J112" s="976"/>
      <c r="K112" s="976"/>
      <c r="L112" s="976"/>
      <c r="M112" s="976"/>
      <c r="N112" s="976"/>
      <c r="O112" s="976"/>
      <c r="P112" s="976"/>
      <c r="Q112" s="976"/>
      <c r="R112" s="976"/>
      <c r="S112" s="976"/>
      <c r="T112" s="976"/>
      <c r="U112" s="2008"/>
      <c r="V112" s="976"/>
      <c r="W112" s="2008"/>
      <c r="X112" s="976"/>
      <c r="Y112" s="2755"/>
      <c r="Z112" s="976"/>
      <c r="AA112" s="977"/>
      <c r="AB112" s="260"/>
      <c r="AC112" s="976"/>
      <c r="AD112" s="978"/>
      <c r="AE112" s="371"/>
      <c r="AF112" s="976"/>
      <c r="AG112" s="976"/>
      <c r="AH112" s="976" t="s">
        <v>15</v>
      </c>
      <c r="AI112" s="428"/>
      <c r="AJ112" s="1847"/>
    </row>
    <row r="113" spans="1:44" ht="16.5" customHeight="1">
      <c r="A113" s="480" t="s">
        <v>29</v>
      </c>
      <c r="B113" s="428"/>
      <c r="C113" s="976">
        <f>+'Exhibit F'!D102+'Exhibit G'!D95+' Exhbit I '!E73</f>
        <v>3569.1</v>
      </c>
      <c r="D113" s="976"/>
      <c r="E113" s="976">
        <f>+'Exhibit F'!F102+'Exhibit G'!F95+' Exhbit I '!G73</f>
        <v>4384.6000000000004</v>
      </c>
      <c r="F113" s="976"/>
      <c r="G113" s="976">
        <f>+'Exhibit F'!H102+'Exhibit G'!H95+' Exhbit I '!I73</f>
        <v>4795.6000000000004</v>
      </c>
      <c r="H113" s="976"/>
      <c r="I113" s="976">
        <f>+'Exhibit F'!J102+'Exhibit G'!J95+' Exhbit I '!K73</f>
        <v>4267.7</v>
      </c>
      <c r="J113" s="976"/>
      <c r="K113" s="976">
        <f>+'Exhibit F'!L102+'Exhibit G'!L95+' Exhbit I '!M73</f>
        <v>4714.8999999999996</v>
      </c>
      <c r="L113" s="976"/>
      <c r="M113" s="976">
        <f>+'Exhibit F'!N102+'Exhibit G'!N95+' Exhbit I '!O73</f>
        <v>3813.3</v>
      </c>
      <c r="N113" s="976"/>
      <c r="O113" s="976">
        <f>+'Exhibit F'!P102+'Exhibit G'!P95+' Exhbit I '!Q73</f>
        <v>3773.6000000000004</v>
      </c>
      <c r="P113" s="976"/>
      <c r="Q113" s="976">
        <f>+'Exhibit F'!R102+'Exhibit G'!R95+' Exhbit I '!S73</f>
        <v>5303.7</v>
      </c>
      <c r="R113" s="976"/>
      <c r="S113" s="976">
        <f>+'Exhibit F'!T102+'Exhibit G'!T95+' Exhbit I '!U73</f>
        <v>4567.0999999999995</v>
      </c>
      <c r="T113" s="976"/>
      <c r="U113" s="2008">
        <f>+'Exhibit F'!V102+'Exhibit G'!V95+' Exhbit I '!W73</f>
        <v>3988.5</v>
      </c>
      <c r="V113" s="976"/>
      <c r="W113" s="2008"/>
      <c r="X113" s="976"/>
      <c r="Y113" s="2755"/>
      <c r="Z113" s="976"/>
      <c r="AA113" s="977"/>
      <c r="AB113" s="260">
        <f t="shared" si="17"/>
        <v>43178.1</v>
      </c>
      <c r="AC113" s="976"/>
      <c r="AD113" s="978"/>
      <c r="AE113" s="260">
        <f>+'Exhibit F'!AF102+'Exhibit G'!AH95+' Exhbit I '!AI73</f>
        <v>41148.300000000003</v>
      </c>
      <c r="AF113" s="976"/>
      <c r="AG113" s="976"/>
      <c r="AH113" s="976">
        <f t="shared" si="18"/>
        <v>2029.8</v>
      </c>
      <c r="AI113" s="428"/>
      <c r="AJ113" s="1780">
        <f t="shared" ref="AJ113:AJ119" si="19">ROUND(IF(AE113=0,0,AH113/ABS(AE113)),3)</f>
        <v>4.9000000000000002E-2</v>
      </c>
      <c r="AK113" s="416"/>
    </row>
    <row r="114" spans="1:44" ht="16.5" customHeight="1">
      <c r="A114" s="479" t="s">
        <v>30</v>
      </c>
      <c r="B114" s="428"/>
      <c r="C114" s="976">
        <f>+'Exhibit F'!D103+'Exhibit G'!D96+' Exhbit I '!E74</f>
        <v>597.40000000000009</v>
      </c>
      <c r="D114" s="976"/>
      <c r="E114" s="976">
        <f>+'Exhibit F'!F103+'Exhibit G'!F96+' Exhbit I '!G74</f>
        <v>674.5</v>
      </c>
      <c r="F114" s="976"/>
      <c r="G114" s="976">
        <f>+'Exhibit F'!H103+'Exhibit G'!H96+' Exhbit I '!I74</f>
        <v>841.30000000000007</v>
      </c>
      <c r="H114" s="976"/>
      <c r="I114" s="976">
        <f>+'Exhibit F'!J103+'Exhibit G'!J96+' Exhbit I '!K74</f>
        <v>724</v>
      </c>
      <c r="J114" s="976"/>
      <c r="K114" s="976">
        <f>+'Exhibit F'!L103+'Exhibit G'!L96+' Exhbit I '!M74</f>
        <v>575.09999999999991</v>
      </c>
      <c r="L114" s="976"/>
      <c r="M114" s="976">
        <f>+'Exhibit F'!N103+'Exhibit G'!N96+' Exhbit I '!O74</f>
        <v>888.69999999999993</v>
      </c>
      <c r="N114" s="976"/>
      <c r="O114" s="976">
        <f>+'Exhibit F'!P103+'Exhibit G'!P96+' Exhbit I '!Q74</f>
        <v>663</v>
      </c>
      <c r="P114" s="976"/>
      <c r="Q114" s="976">
        <f>+'Exhibit F'!R103+'Exhibit G'!R96+' Exhbit I '!S74</f>
        <v>582.59999999999991</v>
      </c>
      <c r="R114" s="976"/>
      <c r="S114" s="976">
        <f>+'Exhibit F'!T103+'Exhibit G'!T96+' Exhbit I '!U74</f>
        <v>1037.3</v>
      </c>
      <c r="T114" s="976"/>
      <c r="U114" s="2008">
        <f>+'Exhibit F'!V103+'Exhibit G'!V96+' Exhbit I '!W74</f>
        <v>741.80000000000007</v>
      </c>
      <c r="V114" s="976"/>
      <c r="W114" s="2008"/>
      <c r="X114" s="976"/>
      <c r="Y114" s="2755"/>
      <c r="Z114" s="976"/>
      <c r="AA114" s="977"/>
      <c r="AB114" s="260">
        <f t="shared" si="17"/>
        <v>7325.7</v>
      </c>
      <c r="AC114" s="979"/>
      <c r="AD114" s="976"/>
      <c r="AE114" s="260">
        <f>+'Exhibit F'!AF103+'Exhibit G'!AH96+' Exhbit I '!AI74</f>
        <v>5269.1</v>
      </c>
      <c r="AF114" s="976"/>
      <c r="AG114" s="976"/>
      <c r="AH114" s="976">
        <f t="shared" si="18"/>
        <v>2056.6</v>
      </c>
      <c r="AI114" s="428"/>
      <c r="AJ114" s="1780">
        <f t="shared" si="19"/>
        <v>0.39</v>
      </c>
    </row>
    <row r="115" spans="1:44" ht="16.5" customHeight="1">
      <c r="A115" s="479" t="s">
        <v>31</v>
      </c>
      <c r="B115" s="428"/>
      <c r="C115" s="976">
        <f>+'Exhibit F'!D104+'Exhibit G'!D97+' Exhbit I '!E75</f>
        <v>90.9</v>
      </c>
      <c r="D115" s="976"/>
      <c r="E115" s="976">
        <f>+'Exhibit F'!F104+'Exhibit G'!F97+' Exhbit I '!G75</f>
        <v>158</v>
      </c>
      <c r="F115" s="976"/>
      <c r="G115" s="976">
        <f>+'Exhibit F'!H104+'Exhibit G'!H97+' Exhbit I '!I75</f>
        <v>107.6</v>
      </c>
      <c r="H115" s="976"/>
      <c r="I115" s="976">
        <f>+'Exhibit F'!J104+'Exhibit G'!J97+' Exhbit I '!K75</f>
        <v>138.80000000000001</v>
      </c>
      <c r="J115" s="976"/>
      <c r="K115" s="976">
        <f>+'Exhibit F'!L104+'Exhibit G'!L97+' Exhbit I '!M75</f>
        <v>209.79999999999998</v>
      </c>
      <c r="L115" s="976"/>
      <c r="M115" s="976">
        <f>+'Exhibit F'!N104+'Exhibit G'!N97+' Exhbit I '!O75</f>
        <v>146.4</v>
      </c>
      <c r="N115" s="976"/>
      <c r="O115" s="976">
        <f>+'Exhibit F'!P104+'Exhibit G'!P97+' Exhbit I '!Q75</f>
        <v>106.39999999999999</v>
      </c>
      <c r="P115" s="976"/>
      <c r="Q115" s="976">
        <f>+'Exhibit F'!R104+'Exhibit G'!R97+' Exhbit I '!S75</f>
        <v>174.10000000000002</v>
      </c>
      <c r="R115" s="976"/>
      <c r="S115" s="976">
        <f>+'Exhibit F'!T104+'Exhibit G'!T97+' Exhbit I '!U75</f>
        <v>196.50000000000003</v>
      </c>
      <c r="T115" s="976"/>
      <c r="U115" s="2008">
        <f>+'Exhibit F'!V104+'Exhibit G'!V97+' Exhbit I '!W75</f>
        <v>156.39999999999998</v>
      </c>
      <c r="V115" s="976"/>
      <c r="W115" s="2008"/>
      <c r="X115" s="976"/>
      <c r="Y115" s="2755"/>
      <c r="Z115" s="976"/>
      <c r="AA115" s="977"/>
      <c r="AB115" s="260">
        <f t="shared" si="17"/>
        <v>1484.9</v>
      </c>
      <c r="AC115" s="989"/>
      <c r="AD115" s="978"/>
      <c r="AE115" s="260">
        <f>+'Exhibit F'!AF104+'Exhibit G'!AH97+' Exhbit I '!AI75</f>
        <v>1789.1999999999998</v>
      </c>
      <c r="AF115" s="976"/>
      <c r="AG115" s="976"/>
      <c r="AH115" s="976">
        <f t="shared" si="18"/>
        <v>-304.3</v>
      </c>
      <c r="AI115" s="428"/>
      <c r="AJ115" s="1780">
        <f t="shared" si="19"/>
        <v>-0.17</v>
      </c>
    </row>
    <row r="116" spans="1:44" ht="16.5" customHeight="1">
      <c r="A116" s="479" t="s">
        <v>32</v>
      </c>
      <c r="B116" s="428"/>
      <c r="C116" s="976">
        <f>+'Exhibit F'!D105+'Exhibit G'!D98+' Exhbit I '!E76</f>
        <v>370.1</v>
      </c>
      <c r="D116" s="976"/>
      <c r="E116" s="976">
        <f>+'Exhibit F'!F105+'Exhibit G'!F98+' Exhbit I '!G76</f>
        <v>429.09999999999997</v>
      </c>
      <c r="F116" s="976"/>
      <c r="G116" s="976">
        <f>+'Exhibit F'!H105+'Exhibit G'!H98+' Exhbit I '!I76</f>
        <v>748.3</v>
      </c>
      <c r="H116" s="976"/>
      <c r="I116" s="976">
        <f>+'Exhibit F'!J105+'Exhibit G'!J98+' Exhbit I '!K76</f>
        <v>596.5</v>
      </c>
      <c r="J116" s="976"/>
      <c r="K116" s="976">
        <f>+'Exhibit F'!L105+'Exhibit G'!L98+' Exhbit I '!M76</f>
        <v>515.6</v>
      </c>
      <c r="L116" s="976"/>
      <c r="M116" s="976">
        <f>+'Exhibit F'!N105+'Exhibit G'!N98+' Exhbit I '!O76</f>
        <v>1188.9000000000001</v>
      </c>
      <c r="N116" s="976"/>
      <c r="O116" s="976">
        <f>+'Exhibit F'!P105+'Exhibit G'!P98+' Exhbit I '!Q76</f>
        <v>443.59999999999997</v>
      </c>
      <c r="P116" s="976"/>
      <c r="Q116" s="976">
        <f>+'Exhibit F'!R105+'Exhibit G'!R98+' Exhbit I '!S76</f>
        <v>460.19999999999993</v>
      </c>
      <c r="R116" s="976"/>
      <c r="S116" s="976">
        <f>+'Exhibit F'!T105+'Exhibit G'!T98+' Exhbit I '!U76</f>
        <v>792.1</v>
      </c>
      <c r="T116" s="976"/>
      <c r="U116" s="2008">
        <f>+'Exhibit F'!V105+'Exhibit G'!V98+' Exhbit I '!W76</f>
        <v>427</v>
      </c>
      <c r="V116" s="976"/>
      <c r="W116" s="2008"/>
      <c r="X116" s="976"/>
      <c r="Y116" s="2755"/>
      <c r="Z116" s="976"/>
      <c r="AA116" s="977"/>
      <c r="AB116" s="260">
        <f t="shared" si="17"/>
        <v>5971.4</v>
      </c>
      <c r="AC116" s="989"/>
      <c r="AD116" s="978"/>
      <c r="AE116" s="260">
        <f>+'Exhibit F'!AF105+'Exhibit G'!AH98+' Exhbit I '!AI76</f>
        <v>6247.5999999999995</v>
      </c>
      <c r="AF116" s="976"/>
      <c r="AG116" s="976"/>
      <c r="AH116" s="976">
        <f t="shared" si="18"/>
        <v>-276.2</v>
      </c>
      <c r="AI116" s="428"/>
      <c r="AJ116" s="1780">
        <f t="shared" si="19"/>
        <v>-4.3999999999999997E-2</v>
      </c>
    </row>
    <row r="117" spans="1:44" ht="16.5" customHeight="1">
      <c r="A117" s="479" t="s">
        <v>33</v>
      </c>
      <c r="B117" s="428"/>
      <c r="C117" s="976">
        <f>+'Exhibit F'!D106+'Exhibit G'!D99+' Exhbit I '!E77</f>
        <v>5</v>
      </c>
      <c r="D117" s="976"/>
      <c r="E117" s="976">
        <f>+'Exhibit F'!F106+'Exhibit G'!F99+' Exhbit I '!G77</f>
        <v>15.900000000000002</v>
      </c>
      <c r="F117" s="976"/>
      <c r="G117" s="976">
        <f>+'Exhibit F'!H106+'Exhibit G'!H99+' Exhbit I '!I77</f>
        <v>192.8</v>
      </c>
      <c r="H117" s="976"/>
      <c r="I117" s="976">
        <f>+'Exhibit F'!J106+'Exhibit G'!J99+' Exhbit I '!K77</f>
        <v>64.900000000000006</v>
      </c>
      <c r="J117" s="976"/>
      <c r="K117" s="976">
        <f>+'Exhibit F'!L106+'Exhibit G'!L99+' Exhbit I '!M77</f>
        <v>198.5</v>
      </c>
      <c r="L117" s="976"/>
      <c r="M117" s="976">
        <f>+'Exhibit F'!N106+'Exhibit G'!N99+' Exhbit I '!O77</f>
        <v>60</v>
      </c>
      <c r="N117" s="976"/>
      <c r="O117" s="976">
        <f>+'Exhibit F'!P106+'Exhibit G'!P99+' Exhbit I '!Q77</f>
        <v>15.9</v>
      </c>
      <c r="P117" s="976"/>
      <c r="Q117" s="976">
        <f>+'Exhibit F'!R106+'Exhibit G'!R99+' Exhbit I '!S77</f>
        <v>118</v>
      </c>
      <c r="R117" s="976"/>
      <c r="S117" s="976">
        <f>+'Exhibit F'!T106+'Exhibit G'!T99+' Exhbit I '!U77</f>
        <v>24.8</v>
      </c>
      <c r="T117" s="976"/>
      <c r="U117" s="2008">
        <f>+'Exhibit F'!V106+'Exhibit G'!V99+' Exhbit I '!W77</f>
        <v>67.3</v>
      </c>
      <c r="V117" s="976"/>
      <c r="W117" s="2008"/>
      <c r="X117" s="976"/>
      <c r="Y117" s="2755"/>
      <c r="Z117" s="976"/>
      <c r="AA117" s="977"/>
      <c r="AB117" s="260">
        <f t="shared" si="17"/>
        <v>763.1</v>
      </c>
      <c r="AC117" s="989"/>
      <c r="AD117" s="978"/>
      <c r="AE117" s="260">
        <f>+'Exhibit F'!AF106+'Exhibit G'!AH99+' Exhbit I '!AI77</f>
        <v>644.29999999999995</v>
      </c>
      <c r="AF117" s="976"/>
      <c r="AG117" s="976"/>
      <c r="AH117" s="976">
        <f t="shared" si="18"/>
        <v>118.8</v>
      </c>
      <c r="AI117" s="428"/>
      <c r="AJ117" s="1780">
        <f t="shared" si="19"/>
        <v>0.184</v>
      </c>
    </row>
    <row r="118" spans="1:44" ht="16.5" customHeight="1">
      <c r="A118" s="479" t="s">
        <v>34</v>
      </c>
      <c r="B118" s="428"/>
      <c r="C118" s="976">
        <f>+'Exhibit F'!D107+'Exhibit G'!D100+' Exhbit I '!E78</f>
        <v>226</v>
      </c>
      <c r="D118" s="976"/>
      <c r="E118" s="976">
        <f>+'Exhibit F'!F107+'Exhibit G'!F100+' Exhbit I '!G78</f>
        <v>525</v>
      </c>
      <c r="F118" s="976"/>
      <c r="G118" s="976">
        <f>+'Exhibit F'!H107+'Exhibit G'!H100+' Exhbit I '!I78</f>
        <v>612</v>
      </c>
      <c r="H118" s="976"/>
      <c r="I118" s="976">
        <f>+'Exhibit F'!J107+'Exhibit G'!J100+' Exhbit I '!K78</f>
        <v>387.80000000000007</v>
      </c>
      <c r="J118" s="976"/>
      <c r="K118" s="976">
        <f>+'Exhibit F'!L107+'Exhibit G'!L100+' Exhbit I '!M78</f>
        <v>574.5</v>
      </c>
      <c r="L118" s="976"/>
      <c r="M118" s="976">
        <f>+'Exhibit F'!N107+'Exhibit G'!N100+' Exhbit I '!O78</f>
        <v>664.9</v>
      </c>
      <c r="N118" s="976"/>
      <c r="O118" s="976">
        <f>+'Exhibit F'!P107+'Exhibit G'!P100+' Exhbit I '!Q78</f>
        <v>450.80000000000013</v>
      </c>
      <c r="P118" s="976"/>
      <c r="Q118" s="976">
        <f>+'Exhibit F'!R107+'Exhibit G'!R100+' Exhbit I '!S78</f>
        <v>662.3</v>
      </c>
      <c r="R118" s="976"/>
      <c r="S118" s="976">
        <f>+'Exhibit F'!T107+'Exhibit G'!T100+' Exhbit I '!U78</f>
        <v>1168.3</v>
      </c>
      <c r="T118" s="976"/>
      <c r="U118" s="2008">
        <f>+'Exhibit F'!V107+'Exhibit G'!V100+' Exhbit I '!W78</f>
        <v>254.6</v>
      </c>
      <c r="V118" s="976"/>
      <c r="W118" s="2008"/>
      <c r="X118" s="976"/>
      <c r="Y118" s="2755"/>
      <c r="Z118" s="976"/>
      <c r="AA118" s="977"/>
      <c r="AB118" s="976">
        <f>ROUND(SUM(C118:Y118),1)</f>
        <v>5526.2</v>
      </c>
      <c r="AC118" s="989"/>
      <c r="AD118" s="978"/>
      <c r="AE118" s="260">
        <f>+'Exhibit F'!AF107+'Exhibit G'!AH100+' Exhbit I '!AI78</f>
        <v>5005.8999999999996</v>
      </c>
      <c r="AF118" s="976"/>
      <c r="AG118" s="976"/>
      <c r="AH118" s="976">
        <f>ROUND(SUM(AB118-AE118),1)</f>
        <v>520.29999999999995</v>
      </c>
      <c r="AI118" s="428"/>
      <c r="AJ118" s="1780">
        <f t="shared" si="19"/>
        <v>0.104</v>
      </c>
    </row>
    <row r="119" spans="1:44" ht="16.5" customHeight="1">
      <c r="A119" s="428" t="s">
        <v>35</v>
      </c>
      <c r="B119" s="428"/>
      <c r="C119" s="993">
        <f>ROUND(SUM(C109:C118),1)</f>
        <v>6031.3</v>
      </c>
      <c r="D119" s="984"/>
      <c r="E119" s="993">
        <f>ROUND(SUM(E109:E118),1)</f>
        <v>9563.2000000000007</v>
      </c>
      <c r="F119" s="984"/>
      <c r="G119" s="993">
        <f>ROUND(SUM(G109:G118),1)</f>
        <v>11980.3</v>
      </c>
      <c r="H119" s="984"/>
      <c r="I119" s="993">
        <f>ROUND(SUM(I109:I118),1)</f>
        <v>6832.7</v>
      </c>
      <c r="J119" s="984"/>
      <c r="K119" s="993">
        <f>ROUND(SUM(K109:K118),1)</f>
        <v>8075.4</v>
      </c>
      <c r="L119" s="984"/>
      <c r="M119" s="993">
        <f>ROUND(SUM(M109:M118),1)</f>
        <v>11154.4</v>
      </c>
      <c r="N119" s="984"/>
      <c r="O119" s="993">
        <f>ROUND(SUM(O109:O118),1)</f>
        <v>7455.3</v>
      </c>
      <c r="P119" s="984"/>
      <c r="Q119" s="993">
        <f>ROUND(SUM(Q109:Q118),1)</f>
        <v>9378.5</v>
      </c>
      <c r="R119" s="984"/>
      <c r="S119" s="993">
        <f>ROUND(SUM(S109:S118),1)</f>
        <v>10679.6</v>
      </c>
      <c r="T119" s="984"/>
      <c r="U119" s="993">
        <f>ROUND(SUM(U109:U118),1)</f>
        <v>8952.4</v>
      </c>
      <c r="V119" s="984"/>
      <c r="W119" s="993">
        <f>ROUND(SUM(W109:W118),1)</f>
        <v>0</v>
      </c>
      <c r="X119" s="984"/>
      <c r="Y119" s="993">
        <f>ROUND(SUM(Y109:Y118),1)</f>
        <v>0</v>
      </c>
      <c r="Z119" s="984"/>
      <c r="AA119" s="985"/>
      <c r="AB119" s="993">
        <f>ROUND(SUM(AB109:AB118),1)</f>
        <v>90103.1</v>
      </c>
      <c r="AC119" s="994"/>
      <c r="AD119" s="986"/>
      <c r="AE119" s="993">
        <f>ROUND(SUM(AE109:AE118),1)</f>
        <v>86388.4</v>
      </c>
      <c r="AF119" s="984"/>
      <c r="AG119" s="984"/>
      <c r="AH119" s="993">
        <f>ROUND(SUM(AH109:AH118),1)</f>
        <v>3714.7</v>
      </c>
      <c r="AI119" s="966"/>
      <c r="AJ119" s="72">
        <f t="shared" si="19"/>
        <v>4.2999999999999997E-2</v>
      </c>
      <c r="AK119" s="792"/>
      <c r="AL119" s="792"/>
    </row>
    <row r="120" spans="1:44" ht="16.5" customHeight="1">
      <c r="A120" s="428" t="s">
        <v>36</v>
      </c>
      <c r="B120" s="428"/>
      <c r="C120" s="988"/>
      <c r="D120" s="976"/>
      <c r="E120" s="988"/>
      <c r="F120" s="976"/>
      <c r="G120" s="988"/>
      <c r="H120" s="976"/>
      <c r="I120" s="988"/>
      <c r="J120" s="976"/>
      <c r="K120" s="988"/>
      <c r="L120" s="976"/>
      <c r="M120" s="988"/>
      <c r="N120" s="976"/>
      <c r="O120" s="988"/>
      <c r="P120" s="976"/>
      <c r="Q120" s="988"/>
      <c r="R120" s="976"/>
      <c r="S120" s="988"/>
      <c r="T120" s="976"/>
      <c r="U120" s="988"/>
      <c r="V120" s="976"/>
      <c r="W120" s="988"/>
      <c r="X120" s="976"/>
      <c r="Y120" s="988"/>
      <c r="Z120" s="976"/>
      <c r="AA120" s="977"/>
      <c r="AB120" s="988"/>
      <c r="AC120" s="976"/>
      <c r="AD120" s="978"/>
      <c r="AE120" s="248"/>
      <c r="AF120" s="976"/>
      <c r="AG120" s="976"/>
      <c r="AH120" s="1146"/>
      <c r="AI120" s="428"/>
      <c r="AJ120" s="1632"/>
    </row>
    <row r="121" spans="1:44" ht="16.5" customHeight="1">
      <c r="A121" s="428" t="s">
        <v>142</v>
      </c>
      <c r="B121" s="428"/>
      <c r="C121" s="976">
        <f>+'Exhibit F'!D110+'Exhibit G'!D103+' Exhbit I '!E81</f>
        <v>1074.8</v>
      </c>
      <c r="D121" s="976"/>
      <c r="E121" s="976">
        <f>+'Exhibit F'!F110+'Exhibit G'!F103+' Exhbit I '!G81</f>
        <v>1060.3000000000002</v>
      </c>
      <c r="F121" s="976"/>
      <c r="G121" s="976">
        <f>+'Exhibit F'!H110+'Exhibit G'!H103+' Exhbit I '!I81</f>
        <v>1386.1999999999998</v>
      </c>
      <c r="H121" s="976"/>
      <c r="I121" s="976">
        <f>+'Exhibit F'!J110+'Exhibit G'!J103+' Exhbit I '!K81</f>
        <v>1045</v>
      </c>
      <c r="J121" s="976"/>
      <c r="K121" s="976">
        <f>+'Exhibit F'!L110+'Exhibit G'!L103+' Exhbit I '!M81</f>
        <v>1094.1000000000001</v>
      </c>
      <c r="L121" s="976"/>
      <c r="M121" s="976">
        <f>+'Exhibit F'!N110+'Exhibit G'!N103+' Exhbit I '!O81</f>
        <v>1258.8</v>
      </c>
      <c r="N121" s="976"/>
      <c r="O121" s="976">
        <f>+'Exhibit F'!P110+'Exhibit G'!P103+' Exhbit I '!Q81</f>
        <v>1038.6000000000001</v>
      </c>
      <c r="P121" s="976"/>
      <c r="Q121" s="976">
        <f>+'Exhibit F'!R110+'Exhibit G'!R103+' Exhbit I '!S81</f>
        <v>1404.6</v>
      </c>
      <c r="R121" s="976"/>
      <c r="S121" s="976">
        <f>+'Exhibit F'!T110+'Exhibit G'!T103+' Exhbit I '!U81</f>
        <v>1074.4999999999995</v>
      </c>
      <c r="T121" s="976"/>
      <c r="U121" s="976">
        <f>+'Exhibit F'!V110+'Exhibit G'!V103+' Exhbit I '!W81</f>
        <v>1037.6999999999998</v>
      </c>
      <c r="V121" s="976"/>
      <c r="W121" s="976"/>
      <c r="X121" s="976"/>
      <c r="Y121" s="2755"/>
      <c r="Z121" s="976"/>
      <c r="AA121" s="977"/>
      <c r="AB121" s="976">
        <f>ROUND(SUM(C121:Y121),1)</f>
        <v>11474.6</v>
      </c>
      <c r="AC121" s="976"/>
      <c r="AD121" s="978"/>
      <c r="AE121" s="248">
        <f>+'Exhibit F'!AF110+'Exhibit G'!AH103+' Exhbit I '!AI81</f>
        <v>11404.7</v>
      </c>
      <c r="AF121" s="976"/>
      <c r="AG121" s="976"/>
      <c r="AH121" s="976">
        <f>ROUND(SUM(AB121-AE121),1)</f>
        <v>69.900000000000006</v>
      </c>
      <c r="AI121" s="428"/>
      <c r="AJ121" s="1780">
        <f>ROUND(IF(AE121=0,0,AH121/ABS(AE121)),3)</f>
        <v>6.0000000000000001E-3</v>
      </c>
    </row>
    <row r="122" spans="1:44" ht="16.5" customHeight="1">
      <c r="A122" s="428" t="s">
        <v>143</v>
      </c>
      <c r="B122" s="428"/>
      <c r="C122" s="976">
        <f>+'Exhibit F'!D111+'Exhibit G'!D104+'Exhibit H'!B51+' Exhbit I '!E82</f>
        <v>363.5</v>
      </c>
      <c r="D122" s="976"/>
      <c r="E122" s="976">
        <f>+'Exhibit F'!F111+'Exhibit G'!F104+'Exhibit H'!D51+' Exhbit I '!G82</f>
        <v>523.20000000000005</v>
      </c>
      <c r="F122" s="976"/>
      <c r="G122" s="976">
        <f>+'Exhibit F'!H111+'Exhibit G'!H104+'Exhibit H'!F51+' Exhbit I '!I82</f>
        <v>602.59999999999991</v>
      </c>
      <c r="H122" s="976"/>
      <c r="I122" s="976">
        <f>+'Exhibit F'!J111+'Exhibit G'!J104+'Exhibit H'!H51+' Exhbit I '!K82</f>
        <v>444.20000000000005</v>
      </c>
      <c r="J122" s="976"/>
      <c r="K122" s="976">
        <f>+'Exhibit F'!L111+'Exhibit G'!L104+'Exhibit H'!J51+' Exhbit I '!M82</f>
        <v>666.7</v>
      </c>
      <c r="L122" s="976"/>
      <c r="M122" s="976">
        <f>+'Exhibit F'!N111+'Exhibit G'!N104+'Exhibit H'!L51+' Exhbit I '!O82</f>
        <v>656.3</v>
      </c>
      <c r="N122" s="976"/>
      <c r="O122" s="976">
        <f>+'Exhibit F'!P111+'Exhibit G'!P104+'Exhibit H'!N51+' Exhbit I '!Q82</f>
        <v>603.9</v>
      </c>
      <c r="P122" s="976"/>
      <c r="Q122" s="976">
        <f>+'Exhibit F'!R111+'Exhibit G'!R104+'Exhibit H'!P51+' Exhbit I '!S82</f>
        <v>605.9</v>
      </c>
      <c r="R122" s="976"/>
      <c r="S122" s="976">
        <f>+'Exhibit F'!T111+'Exhibit G'!T104+'Exhibit H'!R51+' Exhbit I '!U82</f>
        <v>531.29999999999995</v>
      </c>
      <c r="T122" s="976"/>
      <c r="U122" s="976">
        <f>+'Exhibit F'!V111+'Exhibit G'!V104+'Exhibit H'!T51+' Exhbit I '!W82</f>
        <v>562.20000000000005</v>
      </c>
      <c r="V122" s="976"/>
      <c r="W122" s="976"/>
      <c r="X122" s="976"/>
      <c r="Y122" s="2755"/>
      <c r="Z122" s="976"/>
      <c r="AA122" s="977"/>
      <c r="AB122" s="976">
        <f>ROUND(SUM(C122:Y122),1)</f>
        <v>5559.8</v>
      </c>
      <c r="AC122" s="976"/>
      <c r="AD122" s="978"/>
      <c r="AE122" s="248">
        <f>+'Exhibit F'!AF111+'Exhibit G'!AH104+'Exhibit H'!AD51+' Exhbit I '!AI82</f>
        <v>5301.3</v>
      </c>
      <c r="AF122" s="976"/>
      <c r="AG122" s="976"/>
      <c r="AH122" s="976">
        <f>ROUND(SUM(AB122-AE122),1)</f>
        <v>258.5</v>
      </c>
      <c r="AI122" s="428"/>
      <c r="AJ122" s="1780">
        <f>ROUND(IF(AE122=0,0,AH122/ABS(AE122)),3)</f>
        <v>4.9000000000000002E-2</v>
      </c>
    </row>
    <row r="123" spans="1:44" ht="16.5" customHeight="1">
      <c r="A123" s="428" t="s">
        <v>39</v>
      </c>
      <c r="B123" s="428"/>
      <c r="C123" s="976">
        <f>+'Exhibit F'!D112+'Exhibit G'!D105+' Exhbit I '!E83</f>
        <v>2629.2</v>
      </c>
      <c r="D123" s="976"/>
      <c r="E123" s="976">
        <f>+'Exhibit F'!F112+'Exhibit G'!F105+' Exhbit I '!G83</f>
        <v>466.2</v>
      </c>
      <c r="F123" s="976"/>
      <c r="G123" s="976">
        <f>+'Exhibit F'!H112+'Exhibit G'!H105+' Exhbit I '!I83</f>
        <v>509.1</v>
      </c>
      <c r="H123" s="976"/>
      <c r="I123" s="976">
        <f>+'Exhibit F'!J112+'Exhibit G'!J105+' Exhbit I '!K83</f>
        <v>430.20000000000005</v>
      </c>
      <c r="J123" s="976"/>
      <c r="K123" s="976">
        <f>+'Exhibit F'!L112+'Exhibit G'!L105+' Exhbit I '!M83</f>
        <v>467.9</v>
      </c>
      <c r="L123" s="976"/>
      <c r="M123" s="976">
        <f>+'Exhibit F'!N112+'Exhibit G'!N105+' Exhbit I '!O83</f>
        <v>453.40000000000003</v>
      </c>
      <c r="N123" s="976"/>
      <c r="O123" s="976">
        <f>+'Exhibit F'!P112+'Exhibit G'!P105+' Exhbit I '!Q83</f>
        <v>529.20000000000005</v>
      </c>
      <c r="P123" s="976"/>
      <c r="Q123" s="976">
        <f>+'Exhibit F'!R112+'Exhibit G'!R105+' Exhbit I '!S83</f>
        <v>499.20000000000005</v>
      </c>
      <c r="R123" s="976"/>
      <c r="S123" s="976">
        <f>+'Exhibit F'!T112+'Exhibit G'!T105+' Exhbit I '!U83</f>
        <v>546.6</v>
      </c>
      <c r="T123" s="976"/>
      <c r="U123" s="976">
        <f>+'Exhibit F'!V112+'Exhibit G'!V105+' Exhbit I '!W83</f>
        <v>465.1</v>
      </c>
      <c r="V123" s="976"/>
      <c r="W123" s="976"/>
      <c r="X123" s="976"/>
      <c r="Y123" s="2755"/>
      <c r="Z123" s="976"/>
      <c r="AA123" s="977"/>
      <c r="AB123" s="976">
        <f>ROUND(SUM(C123:Y123),1)</f>
        <v>6996.1</v>
      </c>
      <c r="AC123" s="976"/>
      <c r="AD123" s="978"/>
      <c r="AE123" s="248">
        <f>+'Exhibit F'!AF112+'Exhibit G'!AH105+'Exhibit H'!AD52+' Exhbit I '!AI83</f>
        <v>6807.2000000000007</v>
      </c>
      <c r="AF123" s="976"/>
      <c r="AG123" s="976"/>
      <c r="AH123" s="976">
        <f>ROUND(SUM(AB123-AE123),1)</f>
        <v>188.9</v>
      </c>
      <c r="AI123" s="428"/>
      <c r="AJ123" s="1780">
        <f>ROUND(IF(AE123=0,0,AH123/ABS(AE123)),3)</f>
        <v>2.8000000000000001E-2</v>
      </c>
    </row>
    <row r="124" spans="1:44" ht="16.5" customHeight="1">
      <c r="A124" s="428" t="s">
        <v>1439</v>
      </c>
      <c r="B124" s="428"/>
      <c r="C124" s="988"/>
      <c r="D124" s="976"/>
      <c r="E124" s="988"/>
      <c r="F124" s="976"/>
      <c r="G124" s="988"/>
      <c r="H124" s="976"/>
      <c r="I124" s="988"/>
      <c r="J124" s="976"/>
      <c r="K124" s="988"/>
      <c r="L124" s="976"/>
      <c r="M124" s="988"/>
      <c r="N124" s="976"/>
      <c r="O124" s="988"/>
      <c r="P124" s="976"/>
      <c r="Q124" s="988"/>
      <c r="R124" s="976"/>
      <c r="S124" s="988"/>
      <c r="T124" s="976"/>
      <c r="U124" s="988"/>
      <c r="V124" s="976"/>
      <c r="W124" s="988"/>
      <c r="X124" s="976"/>
      <c r="Y124" s="2755"/>
      <c r="Z124" s="976"/>
      <c r="AA124" s="977"/>
      <c r="AB124" s="976"/>
      <c r="AC124" s="976"/>
      <c r="AD124" s="978"/>
      <c r="AE124" s="988"/>
      <c r="AF124" s="976"/>
      <c r="AG124" s="976"/>
      <c r="AH124" s="976"/>
      <c r="AI124" s="428"/>
      <c r="AJ124" s="1847"/>
    </row>
    <row r="125" spans="1:44" ht="16.5" customHeight="1">
      <c r="A125" s="428" t="s">
        <v>41</v>
      </c>
      <c r="B125" s="428"/>
      <c r="C125" s="976">
        <f>+'Exhibit H'!B53</f>
        <v>113.3</v>
      </c>
      <c r="D125" s="976"/>
      <c r="E125" s="976">
        <f>+'Exhibit H'!D53</f>
        <v>162.9</v>
      </c>
      <c r="F125" s="976"/>
      <c r="G125" s="976">
        <f>+'Exhibit H'!F53</f>
        <v>89.9</v>
      </c>
      <c r="H125" s="976"/>
      <c r="I125" s="976">
        <f>+'Exhibit H'!H53</f>
        <v>25.3</v>
      </c>
      <c r="J125" s="976"/>
      <c r="K125" s="976">
        <f>+'Exhibit H'!J53</f>
        <v>281.8</v>
      </c>
      <c r="L125" s="976"/>
      <c r="M125" s="976">
        <f>+'Exhibit H'!L53</f>
        <v>790</v>
      </c>
      <c r="N125" s="976"/>
      <c r="O125" s="976">
        <f>+'Exhibit H'!N53</f>
        <v>32.299999999999997</v>
      </c>
      <c r="P125" s="976"/>
      <c r="Q125" s="976">
        <f>+'Exhibit H'!P53</f>
        <v>74.099999999999994</v>
      </c>
      <c r="R125" s="976"/>
      <c r="S125" s="976">
        <f>+'Exhibit H'!R53</f>
        <v>364.80000000000018</v>
      </c>
      <c r="T125" s="976"/>
      <c r="U125" s="976">
        <f>+'Exhibit H'!T53</f>
        <v>25.6</v>
      </c>
      <c r="V125" s="976"/>
      <c r="W125" s="976"/>
      <c r="X125" s="976"/>
      <c r="Y125" s="2755"/>
      <c r="Z125" s="976"/>
      <c r="AA125" s="977"/>
      <c r="AB125" s="976">
        <f>ROUND(SUM(C125:Y125),1)</f>
        <v>1960</v>
      </c>
      <c r="AC125" s="976"/>
      <c r="AD125" s="978"/>
      <c r="AE125" s="248">
        <f>+'Exhibit H'!AD53</f>
        <v>2145.5</v>
      </c>
      <c r="AF125" s="976"/>
      <c r="AG125" s="976"/>
      <c r="AH125" s="976">
        <f>ROUND(SUM(AB125-AE125),1)</f>
        <v>-185.5</v>
      </c>
      <c r="AI125" s="428"/>
      <c r="AJ125" s="1780">
        <f>ROUND(IF(AE125=0,0,AH125/ABS(AE125)),3)</f>
        <v>-8.5999999999999993E-2</v>
      </c>
    </row>
    <row r="126" spans="1:44" ht="16.5" customHeight="1">
      <c r="A126" s="992" t="s">
        <v>144</v>
      </c>
      <c r="B126" s="428"/>
      <c r="C126" s="981">
        <f>+'Exhibit G'!D106+' Exhbit I '!E84</f>
        <v>313.60000000000002</v>
      </c>
      <c r="D126" s="976"/>
      <c r="E126" s="981">
        <f>+'Exhibit G'!F106+' Exhbit I '!G84</f>
        <v>486</v>
      </c>
      <c r="F126" s="976"/>
      <c r="G126" s="981">
        <f>+'Exhibit G'!H106+' Exhbit I '!I84</f>
        <v>643.79999999999995</v>
      </c>
      <c r="H126" s="976"/>
      <c r="I126" s="981">
        <f>+'Exhibit G'!J106+' Exhbit I '!K84</f>
        <v>470.90000000000003</v>
      </c>
      <c r="J126" s="976"/>
      <c r="K126" s="981">
        <f>+'Exhibit G'!L106+' Exhbit I '!M84</f>
        <v>561.40000000000009</v>
      </c>
      <c r="L126" s="976"/>
      <c r="M126" s="981">
        <f>+'Exhibit G'!N106+' Exhbit I '!O84</f>
        <v>690.69999999999993</v>
      </c>
      <c r="N126" s="976"/>
      <c r="O126" s="981">
        <f>+'Exhibit G'!P106+' Exhbit I '!Q84</f>
        <v>587.20000000000005</v>
      </c>
      <c r="P126" s="976"/>
      <c r="Q126" s="981">
        <f>+'Exhibit G'!R106+' Exhbit I '!S84</f>
        <v>647.9</v>
      </c>
      <c r="R126" s="976"/>
      <c r="S126" s="981">
        <f>+'Exhibit G'!T106+' Exhbit I '!U84</f>
        <v>538.20000000000005</v>
      </c>
      <c r="T126" s="976"/>
      <c r="U126" s="981">
        <f>+'Exhibit G'!V106+' Exhbit I '!W84</f>
        <v>465.2</v>
      </c>
      <c r="V126" s="976"/>
      <c r="W126" s="981"/>
      <c r="X126" s="976"/>
      <c r="Y126" s="2756"/>
      <c r="Z126" s="976"/>
      <c r="AA126" s="977"/>
      <c r="AB126" s="980">
        <f>ROUND(SUM(C126:Y126),1)</f>
        <v>5404.9</v>
      </c>
      <c r="AC126" s="976"/>
      <c r="AD126" s="978"/>
      <c r="AE126" s="991">
        <f>+'Exhibit G'!AH106+' Exhbit I '!AI84</f>
        <v>5239.4000000000005</v>
      </c>
      <c r="AF126" s="976"/>
      <c r="AG126" s="976"/>
      <c r="AH126" s="980">
        <f>ROUND(SUM(AB126-AE126),1)</f>
        <v>165.5</v>
      </c>
      <c r="AI126" s="428"/>
      <c r="AJ126" s="2510">
        <f>ROUND(IF(AE126=0,0,AH126/ABS(AE126)),3)</f>
        <v>3.2000000000000001E-2</v>
      </c>
    </row>
    <row r="127" spans="1:44" ht="16.5" customHeight="1">
      <c r="A127" s="428"/>
      <c r="B127" s="428"/>
      <c r="C127" s="988"/>
      <c r="D127" s="976"/>
      <c r="E127" s="988"/>
      <c r="F127" s="976"/>
      <c r="G127" s="988"/>
      <c r="H127" s="976"/>
      <c r="I127" s="988"/>
      <c r="J127" s="976"/>
      <c r="K127" s="988"/>
      <c r="L127" s="976"/>
      <c r="M127" s="988"/>
      <c r="N127" s="976"/>
      <c r="O127" s="988"/>
      <c r="P127" s="976"/>
      <c r="Q127" s="988"/>
      <c r="R127" s="976"/>
      <c r="S127" s="988"/>
      <c r="T127" s="976"/>
      <c r="U127" s="988"/>
      <c r="V127" s="976"/>
      <c r="W127" s="988"/>
      <c r="X127" s="976"/>
      <c r="Y127" s="988"/>
      <c r="Z127" s="976"/>
      <c r="AA127" s="977"/>
      <c r="AB127" s="988"/>
      <c r="AC127" s="976"/>
      <c r="AD127" s="978"/>
      <c r="AE127" s="988"/>
      <c r="AF127" s="976"/>
      <c r="AG127" s="976"/>
      <c r="AH127" s="988"/>
      <c r="AI127" s="428"/>
      <c r="AJ127" s="1241"/>
    </row>
    <row r="128" spans="1:44" ht="16.5" customHeight="1">
      <c r="A128" s="408" t="s">
        <v>59</v>
      </c>
      <c r="B128" s="428"/>
      <c r="C128" s="983">
        <f>ROUND(SUM(C119:C126),1)</f>
        <v>10525.7</v>
      </c>
      <c r="D128" s="984"/>
      <c r="E128" s="983">
        <f>ROUND(SUM(E119:E126),1)</f>
        <v>12261.8</v>
      </c>
      <c r="F128" s="984"/>
      <c r="G128" s="983">
        <f>ROUND(SUM(G119:G126),1)</f>
        <v>15211.9</v>
      </c>
      <c r="H128" s="984"/>
      <c r="I128" s="983">
        <f>ROUND(SUM(I119:I126),1)</f>
        <v>9248.2999999999993</v>
      </c>
      <c r="J128" s="984"/>
      <c r="K128" s="983">
        <f>ROUND(SUM(K119:K126),1)</f>
        <v>11147.3</v>
      </c>
      <c r="L128" s="984"/>
      <c r="M128" s="983">
        <f>ROUND(SUM(M119:M126),1)</f>
        <v>15003.6</v>
      </c>
      <c r="N128" s="984"/>
      <c r="O128" s="983">
        <f>ROUND(SUM(O119:O126),1)</f>
        <v>10246.5</v>
      </c>
      <c r="P128" s="984"/>
      <c r="Q128" s="983">
        <f>ROUND(SUM(Q119:Q126),1)</f>
        <v>12610.2</v>
      </c>
      <c r="R128" s="984"/>
      <c r="S128" s="983">
        <f>ROUND(SUM(S119:S126),1)</f>
        <v>13735</v>
      </c>
      <c r="T128" s="984"/>
      <c r="U128" s="983">
        <f>ROUND(SUM(U119:U126),1)</f>
        <v>11508.2</v>
      </c>
      <c r="V128" s="984"/>
      <c r="W128" s="983">
        <f>ROUND(SUM(W119:W126),1)</f>
        <v>0</v>
      </c>
      <c r="X128" s="984"/>
      <c r="Y128" s="983">
        <f>ROUND(SUM(Y119:Y126),1)</f>
        <v>0</v>
      </c>
      <c r="Z128" s="984"/>
      <c r="AA128" s="985"/>
      <c r="AB128" s="983">
        <f>ROUND(SUM(AB119:AB126),1)</f>
        <v>121498.5</v>
      </c>
      <c r="AC128" s="984"/>
      <c r="AD128" s="986"/>
      <c r="AE128" s="983">
        <f>ROUND(SUM(AE119:AE126),1)</f>
        <v>117286.5</v>
      </c>
      <c r="AF128" s="984"/>
      <c r="AG128" s="984"/>
      <c r="AH128" s="983">
        <f>ROUND(SUM(AB128-AE128),1)</f>
        <v>4212</v>
      </c>
      <c r="AI128" s="966"/>
      <c r="AJ128" s="1876">
        <f>ROUND(IF(AE128=0,0,AH128/ABS(AE128)),3)</f>
        <v>3.5999999999999997E-2</v>
      </c>
      <c r="AK128" s="792"/>
      <c r="AL128" s="792"/>
      <c r="AM128" s="792"/>
      <c r="AN128" s="792"/>
      <c r="AO128" s="792"/>
      <c r="AP128" s="792"/>
      <c r="AQ128" s="792"/>
      <c r="AR128" s="792"/>
    </row>
    <row r="129" spans="1:59" ht="16.5" customHeight="1">
      <c r="A129" s="408"/>
      <c r="B129" s="428"/>
      <c r="C129" s="976"/>
      <c r="D129" s="976"/>
      <c r="E129" s="976"/>
      <c r="F129" s="976"/>
      <c r="G129" s="976"/>
      <c r="H129" s="976"/>
      <c r="I129" s="976"/>
      <c r="J129" s="976"/>
      <c r="K129" s="976"/>
      <c r="L129" s="976"/>
      <c r="M129" s="976"/>
      <c r="N129" s="976"/>
      <c r="O129" s="976"/>
      <c r="P129" s="976"/>
      <c r="Q129" s="976"/>
      <c r="R129" s="976"/>
      <c r="S129" s="976"/>
      <c r="T129" s="976"/>
      <c r="U129" s="976"/>
      <c r="V129" s="976"/>
      <c r="W129" s="976"/>
      <c r="X129" s="976"/>
      <c r="Y129" s="976"/>
      <c r="Z129" s="976"/>
      <c r="AA129" s="977"/>
      <c r="AB129" s="976"/>
      <c r="AC129" s="976"/>
      <c r="AD129" s="978"/>
      <c r="AE129" s="976"/>
      <c r="AF129" s="976"/>
      <c r="AG129" s="976"/>
      <c r="AH129" s="1146"/>
      <c r="AI129" s="428"/>
      <c r="AJ129" s="1632"/>
    </row>
    <row r="130" spans="1:59" ht="16.5" customHeight="1">
      <c r="A130" s="408" t="s">
        <v>44</v>
      </c>
      <c r="B130" s="428"/>
      <c r="C130" s="976"/>
      <c r="D130" s="976"/>
      <c r="E130" s="976"/>
      <c r="F130" s="976"/>
      <c r="G130" s="976"/>
      <c r="H130" s="976"/>
      <c r="I130" s="976"/>
      <c r="J130" s="976"/>
      <c r="K130" s="976"/>
      <c r="L130" s="976"/>
      <c r="M130" s="976"/>
      <c r="N130" s="976"/>
      <c r="O130" s="976"/>
      <c r="P130" s="976"/>
      <c r="Q130" s="976"/>
      <c r="R130" s="976"/>
      <c r="S130" s="976"/>
      <c r="T130" s="976"/>
      <c r="U130" s="976"/>
      <c r="V130" s="976"/>
      <c r="W130" s="976"/>
      <c r="X130" s="976"/>
      <c r="Y130" s="976"/>
      <c r="Z130" s="976"/>
      <c r="AA130" s="977"/>
      <c r="AB130" s="976"/>
      <c r="AC130" s="976"/>
      <c r="AD130" s="978"/>
      <c r="AE130" s="976"/>
      <c r="AF130" s="976"/>
      <c r="AG130" s="976"/>
      <c r="AH130" s="1146"/>
      <c r="AI130" s="428"/>
      <c r="AJ130" s="1632"/>
    </row>
    <row r="131" spans="1:59" ht="16.5" customHeight="1">
      <c r="A131" s="408" t="s">
        <v>45</v>
      </c>
      <c r="B131" s="428"/>
      <c r="C131" s="983">
        <f>ROUND(SUM(C105-C128),1)</f>
        <v>2426.4</v>
      </c>
      <c r="D131" s="984"/>
      <c r="E131" s="983">
        <f>ROUND(SUM(E105-E128),1)</f>
        <v>-2137.4</v>
      </c>
      <c r="F131" s="984"/>
      <c r="G131" s="983">
        <f>ROUND(SUM(G105-G128),1)</f>
        <v>132.5</v>
      </c>
      <c r="H131" s="984"/>
      <c r="I131" s="983">
        <f>ROUND(SUM(I105-I128),1)</f>
        <v>279.8</v>
      </c>
      <c r="J131" s="984"/>
      <c r="K131" s="983">
        <f>ROUND(SUM(K105-K128),1)</f>
        <v>-296.5</v>
      </c>
      <c r="L131" s="984"/>
      <c r="M131" s="983">
        <f>ROUND(SUM(M105-M128),1)</f>
        <v>1236.5999999999999</v>
      </c>
      <c r="N131" s="984"/>
      <c r="O131" s="983">
        <f>ROUND(SUM(O105-O128),1)</f>
        <v>-158.69999999999999</v>
      </c>
      <c r="P131" s="984"/>
      <c r="Q131" s="983">
        <f>ROUND(SUM(Q105-Q128),1)</f>
        <v>-2804.7</v>
      </c>
      <c r="R131" s="984"/>
      <c r="S131" s="983">
        <f>ROUND(SUM(S105-S128),1)</f>
        <v>2518.5</v>
      </c>
      <c r="T131" s="984"/>
      <c r="U131" s="983">
        <f>ROUND(SUM(U105-U128),1)</f>
        <v>3756.1</v>
      </c>
      <c r="V131" s="984"/>
      <c r="W131" s="983">
        <f>ROUND(SUM(W105-W128),1)</f>
        <v>0</v>
      </c>
      <c r="X131" s="984"/>
      <c r="Y131" s="983">
        <f>ROUND(SUM(Y105-Y128),1)</f>
        <v>0</v>
      </c>
      <c r="Z131" s="984"/>
      <c r="AA131" s="985"/>
      <c r="AB131" s="983">
        <f>ROUND(SUM(AB105-AB128),1)</f>
        <v>4952.6000000000004</v>
      </c>
      <c r="AC131" s="984"/>
      <c r="AD131" s="986"/>
      <c r="AE131" s="983">
        <f>ROUND(SUM(AE105-AE128),1)</f>
        <v>9340.7999999999993</v>
      </c>
      <c r="AF131" s="984"/>
      <c r="AG131" s="984"/>
      <c r="AH131" s="995">
        <f>ROUND(SUM(AB131-AE131),1)</f>
        <v>-4388.2</v>
      </c>
      <c r="AI131" s="966"/>
      <c r="AJ131" s="2639">
        <f>ROUND(IF(AE131=0,0,AH131/ABS(AE131)),3)</f>
        <v>-0.47</v>
      </c>
      <c r="AK131" s="792"/>
      <c r="AL131" s="792"/>
    </row>
    <row r="132" spans="1:59" ht="16.5" customHeight="1">
      <c r="A132" s="366"/>
      <c r="B132" s="428"/>
      <c r="C132" s="987"/>
      <c r="D132" s="976"/>
      <c r="E132" s="987"/>
      <c r="F132" s="976"/>
      <c r="G132" s="987"/>
      <c r="H132" s="976"/>
      <c r="I132" s="987"/>
      <c r="J132" s="976"/>
      <c r="K132" s="987"/>
      <c r="L132" s="976"/>
      <c r="M132" s="987"/>
      <c r="N132" s="976"/>
      <c r="O132" s="987"/>
      <c r="P132" s="976"/>
      <c r="Q132" s="987"/>
      <c r="R132" s="976"/>
      <c r="S132" s="987"/>
      <c r="T132" s="976"/>
      <c r="U132" s="987"/>
      <c r="V132" s="976"/>
      <c r="W132" s="987"/>
      <c r="X132" s="976"/>
      <c r="Y132" s="987"/>
      <c r="Z132" s="990"/>
      <c r="AA132" s="977"/>
      <c r="AB132" s="987"/>
      <c r="AC132" s="976"/>
      <c r="AD132" s="978"/>
      <c r="AE132" s="987"/>
      <c r="AF132" s="976"/>
      <c r="AG132" s="976"/>
      <c r="AH132" s="1146"/>
      <c r="AI132" s="428"/>
      <c r="AJ132" s="1632"/>
    </row>
    <row r="133" spans="1:59" ht="16.5" customHeight="1">
      <c r="A133" s="408" t="s">
        <v>46</v>
      </c>
      <c r="B133" s="428"/>
      <c r="C133" s="988"/>
      <c r="D133" s="976"/>
      <c r="E133" s="996"/>
      <c r="F133" s="997"/>
      <c r="G133" s="996"/>
      <c r="H133" s="997"/>
      <c r="I133" s="996"/>
      <c r="J133" s="997"/>
      <c r="K133" s="996"/>
      <c r="L133" s="997"/>
      <c r="M133" s="996"/>
      <c r="N133" s="997"/>
      <c r="O133" s="996"/>
      <c r="P133" s="997"/>
      <c r="Q133" s="996"/>
      <c r="R133" s="997"/>
      <c r="S133" s="996"/>
      <c r="T133" s="997"/>
      <c r="U133" s="996"/>
      <c r="V133" s="976"/>
      <c r="W133" s="996"/>
      <c r="X133" s="976"/>
      <c r="Y133" s="988"/>
      <c r="Z133" s="979"/>
      <c r="AA133" s="977"/>
      <c r="AB133" s="988"/>
      <c r="AC133" s="979"/>
      <c r="AD133" s="976"/>
      <c r="AE133" s="988"/>
      <c r="AF133" s="976"/>
      <c r="AG133" s="976"/>
      <c r="AH133" s="1146"/>
      <c r="AI133" s="428"/>
      <c r="AJ133" s="1632"/>
    </row>
    <row r="134" spans="1:59" ht="16.5" customHeight="1">
      <c r="A134" s="428" t="s">
        <v>47</v>
      </c>
      <c r="B134" s="428"/>
      <c r="C134" s="998">
        <v>0</v>
      </c>
      <c r="D134" s="976"/>
      <c r="E134" s="998">
        <v>0</v>
      </c>
      <c r="F134" s="997"/>
      <c r="G134" s="998">
        <v>0</v>
      </c>
      <c r="H134" s="997"/>
      <c r="I134" s="998">
        <v>0</v>
      </c>
      <c r="J134" s="997"/>
      <c r="K134" s="998">
        <v>0</v>
      </c>
      <c r="L134" s="997"/>
      <c r="M134" s="998">
        <v>0</v>
      </c>
      <c r="N134" s="997"/>
      <c r="O134" s="998">
        <v>0</v>
      </c>
      <c r="P134" s="997"/>
      <c r="Q134" s="998">
        <v>0</v>
      </c>
      <c r="R134" s="997"/>
      <c r="S134" s="998">
        <v>0</v>
      </c>
      <c r="T134" s="997"/>
      <c r="U134" s="998">
        <v>0</v>
      </c>
      <c r="V134" s="976"/>
      <c r="W134" s="998"/>
      <c r="X134" s="976"/>
      <c r="Y134" s="998"/>
      <c r="Z134" s="976"/>
      <c r="AA134" s="977"/>
      <c r="AB134" s="976">
        <f>ROUND(SUM(C134:Y134),1)</f>
        <v>0</v>
      </c>
      <c r="AC134" s="976"/>
      <c r="AD134" s="978"/>
      <c r="AE134" s="999">
        <v>0</v>
      </c>
      <c r="AF134" s="976"/>
      <c r="AG134" s="976"/>
      <c r="AH134" s="976">
        <f>ROUND(SUM(AB134-AE134),1)</f>
        <v>0</v>
      </c>
      <c r="AI134" s="968"/>
      <c r="AJ134" s="2679">
        <f>ROUND(IF(AE134=0,0,AH134/ABS(AE134)),3)</f>
        <v>0</v>
      </c>
    </row>
    <row r="135" spans="1:59" ht="16.5" customHeight="1">
      <c r="A135" s="428" t="s">
        <v>48</v>
      </c>
      <c r="B135" s="428"/>
      <c r="C135" s="998">
        <v>3182.1</v>
      </c>
      <c r="D135" s="976"/>
      <c r="E135" s="998">
        <v>2615</v>
      </c>
      <c r="F135" s="976"/>
      <c r="G135" s="998">
        <v>2979.9</v>
      </c>
      <c r="H135" s="976"/>
      <c r="I135" s="998">
        <v>2667</v>
      </c>
      <c r="J135" s="976"/>
      <c r="K135" s="998">
        <v>1834.6</v>
      </c>
      <c r="L135" s="976"/>
      <c r="M135" s="998">
        <v>2705.6</v>
      </c>
      <c r="N135" s="976"/>
      <c r="O135" s="998">
        <v>2316.1999999999998</v>
      </c>
      <c r="P135" s="976"/>
      <c r="Q135" s="998">
        <v>1873.1</v>
      </c>
      <c r="R135" s="976"/>
      <c r="S135" s="998">
        <v>3125.6</v>
      </c>
      <c r="T135" s="976"/>
      <c r="U135" s="998">
        <f>+'Exhibit A'!V49</f>
        <v>2138.8000000000002</v>
      </c>
      <c r="V135" s="976"/>
      <c r="W135" s="998"/>
      <c r="X135" s="976"/>
      <c r="Y135" s="2757"/>
      <c r="Z135" s="976"/>
      <c r="AA135" s="977"/>
      <c r="AB135" s="976">
        <f>ROUND(SUM(C135:Y135),1)</f>
        <v>25437.9</v>
      </c>
      <c r="AC135" s="976"/>
      <c r="AD135" s="977"/>
      <c r="AE135" s="976">
        <f>'Exhibit A'!AD49</f>
        <v>26584.6</v>
      </c>
      <c r="AF135" s="976"/>
      <c r="AG135" s="976"/>
      <c r="AH135" s="976">
        <f>ROUND(SUM(AB135-AE135),1)</f>
        <v>-1146.7</v>
      </c>
      <c r="AI135" s="428"/>
      <c r="AJ135" s="2679">
        <f>ROUND(IF(AE135=0,0,AH135/ABS(AE135)),3)</f>
        <v>-4.2999999999999997E-2</v>
      </c>
    </row>
    <row r="136" spans="1:59" ht="16.5" customHeight="1">
      <c r="A136" s="428" t="s">
        <v>49</v>
      </c>
      <c r="C136" s="1106">
        <v>-3187.4</v>
      </c>
      <c r="D136" s="247"/>
      <c r="E136" s="1106">
        <v>-2619</v>
      </c>
      <c r="F136" s="247"/>
      <c r="G136" s="1106">
        <v>-2981.8</v>
      </c>
      <c r="H136" s="247"/>
      <c r="I136" s="1106">
        <v>-2667.9</v>
      </c>
      <c r="J136" s="247"/>
      <c r="K136" s="1106">
        <v>-1849.4</v>
      </c>
      <c r="L136" s="247"/>
      <c r="M136" s="1106">
        <v>-2702.9</v>
      </c>
      <c r="N136" s="247"/>
      <c r="O136" s="1106">
        <v>-2319.3000000000002</v>
      </c>
      <c r="P136" s="247"/>
      <c r="Q136" s="1106">
        <v>-1876.4</v>
      </c>
      <c r="R136" s="247"/>
      <c r="S136" s="1106">
        <v>-3126.8</v>
      </c>
      <c r="T136" s="247"/>
      <c r="U136" s="1106">
        <f>+'Exhibit A'!V50</f>
        <v>-2138.1999999999998</v>
      </c>
      <c r="V136" s="247"/>
      <c r="W136" s="1106"/>
      <c r="X136" s="247"/>
      <c r="Y136" s="2758"/>
      <c r="Z136" s="247"/>
      <c r="AA136" s="1000"/>
      <c r="AB136" s="980">
        <f>ROUND(SUM(C136:Y136),1)</f>
        <v>-25469.1</v>
      </c>
      <c r="AC136" s="247"/>
      <c r="AD136" s="1000"/>
      <c r="AE136" s="980">
        <f>+'Exhibit A'!AD50</f>
        <v>-26665.200000000001</v>
      </c>
      <c r="AF136" s="247"/>
      <c r="AG136" s="247"/>
      <c r="AH136" s="980">
        <f>ROUND(SUM(-AB136+AE136),1)</f>
        <v>-1196.0999999999999</v>
      </c>
      <c r="AI136" s="1632"/>
      <c r="AJ136" s="2682">
        <f>ROUND(IF(AE136=0,0,AH136/ABS(AE136)),3)</f>
        <v>-4.4999999999999998E-2</v>
      </c>
      <c r="AK136" s="2759"/>
    </row>
    <row r="137" spans="1:59" ht="16.5" customHeight="1">
      <c r="A137" s="428"/>
      <c r="C137" s="988"/>
      <c r="D137" s="247"/>
      <c r="E137" s="988"/>
      <c r="F137" s="247"/>
      <c r="G137" s="988"/>
      <c r="H137" s="247"/>
      <c r="I137" s="988"/>
      <c r="J137" s="247"/>
      <c r="K137" s="988"/>
      <c r="L137" s="247"/>
      <c r="M137" s="988"/>
      <c r="N137" s="247"/>
      <c r="O137" s="988"/>
      <c r="P137" s="247"/>
      <c r="Q137" s="988"/>
      <c r="R137" s="247"/>
      <c r="S137" s="988"/>
      <c r="T137" s="247"/>
      <c r="U137" s="988"/>
      <c r="V137" s="247"/>
      <c r="W137" s="988"/>
      <c r="X137" s="247"/>
      <c r="Y137" s="988"/>
      <c r="Z137" s="247"/>
      <c r="AA137" s="1000"/>
      <c r="AB137" s="988"/>
      <c r="AC137" s="247"/>
      <c r="AD137" s="1000"/>
      <c r="AE137" s="988"/>
      <c r="AF137" s="247"/>
      <c r="AG137" s="247"/>
      <c r="AH137" s="988"/>
      <c r="AI137" s="1632"/>
      <c r="AJ137" s="1241"/>
    </row>
    <row r="138" spans="1:59" ht="16.5" customHeight="1">
      <c r="A138" s="408" t="s">
        <v>50</v>
      </c>
      <c r="C138" s="983">
        <f>ROUND(SUM(C134:C136),1)</f>
        <v>-5.3</v>
      </c>
      <c r="D138" s="1001"/>
      <c r="E138" s="983">
        <f>ROUND(SUM(E134:E136),1)</f>
        <v>-4</v>
      </c>
      <c r="F138" s="1001"/>
      <c r="G138" s="983">
        <f>ROUND(SUM(G134:G136),1)</f>
        <v>-1.9</v>
      </c>
      <c r="H138" s="1001"/>
      <c r="I138" s="983">
        <f>ROUND(SUM(I134:I136),1)</f>
        <v>-0.9</v>
      </c>
      <c r="J138" s="1001"/>
      <c r="K138" s="983">
        <f>ROUND(SUM(K134:K136),1)</f>
        <v>-14.8</v>
      </c>
      <c r="L138" s="1001"/>
      <c r="M138" s="983">
        <f>ROUND(SUM(M134:M136),1)</f>
        <v>2.7</v>
      </c>
      <c r="N138" s="1001"/>
      <c r="O138" s="983">
        <f>ROUND(SUM(O134:O136),1)</f>
        <v>-3.1</v>
      </c>
      <c r="P138" s="1001"/>
      <c r="Q138" s="983">
        <f>ROUND(SUM(Q134:Q136),1)</f>
        <v>-3.3</v>
      </c>
      <c r="R138" s="1001"/>
      <c r="S138" s="983">
        <f>ROUND(SUM(S134:S136),1)</f>
        <v>-1.2</v>
      </c>
      <c r="T138" s="1001"/>
      <c r="U138" s="983">
        <f>ROUND(SUM(U134:U136),1)</f>
        <v>0.6</v>
      </c>
      <c r="V138" s="1001"/>
      <c r="W138" s="983">
        <f>ROUND(SUM(W134:W136),1)</f>
        <v>0</v>
      </c>
      <c r="X138" s="1001"/>
      <c r="Y138" s="983">
        <f>ROUND(SUM(Y134:Y136),1)</f>
        <v>0</v>
      </c>
      <c r="Z138" s="1001"/>
      <c r="AA138" s="1002"/>
      <c r="AB138" s="983">
        <f>ROUND(SUM(AB134:AB137),1)</f>
        <v>-31.2</v>
      </c>
      <c r="AC138" s="1001"/>
      <c r="AD138" s="1002"/>
      <c r="AE138" s="983">
        <f>SUM(AE134:AE137)</f>
        <v>-80.600000000002183</v>
      </c>
      <c r="AF138" s="1001"/>
      <c r="AG138" s="1001"/>
      <c r="AH138" s="983">
        <f>ROUND(SUM(+AH135-AH136+AH134),1)</f>
        <v>49.4</v>
      </c>
      <c r="AI138" s="408"/>
      <c r="AJ138" s="1876">
        <f>ROUND(IF(AE138=0,0,AH138/ABS(AE138)),3)</f>
        <v>0.61299999999999999</v>
      </c>
      <c r="AK138" s="792"/>
      <c r="AL138" s="792"/>
    </row>
    <row r="139" spans="1:59" ht="16.5" customHeight="1">
      <c r="A139" s="366"/>
      <c r="C139" s="247"/>
      <c r="D139" s="247"/>
      <c r="E139" s="247"/>
      <c r="F139" s="247"/>
      <c r="G139" s="247"/>
      <c r="H139" s="247"/>
      <c r="I139" s="247"/>
      <c r="J139" s="247"/>
      <c r="K139" s="247"/>
      <c r="L139" s="247"/>
      <c r="M139" s="247"/>
      <c r="N139" s="247"/>
      <c r="O139" s="247"/>
      <c r="P139" s="247"/>
      <c r="Q139" s="247"/>
      <c r="R139" s="247"/>
      <c r="S139" s="247"/>
      <c r="T139" s="247"/>
      <c r="U139" s="247"/>
      <c r="V139" s="247"/>
      <c r="W139" s="247"/>
      <c r="X139" s="247"/>
      <c r="Y139" s="247"/>
      <c r="Z139" s="247"/>
      <c r="AA139" s="1000"/>
      <c r="AB139" s="247"/>
      <c r="AC139" s="247"/>
      <c r="AD139" s="1000"/>
      <c r="AE139" s="247"/>
      <c r="AF139" s="247"/>
      <c r="AG139" s="247"/>
      <c r="AH139" s="1146"/>
      <c r="AI139" s="1632"/>
      <c r="AJ139" s="1632"/>
    </row>
    <row r="140" spans="1:59" ht="16.5" customHeight="1">
      <c r="A140" s="477" t="s">
        <v>44</v>
      </c>
      <c r="C140" s="988"/>
      <c r="D140" s="247"/>
      <c r="E140" s="988"/>
      <c r="F140" s="247"/>
      <c r="G140" s="988"/>
      <c r="H140" s="247"/>
      <c r="I140" s="988"/>
      <c r="J140" s="247"/>
      <c r="K140" s="988"/>
      <c r="L140" s="247"/>
      <c r="M140" s="988"/>
      <c r="N140" s="247"/>
      <c r="O140" s="988"/>
      <c r="P140" s="247"/>
      <c r="Q140" s="988"/>
      <c r="R140" s="247"/>
      <c r="S140" s="988"/>
      <c r="T140" s="247"/>
      <c r="U140" s="988"/>
      <c r="V140" s="247"/>
      <c r="W140" s="988"/>
      <c r="X140" s="247"/>
      <c r="Y140" s="988"/>
      <c r="Z140" s="247"/>
      <c r="AA140" s="1000"/>
      <c r="AB140" s="988"/>
      <c r="AC140" s="247"/>
      <c r="AD140" s="1000"/>
      <c r="AE140" s="988"/>
      <c r="AF140" s="247"/>
      <c r="AG140" s="247"/>
      <c r="AH140" s="1146"/>
      <c r="AI140" s="1632"/>
      <c r="AJ140" s="1632"/>
    </row>
    <row r="141" spans="1:59" ht="16.5" customHeight="1">
      <c r="A141" s="477" t="s">
        <v>51</v>
      </c>
      <c r="C141" s="984"/>
      <c r="D141" s="1001"/>
      <c r="E141" s="984"/>
      <c r="F141" s="1001"/>
      <c r="G141" s="984"/>
      <c r="H141" s="1001"/>
      <c r="I141" s="984"/>
      <c r="J141" s="1001"/>
      <c r="K141" s="984"/>
      <c r="L141" s="1001"/>
      <c r="M141" s="984"/>
      <c r="N141" s="1001"/>
      <c r="O141" s="984"/>
      <c r="P141" s="1001"/>
      <c r="Q141" s="984"/>
      <c r="R141" s="1001"/>
      <c r="S141" s="984"/>
      <c r="T141" s="1001"/>
      <c r="U141" s="984"/>
      <c r="V141" s="1001"/>
      <c r="W141" s="984"/>
      <c r="X141" s="1001"/>
      <c r="Y141" s="984"/>
      <c r="Z141" s="1001"/>
      <c r="AA141" s="1002"/>
      <c r="AB141" s="984"/>
      <c r="AC141" s="1001"/>
      <c r="AD141" s="1002"/>
      <c r="AE141" s="984"/>
      <c r="AF141" s="1001"/>
      <c r="AG141" s="1001"/>
      <c r="AH141" s="1802"/>
      <c r="AI141" s="408"/>
      <c r="AJ141" s="408"/>
      <c r="AK141" s="792"/>
      <c r="AL141" s="792"/>
      <c r="AM141" s="792"/>
      <c r="AN141" s="792"/>
      <c r="AO141" s="792"/>
      <c r="AP141" s="792"/>
      <c r="AQ141" s="792"/>
      <c r="AR141" s="792"/>
      <c r="AS141" s="792"/>
      <c r="AT141" s="792"/>
      <c r="AU141" s="792"/>
      <c r="AV141" s="792"/>
      <c r="AW141" s="792"/>
      <c r="AX141" s="792"/>
      <c r="AY141" s="792"/>
      <c r="AZ141" s="792"/>
      <c r="BA141" s="792"/>
      <c r="BB141" s="792"/>
      <c r="BC141" s="792"/>
      <c r="BD141" s="792"/>
      <c r="BE141" s="792"/>
      <c r="BF141" s="792"/>
      <c r="BG141" s="792"/>
    </row>
    <row r="142" spans="1:59" ht="16.5" customHeight="1">
      <c r="A142" s="477" t="s">
        <v>52</v>
      </c>
      <c r="C142" s="1003">
        <f>ROUND(SUM(C131+C138),1)</f>
        <v>2421.1</v>
      </c>
      <c r="D142" s="1001"/>
      <c r="E142" s="1003">
        <f>ROUND(SUM(E131+E138),1)</f>
        <v>-2141.4</v>
      </c>
      <c r="F142" s="1001"/>
      <c r="G142" s="1003">
        <f>ROUND(SUM(G131+G138),1)</f>
        <v>130.6</v>
      </c>
      <c r="H142" s="1001"/>
      <c r="I142" s="1003">
        <f>ROUND(SUM(I131+I138),1)</f>
        <v>278.89999999999998</v>
      </c>
      <c r="J142" s="1001"/>
      <c r="K142" s="1003">
        <f>ROUND(SUM(K131+K138),1)</f>
        <v>-311.3</v>
      </c>
      <c r="L142" s="1001"/>
      <c r="M142" s="1003">
        <f>ROUND(SUM(M131+M138),1)</f>
        <v>1239.3</v>
      </c>
      <c r="N142" s="1001"/>
      <c r="O142" s="1003">
        <f>ROUND(SUM(O131+O138),1)</f>
        <v>-161.80000000000001</v>
      </c>
      <c r="P142" s="1001"/>
      <c r="Q142" s="1003">
        <f>ROUND(SUM(Q131+Q138),1)</f>
        <v>-2808</v>
      </c>
      <c r="R142" s="1001"/>
      <c r="S142" s="1003">
        <f>ROUND(SUM(S131+S138),1)</f>
        <v>2517.3000000000002</v>
      </c>
      <c r="T142" s="1001"/>
      <c r="U142" s="1003">
        <f>ROUND(SUM(U131+U138),1)</f>
        <v>3756.7</v>
      </c>
      <c r="V142" s="1001"/>
      <c r="W142" s="1003">
        <f>ROUND(SUM(W131+W138),1)</f>
        <v>0</v>
      </c>
      <c r="X142" s="1001"/>
      <c r="Y142" s="1003">
        <f>ROUND(SUM(Y131+Y138),1)</f>
        <v>0</v>
      </c>
      <c r="Z142" s="1001"/>
      <c r="AA142" s="1002"/>
      <c r="AB142" s="1003">
        <f>ROUND(SUM(AB131+AB138),1)</f>
        <v>4921.3999999999996</v>
      </c>
      <c r="AC142" s="1001"/>
      <c r="AD142" s="1002"/>
      <c r="AE142" s="1003">
        <f>AE131+AE138</f>
        <v>9260.1999999999971</v>
      </c>
      <c r="AF142" s="1001"/>
      <c r="AG142" s="1001"/>
      <c r="AH142" s="995">
        <f>ROUND(SUM(AB142-AE142),1)</f>
        <v>-4338.8</v>
      </c>
      <c r="AI142" s="408"/>
      <c r="AJ142" s="2639">
        <f>ROUND(IF(AE142=0,0,AH142/ABS(AE142)),3)</f>
        <v>-0.46899999999999997</v>
      </c>
      <c r="AK142" s="792"/>
      <c r="AL142" s="792"/>
      <c r="AM142" s="792"/>
      <c r="AN142" s="792"/>
      <c r="AO142" s="792"/>
      <c r="AP142" s="792"/>
      <c r="AQ142" s="792"/>
      <c r="AR142" s="792"/>
      <c r="AS142" s="792"/>
      <c r="AT142" s="792"/>
      <c r="AU142" s="792"/>
      <c r="AV142" s="792"/>
      <c r="AW142" s="792"/>
      <c r="AX142" s="792"/>
      <c r="AY142" s="792"/>
      <c r="AZ142" s="792"/>
      <c r="BA142" s="792"/>
      <c r="BB142" s="792"/>
      <c r="BC142" s="792"/>
      <c r="BD142" s="792"/>
      <c r="BE142" s="792"/>
      <c r="BF142" s="792"/>
      <c r="BG142" s="792"/>
    </row>
    <row r="143" spans="1:59" ht="16.5" customHeight="1">
      <c r="A143" s="408"/>
      <c r="C143" s="969"/>
      <c r="E143" s="969"/>
      <c r="G143" s="969"/>
      <c r="I143" s="969"/>
      <c r="K143" s="969"/>
      <c r="M143" s="969"/>
      <c r="O143" s="969"/>
      <c r="Q143" s="969"/>
      <c r="S143" s="969"/>
      <c r="U143" s="969"/>
      <c r="W143" s="969"/>
      <c r="Y143" s="969"/>
      <c r="AA143" s="1004"/>
      <c r="AB143" s="969"/>
      <c r="AD143" s="1004"/>
      <c r="AE143" s="969"/>
      <c r="AH143" s="1632"/>
      <c r="AI143" s="1632"/>
      <c r="AJ143" s="1632"/>
    </row>
    <row r="144" spans="1:59" ht="16.5" customHeight="1" thickBot="1">
      <c r="A144" s="1005" t="s">
        <v>145</v>
      </c>
      <c r="C144" s="1006">
        <f>ROUND(SUM(C16+C142),1)</f>
        <v>14231.2</v>
      </c>
      <c r="D144" s="470"/>
      <c r="E144" s="1006">
        <f>ROUND(SUM(E16+E142),1)</f>
        <v>12089.8</v>
      </c>
      <c r="F144" s="470"/>
      <c r="G144" s="1006">
        <f>ROUND(SUM(G16+G142),1)</f>
        <v>12220.4</v>
      </c>
      <c r="H144" s="470"/>
      <c r="I144" s="1006">
        <f>ROUND(SUM(I16+I142),1)</f>
        <v>12499.3</v>
      </c>
      <c r="J144" s="1007"/>
      <c r="K144" s="1006">
        <f>ROUND(SUM(K16+K142),1)</f>
        <v>12188</v>
      </c>
      <c r="L144" s="1007"/>
      <c r="M144" s="1006">
        <f>ROUND(SUM(M16+M142),1)</f>
        <v>13427.3</v>
      </c>
      <c r="N144" s="1007"/>
      <c r="O144" s="1006">
        <f>ROUND(SUM(O16+O142),1)</f>
        <v>13265.5</v>
      </c>
      <c r="P144" s="1007"/>
      <c r="Q144" s="1006">
        <f>ROUND(SUM(Q16+Q142),1)</f>
        <v>10457.5</v>
      </c>
      <c r="R144" s="1007"/>
      <c r="S144" s="1006">
        <f>ROUND(SUM(S16+S142),1)</f>
        <v>12974.8</v>
      </c>
      <c r="T144" s="1007"/>
      <c r="U144" s="1006">
        <f>ROUND(SUM(U16+U142),1)</f>
        <v>16731.5</v>
      </c>
      <c r="V144" s="1007"/>
      <c r="W144" s="1006">
        <f>ROUND(SUM(W16+W142),1)</f>
        <v>0</v>
      </c>
      <c r="X144" s="1007"/>
      <c r="Y144" s="1006">
        <f>ROUND(SUM(Y16+Y142),1)</f>
        <v>0</v>
      </c>
      <c r="Z144" s="470"/>
      <c r="AA144" s="1008"/>
      <c r="AB144" s="1006">
        <f>ROUND(SUM(AB16+AB142),1)</f>
        <v>16731.5</v>
      </c>
      <c r="AC144" s="470"/>
      <c r="AD144" s="1008"/>
      <c r="AE144" s="1006">
        <f>AE16+AE142</f>
        <v>18615.799999999996</v>
      </c>
      <c r="AF144" s="470"/>
      <c r="AG144" s="470"/>
      <c r="AH144" s="1006">
        <f>ROUND(SUM(AB144-AE144),1)</f>
        <v>-1884.3</v>
      </c>
      <c r="AI144" s="408"/>
      <c r="AJ144" s="127">
        <f>ROUND(IF(AE144=0,0,AH144/ABS(AE144)),3)</f>
        <v>-0.10100000000000001</v>
      </c>
      <c r="AK144" s="792"/>
    </row>
    <row r="145" spans="1:36" ht="16.5" customHeight="1" thickTop="1">
      <c r="A145" s="1009"/>
      <c r="C145" s="416"/>
      <c r="AH145" s="1632"/>
      <c r="AI145" s="1632"/>
      <c r="AJ145" s="1632"/>
    </row>
    <row r="146" spans="1:36" ht="16.5" customHeight="1">
      <c r="A146" s="679" t="s">
        <v>146</v>
      </c>
      <c r="AH146" s="1632"/>
      <c r="AI146" s="1632"/>
      <c r="AJ146" s="1632"/>
    </row>
    <row r="147" spans="1:36" ht="16.5" customHeight="1">
      <c r="A147" s="222"/>
      <c r="AH147" s="1632"/>
      <c r="AI147" s="1632"/>
      <c r="AJ147" s="1632"/>
    </row>
    <row r="148" spans="1:36" ht="16.5" customHeight="1">
      <c r="A148" s="222"/>
      <c r="AH148" s="1632"/>
      <c r="AI148" s="1632"/>
      <c r="AJ148" s="1632"/>
    </row>
    <row r="149" spans="1:36" ht="16.5" customHeight="1">
      <c r="A149" s="222"/>
      <c r="AH149" s="1632"/>
      <c r="AI149" s="1632"/>
      <c r="AJ149" s="1632"/>
    </row>
    <row r="150" spans="1:36" ht="16.5" customHeight="1">
      <c r="AH150" s="1632"/>
      <c r="AI150" s="1632"/>
      <c r="AJ150" s="1632"/>
    </row>
    <row r="151" spans="1:36" ht="16.5" customHeight="1">
      <c r="AH151" s="1632"/>
      <c r="AI151" s="1632"/>
      <c r="AJ151" s="1632"/>
    </row>
    <row r="152" spans="1:36" ht="16.5" customHeight="1">
      <c r="AH152" s="1632"/>
      <c r="AI152" s="1632"/>
      <c r="AJ152" s="1632"/>
    </row>
    <row r="153" spans="1:36" ht="16.5" customHeight="1">
      <c r="AH153" s="1632"/>
      <c r="AI153" s="1632"/>
      <c r="AJ153" s="1632"/>
    </row>
    <row r="154" spans="1:36" ht="16.5" customHeight="1">
      <c r="AH154" s="1632"/>
      <c r="AI154" s="1632"/>
      <c r="AJ154" s="1632"/>
    </row>
    <row r="155" spans="1:36" ht="16.5" customHeight="1">
      <c r="AH155" s="1632"/>
      <c r="AI155" s="1632"/>
      <c r="AJ155" s="1632"/>
    </row>
    <row r="156" spans="1:36" ht="16.5" customHeight="1">
      <c r="AH156" s="1632"/>
      <c r="AI156" s="1632"/>
      <c r="AJ156" s="1632"/>
    </row>
    <row r="157" spans="1:36" ht="16.5" customHeight="1">
      <c r="AH157" s="1632"/>
      <c r="AI157" s="1632"/>
      <c r="AJ157" s="1632"/>
    </row>
    <row r="158" spans="1:36" ht="16.5" customHeight="1">
      <c r="AH158" s="1632"/>
      <c r="AI158" s="1632"/>
      <c r="AJ158" s="1632"/>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9" firstPageNumber="17" fitToHeight="2" orientation="landscape" useFirstPageNumber="1" r:id="rId2"/>
  <headerFooter scaleWithDoc="0" alignWithMargins="0">
    <oddFooter>&amp;C&amp;8&amp;P</oddFooter>
  </headerFooter>
  <ignoredErrors>
    <ignoredError sqref="AJ72:AJ83 AJ36:AJ48 AJ21:AJ27 AJ71 AJ85:AJ144 AJ29:AJ34 AJ50:AJ69" unlockedFormula="1"/>
    <ignoredError sqref="AH24:AH26 AH35:AJ35 AJ70 AJ84"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70" zoomScaleNormal="70" workbookViewId="0"/>
  </sheetViews>
  <sheetFormatPr defaultColWidth="8.88671875" defaultRowHeight="16.5" customHeight="1"/>
  <cols>
    <col min="1" max="1" width="43" style="417" customWidth="1"/>
    <col min="2" max="2" width="1.6640625" style="417" customWidth="1"/>
    <col min="3" max="3" width="13.21875" style="417" bestFit="1" customWidth="1"/>
    <col min="4" max="4" width="1.6640625" style="417" customWidth="1"/>
    <col min="5" max="5" width="13.21875" style="417" bestFit="1" customWidth="1"/>
    <col min="6" max="6" width="1.6640625" style="417" customWidth="1"/>
    <col min="7" max="7" width="13.5546875" style="417" customWidth="1"/>
    <col min="8" max="8" width="1.6640625" style="417" customWidth="1"/>
    <col min="9" max="9" width="13.6640625" style="417" customWidth="1"/>
    <col min="10" max="10" width="1.6640625" style="417" customWidth="1"/>
    <col min="11" max="11" width="14.5546875" style="417" customWidth="1"/>
    <col min="12" max="12" width="1.6640625" style="417" customWidth="1"/>
    <col min="13" max="13" width="13.33203125" style="417" customWidth="1"/>
    <col min="14" max="14" width="1.6640625" style="417" customWidth="1"/>
    <col min="15" max="15" width="14.21875" style="417" customWidth="1"/>
    <col min="16" max="16" width="1.6640625" style="417" customWidth="1"/>
    <col min="17" max="17" width="13.21875" style="417" customWidth="1"/>
    <col min="18" max="18" width="1.6640625" style="417" customWidth="1"/>
    <col min="19" max="19" width="13.88671875" style="417" customWidth="1"/>
    <col min="20" max="20" width="1.6640625" style="417" customWidth="1"/>
    <col min="21" max="21" width="13" style="417" customWidth="1"/>
    <col min="22" max="22" width="1.6640625" style="417" customWidth="1"/>
    <col min="23" max="23" width="13.21875" style="417" customWidth="1"/>
    <col min="24" max="24" width="1.6640625" style="417" customWidth="1"/>
    <col min="25" max="25" width="13.21875" style="417" bestFit="1" customWidth="1"/>
    <col min="26" max="27" width="1.6640625" style="417" customWidth="1"/>
    <col min="28" max="28" width="15" style="417" customWidth="1"/>
    <col min="29" max="30" width="1.6640625" style="417" customWidth="1"/>
    <col min="31" max="31" width="12.33203125" style="417" customWidth="1"/>
    <col min="32" max="32" width="1.33203125" style="417" customWidth="1"/>
    <col min="33" max="33" width="1.6640625" style="417" customWidth="1"/>
    <col min="34" max="34" width="12.77734375" style="417" bestFit="1" customWidth="1"/>
    <col min="35" max="35" width="1" style="417" customWidth="1"/>
    <col min="36" max="36" width="12.33203125" style="417" bestFit="1" customWidth="1"/>
    <col min="37" max="16384" width="8.88671875" style="417"/>
  </cols>
  <sheetData>
    <row r="1" spans="1:37" ht="15">
      <c r="A1" s="1817" t="s">
        <v>1090</v>
      </c>
    </row>
    <row r="2" spans="1:37" ht="15">
      <c r="A2" s="1649"/>
    </row>
    <row r="3" spans="1:37" ht="23.25">
      <c r="A3" s="425" t="s">
        <v>0</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I3" s="428"/>
    </row>
    <row r="4" spans="1:37" ht="23.25">
      <c r="A4" s="425" t="s">
        <v>1300</v>
      </c>
      <c r="B4" s="428"/>
      <c r="C4" s="428"/>
      <c r="D4" s="428"/>
      <c r="E4" s="428"/>
      <c r="F4" s="428"/>
      <c r="G4" s="428"/>
      <c r="H4" s="428"/>
      <c r="I4" s="428" t="s">
        <v>15</v>
      </c>
      <c r="J4" s="428"/>
      <c r="K4" s="428"/>
      <c r="L4" s="428"/>
      <c r="M4" s="428"/>
      <c r="N4" s="428"/>
      <c r="O4" s="428"/>
      <c r="P4" s="428"/>
      <c r="Q4" s="428"/>
      <c r="R4" s="428"/>
      <c r="S4" s="428"/>
      <c r="T4" s="428"/>
      <c r="U4" s="428"/>
      <c r="V4" s="428"/>
      <c r="W4" s="428"/>
      <c r="X4" s="428"/>
      <c r="Y4" s="428" t="s">
        <v>15</v>
      </c>
      <c r="Z4" s="428"/>
      <c r="AA4" s="428"/>
      <c r="AB4" s="428"/>
      <c r="AC4" s="428"/>
      <c r="AD4" s="428"/>
      <c r="AE4" s="428"/>
      <c r="AF4" s="428"/>
      <c r="AG4" s="428"/>
      <c r="AI4" s="428"/>
    </row>
    <row r="5" spans="1:37" ht="23.25">
      <c r="A5" s="427" t="s">
        <v>1301</v>
      </c>
      <c r="B5" s="428"/>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C5" s="3500"/>
      <c r="AD5" s="3503"/>
      <c r="AE5" s="3503"/>
      <c r="AF5" s="3503"/>
      <c r="AG5" s="3503"/>
      <c r="AH5" s="3503"/>
      <c r="AI5" s="3503"/>
      <c r="AJ5" s="3503"/>
    </row>
    <row r="6" spans="1:37" ht="23.25">
      <c r="A6" s="427" t="s">
        <v>1413</v>
      </c>
      <c r="B6" s="428"/>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I6" s="428"/>
    </row>
    <row r="7" spans="1:37" ht="23.25">
      <c r="A7" s="425" t="s">
        <v>979</v>
      </c>
      <c r="B7" s="428"/>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I7" s="428"/>
    </row>
    <row r="8" spans="1:37" ht="15">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I8" s="428"/>
    </row>
    <row r="9" spans="1:37" ht="15">
      <c r="A9" s="428"/>
      <c r="B9" s="428"/>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I9" s="428"/>
    </row>
    <row r="10" spans="1:37" ht="15">
      <c r="A10" s="428"/>
      <c r="B10" s="428"/>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I10" s="428"/>
    </row>
    <row r="11" spans="1:37" ht="15">
      <c r="A11" s="428"/>
      <c r="B11" s="428"/>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C11" s="428"/>
      <c r="AD11" s="428"/>
      <c r="AE11" s="428"/>
      <c r="AF11" s="428"/>
      <c r="AG11" s="428"/>
      <c r="AI11" s="428"/>
    </row>
    <row r="12" spans="1:37" ht="15.75">
      <c r="A12" s="428"/>
      <c r="B12" s="428"/>
      <c r="C12" s="428"/>
      <c r="D12" s="428"/>
      <c r="E12" s="428"/>
      <c r="F12" s="428"/>
      <c r="G12" s="428"/>
      <c r="H12" s="428"/>
      <c r="I12" s="428"/>
      <c r="J12" s="428"/>
      <c r="K12" s="428"/>
      <c r="L12" s="428"/>
      <c r="M12" s="428"/>
      <c r="N12" s="428"/>
      <c r="O12" s="428"/>
      <c r="P12" s="428"/>
      <c r="Q12" s="428"/>
      <c r="R12" s="428"/>
      <c r="S12" s="428"/>
      <c r="T12" s="428"/>
      <c r="U12" s="428"/>
      <c r="V12" s="428"/>
      <c r="W12" s="428"/>
      <c r="X12" s="428"/>
      <c r="Z12" s="428"/>
      <c r="AA12" s="968"/>
      <c r="AB12" s="3504" t="str">
        <f>+'Cashflow Governmental'!AB12:AJ12</f>
        <v xml:space="preserve">                                  10 Months Ended January 31</v>
      </c>
      <c r="AC12" s="3504"/>
      <c r="AD12" s="3504"/>
      <c r="AE12" s="3504"/>
      <c r="AF12" s="3504"/>
      <c r="AG12" s="3504"/>
      <c r="AH12" s="3504"/>
      <c r="AI12" s="3504"/>
      <c r="AJ12" s="3504"/>
    </row>
    <row r="13" spans="1:37" ht="15.75">
      <c r="A13" s="428"/>
      <c r="B13" s="428"/>
      <c r="C13" s="3022">
        <v>2016</v>
      </c>
      <c r="D13" s="966"/>
      <c r="E13" s="966"/>
      <c r="F13" s="966"/>
      <c r="G13" s="966"/>
      <c r="H13" s="966"/>
      <c r="I13" s="966"/>
      <c r="J13" s="966"/>
      <c r="K13" s="966"/>
      <c r="L13" s="966"/>
      <c r="M13" s="966"/>
      <c r="N13" s="966"/>
      <c r="O13" s="966"/>
      <c r="P13" s="966"/>
      <c r="Q13" s="966"/>
      <c r="R13" s="966"/>
      <c r="S13" s="966"/>
      <c r="T13" s="966"/>
      <c r="U13" s="3022">
        <v>2017</v>
      </c>
      <c r="V13" s="966"/>
      <c r="W13" s="966"/>
      <c r="X13" s="966"/>
      <c r="Y13" s="966"/>
      <c r="Z13" s="966"/>
      <c r="AA13" s="966"/>
      <c r="AB13" s="966"/>
      <c r="AC13" s="1444"/>
      <c r="AD13" s="1444"/>
      <c r="AE13" s="1444"/>
      <c r="AF13" s="966"/>
      <c r="AG13" s="966"/>
      <c r="AH13" s="1445" t="s">
        <v>8</v>
      </c>
      <c r="AI13" s="1443"/>
      <c r="AJ13" s="1445" t="s">
        <v>9</v>
      </c>
    </row>
    <row r="14" spans="1:37" ht="15.75">
      <c r="A14" s="428"/>
      <c r="B14" s="428"/>
      <c r="C14" s="1445" t="s">
        <v>128</v>
      </c>
      <c r="D14" s="966"/>
      <c r="E14" s="1445" t="s">
        <v>129</v>
      </c>
      <c r="F14" s="966"/>
      <c r="G14" s="1445" t="s">
        <v>130</v>
      </c>
      <c r="H14" s="966"/>
      <c r="I14" s="1445" t="s">
        <v>131</v>
      </c>
      <c r="J14" s="966"/>
      <c r="K14" s="1445" t="s">
        <v>132</v>
      </c>
      <c r="L14" s="966"/>
      <c r="M14" s="1445" t="s">
        <v>133</v>
      </c>
      <c r="N14" s="966"/>
      <c r="O14" s="1445" t="s">
        <v>134</v>
      </c>
      <c r="P14" s="966"/>
      <c r="Q14" s="1445" t="s">
        <v>135</v>
      </c>
      <c r="R14" s="966"/>
      <c r="S14" s="1445" t="s">
        <v>136</v>
      </c>
      <c r="T14" s="966"/>
      <c r="U14" s="1445" t="s">
        <v>137</v>
      </c>
      <c r="V14" s="966"/>
      <c r="W14" s="1445" t="s">
        <v>138</v>
      </c>
      <c r="X14" s="966"/>
      <c r="Y14" s="1445" t="s">
        <v>139</v>
      </c>
      <c r="Z14" s="966"/>
      <c r="AA14" s="966"/>
      <c r="AB14" s="1446">
        <v>2017</v>
      </c>
      <c r="AC14" s="966"/>
      <c r="AD14" s="966"/>
      <c r="AE14" s="1446">
        <v>2016</v>
      </c>
      <c r="AF14" s="1444"/>
      <c r="AG14" s="1444"/>
      <c r="AH14" s="1843" t="s">
        <v>12</v>
      </c>
      <c r="AI14" s="1443"/>
      <c r="AJ14" s="1843" t="s">
        <v>13</v>
      </c>
    </row>
    <row r="15" spans="1:37" ht="5.25" customHeight="1">
      <c r="A15" s="428"/>
      <c r="B15" s="428"/>
      <c r="C15" s="969"/>
      <c r="D15" s="428"/>
      <c r="E15" s="969"/>
      <c r="F15" s="428"/>
      <c r="G15" s="969"/>
      <c r="H15" s="428"/>
      <c r="I15" s="969"/>
      <c r="J15" s="428"/>
      <c r="K15" s="969"/>
      <c r="L15" s="428"/>
      <c r="M15" s="969"/>
      <c r="N15" s="428"/>
      <c r="O15" s="969" t="s">
        <v>15</v>
      </c>
      <c r="P15" s="428"/>
      <c r="Q15" s="969"/>
      <c r="R15" s="428"/>
      <c r="S15" s="969"/>
      <c r="T15" s="428"/>
      <c r="U15" s="969" t="s">
        <v>15</v>
      </c>
      <c r="V15" s="428"/>
      <c r="W15" s="969"/>
      <c r="X15" s="428"/>
      <c r="Y15" s="969"/>
      <c r="Z15" s="428"/>
      <c r="AA15" s="428"/>
      <c r="AB15" s="969"/>
      <c r="AC15" s="428"/>
      <c r="AD15" s="428"/>
      <c r="AE15" s="969"/>
      <c r="AF15" s="2025"/>
      <c r="AG15" s="2025"/>
      <c r="AI15" s="428"/>
    </row>
    <row r="16" spans="1:37" ht="15.75">
      <c r="A16" s="967" t="s">
        <v>140</v>
      </c>
      <c r="B16" s="428"/>
      <c r="C16" s="1300">
        <v>12641.2</v>
      </c>
      <c r="D16" s="970"/>
      <c r="E16" s="970">
        <f>C143</f>
        <v>15345.1</v>
      </c>
      <c r="F16" s="970"/>
      <c r="G16" s="970">
        <f>E143</f>
        <v>13150.5</v>
      </c>
      <c r="H16" s="970"/>
      <c r="I16" s="970">
        <f>G143</f>
        <v>12549.1</v>
      </c>
      <c r="J16" s="970"/>
      <c r="K16" s="970">
        <f>I143</f>
        <v>13151.9</v>
      </c>
      <c r="L16" s="970"/>
      <c r="M16" s="970">
        <f>K143</f>
        <v>13391.9</v>
      </c>
      <c r="N16" s="970"/>
      <c r="O16" s="970">
        <f>M143</f>
        <v>13901.7</v>
      </c>
      <c r="P16" s="970"/>
      <c r="Q16" s="970">
        <f>+O143</f>
        <v>13928.2</v>
      </c>
      <c r="R16" s="970"/>
      <c r="S16" s="970">
        <f>Q143</f>
        <v>11974</v>
      </c>
      <c r="T16" s="970"/>
      <c r="U16" s="970">
        <f>S143</f>
        <v>13325.8</v>
      </c>
      <c r="V16" s="970"/>
      <c r="W16" s="970"/>
      <c r="X16" s="970"/>
      <c r="Y16" s="970"/>
      <c r="Z16" s="970"/>
      <c r="AA16" s="1844"/>
      <c r="AB16" s="970">
        <f>C16</f>
        <v>12641.2</v>
      </c>
      <c r="AC16" s="970"/>
      <c r="AD16" s="972"/>
      <c r="AE16" s="970">
        <v>9890.7999999999993</v>
      </c>
      <c r="AF16" s="2026"/>
      <c r="AG16" s="2026"/>
      <c r="AH16" s="970">
        <f>ROUND(SUM(AB16-AE16),1)</f>
        <v>2750.4</v>
      </c>
      <c r="AI16" s="966"/>
      <c r="AJ16" s="511">
        <f>ROUND(SUM(AH16/AE16),3)</f>
        <v>0.27800000000000002</v>
      </c>
      <c r="AK16" s="792"/>
    </row>
    <row r="17" spans="1:36" ht="15">
      <c r="A17" s="428"/>
      <c r="B17" s="428"/>
      <c r="C17" s="428" t="s">
        <v>15</v>
      </c>
      <c r="D17" s="428"/>
      <c r="E17" s="973"/>
      <c r="F17" s="428"/>
      <c r="G17" s="973"/>
      <c r="H17" s="428"/>
      <c r="I17" s="973"/>
      <c r="J17" s="428"/>
      <c r="K17" s="973"/>
      <c r="L17" s="428"/>
      <c r="M17" s="973"/>
      <c r="N17" s="428"/>
      <c r="O17" s="973"/>
      <c r="P17" s="428"/>
      <c r="Q17" s="973"/>
      <c r="R17" s="428"/>
      <c r="S17" s="973"/>
      <c r="T17" s="428"/>
      <c r="U17" s="973"/>
      <c r="V17" s="428"/>
      <c r="W17" s="973"/>
      <c r="X17" s="428"/>
      <c r="Y17" s="973"/>
      <c r="Z17" s="428"/>
      <c r="AA17" s="1845"/>
      <c r="AB17" s="428" t="s">
        <v>15</v>
      </c>
      <c r="AC17" s="428"/>
      <c r="AD17" s="975"/>
      <c r="AE17" s="428" t="s">
        <v>15</v>
      </c>
      <c r="AF17" s="2025"/>
      <c r="AG17" s="2025"/>
      <c r="AH17" s="1632"/>
      <c r="AI17" s="428"/>
      <c r="AJ17" s="1632"/>
    </row>
    <row r="18" spans="1:36" ht="15.75">
      <c r="A18" s="408" t="s">
        <v>14</v>
      </c>
      <c r="B18" s="428"/>
      <c r="C18" s="428"/>
      <c r="D18" s="428"/>
      <c r="E18" s="973"/>
      <c r="F18" s="428"/>
      <c r="G18" s="973"/>
      <c r="H18" s="428"/>
      <c r="I18" s="973"/>
      <c r="J18" s="428"/>
      <c r="K18" s="973"/>
      <c r="L18" s="428"/>
      <c r="M18" s="973"/>
      <c r="N18" s="428"/>
      <c r="O18" s="973"/>
      <c r="P18" s="428"/>
      <c r="Q18" s="973"/>
      <c r="R18" s="428"/>
      <c r="S18" s="973"/>
      <c r="T18" s="428"/>
      <c r="U18" s="973"/>
      <c r="V18" s="428"/>
      <c r="W18" s="973"/>
      <c r="X18" s="428"/>
      <c r="Y18" s="973"/>
      <c r="Z18" s="428"/>
      <c r="AA18" s="1845"/>
      <c r="AB18" s="428"/>
      <c r="AC18" s="428"/>
      <c r="AD18" s="975"/>
      <c r="AE18" s="428"/>
      <c r="AF18" s="2025"/>
      <c r="AG18" s="2025"/>
      <c r="AH18" s="1632"/>
      <c r="AI18" s="428"/>
      <c r="AJ18" s="1632"/>
    </row>
    <row r="19" spans="1:36" ht="15.75">
      <c r="A19" s="488" t="s">
        <v>1206</v>
      </c>
      <c r="B19" s="428"/>
      <c r="C19" s="428"/>
      <c r="D19" s="428"/>
      <c r="E19" s="973"/>
      <c r="F19" s="428"/>
      <c r="G19" s="973"/>
      <c r="H19" s="428"/>
      <c r="I19" s="973"/>
      <c r="J19" s="428"/>
      <c r="K19" s="973"/>
      <c r="L19" s="428"/>
      <c r="M19" s="973"/>
      <c r="N19" s="428"/>
      <c r="O19" s="973"/>
      <c r="P19" s="428"/>
      <c r="Q19" s="973"/>
      <c r="R19" s="428"/>
      <c r="S19" s="973"/>
      <c r="T19" s="428"/>
      <c r="U19" s="973"/>
      <c r="V19" s="428"/>
      <c r="W19" s="973"/>
      <c r="X19" s="428"/>
      <c r="Y19" s="973"/>
      <c r="Z19" s="428"/>
      <c r="AA19" s="974"/>
      <c r="AB19" s="428"/>
      <c r="AC19" s="428"/>
      <c r="AD19" s="975"/>
      <c r="AE19" s="428"/>
      <c r="AF19" s="2025"/>
      <c r="AG19" s="2025"/>
      <c r="AH19" s="1632"/>
      <c r="AI19" s="428"/>
      <c r="AJ19" s="1632"/>
    </row>
    <row r="20" spans="1:36" ht="15">
      <c r="A20" s="1990" t="s">
        <v>1279</v>
      </c>
      <c r="B20" s="428"/>
      <c r="C20" s="428"/>
      <c r="D20" s="428"/>
      <c r="E20" s="973"/>
      <c r="F20" s="428"/>
      <c r="G20" s="973"/>
      <c r="H20" s="428"/>
      <c r="I20" s="973"/>
      <c r="J20" s="428"/>
      <c r="K20" s="973"/>
      <c r="L20" s="428"/>
      <c r="M20" s="973"/>
      <c r="N20" s="428"/>
      <c r="O20" s="973"/>
      <c r="P20" s="428"/>
      <c r="Q20" s="973"/>
      <c r="R20" s="428"/>
      <c r="S20" s="973"/>
      <c r="T20" s="428"/>
      <c r="U20" s="973"/>
      <c r="V20" s="428"/>
      <c r="W20" s="973"/>
      <c r="X20" s="428"/>
      <c r="Y20" s="973"/>
      <c r="Z20" s="428"/>
      <c r="AA20" s="1845"/>
      <c r="AB20" s="428"/>
      <c r="AC20" s="428"/>
      <c r="AD20" s="975"/>
      <c r="AE20" s="428"/>
      <c r="AF20" s="2025"/>
      <c r="AG20" s="2025"/>
      <c r="AH20" s="1632"/>
      <c r="AI20" s="428"/>
      <c r="AJ20" s="1632"/>
    </row>
    <row r="21" spans="1:36" ht="15">
      <c r="A21" s="1243" t="s">
        <v>1214</v>
      </c>
      <c r="B21" s="428"/>
      <c r="C21" s="976">
        <f>+'Exhibit F'!D19</f>
        <v>2649.4</v>
      </c>
      <c r="D21" s="976"/>
      <c r="E21" s="976">
        <f>+'Exhibit F'!F19</f>
        <v>2595</v>
      </c>
      <c r="F21" s="976"/>
      <c r="G21" s="976">
        <f>+'Exhibit F'!H19</f>
        <v>2860</v>
      </c>
      <c r="H21" s="976"/>
      <c r="I21" s="976">
        <f>+'Exhibit F'!J19</f>
        <v>2545.1</v>
      </c>
      <c r="J21" s="976"/>
      <c r="K21" s="976">
        <f>+'Exhibit F'!L19</f>
        <v>2914.8</v>
      </c>
      <c r="L21" s="976"/>
      <c r="M21" s="976">
        <f>+'Exhibit F'!N19</f>
        <v>2466</v>
      </c>
      <c r="N21" s="976"/>
      <c r="O21" s="976">
        <f>+'Exhibit F'!P19</f>
        <v>2562.4</v>
      </c>
      <c r="P21" s="428"/>
      <c r="Q21" s="976">
        <f>+'Exhibit F'!R19</f>
        <v>2828.4</v>
      </c>
      <c r="R21" s="428"/>
      <c r="S21" s="976">
        <f>+'Exhibit F'!T19</f>
        <v>3535.3</v>
      </c>
      <c r="T21" s="428"/>
      <c r="U21" s="976">
        <f>+'Exhibit F'!V19</f>
        <v>4135.7</v>
      </c>
      <c r="V21" s="428"/>
      <c r="W21" s="976"/>
      <c r="X21" s="428"/>
      <c r="Y21" s="976"/>
      <c r="Z21" s="428"/>
      <c r="AA21" s="1845"/>
      <c r="AB21" s="976">
        <f t="shared" ref="AB21:AB29" si="0">ROUND(SUM(C21:Y21),1)</f>
        <v>29092.1</v>
      </c>
      <c r="AC21" s="428"/>
      <c r="AD21" s="975"/>
      <c r="AE21" s="428">
        <f>+'Exhibit F'!AF19</f>
        <v>28264.400000000001</v>
      </c>
      <c r="AF21" s="2025"/>
      <c r="AG21" s="2025"/>
      <c r="AH21" s="1146">
        <f>ROUND(SUM(+AB21-AE21),1)</f>
        <v>827.7</v>
      </c>
      <c r="AI21" s="2005"/>
      <c r="AJ21" s="1847">
        <f t="shared" ref="AJ21:AJ26" si="1">ROUND(SUM(+AH21/ABS(AE21)),3)</f>
        <v>2.9000000000000001E-2</v>
      </c>
    </row>
    <row r="22" spans="1:36" ht="15">
      <c r="A22" s="1243" t="s">
        <v>1215</v>
      </c>
      <c r="B22" s="428"/>
      <c r="C22" s="976">
        <f>+'Exhibit F'!D20</f>
        <v>4784</v>
      </c>
      <c r="D22" s="976"/>
      <c r="E22" s="976">
        <f>+'Exhibit F'!F20</f>
        <v>137</v>
      </c>
      <c r="F22" s="976"/>
      <c r="G22" s="976">
        <f>+'Exhibit F'!H20</f>
        <v>1950.5</v>
      </c>
      <c r="H22" s="976"/>
      <c r="I22" s="976">
        <f>+'Exhibit F'!J20</f>
        <v>95</v>
      </c>
      <c r="J22" s="976"/>
      <c r="K22" s="976">
        <f>+'Exhibit F'!L20</f>
        <v>97.1</v>
      </c>
      <c r="L22" s="976"/>
      <c r="M22" s="976">
        <f>+'Exhibit F'!N20</f>
        <v>2355.6999999999998</v>
      </c>
      <c r="N22" s="976"/>
      <c r="O22" s="976">
        <f>+'Exhibit F'!P20</f>
        <v>162.4</v>
      </c>
      <c r="P22" s="428"/>
      <c r="Q22" s="976">
        <f>+'Exhibit F'!R20</f>
        <v>79.599999999999994</v>
      </c>
      <c r="R22" s="428"/>
      <c r="S22" s="976">
        <f>+'Exhibit F'!T20</f>
        <v>1647.2</v>
      </c>
      <c r="T22" s="428"/>
      <c r="U22" s="976">
        <f>+'Exhibit F'!V20</f>
        <v>3481.6</v>
      </c>
      <c r="V22" s="428"/>
      <c r="W22" s="976"/>
      <c r="X22" s="428"/>
      <c r="Y22" s="976"/>
      <c r="Z22" s="428"/>
      <c r="AA22" s="1845"/>
      <c r="AB22" s="976">
        <f t="shared" si="0"/>
        <v>14790.1</v>
      </c>
      <c r="AC22" s="428"/>
      <c r="AD22" s="975"/>
      <c r="AE22" s="428">
        <f>+'Exhibit F'!AF20</f>
        <v>15925.9</v>
      </c>
      <c r="AF22" s="2025"/>
      <c r="AG22" s="2025"/>
      <c r="AH22" s="1146">
        <f t="shared" ref="AH22:AH28" si="2">ROUND(SUM(+AB22-AE22),1)</f>
        <v>-1135.8</v>
      </c>
      <c r="AI22" s="2005"/>
      <c r="AJ22" s="1847">
        <f t="shared" si="1"/>
        <v>-7.0999999999999994E-2</v>
      </c>
    </row>
    <row r="23" spans="1:36" ht="15">
      <c r="A23" s="1243" t="s">
        <v>1216</v>
      </c>
      <c r="B23" s="428"/>
      <c r="C23" s="976">
        <f>+'Exhibit F'!D21</f>
        <v>1717.3</v>
      </c>
      <c r="D23" s="976"/>
      <c r="E23" s="976">
        <f>+'Exhibit F'!F21</f>
        <v>63.3</v>
      </c>
      <c r="F23" s="976"/>
      <c r="G23" s="976">
        <f>+'Exhibit F'!H21</f>
        <v>38.799999999999997</v>
      </c>
      <c r="H23" s="976"/>
      <c r="I23" s="976">
        <f>+'Exhibit F'!J21</f>
        <v>30.2</v>
      </c>
      <c r="J23" s="976"/>
      <c r="K23" s="976">
        <f>+'Exhibit F'!L21</f>
        <v>33.9</v>
      </c>
      <c r="L23" s="976"/>
      <c r="M23" s="976">
        <f>+'Exhibit F'!N21</f>
        <v>63</v>
      </c>
      <c r="N23" s="976"/>
      <c r="O23" s="976">
        <f>+'Exhibit F'!P21</f>
        <v>399.2</v>
      </c>
      <c r="P23" s="428"/>
      <c r="Q23" s="976">
        <f>+'Exhibit F'!R21</f>
        <v>33.4</v>
      </c>
      <c r="R23" s="428"/>
      <c r="S23" s="976">
        <f>+'Exhibit F'!T21</f>
        <v>22.9</v>
      </c>
      <c r="T23" s="428"/>
      <c r="U23" s="976">
        <f>+'Exhibit F'!V21</f>
        <v>19.5</v>
      </c>
      <c r="V23" s="428"/>
      <c r="W23" s="976"/>
      <c r="X23" s="428"/>
      <c r="Y23" s="976"/>
      <c r="Z23" s="428"/>
      <c r="AA23" s="1845"/>
      <c r="AB23" s="976">
        <f t="shared" si="0"/>
        <v>2421.5</v>
      </c>
      <c r="AC23" s="428"/>
      <c r="AD23" s="975"/>
      <c r="AE23" s="428">
        <f>+'Exhibit F'!AF21</f>
        <v>2443.6</v>
      </c>
      <c r="AF23" s="2025"/>
      <c r="AG23" s="2025"/>
      <c r="AH23" s="1146">
        <f t="shared" si="2"/>
        <v>-22.1</v>
      </c>
      <c r="AI23" s="2005"/>
      <c r="AJ23" s="1847">
        <f t="shared" si="1"/>
        <v>-8.9999999999999993E-3</v>
      </c>
    </row>
    <row r="24" spans="1:36" ht="15">
      <c r="A24" s="2028" t="s">
        <v>1217</v>
      </c>
      <c r="B24" s="428"/>
      <c r="C24" s="976">
        <f>+'Exhibit F'!D22</f>
        <v>-184.9</v>
      </c>
      <c r="D24" s="976"/>
      <c r="E24" s="976">
        <f>+'Exhibit F'!F22</f>
        <v>-18.2</v>
      </c>
      <c r="F24" s="976"/>
      <c r="G24" s="976">
        <f>+'Exhibit F'!H22</f>
        <v>-16.7</v>
      </c>
      <c r="H24" s="976"/>
      <c r="I24" s="976">
        <f>+'Exhibit F'!J22</f>
        <v>-15.9</v>
      </c>
      <c r="J24" s="976"/>
      <c r="K24" s="976">
        <f>+'Exhibit F'!L22</f>
        <v>-18.8</v>
      </c>
      <c r="L24" s="976"/>
      <c r="M24" s="976">
        <f>+'Exhibit F'!N22</f>
        <v>-64.900000000000006</v>
      </c>
      <c r="N24" s="976"/>
      <c r="O24" s="976">
        <f>+'Exhibit F'!P22</f>
        <v>-294.7</v>
      </c>
      <c r="P24" s="428"/>
      <c r="Q24" s="976">
        <f>+'Exhibit F'!R22</f>
        <v>-121.1</v>
      </c>
      <c r="R24" s="428"/>
      <c r="S24" s="976">
        <f>+'Exhibit F'!T22</f>
        <v>-19.899999999999999</v>
      </c>
      <c r="T24" s="428"/>
      <c r="U24" s="976">
        <f>+'Exhibit F'!V22</f>
        <v>-15.2</v>
      </c>
      <c r="V24" s="428"/>
      <c r="W24" s="976"/>
      <c r="X24" s="428"/>
      <c r="Y24" s="976"/>
      <c r="Z24" s="428"/>
      <c r="AA24" s="1845"/>
      <c r="AB24" s="976">
        <f t="shared" si="0"/>
        <v>-770.3</v>
      </c>
      <c r="AC24" s="428"/>
      <c r="AD24" s="975"/>
      <c r="AE24" s="428">
        <f>+'Exhibit F'!AF22</f>
        <v>-624.79999999999995</v>
      </c>
      <c r="AF24" s="2025"/>
      <c r="AG24" s="2025"/>
      <c r="AH24" s="1146">
        <f>-ROUND(SUM(+AB24-AE24),1)</f>
        <v>145.5</v>
      </c>
      <c r="AI24" s="2005"/>
      <c r="AJ24" s="1847">
        <f t="shared" si="1"/>
        <v>0.23300000000000001</v>
      </c>
    </row>
    <row r="25" spans="1:36" ht="15">
      <c r="A25" s="2028" t="s">
        <v>1218</v>
      </c>
      <c r="B25" s="428"/>
      <c r="C25" s="976">
        <f>+'Exhibit F'!D23</f>
        <v>170.4</v>
      </c>
      <c r="D25" s="976"/>
      <c r="E25" s="976">
        <f>+'Exhibit F'!F23</f>
        <v>104.2</v>
      </c>
      <c r="F25" s="976"/>
      <c r="G25" s="976">
        <f>+'Exhibit F'!H23</f>
        <v>122.9</v>
      </c>
      <c r="H25" s="976"/>
      <c r="I25" s="976">
        <f>+'Exhibit F'!J23</f>
        <v>79.400000000000006</v>
      </c>
      <c r="J25" s="976"/>
      <c r="K25" s="976">
        <f>+'Exhibit F'!L23</f>
        <v>90.8</v>
      </c>
      <c r="L25" s="976"/>
      <c r="M25" s="976">
        <f>+'Exhibit F'!N23</f>
        <v>93.1</v>
      </c>
      <c r="N25" s="976"/>
      <c r="O25" s="976">
        <f>+'Exhibit F'!P23</f>
        <v>103.9</v>
      </c>
      <c r="P25" s="428"/>
      <c r="Q25" s="976">
        <f>+'Exhibit F'!R23</f>
        <v>93.3</v>
      </c>
      <c r="R25" s="428"/>
      <c r="S25" s="976">
        <f>+'Exhibit F'!T23</f>
        <v>102.4</v>
      </c>
      <c r="T25" s="428"/>
      <c r="U25" s="976">
        <f>+'Exhibit F'!V23</f>
        <v>118.8</v>
      </c>
      <c r="V25" s="428"/>
      <c r="W25" s="976"/>
      <c r="X25" s="428"/>
      <c r="Y25" s="976"/>
      <c r="Z25" s="428"/>
      <c r="AA25" s="1845"/>
      <c r="AB25" s="976">
        <f t="shared" si="0"/>
        <v>1079.2</v>
      </c>
      <c r="AC25" s="428"/>
      <c r="AD25" s="975"/>
      <c r="AE25" s="428">
        <f>+'Exhibit F'!AF23</f>
        <v>968.7</v>
      </c>
      <c r="AF25" s="2025"/>
      <c r="AG25" s="2025"/>
      <c r="AH25" s="1146">
        <f t="shared" si="2"/>
        <v>110.5</v>
      </c>
      <c r="AI25" s="2005"/>
      <c r="AJ25" s="1847">
        <f t="shared" si="1"/>
        <v>0.114</v>
      </c>
    </row>
    <row r="26" spans="1:36" ht="15.75">
      <c r="A26" s="1244" t="s">
        <v>1219</v>
      </c>
      <c r="B26" s="428"/>
      <c r="C26" s="482">
        <f>ROUND(SUM(C21:C25),1)</f>
        <v>9136.2000000000007</v>
      </c>
      <c r="D26" s="428"/>
      <c r="E26" s="482">
        <f>ROUND(SUM(E21:E25),1)</f>
        <v>2881.3</v>
      </c>
      <c r="F26" s="428"/>
      <c r="G26" s="482">
        <f>ROUND(SUM(G21:G25),1)</f>
        <v>4955.5</v>
      </c>
      <c r="H26" s="428"/>
      <c r="I26" s="482">
        <f>ROUND(SUM(I21:I25),1)</f>
        <v>2733.8</v>
      </c>
      <c r="J26" s="428"/>
      <c r="K26" s="482">
        <f>ROUND(SUM(K21:K25),1)</f>
        <v>3117.8</v>
      </c>
      <c r="L26" s="428"/>
      <c r="M26" s="482">
        <f>ROUND(SUM(M21:M25),1)</f>
        <v>4912.8999999999996</v>
      </c>
      <c r="N26" s="428"/>
      <c r="O26" s="482">
        <f>ROUND(SUM(O21:O25),1)</f>
        <v>2933.2</v>
      </c>
      <c r="P26" s="428"/>
      <c r="Q26" s="482">
        <f>ROUND(SUM(Q21:Q25),1)</f>
        <v>2913.6</v>
      </c>
      <c r="R26" s="428"/>
      <c r="S26" s="482">
        <f>ROUND(SUM(S21:S25),1)</f>
        <v>5287.9</v>
      </c>
      <c r="T26" s="428"/>
      <c r="U26" s="482">
        <f>ROUND(SUM(U21:U25),1)</f>
        <v>7740.4</v>
      </c>
      <c r="V26" s="428"/>
      <c r="W26" s="482">
        <f>ROUND(SUM(W21:W25),1)</f>
        <v>0</v>
      </c>
      <c r="X26" s="428"/>
      <c r="Y26" s="482">
        <f>ROUND(SUM(Y21:Y25),1)</f>
        <v>0</v>
      </c>
      <c r="Z26" s="428"/>
      <c r="AA26" s="1845"/>
      <c r="AB26" s="482">
        <f>ROUND(SUM(AB21:AB25),1)</f>
        <v>46612.6</v>
      </c>
      <c r="AC26" s="428"/>
      <c r="AD26" s="975"/>
      <c r="AE26" s="482">
        <f>ROUND(SUM(AE21:AE25),1)</f>
        <v>46977.8</v>
      </c>
      <c r="AF26" s="2025"/>
      <c r="AG26" s="2025"/>
      <c r="AH26" s="255">
        <f t="shared" si="2"/>
        <v>-365.2</v>
      </c>
      <c r="AI26" s="2005"/>
      <c r="AJ26" s="526">
        <f t="shared" si="1"/>
        <v>-8.0000000000000002E-3</v>
      </c>
    </row>
    <row r="27" spans="1:36" ht="15">
      <c r="A27" s="2028" t="s">
        <v>1221</v>
      </c>
      <c r="B27" s="428"/>
      <c r="C27" s="976">
        <f>+'Exhibit F'!D25+'Exhibit G state'!D18</f>
        <v>0</v>
      </c>
      <c r="D27" s="428"/>
      <c r="E27" s="976">
        <f>+'Exhibit F'!F25+'Exhibit G state'!F18</f>
        <v>0</v>
      </c>
      <c r="F27" s="428"/>
      <c r="G27" s="976">
        <f>+'Exhibit F'!H25+'Exhibit G state'!H18</f>
        <v>0</v>
      </c>
      <c r="H27" s="428"/>
      <c r="I27" s="976">
        <f>+'Exhibit F'!J25+'Exhibit G state'!J18</f>
        <v>0</v>
      </c>
      <c r="J27" s="428"/>
      <c r="K27" s="976">
        <f>+'Exhibit F'!L25+'Exhibit G state'!L18</f>
        <v>0</v>
      </c>
      <c r="L27" s="428"/>
      <c r="M27" s="976">
        <f>+'Exhibit F'!N25+'Exhibit G state'!N18</f>
        <v>0</v>
      </c>
      <c r="N27" s="428"/>
      <c r="O27" s="976">
        <f>+'Exhibit F'!P25+'Exhibit G state'!P18</f>
        <v>0</v>
      </c>
      <c r="P27" s="428"/>
      <c r="Q27" s="976">
        <f>+'Exhibit F'!R25+'Exhibit G state'!R18</f>
        <v>0</v>
      </c>
      <c r="R27" s="428"/>
      <c r="S27" s="976">
        <f>+'Exhibit F'!T25+'Exhibit G state'!T18</f>
        <v>0</v>
      </c>
      <c r="T27" s="428"/>
      <c r="U27" s="976">
        <f>+'Exhibit F'!V25+'Exhibit G state'!V18</f>
        <v>0</v>
      </c>
      <c r="V27" s="428"/>
      <c r="W27" s="976"/>
      <c r="X27" s="428"/>
      <c r="Y27" s="976"/>
      <c r="Z27" s="428"/>
      <c r="AA27" s="1845"/>
      <c r="AB27" s="976">
        <f t="shared" si="0"/>
        <v>0</v>
      </c>
      <c r="AC27" s="428"/>
      <c r="AD27" s="975"/>
      <c r="AE27" s="976">
        <f>+'Exhibit F'!AF25+'Exhibit G state'!AF18</f>
        <v>0</v>
      </c>
      <c r="AF27" s="2025"/>
      <c r="AG27" s="2025"/>
      <c r="AH27" s="1146">
        <f t="shared" si="2"/>
        <v>0</v>
      </c>
      <c r="AI27" s="2005"/>
      <c r="AJ27" s="1780">
        <f>ROUND(IF(AE27=0,0,AH27/ABS(AE27)),3)</f>
        <v>0</v>
      </c>
    </row>
    <row r="28" spans="1:36" ht="15">
      <c r="A28" s="2028" t="s">
        <v>1222</v>
      </c>
      <c r="B28" s="428"/>
      <c r="C28" s="976">
        <f>+'Exhibit F'!D26+'Exhibit H'!B16</f>
        <v>0</v>
      </c>
      <c r="D28" s="428"/>
      <c r="E28" s="976">
        <f>+'Exhibit F'!F26+'Exhibit H'!D16</f>
        <v>0</v>
      </c>
      <c r="F28" s="428"/>
      <c r="G28" s="976">
        <f>+'Exhibit F'!H26+'Exhibit H'!F16</f>
        <v>0</v>
      </c>
      <c r="H28" s="428"/>
      <c r="I28" s="976">
        <f>+'Exhibit F'!J26+'Exhibit H'!H16</f>
        <v>0</v>
      </c>
      <c r="J28" s="428"/>
      <c r="K28" s="976">
        <f>+'Exhibit F'!L26+'Exhibit H'!J16</f>
        <v>0</v>
      </c>
      <c r="L28" s="428"/>
      <c r="M28" s="976">
        <f>+'Exhibit F'!N26+'Exhibit H'!L16</f>
        <v>0</v>
      </c>
      <c r="N28" s="428"/>
      <c r="O28" s="976">
        <f>+'Exhibit F'!P26+'Exhibit H'!N16</f>
        <v>0</v>
      </c>
      <c r="P28" s="428"/>
      <c r="Q28" s="976">
        <f>+'Exhibit F'!R26+'Exhibit H'!P16</f>
        <v>0</v>
      </c>
      <c r="R28" s="428"/>
      <c r="S28" s="976">
        <f>+'Exhibit F'!T26+'Exhibit H'!R16</f>
        <v>0</v>
      </c>
      <c r="T28" s="428"/>
      <c r="U28" s="976">
        <f>+'Exhibit F'!V26+'Exhibit H'!T16</f>
        <v>0</v>
      </c>
      <c r="V28" s="428"/>
      <c r="W28" s="976"/>
      <c r="X28" s="428"/>
      <c r="Y28" s="976"/>
      <c r="Z28" s="428"/>
      <c r="AA28" s="1845"/>
      <c r="AB28" s="976">
        <f t="shared" si="0"/>
        <v>0</v>
      </c>
      <c r="AC28" s="428"/>
      <c r="AD28" s="975"/>
      <c r="AE28" s="976">
        <f>+'Exhibit F'!AF26+'Exhibit H'!AD16</f>
        <v>0</v>
      </c>
      <c r="AF28" s="2025"/>
      <c r="AG28" s="2025"/>
      <c r="AH28" s="1146">
        <f t="shared" si="2"/>
        <v>0</v>
      </c>
      <c r="AI28" s="2005"/>
      <c r="AJ28" s="1780">
        <f>ROUND(IF(AE28=0,0,AH28/ABS(AE28)),3)</f>
        <v>0</v>
      </c>
    </row>
    <row r="29" spans="1:36" ht="15">
      <c r="A29" s="1243" t="s">
        <v>1223</v>
      </c>
      <c r="B29" s="976"/>
      <c r="C29" s="976">
        <f>+'Exhibit F'!D27</f>
        <v>-2752.5</v>
      </c>
      <c r="D29" s="976"/>
      <c r="E29" s="976">
        <f>+'Exhibit F'!F27</f>
        <v>-695.6</v>
      </c>
      <c r="F29" s="976"/>
      <c r="G29" s="976">
        <f>+'Exhibit F'!H27</f>
        <v>-231.6</v>
      </c>
      <c r="H29" s="976"/>
      <c r="I29" s="976">
        <f>+'Exhibit F'!J27</f>
        <v>-172</v>
      </c>
      <c r="J29" s="976"/>
      <c r="K29" s="976">
        <f>+'Exhibit F'!L27</f>
        <v>-178</v>
      </c>
      <c r="L29" s="428"/>
      <c r="M29" s="976">
        <f>+'Exhibit F'!N27</f>
        <v>-208.5</v>
      </c>
      <c r="N29" s="428"/>
      <c r="O29" s="976">
        <f>+'Exhibit F'!P27</f>
        <v>-400.5</v>
      </c>
      <c r="P29" s="428"/>
      <c r="Q29" s="976">
        <f>+'Exhibit F'!R27</f>
        <v>-819.8</v>
      </c>
      <c r="R29" s="428"/>
      <c r="S29" s="976">
        <f>+'Exhibit F'!T27</f>
        <v>-535.70000000000005</v>
      </c>
      <c r="T29" s="428"/>
      <c r="U29" s="976">
        <f>+'Exhibit F'!V27</f>
        <v>-145.5</v>
      </c>
      <c r="V29" s="428"/>
      <c r="W29" s="976"/>
      <c r="X29" s="428"/>
      <c r="Y29" s="976"/>
      <c r="Z29" s="428"/>
      <c r="AA29" s="1845"/>
      <c r="AB29" s="976">
        <f t="shared" si="0"/>
        <v>-6139.7</v>
      </c>
      <c r="AC29" s="428"/>
      <c r="AD29" s="975"/>
      <c r="AE29" s="428">
        <f>+'Exhibit F'!AF27</f>
        <v>-5736.1</v>
      </c>
      <c r="AF29" s="2025"/>
      <c r="AG29" s="2025"/>
      <c r="AH29" s="1146">
        <f>-ROUND(SUM(+AB29-AE29),1)</f>
        <v>403.6</v>
      </c>
      <c r="AI29" s="2005"/>
      <c r="AJ29" s="1847">
        <f>ROUND(SUM(+AH29/ABS(AE29)),3)</f>
        <v>7.0000000000000007E-2</v>
      </c>
    </row>
    <row r="30" spans="1:36" ht="15.75">
      <c r="A30" s="587" t="s">
        <v>1220</v>
      </c>
      <c r="B30" s="428"/>
      <c r="C30" s="482">
        <f>ROUND(SUM(C26+C27+C28+C29),1)</f>
        <v>6383.7</v>
      </c>
      <c r="D30" s="428"/>
      <c r="E30" s="482">
        <f>ROUND(SUM(E26+E27+E28+E29),1)</f>
        <v>2185.6999999999998</v>
      </c>
      <c r="F30" s="428"/>
      <c r="G30" s="482">
        <f>ROUND(SUM(G26+G27+G28+G29),1)</f>
        <v>4723.8999999999996</v>
      </c>
      <c r="H30" s="428"/>
      <c r="I30" s="482">
        <f>ROUND(SUM(I26+I27+I28+I29),1)</f>
        <v>2561.8000000000002</v>
      </c>
      <c r="J30" s="428"/>
      <c r="K30" s="482">
        <f>ROUND(SUM(K26+K27+K28+K29),1)</f>
        <v>2939.8</v>
      </c>
      <c r="L30" s="428"/>
      <c r="M30" s="482">
        <f>ROUND(SUM(M26+M27+M28+M29),1)</f>
        <v>4704.3999999999996</v>
      </c>
      <c r="N30" s="428"/>
      <c r="O30" s="482">
        <f>ROUND(SUM(O26+O27+O28+O29),1)</f>
        <v>2532.6999999999998</v>
      </c>
      <c r="P30" s="428"/>
      <c r="Q30" s="482">
        <f>ROUND(SUM(Q26+Q27+Q28+Q29),1)</f>
        <v>2093.8000000000002</v>
      </c>
      <c r="R30" s="428"/>
      <c r="S30" s="482">
        <f>ROUND(SUM(S26+S27+S28+S29),1)</f>
        <v>4752.2</v>
      </c>
      <c r="T30" s="428"/>
      <c r="U30" s="482">
        <f>ROUND(SUM(U26+U27+U28+U29),1)</f>
        <v>7594.9</v>
      </c>
      <c r="V30" s="428"/>
      <c r="W30" s="482">
        <f>ROUND(SUM(W26+W27+W28+W29),1)</f>
        <v>0</v>
      </c>
      <c r="X30" s="428"/>
      <c r="Y30" s="482">
        <f>ROUND(SUM(Y26+Y27+Y28+Y29),1)</f>
        <v>0</v>
      </c>
      <c r="Z30" s="428"/>
      <c r="AA30" s="1845"/>
      <c r="AB30" s="482">
        <f>ROUND(SUM(AB26+AB27+AB28+AB29),1)</f>
        <v>40472.9</v>
      </c>
      <c r="AC30" s="428"/>
      <c r="AD30" s="975"/>
      <c r="AE30" s="482">
        <f>ROUND(SUM(AE26+AE27+AE28+AE29),1)</f>
        <v>41241.699999999997</v>
      </c>
      <c r="AF30" s="2025"/>
      <c r="AG30" s="2025"/>
      <c r="AH30" s="482">
        <f>ROUND(SUM(AH26+AH27+AH28-AH29),1)</f>
        <v>-768.8</v>
      </c>
      <c r="AI30" s="2004"/>
      <c r="AJ30" s="526">
        <f>ROUND(SUM(+AH30/ABS(AE30)),3)</f>
        <v>-1.9E-2</v>
      </c>
    </row>
    <row r="31" spans="1:36" ht="15">
      <c r="A31" s="1990" t="s">
        <v>1276</v>
      </c>
      <c r="B31" s="428"/>
      <c r="C31" s="428"/>
      <c r="D31" s="428"/>
      <c r="E31" s="428"/>
      <c r="F31" s="428"/>
      <c r="G31" s="428"/>
      <c r="H31" s="428"/>
      <c r="I31" s="428"/>
      <c r="J31" s="428"/>
      <c r="K31" s="428"/>
      <c r="L31" s="428"/>
      <c r="M31" s="428"/>
      <c r="N31" s="428"/>
      <c r="O31" s="973"/>
      <c r="P31" s="428"/>
      <c r="Q31" s="973"/>
      <c r="R31" s="428"/>
      <c r="S31" s="973"/>
      <c r="T31" s="428"/>
      <c r="U31" s="973"/>
      <c r="V31" s="428"/>
      <c r="W31" s="973"/>
      <c r="X31" s="428"/>
      <c r="Y31" s="973"/>
      <c r="Z31" s="428"/>
      <c r="AA31" s="1845"/>
      <c r="AB31" s="428"/>
      <c r="AC31" s="428"/>
      <c r="AD31" s="975"/>
      <c r="AE31" s="428"/>
      <c r="AF31" s="2025"/>
      <c r="AG31" s="2025"/>
      <c r="AH31" s="1632"/>
      <c r="AI31" s="428"/>
      <c r="AJ31" s="1632"/>
    </row>
    <row r="32" spans="1:36" ht="15">
      <c r="A32" s="1243" t="s">
        <v>1226</v>
      </c>
      <c r="B32" s="428"/>
      <c r="C32" s="976">
        <f>+'Exhibit F'!D30+'Exhibit H'!B19+'Exhibit G state'!D22</f>
        <v>1087</v>
      </c>
      <c r="D32" s="976"/>
      <c r="E32" s="976">
        <f>+'Exhibit F'!F30+'Exhibit H'!D19+'Exhibit G state'!F22</f>
        <v>1014.8</v>
      </c>
      <c r="F32" s="976"/>
      <c r="G32" s="976">
        <f>+'Exhibit F'!H30+'Exhibit H'!F19+'Exhibit G state'!H22</f>
        <v>1400</v>
      </c>
      <c r="H32" s="976"/>
      <c r="I32" s="976">
        <f>+'Exhibit F'!J30+'Exhibit H'!H19+'Exhibit G state'!J22</f>
        <v>1086.5</v>
      </c>
      <c r="J32" s="976"/>
      <c r="K32" s="976">
        <f>+'Exhibit F'!L30+'Exhibit H'!J19+'Exhibit G state'!L22</f>
        <v>1036.8999999999999</v>
      </c>
      <c r="L32" s="428"/>
      <c r="M32" s="976">
        <f>+'Exhibit F'!N30+'Exhibit H'!L19+'Exhibit G state'!N22</f>
        <v>1397.7</v>
      </c>
      <c r="N32" s="428"/>
      <c r="O32" s="976">
        <f>+'Exhibit F'!P30+'Exhibit H'!N19+'Exhibit G state'!P22</f>
        <v>1069.8</v>
      </c>
      <c r="P32" s="428"/>
      <c r="Q32" s="976">
        <f>+'Exhibit F'!R30+'Exhibit H'!P19+'Exhibit G state'!R22</f>
        <v>1066.8</v>
      </c>
      <c r="R32" s="428"/>
      <c r="S32" s="976">
        <f>+'Exhibit F'!T30+'Exhibit H'!R19+'Exhibit G state'!T22</f>
        <v>1362.3</v>
      </c>
      <c r="T32" s="428"/>
      <c r="U32" s="976">
        <f>+'Exhibit F'!V30+'Exhibit H'!T19+'Exhibit G state'!V22</f>
        <v>1144.6000000000001</v>
      </c>
      <c r="V32" s="428"/>
      <c r="W32" s="976"/>
      <c r="X32" s="428"/>
      <c r="Y32" s="976"/>
      <c r="Z32" s="428"/>
      <c r="AA32" s="1845"/>
      <c r="AB32" s="976">
        <f t="shared" ref="AB32:AB39" si="3">ROUND(SUM(C32:Y32),1)</f>
        <v>11666.4</v>
      </c>
      <c r="AC32" s="428"/>
      <c r="AD32" s="975"/>
      <c r="AE32" s="428">
        <f>+'Exhibit F'!AF30+'Exhibit H'!AD19+'Exhibit G state'!AF22</f>
        <v>11208.300000000001</v>
      </c>
      <c r="AF32" s="2025"/>
      <c r="AG32" s="2025"/>
      <c r="AH32" s="1146">
        <f t="shared" ref="AH32:AH39" si="4">ROUND(SUM(+AB32-AE32),1)</f>
        <v>458.1</v>
      </c>
      <c r="AI32" s="2005"/>
      <c r="AJ32" s="1847">
        <f>ROUND(SUM(+AH32/ABS(AE32)),3)</f>
        <v>4.1000000000000002E-2</v>
      </c>
    </row>
    <row r="33" spans="1:36" ht="15">
      <c r="A33" s="1243" t="s">
        <v>1227</v>
      </c>
      <c r="B33" s="428"/>
      <c r="C33" s="976">
        <f>+'Exhibit F'!D31+'Exhibit G state'!D23</f>
        <v>0.7</v>
      </c>
      <c r="D33" s="976"/>
      <c r="E33" s="976">
        <f>+'Exhibit F'!F31+'Exhibit G state'!F23</f>
        <v>0</v>
      </c>
      <c r="F33" s="976"/>
      <c r="G33" s="976">
        <f>+'Exhibit F'!H31+'Exhibit G state'!H23</f>
        <v>13.4</v>
      </c>
      <c r="H33" s="976"/>
      <c r="I33" s="976">
        <f>+'Exhibit F'!J31+'Exhibit G state'!J23</f>
        <v>4.5</v>
      </c>
      <c r="J33" s="976"/>
      <c r="K33" s="976">
        <f>+'Exhibit F'!L31+'Exhibit G state'!L23</f>
        <v>4.4000000000000004</v>
      </c>
      <c r="L33" s="428"/>
      <c r="M33" s="976">
        <f>+'Exhibit F'!N31+'Exhibit G state'!N23</f>
        <v>5.4</v>
      </c>
      <c r="N33" s="428"/>
      <c r="O33" s="976">
        <f>+'Exhibit F'!P31+'Exhibit G state'!P23</f>
        <v>3.7</v>
      </c>
      <c r="P33" s="428"/>
      <c r="Q33" s="976">
        <f>+'Exhibit F'!R31+'Exhibit G state'!R23</f>
        <v>3.8</v>
      </c>
      <c r="R33" s="428"/>
      <c r="S33" s="976">
        <f>+'Exhibit F'!T31+'Exhibit G state'!T23</f>
        <v>4</v>
      </c>
      <c r="T33" s="428"/>
      <c r="U33" s="976">
        <f>+'Exhibit F'!V31+'Exhibit G state'!V23</f>
        <v>3.4</v>
      </c>
      <c r="V33" s="428"/>
      <c r="W33" s="976"/>
      <c r="X33" s="428"/>
      <c r="Y33" s="976"/>
      <c r="Z33" s="428"/>
      <c r="AA33" s="1845"/>
      <c r="AB33" s="976">
        <f t="shared" si="3"/>
        <v>43.3</v>
      </c>
      <c r="AC33" s="428"/>
      <c r="AD33" s="975"/>
      <c r="AE33" s="428">
        <f>+'Exhibit F'!AF31+'Exhibit G state'!AF23</f>
        <v>39.299999999999997</v>
      </c>
      <c r="AF33" s="2025"/>
      <c r="AG33" s="2025"/>
      <c r="AH33" s="1146">
        <f t="shared" si="4"/>
        <v>4</v>
      </c>
      <c r="AI33" s="2005"/>
      <c r="AJ33" s="1847">
        <f>ROUND(SUM(+AH33/ABS(AE33)),3)</f>
        <v>0.10199999999999999</v>
      </c>
    </row>
    <row r="34" spans="1:36" ht="15">
      <c r="A34" s="1243" t="s">
        <v>1228</v>
      </c>
      <c r="B34" s="428"/>
      <c r="C34" s="976">
        <f>+'Exhibit F'!D32+'Exhibit G state'!D24</f>
        <v>98.600000000000009</v>
      </c>
      <c r="D34" s="976"/>
      <c r="E34" s="976">
        <f>+'Exhibit F'!F32+'Exhibit G state'!F24</f>
        <v>99.4</v>
      </c>
      <c r="F34" s="976"/>
      <c r="G34" s="976">
        <f>+'Exhibit F'!H32+'Exhibit G state'!H24</f>
        <v>120.80000000000001</v>
      </c>
      <c r="H34" s="976"/>
      <c r="I34" s="976">
        <f>+'Exhibit F'!J32+'Exhibit G state'!J24</f>
        <v>103.8</v>
      </c>
      <c r="J34" s="976"/>
      <c r="K34" s="976">
        <f>+'Exhibit F'!L32+'Exhibit G state'!L24</f>
        <v>120.6</v>
      </c>
      <c r="L34" s="428"/>
      <c r="M34" s="976">
        <f>+'Exhibit F'!N32+'Exhibit G state'!N24</f>
        <v>111.8</v>
      </c>
      <c r="N34" s="428"/>
      <c r="O34" s="976">
        <f>+'Exhibit F'!P32+'Exhibit G state'!P24</f>
        <v>101.39999999999999</v>
      </c>
      <c r="P34" s="428"/>
      <c r="Q34" s="976">
        <f>+'Exhibit F'!R32+'Exhibit G state'!R24</f>
        <v>110.69999999999999</v>
      </c>
      <c r="R34" s="428"/>
      <c r="S34" s="976">
        <f>+'Exhibit F'!T32+'Exhibit G state'!T24</f>
        <v>103.80000000000001</v>
      </c>
      <c r="T34" s="428"/>
      <c r="U34" s="976">
        <f>+'Exhibit F'!V32+'Exhibit G state'!V24</f>
        <v>99.8</v>
      </c>
      <c r="V34" s="428"/>
      <c r="W34" s="976"/>
      <c r="X34" s="428"/>
      <c r="Y34" s="976"/>
      <c r="Z34" s="428"/>
      <c r="AA34" s="1845"/>
      <c r="AB34" s="976">
        <f t="shared" si="3"/>
        <v>1070.7</v>
      </c>
      <c r="AC34" s="428"/>
      <c r="AD34" s="975"/>
      <c r="AE34" s="428">
        <f>+'Exhibit F'!AF32+'Exhibit G state'!AF24</f>
        <v>1070.6999999999998</v>
      </c>
      <c r="AF34" s="2025"/>
      <c r="AG34" s="2025"/>
      <c r="AH34" s="1146">
        <f t="shared" si="4"/>
        <v>0</v>
      </c>
      <c r="AI34" s="2005"/>
      <c r="AJ34" s="1847">
        <f>ROUND(SUM(+AH34/ABS(AE34)),3)</f>
        <v>0</v>
      </c>
    </row>
    <row r="35" spans="1:36" ht="15">
      <c r="A35" s="1243" t="s">
        <v>1406</v>
      </c>
      <c r="B35" s="2927"/>
      <c r="C35" s="976">
        <f>'Exhibit G state'!D25</f>
        <v>0</v>
      </c>
      <c r="D35" s="976"/>
      <c r="E35" s="976">
        <f>'Exhibit G state'!F25</f>
        <v>0</v>
      </c>
      <c r="F35" s="976"/>
      <c r="G35" s="976">
        <f>'Exhibit G state'!H25</f>
        <v>0.1</v>
      </c>
      <c r="H35" s="976"/>
      <c r="I35" s="976">
        <f>'Exhibit G state'!J25</f>
        <v>0</v>
      </c>
      <c r="J35" s="976"/>
      <c r="K35" s="976">
        <f>'Exhibit G state'!L25</f>
        <v>0</v>
      </c>
      <c r="L35" s="2927"/>
      <c r="M35" s="976">
        <f>'Exhibit G state'!N25</f>
        <v>0.1</v>
      </c>
      <c r="N35" s="2927"/>
      <c r="O35" s="976">
        <f>'Exhibit G state'!P25</f>
        <v>0.1</v>
      </c>
      <c r="P35" s="2927"/>
      <c r="Q35" s="976">
        <f>'Exhibit G state'!R25</f>
        <v>0</v>
      </c>
      <c r="R35" s="2927"/>
      <c r="S35" s="976">
        <f>'Exhibit G state'!T25</f>
        <v>0.1</v>
      </c>
      <c r="T35" s="2927"/>
      <c r="U35" s="976">
        <f>'Exhibit G state'!V25</f>
        <v>0</v>
      </c>
      <c r="V35" s="2927"/>
      <c r="W35" s="976"/>
      <c r="X35" s="2927"/>
      <c r="Y35" s="976"/>
      <c r="Z35" s="2927"/>
      <c r="AA35" s="1845"/>
      <c r="AB35" s="976">
        <f t="shared" si="3"/>
        <v>0.4</v>
      </c>
      <c r="AC35" s="2927"/>
      <c r="AD35" s="975"/>
      <c r="AE35" s="976">
        <v>0</v>
      </c>
      <c r="AF35" s="2025"/>
      <c r="AG35" s="2025"/>
      <c r="AH35" s="2925">
        <f t="shared" ref="AH35" si="5">ROUND(SUM(+AB35-AE35),1)</f>
        <v>0.4</v>
      </c>
      <c r="AI35" s="2005"/>
      <c r="AJ35" s="2679">
        <f>ROUND(IF(AE35=0,1,AH35/ABS(AE35)),3)</f>
        <v>1</v>
      </c>
    </row>
    <row r="36" spans="1:36" ht="15">
      <c r="A36" s="1243" t="s">
        <v>1229</v>
      </c>
      <c r="B36" s="428"/>
      <c r="C36" s="976">
        <f>+'Exhibit F'!D33+'Exhibit G state'!D26</f>
        <v>8.1999999999999993</v>
      </c>
      <c r="D36" s="976"/>
      <c r="E36" s="976">
        <f>+'Exhibit F'!F33+'Exhibit G state'!F26</f>
        <v>7.9</v>
      </c>
      <c r="F36" s="976"/>
      <c r="G36" s="976">
        <f>+'Exhibit F'!H33+'Exhibit G state'!H26</f>
        <v>9.1999999999999993</v>
      </c>
      <c r="H36" s="976"/>
      <c r="I36" s="976">
        <f>+'Exhibit F'!J33+'Exhibit G state'!J26</f>
        <v>10.1</v>
      </c>
      <c r="J36" s="976"/>
      <c r="K36" s="976">
        <f>+'Exhibit F'!L33+'Exhibit G state'!L26</f>
        <v>10.5</v>
      </c>
      <c r="L36" s="428"/>
      <c r="M36" s="976">
        <f>+'Exhibit F'!N33+'Exhibit G state'!N26</f>
        <v>9.5</v>
      </c>
      <c r="N36" s="428"/>
      <c r="O36" s="976">
        <f>+'Exhibit F'!P33+'Exhibit G state'!P26</f>
        <v>9.4</v>
      </c>
      <c r="P36" s="428"/>
      <c r="Q36" s="976">
        <f>+'Exhibit F'!R33+'Exhibit G state'!R26</f>
        <v>9.6</v>
      </c>
      <c r="R36" s="428"/>
      <c r="S36" s="976">
        <f>+'Exhibit F'!T33+'Exhibit G state'!T26</f>
        <v>8.9</v>
      </c>
      <c r="T36" s="428"/>
      <c r="U36" s="976">
        <f>+'Exhibit F'!V33+'Exhibit G state'!V26</f>
        <v>9</v>
      </c>
      <c r="V36" s="428"/>
      <c r="W36" s="976"/>
      <c r="X36" s="428"/>
      <c r="Y36" s="976"/>
      <c r="Z36" s="428"/>
      <c r="AA36" s="1845"/>
      <c r="AB36" s="976">
        <f t="shared" si="3"/>
        <v>92.3</v>
      </c>
      <c r="AC36" s="428"/>
      <c r="AD36" s="975"/>
      <c r="AE36" s="428">
        <f>+'Exhibit F'!AF33+'Exhibit G state'!AF26</f>
        <v>87.5</v>
      </c>
      <c r="AF36" s="2025"/>
      <c r="AG36" s="2025"/>
      <c r="AH36" s="1146">
        <f t="shared" si="4"/>
        <v>4.8</v>
      </c>
      <c r="AI36" s="2005"/>
      <c r="AJ36" s="1847">
        <f>ROUND(SUM(+AH36/ABS(AE36)),3)</f>
        <v>5.5E-2</v>
      </c>
    </row>
    <row r="37" spans="1:36" ht="15">
      <c r="A37" s="1243" t="s">
        <v>1230</v>
      </c>
      <c r="B37" s="428"/>
      <c r="C37" s="976">
        <f>+'Exhibit F'!D34+'Exhibit G state'!D27</f>
        <v>20.399999999999999</v>
      </c>
      <c r="D37" s="976"/>
      <c r="E37" s="976">
        <f>+'Exhibit F'!F34+'Exhibit G state'!F27</f>
        <v>19.3</v>
      </c>
      <c r="F37" s="976"/>
      <c r="G37" s="976">
        <f>+'Exhibit F'!H34+'Exhibit G state'!H27</f>
        <v>21.7</v>
      </c>
      <c r="H37" s="976"/>
      <c r="I37" s="976">
        <f>+'Exhibit F'!J34+'Exhibit G state'!J27</f>
        <v>29.8</v>
      </c>
      <c r="J37" s="976"/>
      <c r="K37" s="976">
        <f>+'Exhibit F'!L34+'Exhibit G state'!L27</f>
        <v>16.5</v>
      </c>
      <c r="L37" s="428"/>
      <c r="M37" s="976">
        <f>+'Exhibit F'!N34+'Exhibit G state'!N27</f>
        <v>24.4</v>
      </c>
      <c r="N37" s="428"/>
      <c r="O37" s="976">
        <f>+'Exhibit F'!P34+'Exhibit G state'!P27</f>
        <v>20.3</v>
      </c>
      <c r="P37" s="428"/>
      <c r="Q37" s="976">
        <f>+'Exhibit F'!R34+'Exhibit G state'!R27</f>
        <v>20.6</v>
      </c>
      <c r="R37" s="428"/>
      <c r="S37" s="976">
        <f>+'Exhibit F'!T34+'Exhibit G state'!T27</f>
        <v>22</v>
      </c>
      <c r="T37" s="428"/>
      <c r="U37" s="976">
        <f>+'Exhibit F'!V34+'Exhibit G state'!V27</f>
        <v>32.4</v>
      </c>
      <c r="V37" s="428"/>
      <c r="W37" s="976"/>
      <c r="X37" s="428"/>
      <c r="Y37" s="976"/>
      <c r="Z37" s="428"/>
      <c r="AA37" s="1845"/>
      <c r="AB37" s="976">
        <f t="shared" si="3"/>
        <v>227.4</v>
      </c>
      <c r="AC37" s="428"/>
      <c r="AD37" s="975"/>
      <c r="AE37" s="428">
        <f>+'Exhibit F'!AF34+'Exhibit G state'!AF27</f>
        <v>224</v>
      </c>
      <c r="AF37" s="2025"/>
      <c r="AG37" s="2025"/>
      <c r="AH37" s="1146">
        <f t="shared" si="4"/>
        <v>3.4</v>
      </c>
      <c r="AI37" s="2005"/>
      <c r="AJ37" s="1847">
        <f>ROUND(SUM(+AH37/ABS(AE37)),3)</f>
        <v>1.4999999999999999E-2</v>
      </c>
    </row>
    <row r="38" spans="1:36" ht="15">
      <c r="A38" s="1243" t="s">
        <v>1231</v>
      </c>
      <c r="B38" s="428"/>
      <c r="C38" s="976">
        <f>+'Exhibit F'!D35+'Exhibit G state'!D28</f>
        <v>0</v>
      </c>
      <c r="D38" s="976"/>
      <c r="E38" s="976">
        <f>+'Exhibit F'!F35+'Exhibit G state'!F28</f>
        <v>0</v>
      </c>
      <c r="F38" s="976"/>
      <c r="G38" s="976">
        <f>+'Exhibit F'!H35+'Exhibit G state'!H28</f>
        <v>0</v>
      </c>
      <c r="H38" s="976"/>
      <c r="I38" s="976">
        <f>+'Exhibit F'!J35+'Exhibit G state'!J28</f>
        <v>0</v>
      </c>
      <c r="J38" s="976"/>
      <c r="K38" s="976">
        <f>+'Exhibit F'!L35+'Exhibit G state'!L28</f>
        <v>0</v>
      </c>
      <c r="L38" s="428"/>
      <c r="M38" s="976">
        <f>+'Exhibit F'!N35+'Exhibit G state'!N28</f>
        <v>0</v>
      </c>
      <c r="N38" s="428"/>
      <c r="O38" s="976">
        <f>+'Exhibit F'!P35+'Exhibit G state'!P28</f>
        <v>1.7</v>
      </c>
      <c r="P38" s="428"/>
      <c r="Q38" s="976">
        <f>+'Exhibit F'!R35+'Exhibit G state'!R28</f>
        <v>0.2</v>
      </c>
      <c r="R38" s="428"/>
      <c r="S38" s="976">
        <f>+'Exhibit F'!T35+'Exhibit G state'!T28</f>
        <v>0.3</v>
      </c>
      <c r="T38" s="428"/>
      <c r="U38" s="976">
        <f>+'Exhibit F'!V35+'Exhibit G state'!V28</f>
        <v>-0.2</v>
      </c>
      <c r="V38" s="428"/>
      <c r="W38" s="976"/>
      <c r="X38" s="428"/>
      <c r="Y38" s="976"/>
      <c r="Z38" s="428"/>
      <c r="AA38" s="1845"/>
      <c r="AB38" s="976">
        <f t="shared" si="3"/>
        <v>2</v>
      </c>
      <c r="AC38" s="428"/>
      <c r="AD38" s="975"/>
      <c r="AE38" s="976">
        <f>+'Exhibit F'!AF35+'Exhibit G state'!AF28</f>
        <v>0</v>
      </c>
      <c r="AF38" s="2025"/>
      <c r="AG38" s="2025"/>
      <c r="AH38" s="1146">
        <f t="shared" si="4"/>
        <v>2</v>
      </c>
      <c r="AI38" s="2005"/>
      <c r="AJ38" s="2679">
        <f>ROUND(IF(AE38=0,1,AH38/ABS(AE38)),3)</f>
        <v>1</v>
      </c>
    </row>
    <row r="39" spans="1:36" ht="15">
      <c r="A39" s="2029" t="s">
        <v>1232</v>
      </c>
      <c r="B39" s="428"/>
      <c r="C39" s="976">
        <f>+'Exhibit F'!D36+'Exhibit G state'!D29</f>
        <v>15.7</v>
      </c>
      <c r="D39" s="976"/>
      <c r="E39" s="976">
        <f>+'Exhibit F'!F36+'Exhibit G state'!F29</f>
        <v>0.6</v>
      </c>
      <c r="F39" s="976"/>
      <c r="G39" s="976">
        <f>+'Exhibit F'!H36+'Exhibit G state'!H29</f>
        <v>0.6</v>
      </c>
      <c r="H39" s="976"/>
      <c r="I39" s="976">
        <f>+'Exhibit F'!J36+'Exhibit G state'!J29</f>
        <v>15.7</v>
      </c>
      <c r="J39" s="976"/>
      <c r="K39" s="976">
        <f>+'Exhibit F'!L36+'Exhibit G state'!L29</f>
        <v>0.5</v>
      </c>
      <c r="L39" s="428"/>
      <c r="M39" s="976">
        <f>+'Exhibit F'!N36+'Exhibit G state'!N29</f>
        <v>0.6</v>
      </c>
      <c r="N39" s="428"/>
      <c r="O39" s="976">
        <f>+'Exhibit F'!P36+'Exhibit G state'!P29</f>
        <v>14.5</v>
      </c>
      <c r="P39" s="428"/>
      <c r="Q39" s="976">
        <f>+'Exhibit F'!R36+'Exhibit G state'!R29</f>
        <v>0.3</v>
      </c>
      <c r="R39" s="428"/>
      <c r="S39" s="976">
        <f>+'Exhibit F'!T36+'Exhibit G state'!T29</f>
        <v>0.8</v>
      </c>
      <c r="T39" s="428"/>
      <c r="U39" s="976">
        <f>+'Exhibit F'!V36+'Exhibit G state'!V29</f>
        <v>14</v>
      </c>
      <c r="V39" s="428"/>
      <c r="W39" s="976"/>
      <c r="X39" s="428"/>
      <c r="Y39" s="976"/>
      <c r="Z39" s="428"/>
      <c r="AA39" s="1845"/>
      <c r="AB39" s="976">
        <f t="shared" si="3"/>
        <v>63.3</v>
      </c>
      <c r="AC39" s="428"/>
      <c r="AD39" s="975"/>
      <c r="AE39" s="428">
        <f>+'Exhibit F'!AF36+'Exhibit G state'!AF29</f>
        <v>71.7</v>
      </c>
      <c r="AF39" s="2025"/>
      <c r="AG39" s="2025"/>
      <c r="AH39" s="1146">
        <f t="shared" si="4"/>
        <v>-8.4</v>
      </c>
      <c r="AI39" s="2005"/>
      <c r="AJ39" s="1847">
        <f>ROUND(SUM(+AH39/ABS(AE39)),3)</f>
        <v>-0.11700000000000001</v>
      </c>
    </row>
    <row r="40" spans="1:36" ht="15.75">
      <c r="A40" s="587" t="s">
        <v>1225</v>
      </c>
      <c r="B40" s="428"/>
      <c r="C40" s="482">
        <f>ROUND(SUM(C32:C39),1)</f>
        <v>1230.5999999999999</v>
      </c>
      <c r="D40" s="428"/>
      <c r="E40" s="482">
        <f>ROUND(SUM(E32:E39),1)</f>
        <v>1142</v>
      </c>
      <c r="F40" s="428"/>
      <c r="G40" s="482">
        <f>ROUND(SUM(G32:G39),1)</f>
        <v>1565.8</v>
      </c>
      <c r="H40" s="428"/>
      <c r="I40" s="482">
        <f>ROUND(SUM(I32:I39),1)</f>
        <v>1250.4000000000001</v>
      </c>
      <c r="J40" s="428"/>
      <c r="K40" s="482">
        <f>ROUND(SUM(K32:K39),1)</f>
        <v>1189.4000000000001</v>
      </c>
      <c r="L40" s="428"/>
      <c r="M40" s="482">
        <f>ROUND(SUM(M32:M39),1)</f>
        <v>1549.5</v>
      </c>
      <c r="N40" s="428"/>
      <c r="O40" s="482">
        <f>ROUND(SUM(O32:O39),1)</f>
        <v>1220.9000000000001</v>
      </c>
      <c r="P40" s="428"/>
      <c r="Q40" s="482">
        <f>ROUND(SUM(Q32:Q39),1)</f>
        <v>1212</v>
      </c>
      <c r="R40" s="428"/>
      <c r="S40" s="482">
        <f>ROUND(SUM(S32:S39),1)</f>
        <v>1502.2</v>
      </c>
      <c r="T40" s="428"/>
      <c r="U40" s="482">
        <f>ROUND(SUM(U32:U39),1)</f>
        <v>1303</v>
      </c>
      <c r="V40" s="428"/>
      <c r="W40" s="482">
        <f>ROUND(SUM(W32:W39),1)</f>
        <v>0</v>
      </c>
      <c r="X40" s="428"/>
      <c r="Y40" s="482">
        <f>ROUND(SUM(Y32:Y39),1)</f>
        <v>0</v>
      </c>
      <c r="Z40" s="428"/>
      <c r="AA40" s="1845"/>
      <c r="AB40" s="482">
        <f>ROUND(SUM(AB32:AB39),1)</f>
        <v>13165.8</v>
      </c>
      <c r="AC40" s="428"/>
      <c r="AD40" s="975"/>
      <c r="AE40" s="482">
        <f>ROUND(SUM(AE32:AE39),1)</f>
        <v>12701.5</v>
      </c>
      <c r="AF40" s="2025"/>
      <c r="AG40" s="2025"/>
      <c r="AH40" s="482">
        <f>ROUND(SUM(AH32:AH39),1)</f>
        <v>464.3</v>
      </c>
      <c r="AI40" s="2004"/>
      <c r="AJ40" s="526">
        <f>ROUND(SUM(+AH40/ABS(AE40)),3)</f>
        <v>3.6999999999999998E-2</v>
      </c>
    </row>
    <row r="41" spans="1:36" ht="15">
      <c r="A41" s="1990" t="s">
        <v>1277</v>
      </c>
      <c r="B41" s="428"/>
      <c r="C41" s="428"/>
      <c r="D41" s="428"/>
      <c r="E41" s="428"/>
      <c r="F41" s="428"/>
      <c r="G41" s="428"/>
      <c r="H41" s="428"/>
      <c r="I41" s="428"/>
      <c r="J41" s="428"/>
      <c r="K41" s="428"/>
      <c r="L41" s="428"/>
      <c r="M41" s="428"/>
      <c r="N41" s="428"/>
      <c r="O41" s="973"/>
      <c r="P41" s="428"/>
      <c r="Q41" s="973"/>
      <c r="R41" s="428"/>
      <c r="S41" s="973"/>
      <c r="T41" s="428"/>
      <c r="U41" s="973"/>
      <c r="V41" s="428"/>
      <c r="W41" s="973"/>
      <c r="X41" s="428"/>
      <c r="Y41" s="973"/>
      <c r="Z41" s="428"/>
      <c r="AA41" s="1845"/>
      <c r="AB41" s="428"/>
      <c r="AC41" s="428"/>
      <c r="AD41" s="975"/>
      <c r="AE41" s="428"/>
      <c r="AF41" s="2025"/>
      <c r="AG41" s="2025"/>
      <c r="AH41" s="1632"/>
      <c r="AI41" s="428"/>
      <c r="AJ41" s="1632"/>
    </row>
    <row r="42" spans="1:36" ht="15">
      <c r="A42" s="1243" t="s">
        <v>1234</v>
      </c>
      <c r="B42" s="428"/>
      <c r="C42" s="976">
        <f>+'Exhibit F'!D39+'Exhibit G state'!D32</f>
        <v>155.69999999999999</v>
      </c>
      <c r="D42" s="976"/>
      <c r="E42" s="976">
        <f>+'Exhibit F'!F39+'Exhibit G state'!F32</f>
        <v>83.5</v>
      </c>
      <c r="F42" s="976"/>
      <c r="G42" s="976">
        <f>+'Exhibit F'!H39+'Exhibit G state'!H32</f>
        <v>628.5</v>
      </c>
      <c r="H42" s="976"/>
      <c r="I42" s="976">
        <f>+'Exhibit F'!J39+'Exhibit G state'!J32</f>
        <v>75</v>
      </c>
      <c r="J42" s="976"/>
      <c r="K42" s="976">
        <f>+'Exhibit F'!L39+'Exhibit G state'!L32</f>
        <v>17.5</v>
      </c>
      <c r="L42" s="976"/>
      <c r="M42" s="976">
        <f>+'Exhibit F'!N39+'Exhibit G state'!N32</f>
        <v>833</v>
      </c>
      <c r="N42" s="428"/>
      <c r="O42" s="976">
        <f>+'Exhibit F'!P39+'Exhibit G state'!P32</f>
        <v>175.5</v>
      </c>
      <c r="P42" s="428"/>
      <c r="Q42" s="976">
        <f>+'Exhibit F'!R39+'Exhibit G state'!R32</f>
        <v>-108.19999999999999</v>
      </c>
      <c r="R42" s="428"/>
      <c r="S42" s="976">
        <f>+'Exhibit F'!T39+'Exhibit G state'!T32</f>
        <v>735.5</v>
      </c>
      <c r="T42" s="428"/>
      <c r="U42" s="976">
        <f>+'Exhibit F'!V39+'Exhibit G state'!V32</f>
        <v>33.599999999999994</v>
      </c>
      <c r="V42" s="428"/>
      <c r="W42" s="976"/>
      <c r="X42" s="428"/>
      <c r="Y42" s="976"/>
      <c r="Z42" s="428"/>
      <c r="AA42" s="1845"/>
      <c r="AB42" s="976">
        <f>ROUND(SUM(C42:Y42),1)</f>
        <v>2629.6</v>
      </c>
      <c r="AC42" s="428"/>
      <c r="AD42" s="975"/>
      <c r="AE42" s="428">
        <f>+'Exhibit F'!AF39+'Exhibit G state'!AF32</f>
        <v>3135.9</v>
      </c>
      <c r="AF42" s="2025"/>
      <c r="AG42" s="2025"/>
      <c r="AH42" s="1146">
        <f t="shared" ref="AH42:AH54" si="6">ROUND(SUM(+AB42-AE42),1)</f>
        <v>-506.3</v>
      </c>
      <c r="AI42" s="2005"/>
      <c r="AJ42" s="1847">
        <f t="shared" ref="AJ42:AJ47" si="7">ROUND(SUM(+AH42/ABS(AE42)),3)</f>
        <v>-0.161</v>
      </c>
    </row>
    <row r="43" spans="1:36" ht="15">
      <c r="A43" s="1243" t="s">
        <v>1235</v>
      </c>
      <c r="B43" s="428"/>
      <c r="C43" s="976">
        <f>+'Exhibit G state'!D33+'Exhibit F'!D40</f>
        <v>10.399999999999999</v>
      </c>
      <c r="D43" s="976"/>
      <c r="E43" s="976">
        <f>+'Exhibit G state'!F33+'Exhibit F'!F40</f>
        <v>1.2000000000000002</v>
      </c>
      <c r="F43" s="976"/>
      <c r="G43" s="976">
        <f>+'Exhibit G state'!H33+'Exhibit F'!H40</f>
        <v>123.9</v>
      </c>
      <c r="H43" s="976"/>
      <c r="I43" s="976">
        <f>+'Exhibit G state'!J33+'Exhibit F'!J40</f>
        <v>5.2</v>
      </c>
      <c r="J43" s="976"/>
      <c r="K43" s="976">
        <f>+'Exhibit G state'!L33+'Exhibit F'!L40</f>
        <v>0.5</v>
      </c>
      <c r="L43" s="976"/>
      <c r="M43" s="976">
        <f>+'Exhibit G state'!N33+'Exhibit F'!N40</f>
        <v>138</v>
      </c>
      <c r="N43" s="428"/>
      <c r="O43" s="976">
        <f>+'Exhibit G state'!P33+'Exhibit F'!P40</f>
        <v>4.3</v>
      </c>
      <c r="P43" s="428"/>
      <c r="Q43" s="976">
        <f>+'Exhibit G state'!R33+'Exhibit F'!R40</f>
        <v>-2</v>
      </c>
      <c r="R43" s="428"/>
      <c r="S43" s="976">
        <f>+'Exhibit G state'!T33+'Exhibit F'!T40</f>
        <v>174.7</v>
      </c>
      <c r="T43" s="428"/>
      <c r="U43" s="976">
        <f>+'Exhibit G state'!V33+'Exhibit F'!V40</f>
        <v>24.7</v>
      </c>
      <c r="V43" s="428"/>
      <c r="W43" s="976"/>
      <c r="X43" s="428"/>
      <c r="Y43" s="976"/>
      <c r="Z43" s="428"/>
      <c r="AA43" s="1845"/>
      <c r="AB43" s="976">
        <f>ROUND(SUM(C43:Y43),1)</f>
        <v>480.9</v>
      </c>
      <c r="AC43" s="428"/>
      <c r="AD43" s="975"/>
      <c r="AE43" s="428">
        <f>+'Exhibit G state'!AF33+'Exhibit F'!AF40</f>
        <v>492.09999999999997</v>
      </c>
      <c r="AF43" s="2025"/>
      <c r="AG43" s="2025"/>
      <c r="AH43" s="1146">
        <f t="shared" si="6"/>
        <v>-11.2</v>
      </c>
      <c r="AI43" s="2005"/>
      <c r="AJ43" s="1847">
        <f t="shared" si="7"/>
        <v>-2.3E-2</v>
      </c>
    </row>
    <row r="44" spans="1:36" ht="15">
      <c r="A44" s="1243" t="s">
        <v>1236</v>
      </c>
      <c r="B44" s="428"/>
      <c r="C44" s="976">
        <f>+'Exhibit F'!D41+'Exhibit G state'!D34</f>
        <v>19.7</v>
      </c>
      <c r="D44" s="976"/>
      <c r="E44" s="976">
        <f>+'Exhibit F'!F41+'Exhibit G state'!F34</f>
        <v>20.2</v>
      </c>
      <c r="F44" s="976"/>
      <c r="G44" s="976">
        <f>+'Exhibit F'!H41+'Exhibit G state'!H34</f>
        <v>327.2</v>
      </c>
      <c r="H44" s="976"/>
      <c r="I44" s="976">
        <f>+'Exhibit F'!J41+'Exhibit G state'!J34</f>
        <v>3.7</v>
      </c>
      <c r="J44" s="976"/>
      <c r="K44" s="976">
        <f>+'Exhibit F'!L41+'Exhibit G state'!L34</f>
        <v>14.6</v>
      </c>
      <c r="L44" s="976"/>
      <c r="M44" s="976">
        <f>+'Exhibit F'!N41+'Exhibit G state'!N34</f>
        <v>315.40000000000003</v>
      </c>
      <c r="N44" s="428"/>
      <c r="O44" s="976">
        <f>+'Exhibit F'!P41+'Exhibit G state'!P34</f>
        <v>2.5</v>
      </c>
      <c r="P44" s="428"/>
      <c r="Q44" s="976">
        <f>+'Exhibit F'!R41+'Exhibit G state'!R34</f>
        <v>6.4</v>
      </c>
      <c r="R44" s="428"/>
      <c r="S44" s="976">
        <f>+'Exhibit F'!T41+'Exhibit G state'!T34</f>
        <v>295.60000000000002</v>
      </c>
      <c r="T44" s="428"/>
      <c r="U44" s="976">
        <f>+'Exhibit F'!V41+'Exhibit G state'!V34</f>
        <v>4.5</v>
      </c>
      <c r="V44" s="428"/>
      <c r="W44" s="976"/>
      <c r="X44" s="428"/>
      <c r="Y44" s="976"/>
      <c r="Z44" s="428"/>
      <c r="AA44" s="1845"/>
      <c r="AB44" s="976">
        <f>ROUND(SUM(C44:Y44),1)</f>
        <v>1009.8</v>
      </c>
      <c r="AC44" s="428"/>
      <c r="AD44" s="975"/>
      <c r="AE44" s="428">
        <f>+'Exhibit F'!AF41+'Exhibit G state'!AF34</f>
        <v>940.7</v>
      </c>
      <c r="AF44" s="2025"/>
      <c r="AG44" s="2025"/>
      <c r="AH44" s="1146">
        <f t="shared" si="6"/>
        <v>69.099999999999994</v>
      </c>
      <c r="AI44" s="2005"/>
      <c r="AJ44" s="1847">
        <f t="shared" si="7"/>
        <v>7.2999999999999995E-2</v>
      </c>
    </row>
    <row r="45" spans="1:36" ht="15">
      <c r="A45" s="1243" t="s">
        <v>1237</v>
      </c>
      <c r="B45" s="428"/>
      <c r="C45" s="976">
        <f>+'Exhibit F'!D42+'Exhibit G state'!D35</f>
        <v>6.2</v>
      </c>
      <c r="D45" s="976"/>
      <c r="E45" s="976">
        <f>+'Exhibit F'!F42+'Exhibit G state'!F35</f>
        <v>-0.89999999999999991</v>
      </c>
      <c r="F45" s="976"/>
      <c r="G45" s="976">
        <f>+'Exhibit F'!H42+'Exhibit G state'!H35</f>
        <v>-25.1</v>
      </c>
      <c r="H45" s="976"/>
      <c r="I45" s="976">
        <f>+'Exhibit F'!J42+'Exhibit G state'!J35</f>
        <v>2.8</v>
      </c>
      <c r="J45" s="976"/>
      <c r="K45" s="976">
        <f>+'Exhibit F'!L42+'Exhibit G state'!L35</f>
        <v>38.1</v>
      </c>
      <c r="L45" s="976"/>
      <c r="M45" s="976">
        <f>+'Exhibit F'!N42+'Exhibit G state'!N35</f>
        <v>-4.8</v>
      </c>
      <c r="N45" s="428"/>
      <c r="O45" s="976">
        <f>+'Exhibit F'!P42+'Exhibit G state'!P35</f>
        <v>317.09999999999997</v>
      </c>
      <c r="P45" s="428"/>
      <c r="Q45" s="976">
        <f>+'Exhibit F'!R42+'Exhibit G state'!R35</f>
        <v>-7.5</v>
      </c>
      <c r="R45" s="428"/>
      <c r="S45" s="976">
        <f>+'Exhibit F'!T42+'Exhibit G state'!T35</f>
        <v>64.8</v>
      </c>
      <c r="T45" s="428"/>
      <c r="U45" s="976">
        <f>+'Exhibit F'!V42+'Exhibit G state'!V35</f>
        <v>-22.8</v>
      </c>
      <c r="V45" s="428"/>
      <c r="W45" s="976"/>
      <c r="X45" s="428"/>
      <c r="Y45" s="976"/>
      <c r="Z45" s="428"/>
      <c r="AA45" s="1845"/>
      <c r="AB45" s="976">
        <f>ROUND(SUM(C45:Y45),1)</f>
        <v>367.9</v>
      </c>
      <c r="AC45" s="428"/>
      <c r="AD45" s="975"/>
      <c r="AE45" s="428">
        <f>+'Exhibit F'!AF42+'Exhibit G state'!AF35</f>
        <v>-68.5</v>
      </c>
      <c r="AF45" s="2025"/>
      <c r="AG45" s="2025"/>
      <c r="AH45" s="1146">
        <f t="shared" si="6"/>
        <v>436.4</v>
      </c>
      <c r="AI45" s="2005"/>
      <c r="AJ45" s="1847">
        <f t="shared" si="7"/>
        <v>6.3710000000000004</v>
      </c>
    </row>
    <row r="46" spans="1:36" ht="15">
      <c r="A46" s="1243" t="s">
        <v>1238</v>
      </c>
      <c r="B46" s="428"/>
      <c r="C46" s="976">
        <f>+'Exhibit F'!D43+'Exhibit G state'!D36</f>
        <v>39.299999999999997</v>
      </c>
      <c r="D46" s="976"/>
      <c r="E46" s="976">
        <f>+'Exhibit F'!F43+'Exhibit G state'!F36</f>
        <v>34.700000000000003</v>
      </c>
      <c r="F46" s="976"/>
      <c r="G46" s="976">
        <f>+'Exhibit F'!H43+'Exhibit G state'!H36</f>
        <v>41.5</v>
      </c>
      <c r="H46" s="976"/>
      <c r="I46" s="976">
        <f>+'Exhibit F'!J43+'Exhibit G state'!J36</f>
        <v>52.5</v>
      </c>
      <c r="J46" s="976"/>
      <c r="K46" s="976">
        <f>+'Exhibit F'!L43+'Exhibit G state'!L36</f>
        <v>41.5</v>
      </c>
      <c r="L46" s="976"/>
      <c r="M46" s="976">
        <f>+'Exhibit F'!N43+'Exhibit G state'!N36</f>
        <v>43.8</v>
      </c>
      <c r="N46" s="428"/>
      <c r="O46" s="976">
        <f>+'Exhibit F'!P43+'Exhibit G state'!P36</f>
        <v>44</v>
      </c>
      <c r="P46" s="428"/>
      <c r="Q46" s="976">
        <f>+'Exhibit F'!R43+'Exhibit G state'!R36</f>
        <v>41.9</v>
      </c>
      <c r="R46" s="428"/>
      <c r="S46" s="976">
        <f>+'Exhibit F'!T43+'Exhibit G state'!T36</f>
        <v>44.5</v>
      </c>
      <c r="T46" s="428"/>
      <c r="U46" s="976">
        <f>+'Exhibit F'!V43+'Exhibit G state'!V36</f>
        <v>39.9</v>
      </c>
      <c r="V46" s="428"/>
      <c r="W46" s="976"/>
      <c r="X46" s="428"/>
      <c r="Y46" s="976"/>
      <c r="Z46" s="428"/>
      <c r="AA46" s="1845"/>
      <c r="AB46" s="976">
        <f>ROUND(SUM(C46:Y46),1)</f>
        <v>423.6</v>
      </c>
      <c r="AC46" s="428"/>
      <c r="AD46" s="975"/>
      <c r="AE46" s="428">
        <f>+'Exhibit F'!AF43+'Exhibit G state'!AF36</f>
        <v>421.3</v>
      </c>
      <c r="AF46" s="2025"/>
      <c r="AG46" s="2025"/>
      <c r="AH46" s="1146">
        <f t="shared" si="6"/>
        <v>2.2999999999999998</v>
      </c>
      <c r="AI46" s="2005"/>
      <c r="AJ46" s="1847">
        <f t="shared" si="7"/>
        <v>5.0000000000000001E-3</v>
      </c>
    </row>
    <row r="47" spans="1:36" ht="15.75">
      <c r="A47" s="587" t="s">
        <v>1233</v>
      </c>
      <c r="B47" s="428"/>
      <c r="C47" s="482">
        <f>ROUND(SUM(C42:C46),1)</f>
        <v>231.3</v>
      </c>
      <c r="D47" s="428"/>
      <c r="E47" s="482">
        <f>ROUND(SUM(E42:E46),1)</f>
        <v>138.69999999999999</v>
      </c>
      <c r="F47" s="428"/>
      <c r="G47" s="482">
        <f>ROUND(SUM(G42:G46),1)</f>
        <v>1096</v>
      </c>
      <c r="H47" s="428"/>
      <c r="I47" s="482">
        <f>ROUND(SUM(I42:I46),1)</f>
        <v>139.19999999999999</v>
      </c>
      <c r="J47" s="428"/>
      <c r="K47" s="482">
        <f>ROUND(SUM(K42:K46),1)</f>
        <v>112.2</v>
      </c>
      <c r="L47" s="428"/>
      <c r="M47" s="482">
        <f>ROUND(SUM(M42:M46),1)</f>
        <v>1325.4</v>
      </c>
      <c r="N47" s="428"/>
      <c r="O47" s="482">
        <f>ROUND(SUM(O42:O46),1)</f>
        <v>543.4</v>
      </c>
      <c r="P47" s="428"/>
      <c r="Q47" s="482">
        <f>ROUND(SUM(Q42:Q46),1)</f>
        <v>-69.400000000000006</v>
      </c>
      <c r="R47" s="428"/>
      <c r="S47" s="482">
        <f>ROUND(SUM(S42:S46),1)</f>
        <v>1315.1</v>
      </c>
      <c r="T47" s="428"/>
      <c r="U47" s="482">
        <f>ROUND(SUM(U42:U46),1)</f>
        <v>79.900000000000006</v>
      </c>
      <c r="V47" s="428"/>
      <c r="W47" s="482">
        <f>ROUND(SUM(W42:W46),1)</f>
        <v>0</v>
      </c>
      <c r="X47" s="428"/>
      <c r="Y47" s="482">
        <f>ROUND(SUM(Y42:Y46),1)</f>
        <v>0</v>
      </c>
      <c r="Z47" s="428"/>
      <c r="AA47" s="1845"/>
      <c r="AB47" s="482">
        <f>ROUND(SUM(AB42:AB46),1)</f>
        <v>4911.8</v>
      </c>
      <c r="AC47" s="428"/>
      <c r="AD47" s="975"/>
      <c r="AE47" s="482">
        <f>ROUND(SUM(AE42:AE46),1)</f>
        <v>4921.5</v>
      </c>
      <c r="AF47" s="2025"/>
      <c r="AG47" s="2025"/>
      <c r="AH47" s="482">
        <f>ROUND(SUM(AH42:AH46),1)</f>
        <v>-9.6999999999999993</v>
      </c>
      <c r="AI47" s="2004"/>
      <c r="AJ47" s="526">
        <f t="shared" si="7"/>
        <v>-2E-3</v>
      </c>
    </row>
    <row r="48" spans="1:36" ht="15">
      <c r="A48" s="1990" t="s">
        <v>1278</v>
      </c>
      <c r="B48" s="428"/>
      <c r="C48" s="428"/>
      <c r="D48" s="428"/>
      <c r="E48" s="428"/>
      <c r="F48" s="428"/>
      <c r="G48" s="428"/>
      <c r="H48" s="428"/>
      <c r="I48" s="428"/>
      <c r="J48" s="428"/>
      <c r="K48" s="428"/>
      <c r="L48" s="428"/>
      <c r="M48" s="428"/>
      <c r="N48" s="428"/>
      <c r="O48" s="973"/>
      <c r="P48" s="428"/>
      <c r="Q48" s="973"/>
      <c r="R48" s="428"/>
      <c r="S48" s="973"/>
      <c r="T48" s="428"/>
      <c r="U48" s="973"/>
      <c r="V48" s="428"/>
      <c r="W48" s="973"/>
      <c r="X48" s="428"/>
      <c r="Y48" s="973"/>
      <c r="Z48" s="428"/>
      <c r="AA48" s="1845"/>
      <c r="AB48" s="428"/>
      <c r="AC48" s="428"/>
      <c r="AD48" s="975"/>
      <c r="AE48" s="428"/>
      <c r="AF48" s="2025"/>
      <c r="AG48" s="2025"/>
      <c r="AH48" s="1632"/>
      <c r="AI48" s="428"/>
      <c r="AJ48" s="1632"/>
    </row>
    <row r="49" spans="1:36" ht="15">
      <c r="A49" s="1243" t="s">
        <v>1241</v>
      </c>
      <c r="B49" s="428"/>
      <c r="C49" s="976">
        <f>+'Exhibit F'!D46</f>
        <v>0</v>
      </c>
      <c r="D49" s="976"/>
      <c r="E49" s="976">
        <f>+'Exhibit F'!F46</f>
        <v>0</v>
      </c>
      <c r="F49" s="976"/>
      <c r="G49" s="976">
        <f>+'Exhibit F'!H46</f>
        <v>0</v>
      </c>
      <c r="H49" s="976"/>
      <c r="I49" s="976">
        <f>+'Exhibit F'!J46</f>
        <v>0</v>
      </c>
      <c r="J49" s="976"/>
      <c r="K49" s="976">
        <f>+'Exhibit F'!L46</f>
        <v>0</v>
      </c>
      <c r="L49" s="428"/>
      <c r="M49" s="976">
        <f>+'Exhibit F'!N46</f>
        <v>0</v>
      </c>
      <c r="N49" s="428"/>
      <c r="O49" s="976">
        <f>+'Exhibit F'!P46</f>
        <v>0</v>
      </c>
      <c r="P49" s="428"/>
      <c r="Q49" s="976">
        <f>+'Exhibit F'!R46</f>
        <v>0.1</v>
      </c>
      <c r="R49" s="428"/>
      <c r="S49" s="976">
        <f>+'Exhibit F'!T46</f>
        <v>0</v>
      </c>
      <c r="T49" s="428"/>
      <c r="U49" s="976">
        <f>+'Exhibit F'!V46</f>
        <v>0</v>
      </c>
      <c r="V49" s="428"/>
      <c r="W49" s="976"/>
      <c r="X49" s="428"/>
      <c r="Y49" s="976"/>
      <c r="Z49" s="428"/>
      <c r="AA49" s="1845"/>
      <c r="AB49" s="976">
        <f t="shared" ref="AB49:AB54" si="8">ROUND(SUM(C49:Y49),1)</f>
        <v>0.1</v>
      </c>
      <c r="AC49" s="428"/>
      <c r="AD49" s="975"/>
      <c r="AE49" s="976">
        <f>+'Exhibit F'!AF46</f>
        <v>0</v>
      </c>
      <c r="AF49" s="2025"/>
      <c r="AG49" s="2025"/>
      <c r="AH49" s="1146">
        <f t="shared" si="6"/>
        <v>0.1</v>
      </c>
      <c r="AI49" s="428"/>
      <c r="AJ49" s="2679">
        <f>ROUND(IF(AE49=0,1,AH49/ABS(AE49)),3)</f>
        <v>1</v>
      </c>
    </row>
    <row r="50" spans="1:36" ht="15">
      <c r="A50" s="1243" t="s">
        <v>1242</v>
      </c>
      <c r="B50" s="428"/>
      <c r="C50" s="976">
        <f>+'Exhibit F'!D47</f>
        <v>74.900000000000006</v>
      </c>
      <c r="D50" s="976"/>
      <c r="E50" s="976">
        <f>+'Exhibit F'!F47</f>
        <v>106.1</v>
      </c>
      <c r="F50" s="976"/>
      <c r="G50" s="976">
        <f>+'Exhibit F'!H47</f>
        <v>77.2</v>
      </c>
      <c r="H50" s="976"/>
      <c r="I50" s="976">
        <f>+'Exhibit F'!J47</f>
        <v>72.7</v>
      </c>
      <c r="J50" s="976"/>
      <c r="K50" s="976">
        <f>+'Exhibit F'!L47</f>
        <v>122</v>
      </c>
      <c r="L50" s="428"/>
      <c r="M50" s="976">
        <f>+'Exhibit F'!N47</f>
        <v>85.7</v>
      </c>
      <c r="N50" s="428"/>
      <c r="O50" s="976">
        <f>+'Exhibit F'!P47</f>
        <v>99</v>
      </c>
      <c r="P50" s="428"/>
      <c r="Q50" s="976">
        <f>+'Exhibit F'!R47</f>
        <v>92</v>
      </c>
      <c r="R50" s="428"/>
      <c r="S50" s="976">
        <f>+'Exhibit F'!T47</f>
        <v>156.80000000000001</v>
      </c>
      <c r="T50" s="428"/>
      <c r="U50" s="976">
        <f>+'Exhibit F'!V47</f>
        <v>62.9</v>
      </c>
      <c r="V50" s="428"/>
      <c r="W50" s="976"/>
      <c r="X50" s="428"/>
      <c r="Y50" s="976"/>
      <c r="Z50" s="428"/>
      <c r="AA50" s="1845"/>
      <c r="AB50" s="976">
        <f t="shared" si="8"/>
        <v>949.3</v>
      </c>
      <c r="AC50" s="428"/>
      <c r="AD50" s="975"/>
      <c r="AE50" s="428">
        <f>+'Exhibit F'!AF47</f>
        <v>1346.3</v>
      </c>
      <c r="AF50" s="2025"/>
      <c r="AG50" s="2025"/>
      <c r="AH50" s="1146">
        <f t="shared" si="6"/>
        <v>-397</v>
      </c>
      <c r="AI50" s="428"/>
      <c r="AJ50" s="1847">
        <f t="shared" ref="AJ50:AJ55" si="9">ROUND(SUM(+AH50/ABS(AE50)),3)</f>
        <v>-0.29499999999999998</v>
      </c>
    </row>
    <row r="51" spans="1:36" ht="15">
      <c r="A51" s="1243" t="s">
        <v>1243</v>
      </c>
      <c r="B51" s="428"/>
      <c r="C51" s="976">
        <f>+'Exhibit F'!D48</f>
        <v>0.7</v>
      </c>
      <c r="D51" s="976"/>
      <c r="E51" s="976">
        <f>+'Exhibit F'!F48</f>
        <v>1.4</v>
      </c>
      <c r="F51" s="976"/>
      <c r="G51" s="976">
        <f>+'Exhibit F'!H48</f>
        <v>1.7</v>
      </c>
      <c r="H51" s="976"/>
      <c r="I51" s="976">
        <f>+'Exhibit F'!J48</f>
        <v>1.3</v>
      </c>
      <c r="J51" s="976"/>
      <c r="K51" s="976">
        <f>+'Exhibit F'!L48</f>
        <v>2.2999999999999998</v>
      </c>
      <c r="L51" s="428"/>
      <c r="M51" s="976">
        <f>+'Exhibit F'!N48</f>
        <v>2.2999999999999998</v>
      </c>
      <c r="N51" s="428"/>
      <c r="O51" s="976">
        <f>+'Exhibit F'!P48</f>
        <v>1.1000000000000001</v>
      </c>
      <c r="P51" s="428"/>
      <c r="Q51" s="976">
        <f>+'Exhibit F'!R48</f>
        <v>1.1000000000000001</v>
      </c>
      <c r="R51" s="428"/>
      <c r="S51" s="976">
        <f>+'Exhibit F'!T48</f>
        <v>1</v>
      </c>
      <c r="T51" s="428"/>
      <c r="U51" s="976">
        <f>+'Exhibit F'!V48</f>
        <v>0.7</v>
      </c>
      <c r="V51" s="428"/>
      <c r="W51" s="976"/>
      <c r="X51" s="428"/>
      <c r="Y51" s="976"/>
      <c r="Z51" s="428"/>
      <c r="AA51" s="1845"/>
      <c r="AB51" s="976">
        <f t="shared" si="8"/>
        <v>13.6</v>
      </c>
      <c r="AC51" s="428"/>
      <c r="AD51" s="975"/>
      <c r="AE51" s="428">
        <f>+'Exhibit F'!AF48</f>
        <v>14.9</v>
      </c>
      <c r="AF51" s="2025"/>
      <c r="AG51" s="2025"/>
      <c r="AH51" s="1146">
        <f t="shared" si="6"/>
        <v>-1.3</v>
      </c>
      <c r="AI51" s="428"/>
      <c r="AJ51" s="1847">
        <f t="shared" si="9"/>
        <v>-8.6999999999999994E-2</v>
      </c>
    </row>
    <row r="52" spans="1:36" ht="15">
      <c r="A52" s="1243" t="s">
        <v>1244</v>
      </c>
      <c r="B52" s="428"/>
      <c r="C52" s="976">
        <f>+'Exhibit F'!D49+'Exhibit H'!B22</f>
        <v>90.4</v>
      </c>
      <c r="D52" s="976"/>
      <c r="E52" s="976">
        <f>+'Exhibit F'!F49+'Exhibit H'!D22</f>
        <v>74</v>
      </c>
      <c r="F52" s="976"/>
      <c r="G52" s="976">
        <f>+'Exhibit F'!H49+'Exhibit H'!F22</f>
        <v>91.1</v>
      </c>
      <c r="H52" s="976"/>
      <c r="I52" s="976">
        <f>+'Exhibit F'!J49+'Exhibit H'!H22</f>
        <v>102</v>
      </c>
      <c r="J52" s="976"/>
      <c r="K52" s="976">
        <f>+'Exhibit F'!L49+'Exhibit H'!J22</f>
        <v>90.5</v>
      </c>
      <c r="L52" s="428"/>
      <c r="M52" s="976">
        <f>+'Exhibit F'!N49+'Exhibit H'!L22</f>
        <v>88.8</v>
      </c>
      <c r="N52" s="428"/>
      <c r="O52" s="976">
        <f>+'Exhibit F'!P49+'Exhibit H'!N22</f>
        <v>84.6</v>
      </c>
      <c r="P52" s="428"/>
      <c r="Q52" s="976">
        <f>+'Exhibit F'!R49+'Exhibit H'!P22</f>
        <v>82.6</v>
      </c>
      <c r="R52" s="428"/>
      <c r="S52" s="976">
        <f>+'Exhibit F'!T49+'Exhibit H'!R22</f>
        <v>76.900000000000006</v>
      </c>
      <c r="T52" s="428"/>
      <c r="U52" s="976">
        <f>+'Exhibit F'!V49+'Exhibit H'!T22</f>
        <v>83.399999999999977</v>
      </c>
      <c r="V52" s="428"/>
      <c r="W52" s="976"/>
      <c r="X52" s="428"/>
      <c r="Y52" s="976"/>
      <c r="Z52" s="428"/>
      <c r="AA52" s="1845"/>
      <c r="AB52" s="976">
        <f t="shared" si="8"/>
        <v>864.3</v>
      </c>
      <c r="AC52" s="428"/>
      <c r="AD52" s="975"/>
      <c r="AE52" s="428">
        <f>+'Exhibit F'!AF49+' Exhibit I State'!AG29+'Exhibit H'!AD22</f>
        <v>883.8</v>
      </c>
      <c r="AF52" s="2025"/>
      <c r="AG52" s="2025"/>
      <c r="AH52" s="1146">
        <f t="shared" si="6"/>
        <v>-19.5</v>
      </c>
      <c r="AI52" s="428"/>
      <c r="AJ52" s="1847">
        <f t="shared" si="9"/>
        <v>-2.1999999999999999E-2</v>
      </c>
    </row>
    <row r="53" spans="1:36" ht="15">
      <c r="A53" s="1243" t="s">
        <v>1245</v>
      </c>
      <c r="B53" s="428"/>
      <c r="C53" s="976">
        <f>+'Exhibit F'!D50</f>
        <v>0</v>
      </c>
      <c r="D53" s="976"/>
      <c r="E53" s="976">
        <f>+'Exhibit F'!F50</f>
        <v>0.1</v>
      </c>
      <c r="F53" s="976"/>
      <c r="G53" s="976">
        <f>+'Exhibit F'!H50</f>
        <v>0</v>
      </c>
      <c r="H53" s="976"/>
      <c r="I53" s="976">
        <f>+'Exhibit F'!J50</f>
        <v>0.1</v>
      </c>
      <c r="J53" s="976"/>
      <c r="K53" s="976">
        <f>+'Exhibit F'!L50</f>
        <v>0.4</v>
      </c>
      <c r="L53" s="428"/>
      <c r="M53" s="976">
        <f>+'Exhibit F'!N50</f>
        <v>0.3</v>
      </c>
      <c r="N53" s="428"/>
      <c r="O53" s="976">
        <f>+'Exhibit F'!P50</f>
        <v>0</v>
      </c>
      <c r="P53" s="428"/>
      <c r="Q53" s="976">
        <f>+'Exhibit F'!R50</f>
        <v>1.6</v>
      </c>
      <c r="R53" s="428"/>
      <c r="S53" s="976">
        <f>+'Exhibit F'!T50</f>
        <v>-0.1</v>
      </c>
      <c r="T53" s="428"/>
      <c r="U53" s="976">
        <f>+'Exhibit F'!V50</f>
        <v>0.1</v>
      </c>
      <c r="V53" s="428"/>
      <c r="W53" s="976"/>
      <c r="X53" s="428"/>
      <c r="Y53" s="976"/>
      <c r="Z53" s="428"/>
      <c r="AA53" s="1845"/>
      <c r="AB53" s="976">
        <f t="shared" si="8"/>
        <v>2.5</v>
      </c>
      <c r="AC53" s="428"/>
      <c r="AD53" s="975"/>
      <c r="AE53" s="976">
        <f>+'Exhibit F'!AF50</f>
        <v>1.4</v>
      </c>
      <c r="AF53" s="2025"/>
      <c r="AG53" s="2025"/>
      <c r="AH53" s="1146">
        <f t="shared" si="6"/>
        <v>1.1000000000000001</v>
      </c>
      <c r="AI53" s="428"/>
      <c r="AJ53" s="1847">
        <f>ROUND(IF(AE53=0,0,AH53/ABS(AE53)),3)</f>
        <v>0.78600000000000003</v>
      </c>
    </row>
    <row r="54" spans="1:36" ht="15">
      <c r="A54" s="2029" t="s">
        <v>1246</v>
      </c>
      <c r="B54" s="428"/>
      <c r="C54" s="976">
        <f>+'Exhibit F'!D51+'Exhibit G state'!D39</f>
        <v>116.6</v>
      </c>
      <c r="D54" s="976"/>
      <c r="E54" s="976">
        <f>+'Exhibit F'!F51+'Exhibit G state'!F39</f>
        <v>94</v>
      </c>
      <c r="F54" s="976"/>
      <c r="G54" s="976">
        <f>+'Exhibit F'!H51+'Exhibit G state'!H39</f>
        <v>100.6</v>
      </c>
      <c r="H54" s="976"/>
      <c r="I54" s="976">
        <f>+'Exhibit F'!J51+'Exhibit G state'!J39</f>
        <v>85.2</v>
      </c>
      <c r="J54" s="976"/>
      <c r="K54" s="976">
        <f>+'Exhibit F'!L51+'Exhibit G state'!L39</f>
        <v>107.8</v>
      </c>
      <c r="L54" s="428"/>
      <c r="M54" s="976">
        <f>+'Exhibit F'!N51+'Exhibit G state'!N39</f>
        <v>104.7</v>
      </c>
      <c r="N54" s="428"/>
      <c r="O54" s="976">
        <f>+'Exhibit F'!P51+'Exhibit G state'!P39</f>
        <v>111.7</v>
      </c>
      <c r="P54" s="428"/>
      <c r="Q54" s="976">
        <f>+'Exhibit F'!R51+'Exhibit G state'!R39</f>
        <v>97.2</v>
      </c>
      <c r="R54" s="428"/>
      <c r="S54" s="976">
        <f>+'Exhibit F'!T51+'Exhibit G state'!T39</f>
        <v>106.5</v>
      </c>
      <c r="T54" s="428"/>
      <c r="U54" s="976">
        <f>+'Exhibit F'!V51+'Exhibit G state'!V39</f>
        <v>180.8</v>
      </c>
      <c r="V54" s="428"/>
      <c r="W54" s="976"/>
      <c r="X54" s="428"/>
      <c r="Y54" s="976"/>
      <c r="Z54" s="428"/>
      <c r="AA54" s="1845"/>
      <c r="AB54" s="976">
        <f t="shared" si="8"/>
        <v>1105.0999999999999</v>
      </c>
      <c r="AC54" s="428"/>
      <c r="AD54" s="975"/>
      <c r="AE54" s="2025">
        <f>+'Exhibit F'!AF51+'Exhibit G state'!AF39</f>
        <v>1036.3</v>
      </c>
      <c r="AF54" s="2025"/>
      <c r="AG54" s="2025"/>
      <c r="AH54" s="1146">
        <f t="shared" si="6"/>
        <v>68.8</v>
      </c>
      <c r="AI54" s="428"/>
      <c r="AJ54" s="1847">
        <f t="shared" si="9"/>
        <v>6.6000000000000003E-2</v>
      </c>
    </row>
    <row r="55" spans="1:36" ht="15.75">
      <c r="A55" s="587" t="s">
        <v>1239</v>
      </c>
      <c r="B55" s="428"/>
      <c r="C55" s="1256">
        <f>ROUND(SUM(C49:C54),1)</f>
        <v>282.60000000000002</v>
      </c>
      <c r="D55" s="428"/>
      <c r="E55" s="1256">
        <f>ROUND(SUM(E49:E54),1)</f>
        <v>275.60000000000002</v>
      </c>
      <c r="F55" s="428"/>
      <c r="G55" s="1256">
        <f>ROUND(SUM(G49:G54),1)</f>
        <v>270.60000000000002</v>
      </c>
      <c r="H55" s="428"/>
      <c r="I55" s="1256">
        <f>ROUND(SUM(I49:I54),1)</f>
        <v>261.3</v>
      </c>
      <c r="J55" s="428"/>
      <c r="K55" s="1256">
        <f>ROUND(SUM(K49:K54),1)</f>
        <v>323</v>
      </c>
      <c r="L55" s="428"/>
      <c r="M55" s="1256">
        <f>ROUND(SUM(M49:M54),1)</f>
        <v>281.8</v>
      </c>
      <c r="N55" s="428"/>
      <c r="O55" s="1256">
        <f>ROUND(SUM(O49:O54),1)</f>
        <v>296.39999999999998</v>
      </c>
      <c r="P55" s="428"/>
      <c r="Q55" s="1256">
        <f>ROUND(SUM(Q49:Q54),1)</f>
        <v>274.60000000000002</v>
      </c>
      <c r="R55" s="428"/>
      <c r="S55" s="1256">
        <f>ROUND(SUM(S49:S54),1)</f>
        <v>341.1</v>
      </c>
      <c r="T55" s="428"/>
      <c r="U55" s="1256">
        <f>ROUND(SUM(U49:U54),1)</f>
        <v>327.9</v>
      </c>
      <c r="V55" s="428"/>
      <c r="W55" s="1256">
        <f>ROUND(SUM(W49:W54),1)</f>
        <v>0</v>
      </c>
      <c r="X55" s="428"/>
      <c r="Y55" s="1256">
        <f>ROUND(SUM(Y49:Y54),1)</f>
        <v>0</v>
      </c>
      <c r="Z55" s="428"/>
      <c r="AA55" s="1845"/>
      <c r="AB55" s="1256">
        <f>ROUND(SUM(AB49:AB54),1)</f>
        <v>2934.9</v>
      </c>
      <c r="AC55" s="428"/>
      <c r="AD55" s="975"/>
      <c r="AE55" s="482">
        <f>ROUND(SUM(AE49:AE54),1)</f>
        <v>3282.7</v>
      </c>
      <c r="AF55" s="2025"/>
      <c r="AG55" s="2025"/>
      <c r="AH55" s="482">
        <f>ROUND(SUM(AH49:AH54),1)</f>
        <v>-347.8</v>
      </c>
      <c r="AI55" s="2004"/>
      <c r="AJ55" s="2016">
        <f t="shared" si="9"/>
        <v>-0.106</v>
      </c>
    </row>
    <row r="56" spans="1:36" ht="15.75">
      <c r="A56" s="428"/>
      <c r="B56" s="428"/>
      <c r="C56" s="988"/>
      <c r="D56" s="976"/>
      <c r="E56" s="988"/>
      <c r="F56" s="988"/>
      <c r="G56" s="988"/>
      <c r="H56" s="988"/>
      <c r="I56" s="988"/>
      <c r="J56" s="988"/>
      <c r="K56" s="988"/>
      <c r="L56" s="988"/>
      <c r="M56" s="988"/>
      <c r="N56" s="988"/>
      <c r="O56" s="988"/>
      <c r="P56" s="988"/>
      <c r="Q56" s="988"/>
      <c r="R56" s="988"/>
      <c r="S56" s="988"/>
      <c r="T56" s="988"/>
      <c r="U56" s="988"/>
      <c r="V56" s="988"/>
      <c r="W56" s="988"/>
      <c r="X56" s="988"/>
      <c r="Y56" s="988"/>
      <c r="Z56" s="976"/>
      <c r="AA56" s="1846"/>
      <c r="AB56" s="2023"/>
      <c r="AC56" s="976"/>
      <c r="AD56" s="978"/>
      <c r="AE56" s="988"/>
      <c r="AF56" s="988"/>
      <c r="AG56" s="988"/>
      <c r="AH56" s="988"/>
      <c r="AI56" s="428"/>
      <c r="AJ56" s="1988"/>
    </row>
    <row r="57" spans="1:36" ht="15.75">
      <c r="A57" s="587" t="s">
        <v>1207</v>
      </c>
      <c r="B57" s="222"/>
      <c r="C57" s="195">
        <f>ROUND(SUM(C55+C47+C40+C30),1)</f>
        <v>8128.2</v>
      </c>
      <c r="D57" s="260"/>
      <c r="E57" s="195">
        <f>ROUND(SUM(E55+E47+E40+E30),1)</f>
        <v>3742</v>
      </c>
      <c r="F57" s="260"/>
      <c r="G57" s="195">
        <f>ROUND(SUM(G55+G47+G40+G30),1)</f>
        <v>7656.3</v>
      </c>
      <c r="H57" s="260"/>
      <c r="I57" s="195">
        <f>ROUND(SUM(I55+I47+I40+I30),1)</f>
        <v>4212.7</v>
      </c>
      <c r="J57" s="260"/>
      <c r="K57" s="195">
        <f>ROUND(SUM(K55+K47+K40+K30),1)</f>
        <v>4564.3999999999996</v>
      </c>
      <c r="L57" s="260"/>
      <c r="M57" s="195">
        <f>ROUND(SUM(M55+M47+M40+M30),1)</f>
        <v>7861.1</v>
      </c>
      <c r="N57" s="260"/>
      <c r="O57" s="614">
        <f>ROUND(SUM(O55+O47+O40+O30),1)</f>
        <v>4593.3999999999996</v>
      </c>
      <c r="P57" s="260"/>
      <c r="Q57" s="614">
        <f>ROUND(SUM(Q55+Q47+Q40+Q30),1)</f>
        <v>3511</v>
      </c>
      <c r="R57" s="260"/>
      <c r="S57" s="614">
        <f>ROUND(SUM(S30+S40+S47+S55),1)</f>
        <v>7910.6</v>
      </c>
      <c r="T57" s="260"/>
      <c r="U57" s="614">
        <f>ROUND(SUM(U30+U40+U47+U55),1)</f>
        <v>9305.7000000000007</v>
      </c>
      <c r="V57" s="260"/>
      <c r="W57" s="614">
        <f>ROUND(SUM(W30+W40+W47+W55),1)</f>
        <v>0</v>
      </c>
      <c r="X57" s="366"/>
      <c r="Y57" s="614">
        <f>ROUND(SUM(Y30+Y40+Y47+Y55),1)</f>
        <v>0</v>
      </c>
      <c r="Z57" s="366"/>
      <c r="AA57" s="237"/>
      <c r="AB57" s="995">
        <f>ROUND(SUM(C57:Y57),1)</f>
        <v>61485.4</v>
      </c>
      <c r="AC57" s="260"/>
      <c r="AD57" s="249"/>
      <c r="AE57" s="614">
        <f>ROUND(SUM(+AE30+AE40+AE47+AE55),1)</f>
        <v>62147.4</v>
      </c>
      <c r="AF57" s="248"/>
      <c r="AG57" s="1259"/>
      <c r="AH57" s="614">
        <f>ROUND(+AB57-AE57,1)</f>
        <v>-662</v>
      </c>
      <c r="AI57" s="1823"/>
      <c r="AJ57" s="523">
        <f>ROUND(SUM(+AH57/ABS(AE57)),3)</f>
        <v>-1.0999999999999999E-2</v>
      </c>
    </row>
    <row r="58" spans="1:36" ht="15">
      <c r="A58" s="428"/>
      <c r="B58" s="428"/>
      <c r="C58" s="976"/>
      <c r="D58" s="976"/>
      <c r="E58" s="976"/>
      <c r="F58" s="976"/>
      <c r="G58" s="976"/>
      <c r="H58" s="976"/>
      <c r="I58" s="976"/>
      <c r="J58" s="976"/>
      <c r="K58" s="976"/>
      <c r="L58" s="976"/>
      <c r="M58" s="976"/>
      <c r="N58" s="976"/>
      <c r="O58" s="976"/>
      <c r="P58" s="976"/>
      <c r="Q58" s="976"/>
      <c r="R58" s="976"/>
      <c r="S58" s="976"/>
      <c r="T58" s="976"/>
      <c r="U58" s="976"/>
      <c r="V58" s="976"/>
      <c r="X58" s="976"/>
      <c r="Y58" s="976"/>
      <c r="Z58" s="976"/>
      <c r="AA58" s="1846"/>
      <c r="AB58" s="976"/>
      <c r="AC58" s="976"/>
      <c r="AD58" s="978"/>
      <c r="AE58" s="976"/>
      <c r="AF58" s="988"/>
      <c r="AG58" s="988"/>
      <c r="AH58" s="976"/>
      <c r="AI58" s="428"/>
      <c r="AJ58" s="1847"/>
    </row>
    <row r="59" spans="1:36" ht="15.75">
      <c r="A59" s="488" t="s">
        <v>1157</v>
      </c>
      <c r="B59" s="428"/>
      <c r="C59" s="976"/>
      <c r="D59" s="976"/>
      <c r="E59" s="976"/>
      <c r="F59" s="976"/>
      <c r="G59" s="976"/>
      <c r="H59" s="976"/>
      <c r="I59" s="976"/>
      <c r="J59" s="976"/>
      <c r="K59" s="976"/>
      <c r="L59" s="976"/>
      <c r="M59" s="976"/>
      <c r="N59" s="976"/>
      <c r="O59" s="976"/>
      <c r="P59" s="976"/>
      <c r="Q59" s="976"/>
      <c r="R59" s="976"/>
      <c r="S59" s="976"/>
      <c r="T59" s="976"/>
      <c r="U59" s="976"/>
      <c r="V59" s="976"/>
      <c r="X59" s="976"/>
      <c r="Y59" s="976"/>
      <c r="Z59" s="976"/>
      <c r="AA59" s="977"/>
      <c r="AB59" s="976"/>
      <c r="AC59" s="976"/>
      <c r="AD59" s="978"/>
      <c r="AE59" s="976"/>
      <c r="AF59" s="988"/>
      <c r="AG59" s="988"/>
      <c r="AH59" s="976"/>
      <c r="AI59" s="428"/>
      <c r="AJ59" s="1780"/>
    </row>
    <row r="60" spans="1:36" ht="15">
      <c r="A60" s="1748" t="s">
        <v>1269</v>
      </c>
      <c r="B60" s="428"/>
      <c r="C60" s="976"/>
      <c r="D60" s="976"/>
      <c r="E60" s="976"/>
      <c r="F60" s="976"/>
      <c r="G60" s="976"/>
      <c r="H60" s="976"/>
      <c r="I60" s="976"/>
      <c r="J60" s="976"/>
      <c r="K60" s="976"/>
      <c r="L60" s="976"/>
      <c r="M60" s="976"/>
      <c r="N60" s="976"/>
      <c r="O60" s="976"/>
      <c r="P60" s="976"/>
      <c r="Q60" s="976"/>
      <c r="R60" s="976"/>
      <c r="S60" s="976"/>
      <c r="T60" s="976"/>
      <c r="U60" s="976"/>
      <c r="V60" s="976"/>
      <c r="X60" s="976"/>
      <c r="Y60" s="976"/>
      <c r="Z60" s="976"/>
      <c r="AA60" s="977"/>
      <c r="AB60" s="976"/>
      <c r="AC60" s="976"/>
      <c r="AD60" s="978"/>
      <c r="AE60" s="976"/>
      <c r="AF60" s="988"/>
      <c r="AG60" s="988"/>
      <c r="AH60" s="976"/>
      <c r="AI60" s="428"/>
      <c r="AJ60" s="1780"/>
    </row>
    <row r="61" spans="1:36" ht="15">
      <c r="A61" s="1748" t="s">
        <v>1539</v>
      </c>
      <c r="B61" s="428"/>
      <c r="C61" s="976">
        <f>+'Exhibit F'!D58+'Exhibit G state'!D46</f>
        <v>0.9</v>
      </c>
      <c r="D61" s="976"/>
      <c r="E61" s="976">
        <f>+'Exhibit F'!F58+'Exhibit G state'!F46</f>
        <v>-0.1</v>
      </c>
      <c r="F61" s="976"/>
      <c r="G61" s="976">
        <f>+'Exhibit F'!H58+'Exhibit G state'!H46</f>
        <v>1.8</v>
      </c>
      <c r="H61" s="976"/>
      <c r="I61" s="976">
        <f>+'Exhibit F'!J58+'Exhibit G state'!J46</f>
        <v>0.9</v>
      </c>
      <c r="J61" s="976"/>
      <c r="K61" s="976">
        <f>+'Exhibit F'!L58+'Exhibit G state'!L46</f>
        <v>0</v>
      </c>
      <c r="L61" s="976"/>
      <c r="M61" s="976">
        <f>+'Exhibit F'!N58+'Exhibit G state'!N46</f>
        <v>40</v>
      </c>
      <c r="N61" s="976"/>
      <c r="O61" s="976">
        <f>+'Exhibit F'!P58+'Exhibit G state'!P46</f>
        <v>30</v>
      </c>
      <c r="P61" s="976"/>
      <c r="Q61" s="976">
        <f>+'Exhibit F'!R58+'Exhibit G state'!R46</f>
        <v>160</v>
      </c>
      <c r="R61" s="976"/>
      <c r="S61" s="976">
        <f>+'Exhibit F'!T58+'Exhibit G state'!T46</f>
        <v>50</v>
      </c>
      <c r="T61" s="976"/>
      <c r="U61" s="976">
        <f>+'Exhibit F'!V58+'Exhibit G state'!V46</f>
        <v>0.7</v>
      </c>
      <c r="V61" s="976"/>
      <c r="W61" s="976"/>
      <c r="X61" s="976"/>
      <c r="Y61" s="2755"/>
      <c r="Z61" s="976"/>
      <c r="AA61" s="977"/>
      <c r="AB61" s="976">
        <f>ROUND(SUM(C61:Y61),1)</f>
        <v>284.2</v>
      </c>
      <c r="AC61" s="976"/>
      <c r="AD61" s="978"/>
      <c r="AE61" s="976">
        <f>+'Exhibit F'!AF58+'Exhibit G state'!AF46</f>
        <v>242.3</v>
      </c>
      <c r="AF61" s="988"/>
      <c r="AG61" s="988"/>
      <c r="AH61" s="976">
        <f t="shared" ref="AH61:AH100" si="10">ROUND(SUM(AB61-AE61),1)</f>
        <v>41.9</v>
      </c>
      <c r="AI61" s="428"/>
      <c r="AJ61" s="1847">
        <f>ROUND(SUM(AH61/ABS(AE61)),3)</f>
        <v>0.17299999999999999</v>
      </c>
    </row>
    <row r="62" spans="1:36" ht="15">
      <c r="A62" s="1748" t="s">
        <v>1540</v>
      </c>
      <c r="B62" s="428"/>
      <c r="C62" s="976">
        <f>+'Exhibit F'!D59</f>
        <v>-0.3</v>
      </c>
      <c r="D62" s="976"/>
      <c r="E62" s="976">
        <f>+'Exhibit F'!F59</f>
        <v>0.1</v>
      </c>
      <c r="F62" s="976"/>
      <c r="G62" s="976">
        <f>+'Exhibit F'!H59</f>
        <v>8.1</v>
      </c>
      <c r="H62" s="976"/>
      <c r="I62" s="976">
        <f>+'Exhibit F'!J59</f>
        <v>0.1</v>
      </c>
      <c r="J62" s="976"/>
      <c r="K62" s="976">
        <f>+'Exhibit F'!L59</f>
        <v>0.1</v>
      </c>
      <c r="L62" s="976"/>
      <c r="M62" s="976">
        <f>+'Exhibit F'!N59</f>
        <v>36.5</v>
      </c>
      <c r="N62" s="976"/>
      <c r="O62" s="976">
        <f>+'Exhibit F'!P59</f>
        <v>0.8</v>
      </c>
      <c r="P62" s="976"/>
      <c r="Q62" s="976">
        <f>+'Exhibit F'!R59</f>
        <v>0.3</v>
      </c>
      <c r="R62" s="976"/>
      <c r="S62" s="976">
        <f>+'Exhibit F'!T59</f>
        <v>17.600000000000001</v>
      </c>
      <c r="T62" s="976"/>
      <c r="U62" s="976">
        <f>+'Exhibit F'!V59</f>
        <v>2.7</v>
      </c>
      <c r="V62" s="976"/>
      <c r="W62" s="976"/>
      <c r="X62" s="976"/>
      <c r="Y62" s="2755"/>
      <c r="Z62" s="976"/>
      <c r="AA62" s="977"/>
      <c r="AB62" s="976">
        <f>ROUND(SUM(C62:Y62),1)</f>
        <v>66</v>
      </c>
      <c r="AC62" s="976"/>
      <c r="AD62" s="978"/>
      <c r="AE62" s="976">
        <f>+'Exhibit F'!AF59</f>
        <v>60.1</v>
      </c>
      <c r="AF62" s="988"/>
      <c r="AG62" s="988"/>
      <c r="AH62" s="976">
        <f t="shared" si="10"/>
        <v>5.9</v>
      </c>
      <c r="AI62" s="428"/>
      <c r="AJ62" s="1847">
        <f>ROUND(SUM(AH62/ABS(AE62)),3)</f>
        <v>9.8000000000000004E-2</v>
      </c>
    </row>
    <row r="63" spans="1:36" ht="15">
      <c r="A63" s="1748" t="s">
        <v>1270</v>
      </c>
      <c r="B63" s="428"/>
      <c r="C63" s="976"/>
      <c r="D63" s="976"/>
      <c r="E63" s="976"/>
      <c r="F63" s="976"/>
      <c r="G63" s="976"/>
      <c r="H63" s="976"/>
      <c r="I63" s="976"/>
      <c r="J63" s="976"/>
      <c r="K63" s="976"/>
      <c r="L63" s="976"/>
      <c r="M63" s="976"/>
      <c r="N63" s="976"/>
      <c r="O63" s="976"/>
      <c r="P63" s="976"/>
      <c r="Q63" s="976"/>
      <c r="R63" s="976"/>
      <c r="S63" s="976"/>
      <c r="T63" s="976"/>
      <c r="U63" s="976"/>
      <c r="V63" s="976"/>
      <c r="W63" s="976"/>
      <c r="X63" s="976"/>
      <c r="Y63" s="2755"/>
      <c r="Z63" s="976"/>
      <c r="AA63" s="977"/>
      <c r="AB63" s="976"/>
      <c r="AC63" s="976"/>
      <c r="AD63" s="978"/>
      <c r="AE63" s="976"/>
      <c r="AF63" s="988"/>
      <c r="AG63" s="988"/>
      <c r="AH63" s="976" t="s">
        <v>15</v>
      </c>
      <c r="AI63" s="428" t="s">
        <v>15</v>
      </c>
      <c r="AJ63" s="1780" t="s">
        <v>15</v>
      </c>
    </row>
    <row r="64" spans="1:36" ht="15">
      <c r="A64" s="1748" t="s">
        <v>1535</v>
      </c>
      <c r="B64" s="428"/>
      <c r="C64" s="976">
        <f>+'Exhibit F'!D61+'Exhibit G state'!D48</f>
        <v>28.5</v>
      </c>
      <c r="D64" s="976"/>
      <c r="E64" s="976">
        <f>+'Exhibit F'!F61+'Exhibit G state'!F48</f>
        <v>276.10000000000002</v>
      </c>
      <c r="F64" s="976"/>
      <c r="G64" s="976">
        <f>+'Exhibit F'!H61+'Exhibit G state'!H48</f>
        <v>113.3</v>
      </c>
      <c r="H64" s="976"/>
      <c r="I64" s="976">
        <f>+'Exhibit F'!J61+'Exhibit G state'!J48</f>
        <v>6.7</v>
      </c>
      <c r="J64" s="976"/>
      <c r="K64" s="976">
        <f>+'Exhibit F'!L61+'Exhibit G state'!L48</f>
        <v>28.4</v>
      </c>
      <c r="L64" s="976"/>
      <c r="M64" s="976">
        <f>+'Exhibit F'!N61+'Exhibit G state'!N48</f>
        <v>114</v>
      </c>
      <c r="N64" s="976"/>
      <c r="O64" s="976">
        <f>+'Exhibit F'!P61+'Exhibit G state'!P48</f>
        <v>7.6</v>
      </c>
      <c r="P64" s="976"/>
      <c r="Q64" s="976">
        <f>+'Exhibit F'!R61+'Exhibit G state'!R48</f>
        <v>30.7</v>
      </c>
      <c r="R64" s="976"/>
      <c r="S64" s="976">
        <f>+'Exhibit F'!T61+'Exhibit G state'!T48</f>
        <v>102.2</v>
      </c>
      <c r="T64" s="976"/>
      <c r="U64" s="976">
        <f>+'Exhibit F'!V61+'Exhibit G state'!V48</f>
        <v>17.100000000000001</v>
      </c>
      <c r="V64" s="976"/>
      <c r="W64" s="976"/>
      <c r="X64" s="976"/>
      <c r="Y64" s="2755"/>
      <c r="Z64" s="976"/>
      <c r="AA64" s="977"/>
      <c r="AB64" s="976">
        <f>ROUND(SUM(C64:Y64),1)</f>
        <v>724.6</v>
      </c>
      <c r="AC64" s="976"/>
      <c r="AD64" s="978"/>
      <c r="AE64" s="976">
        <f>+'Exhibit F'!AF61+'Exhibit G state'!AF48</f>
        <v>872.7</v>
      </c>
      <c r="AF64" s="988"/>
      <c r="AG64" s="988"/>
      <c r="AH64" s="976">
        <f t="shared" si="10"/>
        <v>-148.1</v>
      </c>
      <c r="AI64" s="428"/>
      <c r="AJ64" s="1847">
        <f>ROUND(SUM(AH64/ABS(AE64)),3)</f>
        <v>-0.17</v>
      </c>
    </row>
    <row r="65" spans="1:36" ht="15">
      <c r="A65" s="1748" t="s">
        <v>1536</v>
      </c>
      <c r="B65" s="428"/>
      <c r="C65" s="976">
        <f>+'Exhibit F'!D62+'Exhibit G state'!D49</f>
        <v>423</v>
      </c>
      <c r="D65" s="976"/>
      <c r="E65" s="976">
        <f>+'Exhibit F'!F62+'Exhibit G state'!F49</f>
        <v>482.09999999999997</v>
      </c>
      <c r="F65" s="976"/>
      <c r="G65" s="976">
        <f>+'Exhibit F'!H62+'Exhibit G state'!H49</f>
        <v>490.3</v>
      </c>
      <c r="H65" s="976"/>
      <c r="I65" s="976">
        <f>+'Exhibit F'!J62+'Exhibit G state'!J49</f>
        <v>468.7</v>
      </c>
      <c r="J65" s="976"/>
      <c r="K65" s="976">
        <f>+'Exhibit F'!L62+'Exhibit G state'!L49</f>
        <v>455.7</v>
      </c>
      <c r="L65" s="976"/>
      <c r="M65" s="976">
        <f>+'Exhibit F'!N62+'Exhibit G state'!N49</f>
        <v>451.9</v>
      </c>
      <c r="N65" s="976"/>
      <c r="O65" s="976">
        <f>+'Exhibit F'!P62+'Exhibit G state'!P49</f>
        <v>467.1</v>
      </c>
      <c r="P65" s="976"/>
      <c r="Q65" s="976">
        <f>+'Exhibit F'!R62+'Exhibit G state'!R49</f>
        <v>434.9</v>
      </c>
      <c r="R65" s="976"/>
      <c r="S65" s="976">
        <f>+'Exhibit F'!T62+'Exhibit G state'!T49</f>
        <v>501.3</v>
      </c>
      <c r="T65" s="976"/>
      <c r="U65" s="976">
        <f>+'Exhibit F'!V62+'Exhibit G state'!V49</f>
        <v>461.2</v>
      </c>
      <c r="V65" s="976"/>
      <c r="W65" s="976"/>
      <c r="X65" s="976"/>
      <c r="Y65" s="2755"/>
      <c r="Z65" s="976"/>
      <c r="AA65" s="977"/>
      <c r="AB65" s="976">
        <f>ROUND(SUM(C65:Y65),1)</f>
        <v>4636.2</v>
      </c>
      <c r="AC65" s="976"/>
      <c r="AD65" s="978"/>
      <c r="AE65" s="976">
        <f>+'Exhibit F'!AF62+'Exhibit G state'!AF49+'Exhibit H'!AD29</f>
        <v>4338.6000000000004</v>
      </c>
      <c r="AF65" s="988"/>
      <c r="AG65" s="988"/>
      <c r="AH65" s="976">
        <f t="shared" si="10"/>
        <v>297.60000000000002</v>
      </c>
      <c r="AI65" s="428"/>
      <c r="AJ65" s="1847">
        <f>ROUND(SUM(AH65/ABS(AE65)),3)</f>
        <v>6.9000000000000006E-2</v>
      </c>
    </row>
    <row r="66" spans="1:36" ht="15">
      <c r="A66" s="1748" t="s">
        <v>1537</v>
      </c>
      <c r="B66" s="428"/>
      <c r="C66" s="976">
        <f>+'Exhibit F'!D63+'Exhibit G state'!D50</f>
        <v>5.7</v>
      </c>
      <c r="D66" s="976"/>
      <c r="E66" s="976">
        <f>+'Exhibit F'!F63+'Exhibit G state'!F50</f>
        <v>0.2</v>
      </c>
      <c r="F66" s="976"/>
      <c r="G66" s="976">
        <f>+'Exhibit F'!H63+'Exhibit G state'!H50</f>
        <v>-0.1</v>
      </c>
      <c r="H66" s="976"/>
      <c r="I66" s="976">
        <f>+'Exhibit F'!J63+'Exhibit G state'!J50</f>
        <v>0</v>
      </c>
      <c r="J66" s="976"/>
      <c r="K66" s="976">
        <f>+'Exhibit F'!L63+'Exhibit G state'!L50</f>
        <v>0.7</v>
      </c>
      <c r="L66" s="976"/>
      <c r="M66" s="976">
        <f>+'Exhibit F'!N63+'Exhibit G state'!N50</f>
        <v>100.1</v>
      </c>
      <c r="N66" s="976"/>
      <c r="O66" s="976">
        <f>+'Exhibit F'!P63+'Exhibit G state'!P50</f>
        <v>-0.1</v>
      </c>
      <c r="P66" s="976"/>
      <c r="Q66" s="976">
        <f>+'Exhibit F'!R63+'Exhibit G state'!R50</f>
        <v>-14</v>
      </c>
      <c r="R66" s="976"/>
      <c r="S66" s="976">
        <f>+'Exhibit F'!T63+'Exhibit G state'!T50</f>
        <v>0.29999999999999982</v>
      </c>
      <c r="T66" s="976"/>
      <c r="U66" s="976">
        <f>+'Exhibit F'!V63+'Exhibit G state'!V50</f>
        <v>-0.1</v>
      </c>
      <c r="V66" s="976"/>
      <c r="W66" s="976"/>
      <c r="X66" s="976"/>
      <c r="Y66" s="2755"/>
      <c r="Z66" s="976"/>
      <c r="AA66" s="977"/>
      <c r="AB66" s="976">
        <f>ROUND(SUM(C66:Y66),1)</f>
        <v>92.7</v>
      </c>
      <c r="AC66" s="976"/>
      <c r="AD66" s="978"/>
      <c r="AE66" s="976">
        <f>+'Exhibit F'!AF63+'Exhibit G state'!AF50</f>
        <v>158.79999999999998</v>
      </c>
      <c r="AF66" s="988"/>
      <c r="AG66" s="988"/>
      <c r="AH66" s="976">
        <f t="shared" si="10"/>
        <v>-66.099999999999994</v>
      </c>
      <c r="AI66" s="428"/>
      <c r="AJ66" s="1780">
        <f>ROUND(IF(AE66=0,0,AH66/ABS(AE66)),3)</f>
        <v>-0.41599999999999998</v>
      </c>
    </row>
    <row r="67" spans="1:36" ht="15">
      <c r="A67" s="1748" t="s">
        <v>1538</v>
      </c>
      <c r="B67" s="428"/>
      <c r="C67" s="976">
        <f>+'Exhibit F'!D64+'Exhibit G state'!D51</f>
        <v>20.5</v>
      </c>
      <c r="D67" s="976"/>
      <c r="E67" s="976">
        <f>+'Exhibit F'!F64+'Exhibit G state'!F51</f>
        <v>18.899999999999999</v>
      </c>
      <c r="F67" s="976"/>
      <c r="G67" s="976">
        <f>+'Exhibit F'!H64+'Exhibit G state'!H51</f>
        <v>19.3</v>
      </c>
      <c r="H67" s="976"/>
      <c r="I67" s="976">
        <f>+'Exhibit F'!J64+'Exhibit G state'!J51</f>
        <v>19.8</v>
      </c>
      <c r="J67" s="976"/>
      <c r="K67" s="976">
        <f>+'Exhibit F'!L64+'Exhibit G state'!L51</f>
        <v>19.200000000000003</v>
      </c>
      <c r="L67" s="976"/>
      <c r="M67" s="976">
        <f>+'Exhibit F'!N64+'Exhibit G state'!N51</f>
        <v>19.7</v>
      </c>
      <c r="N67" s="976"/>
      <c r="O67" s="976">
        <f>+'Exhibit F'!P64+'Exhibit G state'!P51</f>
        <v>19.100000000000001</v>
      </c>
      <c r="P67" s="976"/>
      <c r="Q67" s="976">
        <f>+'Exhibit F'!R64+'Exhibit G state'!R51</f>
        <v>18.600000000000001</v>
      </c>
      <c r="R67" s="976"/>
      <c r="S67" s="976">
        <f>+'Exhibit F'!T64+'Exhibit G state'!T51</f>
        <v>10.199999999999999</v>
      </c>
      <c r="T67" s="976"/>
      <c r="U67" s="976">
        <f>+'Exhibit F'!V64+'Exhibit G state'!V51</f>
        <v>9.1</v>
      </c>
      <c r="V67" s="976"/>
      <c r="W67" s="976"/>
      <c r="X67" s="976"/>
      <c r="Y67" s="2755"/>
      <c r="Z67" s="976"/>
      <c r="AA67" s="977"/>
      <c r="AB67" s="976">
        <f>ROUND(SUM(C67:Y67),1)</f>
        <v>174.4</v>
      </c>
      <c r="AC67" s="976"/>
      <c r="AD67" s="978"/>
      <c r="AE67" s="976">
        <f>+'Exhibit F'!AF64+'Exhibit G state'!AF51</f>
        <v>185.9</v>
      </c>
      <c r="AF67" s="988"/>
      <c r="AG67" s="988"/>
      <c r="AH67" s="976">
        <f t="shared" si="10"/>
        <v>-11.5</v>
      </c>
      <c r="AI67" s="428"/>
      <c r="AJ67" s="1847">
        <f>ROUND(SUM(AH67/ABS(AE67)),3)</f>
        <v>-6.2E-2</v>
      </c>
    </row>
    <row r="68" spans="1:36" ht="15">
      <c r="A68" s="1748" t="s">
        <v>1274</v>
      </c>
      <c r="B68" s="428"/>
      <c r="C68" s="976"/>
      <c r="D68" s="976"/>
      <c r="E68" s="976"/>
      <c r="F68" s="976"/>
      <c r="G68" s="976"/>
      <c r="H68" s="976"/>
      <c r="I68" s="976"/>
      <c r="J68" s="976"/>
      <c r="K68" s="976"/>
      <c r="L68" s="976"/>
      <c r="M68" s="976"/>
      <c r="N68" s="976"/>
      <c r="O68" s="976"/>
      <c r="P68" s="976"/>
      <c r="Q68" s="976"/>
      <c r="R68" s="976"/>
      <c r="S68" s="976"/>
      <c r="T68" s="976"/>
      <c r="U68" s="976"/>
      <c r="V68" s="976"/>
      <c r="W68" s="976"/>
      <c r="X68" s="976"/>
      <c r="Y68" s="2755"/>
      <c r="Z68" s="976"/>
      <c r="AA68" s="977"/>
      <c r="AB68" s="976"/>
      <c r="AC68" s="976"/>
      <c r="AD68" s="978"/>
      <c r="AE68" s="976"/>
      <c r="AF68" s="988"/>
      <c r="AG68" s="988"/>
      <c r="AH68" s="976"/>
      <c r="AI68" s="428"/>
      <c r="AJ68" s="1780"/>
    </row>
    <row r="69" spans="1:36" ht="15">
      <c r="A69" s="1748" t="s">
        <v>1528</v>
      </c>
      <c r="B69" s="428"/>
      <c r="C69" s="976">
        <f>+'Exhibit F'!D66+'Exhibit H'!B31</f>
        <v>5.6</v>
      </c>
      <c r="D69" s="976"/>
      <c r="E69" s="976">
        <f>+'Exhibit F'!F66+'Exhibit H'!D31</f>
        <v>5.0999999999999996</v>
      </c>
      <c r="F69" s="976"/>
      <c r="G69" s="976">
        <f>+'Exhibit F'!H66+'Exhibit H'!F31</f>
        <v>4.4000000000000004</v>
      </c>
      <c r="H69" s="976"/>
      <c r="I69" s="976">
        <f>+'Exhibit F'!J66+'Exhibit H'!H31</f>
        <v>4.5</v>
      </c>
      <c r="J69" s="976"/>
      <c r="K69" s="976">
        <f>+'Exhibit F'!L66+'Exhibit H'!J31</f>
        <v>5</v>
      </c>
      <c r="L69" s="976"/>
      <c r="M69" s="976">
        <f>+'Exhibit F'!N66+'Exhibit H'!L31</f>
        <v>5.2</v>
      </c>
      <c r="N69" s="976"/>
      <c r="O69" s="976">
        <f>+'Exhibit F'!P66+'Exhibit H'!N31</f>
        <v>5.4</v>
      </c>
      <c r="P69" s="976"/>
      <c r="Q69" s="976">
        <f>+'Exhibit F'!R66+'Exhibit H'!P31</f>
        <v>4.4000000000000004</v>
      </c>
      <c r="R69" s="976"/>
      <c r="S69" s="976">
        <f>+'Exhibit F'!T66+'Exhibit H'!R31</f>
        <v>4.3</v>
      </c>
      <c r="T69" s="976"/>
      <c r="U69" s="976">
        <f>+'Exhibit F'!V66+'Exhibit H'!T31</f>
        <v>6.3</v>
      </c>
      <c r="V69" s="976"/>
      <c r="W69" s="976"/>
      <c r="X69" s="976"/>
      <c r="Y69" s="2755"/>
      <c r="Z69" s="976"/>
      <c r="AA69" s="977"/>
      <c r="AB69" s="976">
        <f t="shared" ref="AB69:AB76" si="11">ROUND(SUM(C69:Y69),1)</f>
        <v>50.2</v>
      </c>
      <c r="AC69" s="976"/>
      <c r="AD69" s="978"/>
      <c r="AE69" s="976">
        <f>+'Exhibit F'!AF66+'Exhibit H'!AD31</f>
        <v>56.4</v>
      </c>
      <c r="AF69" s="988"/>
      <c r="AG69" s="988"/>
      <c r="AH69" s="976">
        <f t="shared" si="10"/>
        <v>-6.2</v>
      </c>
      <c r="AI69" s="428"/>
      <c r="AJ69" s="1847">
        <f>ROUND(SUM(AH69/ABS(AE69)),3)</f>
        <v>-0.11</v>
      </c>
    </row>
    <row r="70" spans="1:36" ht="15">
      <c r="A70" s="1748" t="s">
        <v>1529</v>
      </c>
      <c r="B70" s="2927"/>
      <c r="C70" s="976">
        <f>'Exhibit G state'!D53</f>
        <v>0</v>
      </c>
      <c r="D70" s="976" t="s">
        <v>15</v>
      </c>
      <c r="E70" s="976">
        <f>'Exhibit G state'!F53</f>
        <v>0.9</v>
      </c>
      <c r="F70" s="976"/>
      <c r="G70" s="976">
        <f>'Exhibit G state'!H53</f>
        <v>1</v>
      </c>
      <c r="H70" s="976"/>
      <c r="I70" s="976">
        <f>'Exhibit G state'!J53</f>
        <v>0.1</v>
      </c>
      <c r="J70" s="976"/>
      <c r="K70" s="976">
        <f>'Exhibit G state'!L53</f>
        <v>0</v>
      </c>
      <c r="L70" s="976"/>
      <c r="M70" s="976">
        <f>'Exhibit G state'!N53</f>
        <v>0</v>
      </c>
      <c r="N70" s="976"/>
      <c r="O70" s="976">
        <f>'Exhibit G state'!P53</f>
        <v>0.1</v>
      </c>
      <c r="P70" s="976"/>
      <c r="Q70" s="976">
        <f>'Exhibit G state'!R53</f>
        <v>0.1</v>
      </c>
      <c r="R70" s="976"/>
      <c r="S70" s="976">
        <f>'Exhibit G state'!T53</f>
        <v>0</v>
      </c>
      <c r="T70" s="976"/>
      <c r="U70" s="976">
        <f>'Exhibit G state'!V53</f>
        <v>0</v>
      </c>
      <c r="V70" s="976"/>
      <c r="W70" s="976"/>
      <c r="X70" s="976"/>
      <c r="Y70" s="2755"/>
      <c r="Z70" s="976"/>
      <c r="AA70" s="1846"/>
      <c r="AB70" s="976">
        <f t="shared" si="11"/>
        <v>2.2000000000000002</v>
      </c>
      <c r="AC70" s="976"/>
      <c r="AD70" s="978"/>
      <c r="AE70" s="976">
        <f>'Exhibit G state'!AF53</f>
        <v>2.1</v>
      </c>
      <c r="AF70" s="988"/>
      <c r="AG70" s="988"/>
      <c r="AH70" s="976">
        <f t="shared" si="10"/>
        <v>0.1</v>
      </c>
      <c r="AI70" s="2927"/>
      <c r="AJ70" s="1780">
        <f>ROUND(IF(AE70=0,1,AH70/ABS(AE70)),3)</f>
        <v>4.8000000000000001E-2</v>
      </c>
    </row>
    <row r="71" spans="1:36" ht="15">
      <c r="A71" s="1748" t="s">
        <v>1530</v>
      </c>
      <c r="B71" s="428"/>
      <c r="C71" s="976">
        <f>+'Exhibit F'!D67+'Exhibit G state'!D54+'Exhibit H'!B32</f>
        <v>48.6</v>
      </c>
      <c r="D71" s="976"/>
      <c r="E71" s="976">
        <f>+'Exhibit F'!F67+'Exhibit G state'!F54+'Exhibit H'!D32</f>
        <v>45.2</v>
      </c>
      <c r="F71" s="976"/>
      <c r="G71" s="976">
        <f>+'Exhibit F'!H67+'Exhibit G state'!H54+'Exhibit H'!F32</f>
        <v>104.4</v>
      </c>
      <c r="H71" s="976"/>
      <c r="I71" s="976">
        <f>+'Exhibit F'!J67+'Exhibit G state'!J54+'Exhibit H'!H32</f>
        <v>45.6</v>
      </c>
      <c r="J71" s="976"/>
      <c r="K71" s="976">
        <f>+'Exhibit F'!L67+'Exhibit G state'!L54+'Exhibit H'!J32</f>
        <v>66.100000000000009</v>
      </c>
      <c r="L71" s="976"/>
      <c r="M71" s="976">
        <f>+'Exhibit F'!N67+'Exhibit G state'!N54+'Exhibit H'!L32</f>
        <v>99.199999999999989</v>
      </c>
      <c r="N71" s="976"/>
      <c r="O71" s="976">
        <f>+'Exhibit F'!P67+'Exhibit G state'!P54+'Exhibit H'!N32</f>
        <v>64.8</v>
      </c>
      <c r="P71" s="976"/>
      <c r="Q71" s="976">
        <f>+'Exhibit F'!R67+'Exhibit G state'!R54+'Exhibit H'!P32</f>
        <v>77.900000000000006</v>
      </c>
      <c r="R71" s="976"/>
      <c r="S71" s="976">
        <f>+'Exhibit F'!T67+'Exhibit G state'!T54+'Exhibit H'!R32</f>
        <v>102.1</v>
      </c>
      <c r="T71" s="976"/>
      <c r="U71" s="976">
        <f>+'Exhibit F'!V67+'Exhibit G state'!V54+'Exhibit H'!T32</f>
        <v>80.199999999999989</v>
      </c>
      <c r="V71" s="976"/>
      <c r="W71" s="976"/>
      <c r="X71" s="976"/>
      <c r="Y71" s="2755"/>
      <c r="Z71" s="976"/>
      <c r="AA71" s="977"/>
      <c r="AB71" s="976">
        <f t="shared" si="11"/>
        <v>734.1</v>
      </c>
      <c r="AC71" s="976"/>
      <c r="AD71" s="978"/>
      <c r="AE71" s="976">
        <f>+'Exhibit F'!AF67+'Exhibit G state'!AF54+'Exhibit H'!AD32</f>
        <v>1040.9000000000001</v>
      </c>
      <c r="AF71" s="988"/>
      <c r="AG71" s="988"/>
      <c r="AH71" s="976">
        <f t="shared" si="10"/>
        <v>-306.8</v>
      </c>
      <c r="AI71" s="428"/>
      <c r="AJ71" s="1847">
        <f>ROUND(SUM(AH71/AE71),3)</f>
        <v>-0.29499999999999998</v>
      </c>
    </row>
    <row r="72" spans="1:36" ht="15">
      <c r="A72" s="1748" t="s">
        <v>1531</v>
      </c>
      <c r="B72" s="428"/>
      <c r="C72" s="976">
        <f>+'Exhibit F'!D68+'Exhibit G state'!D55+'Exhibit H'!B33</f>
        <v>24.6</v>
      </c>
      <c r="D72" s="976"/>
      <c r="E72" s="976">
        <f>+'Exhibit F'!F68+'Exhibit G state'!F55+'Exhibit H'!D33</f>
        <v>18.100000000000001</v>
      </c>
      <c r="F72" s="976"/>
      <c r="G72" s="976">
        <f>+'Exhibit F'!H68+'Exhibit G state'!H55+'Exhibit H'!F33</f>
        <v>25</v>
      </c>
      <c r="H72" s="976"/>
      <c r="I72" s="976">
        <f>+'Exhibit F'!J68+'Exhibit G state'!J55+'Exhibit H'!H33</f>
        <v>31</v>
      </c>
      <c r="J72" s="976"/>
      <c r="K72" s="976">
        <f>+'Exhibit F'!L68+'Exhibit G state'!L55+'Exhibit H'!J33</f>
        <v>13.7</v>
      </c>
      <c r="L72" s="976"/>
      <c r="M72" s="976">
        <f>+'Exhibit F'!N68+'Exhibit G state'!N55+'Exhibit H'!L33</f>
        <v>22.599999999999998</v>
      </c>
      <c r="N72" s="976"/>
      <c r="O72" s="976">
        <f>+'Exhibit F'!P68+'Exhibit G state'!P55+'Exhibit H'!N33</f>
        <v>23.299999999999997</v>
      </c>
      <c r="P72" s="976"/>
      <c r="Q72" s="976">
        <f>+'Exhibit F'!R68+'Exhibit G state'!R55+'Exhibit H'!P33</f>
        <v>26.1</v>
      </c>
      <c r="R72" s="976"/>
      <c r="S72" s="976">
        <f>+'Exhibit F'!T68+'Exhibit G state'!T55+'Exhibit H'!R33</f>
        <v>21.599999999999998</v>
      </c>
      <c r="T72" s="976"/>
      <c r="U72" s="976">
        <f>+'Exhibit F'!V68+'Exhibit G state'!V55+'Exhibit H'!T33</f>
        <v>22</v>
      </c>
      <c r="V72" s="976"/>
      <c r="W72" s="976"/>
      <c r="X72" s="976"/>
      <c r="Y72" s="2755"/>
      <c r="Z72" s="976"/>
      <c r="AA72" s="977"/>
      <c r="AB72" s="976">
        <f t="shared" si="11"/>
        <v>228</v>
      </c>
      <c r="AC72" s="976"/>
      <c r="AD72" s="978"/>
      <c r="AE72" s="976">
        <f>+'Exhibit F'!AF68+'Exhibit G state'!AF55+'Exhibit H'!AD33</f>
        <v>240.1</v>
      </c>
      <c r="AF72" s="988"/>
      <c r="AG72" s="988"/>
      <c r="AH72" s="976">
        <f t="shared" si="10"/>
        <v>-12.1</v>
      </c>
      <c r="AI72" s="428"/>
      <c r="AJ72" s="1847">
        <f>ROUND(SUM(AH72/ABS(AE72)),3)</f>
        <v>-0.05</v>
      </c>
    </row>
    <row r="73" spans="1:36" ht="15">
      <c r="A73" s="1748" t="s">
        <v>1532</v>
      </c>
      <c r="B73" s="428"/>
      <c r="C73" s="976">
        <f>+'Exhibit F'!D69+'Exhibit G state'!D56+'Exhibit H'!B34</f>
        <v>0</v>
      </c>
      <c r="D73" s="976"/>
      <c r="E73" s="976">
        <f>+'Exhibit F'!F69+'Exhibit G state'!F56+'Exhibit H'!D34</f>
        <v>2.1</v>
      </c>
      <c r="F73" s="976"/>
      <c r="G73" s="976">
        <f>+'Exhibit F'!H69+'Exhibit G state'!H56+'Exhibit H'!F34</f>
        <v>0.3</v>
      </c>
      <c r="H73" s="976"/>
      <c r="I73" s="976">
        <f>+'Exhibit F'!J69+'Exhibit G state'!J56+'Exhibit H'!H34</f>
        <v>0.4</v>
      </c>
      <c r="J73" s="976"/>
      <c r="K73" s="976">
        <f>+'Exhibit F'!L69+'Exhibit G state'!L56+'Exhibit H'!J34</f>
        <v>1.9000000000000001</v>
      </c>
      <c r="L73" s="976"/>
      <c r="M73" s="976">
        <f>+'Exhibit F'!N69+'Exhibit G state'!N56+'Exhibit H'!L34</f>
        <v>0</v>
      </c>
      <c r="N73" s="976"/>
      <c r="O73" s="976">
        <f>+'Exhibit F'!P69+'Exhibit G state'!P56+'Exhibit H'!N34</f>
        <v>0.7</v>
      </c>
      <c r="P73" s="976"/>
      <c r="Q73" s="976">
        <f>+'Exhibit F'!R69+'Exhibit G state'!R56+'Exhibit H'!P34</f>
        <v>0.3</v>
      </c>
      <c r="R73" s="976"/>
      <c r="S73" s="976">
        <f>+'Exhibit F'!T69+'Exhibit G state'!T56+'Exhibit H'!R34</f>
        <v>1.4000000000000001</v>
      </c>
      <c r="T73" s="976"/>
      <c r="U73" s="976">
        <f>+'Exhibit F'!V69+'Exhibit G state'!V56+'Exhibit H'!T34</f>
        <v>0.3</v>
      </c>
      <c r="V73" s="976"/>
      <c r="W73" s="976"/>
      <c r="X73" s="976"/>
      <c r="Y73" s="2755"/>
      <c r="Z73" s="976"/>
      <c r="AA73" s="977"/>
      <c r="AB73" s="976">
        <f t="shared" si="11"/>
        <v>7.4</v>
      </c>
      <c r="AC73" s="976"/>
      <c r="AD73" s="978"/>
      <c r="AE73" s="976">
        <f>+'Exhibit F'!AF69+'Exhibit G state'!AF56+'Exhibit H'!AD34</f>
        <v>7.7</v>
      </c>
      <c r="AF73" s="988"/>
      <c r="AG73" s="988"/>
      <c r="AH73" s="976">
        <f t="shared" si="10"/>
        <v>-0.3</v>
      </c>
      <c r="AI73" s="428"/>
      <c r="AJ73" s="1847">
        <f>ROUND(SUM(AH73/ABS(AE73)),3)</f>
        <v>-3.9E-2</v>
      </c>
    </row>
    <row r="74" spans="1:36" ht="15">
      <c r="A74" s="1748" t="s">
        <v>1533</v>
      </c>
      <c r="B74" s="428"/>
      <c r="C74" s="976">
        <f>+'Exhibit F'!D70+'Exhibit G state'!D57+'Exhibit H'!B35</f>
        <v>56.8</v>
      </c>
      <c r="D74" s="976"/>
      <c r="E74" s="976">
        <f>+'Exhibit F'!F70+'Exhibit G state'!F57+'Exhibit H'!D35</f>
        <v>58.5</v>
      </c>
      <c r="F74" s="976"/>
      <c r="G74" s="976">
        <f>+'Exhibit F'!H70+'Exhibit G state'!H57+'Exhibit H'!F35</f>
        <v>68.599999999999994</v>
      </c>
      <c r="H74" s="976"/>
      <c r="I74" s="976">
        <f>+'Exhibit F'!J70+'Exhibit G state'!J57+'Exhibit H'!H35</f>
        <v>42.6</v>
      </c>
      <c r="J74" s="976"/>
      <c r="K74" s="976">
        <f>+'Exhibit F'!L70+'Exhibit G state'!L57+'Exhibit H'!J35</f>
        <v>66.5</v>
      </c>
      <c r="L74" s="976"/>
      <c r="M74" s="976">
        <f>+'Exhibit F'!N70+'Exhibit G state'!N57+'Exhibit H'!L35</f>
        <v>47.5</v>
      </c>
      <c r="N74" s="976"/>
      <c r="O74" s="976">
        <f>+'Exhibit F'!P70+'Exhibit G state'!P57+'Exhibit H'!N35</f>
        <v>-10.599999999999994</v>
      </c>
      <c r="P74" s="976"/>
      <c r="Q74" s="976">
        <f>+'Exhibit F'!R70+'Exhibit G state'!R57+'Exhibit H'!P35</f>
        <v>106.80000000000001</v>
      </c>
      <c r="R74" s="976"/>
      <c r="S74" s="976">
        <f>+'Exhibit F'!T70+'Exhibit G state'!T57+'Exhibit H'!R35</f>
        <v>60.8</v>
      </c>
      <c r="T74" s="976"/>
      <c r="U74" s="976">
        <f>+'Exhibit F'!V70+'Exhibit G state'!V57+'Exhibit H'!T35</f>
        <v>38.5</v>
      </c>
      <c r="V74" s="976"/>
      <c r="W74" s="976"/>
      <c r="X74" s="976"/>
      <c r="Y74" s="2755"/>
      <c r="Z74" s="976"/>
      <c r="AA74" s="977"/>
      <c r="AB74" s="976">
        <f t="shared" si="11"/>
        <v>536</v>
      </c>
      <c r="AC74" s="976"/>
      <c r="AD74" s="978"/>
      <c r="AE74" s="976">
        <f>+'Exhibit F'!AF70+'Exhibit G state'!AF57+'Exhibit H'!AD35</f>
        <v>545.4</v>
      </c>
      <c r="AF74" s="988"/>
      <c r="AG74" s="988"/>
      <c r="AH74" s="976">
        <f t="shared" si="10"/>
        <v>-9.4</v>
      </c>
      <c r="AI74" s="428"/>
      <c r="AJ74" s="1780">
        <f>ROUND(IF(AE74=0,0,AH74/ABS(AE74)),3)</f>
        <v>-1.7000000000000001E-2</v>
      </c>
    </row>
    <row r="75" spans="1:36" ht="15">
      <c r="A75" s="1748" t="s">
        <v>1534</v>
      </c>
      <c r="B75" s="428"/>
      <c r="C75" s="976">
        <f>+'Exhibit F'!D71+'Exhibit G state'!D58+'Exhibit H'!B36</f>
        <v>40.300000000000004</v>
      </c>
      <c r="D75" s="976"/>
      <c r="E75" s="976">
        <f>+'Exhibit F'!F71+'Exhibit G state'!F58+'Exhibit H'!D36</f>
        <v>40.700000000000003</v>
      </c>
      <c r="F75" s="976"/>
      <c r="G75" s="976">
        <f>+'Exhibit F'!H71+'Exhibit G state'!H58+'Exhibit H'!F36</f>
        <v>48.699999999999996</v>
      </c>
      <c r="H75" s="976"/>
      <c r="I75" s="976">
        <f>+'Exhibit F'!J71+'Exhibit G state'!J58+'Exhibit H'!H36</f>
        <v>39.599999999999994</v>
      </c>
      <c r="J75" s="976"/>
      <c r="K75" s="976">
        <f>+'Exhibit F'!L71+'Exhibit G state'!L58+'Exhibit H'!J36</f>
        <v>70.400000000000006</v>
      </c>
      <c r="L75" s="976"/>
      <c r="M75" s="976">
        <f>+'Exhibit F'!N71+'Exhibit G state'!N58+'Exhibit H'!L36</f>
        <v>97.8</v>
      </c>
      <c r="N75" s="976"/>
      <c r="O75" s="976">
        <f>+'Exhibit F'!P71+'Exhibit G state'!P58+'Exhibit H'!N36</f>
        <v>66.900000000000006</v>
      </c>
      <c r="P75" s="976"/>
      <c r="Q75" s="976">
        <f>+'Exhibit F'!R71+'Exhibit G state'!R58+'Exhibit H'!P36</f>
        <v>66.900000000000006</v>
      </c>
      <c r="R75" s="976"/>
      <c r="S75" s="976">
        <f>+'Exhibit F'!T71+'Exhibit G state'!T58+'Exhibit H'!R36</f>
        <v>60.2</v>
      </c>
      <c r="T75" s="976"/>
      <c r="U75" s="976">
        <f>+'Exhibit F'!V71+'Exhibit G state'!V58+'Exhibit H'!T36</f>
        <v>64.3</v>
      </c>
      <c r="V75" s="976"/>
      <c r="W75" s="976"/>
      <c r="X75" s="976"/>
      <c r="Y75" s="2755"/>
      <c r="Z75" s="976"/>
      <c r="AA75" s="977"/>
      <c r="AB75" s="976">
        <f t="shared" si="11"/>
        <v>595.79999999999995</v>
      </c>
      <c r="AC75" s="976"/>
      <c r="AD75" s="978"/>
      <c r="AE75" s="976">
        <f>+'Exhibit F'!AF71+'Exhibit G state'!AF58+'Exhibit H'!AD36</f>
        <v>224.9</v>
      </c>
      <c r="AF75" s="988"/>
      <c r="AG75" s="988"/>
      <c r="AH75" s="976">
        <f t="shared" si="10"/>
        <v>370.9</v>
      </c>
      <c r="AI75" s="428"/>
      <c r="AJ75" s="1847">
        <f>ROUND(SUM(AH75/ABS(AE75)),3)</f>
        <v>1.649</v>
      </c>
    </row>
    <row r="76" spans="1:36" ht="15">
      <c r="A76" s="1748" t="s">
        <v>1158</v>
      </c>
      <c r="B76" s="428"/>
      <c r="C76" s="976">
        <f>+'Exhibit F'!D72+'Exhibit G state'!D59</f>
        <v>6</v>
      </c>
      <c r="D76" s="976"/>
      <c r="E76" s="976">
        <f>+'Exhibit F'!F72+'Exhibit G state'!F59</f>
        <v>72.599999999999994</v>
      </c>
      <c r="F76" s="976"/>
      <c r="G76" s="976">
        <f>+'Exhibit F'!H72+'Exhibit G state'!H59</f>
        <v>30.2</v>
      </c>
      <c r="H76" s="976"/>
      <c r="I76" s="976">
        <f>+'Exhibit F'!J72+'Exhibit G state'!J59</f>
        <v>20.100000000000001</v>
      </c>
      <c r="J76" s="976"/>
      <c r="K76" s="976">
        <f>+'Exhibit F'!L72+'Exhibit G state'!L59</f>
        <v>237.4</v>
      </c>
      <c r="L76" s="976"/>
      <c r="M76" s="976">
        <f>+'Exhibit F'!N72+'Exhibit G state'!N59</f>
        <v>8.6</v>
      </c>
      <c r="N76" s="976"/>
      <c r="O76" s="976">
        <f>+'Exhibit F'!P72+'Exhibit G state'!P59</f>
        <v>26</v>
      </c>
      <c r="P76" s="976"/>
      <c r="Q76" s="976">
        <f>+'Exhibit F'!R72+'Exhibit G state'!R59</f>
        <v>301.90000000000003</v>
      </c>
      <c r="R76" s="976"/>
      <c r="S76" s="976">
        <f>+'Exhibit F'!T72+'Exhibit G state'!T59</f>
        <v>282.10000000000002</v>
      </c>
      <c r="T76" s="976"/>
      <c r="U76" s="976">
        <f>+'Exhibit F'!V72+'Exhibit G state'!V59</f>
        <v>41.300000000000004</v>
      </c>
      <c r="V76" s="976"/>
      <c r="W76" s="976"/>
      <c r="X76" s="976"/>
      <c r="Y76" s="2755"/>
      <c r="Z76" s="976"/>
      <c r="AA76" s="977"/>
      <c r="AB76" s="976">
        <f t="shared" si="11"/>
        <v>1026.2</v>
      </c>
      <c r="AC76" s="976"/>
      <c r="AD76" s="978"/>
      <c r="AE76" s="976">
        <f>+'Exhibit F'!AF72+'Exhibit G state'!AF59</f>
        <v>2514</v>
      </c>
      <c r="AF76" s="988"/>
      <c r="AG76" s="988"/>
      <c r="AH76" s="976">
        <f t="shared" si="10"/>
        <v>-1487.8</v>
      </c>
      <c r="AI76" s="428"/>
      <c r="AJ76" s="1847">
        <f>ROUND(SUM(AH76/ABS(AE76)),3)</f>
        <v>-0.59199999999999997</v>
      </c>
    </row>
    <row r="77" spans="1:36" ht="15">
      <c r="A77" s="1748" t="s">
        <v>1271</v>
      </c>
      <c r="B77" s="428"/>
      <c r="C77" s="976"/>
      <c r="D77" s="976"/>
      <c r="E77" s="976"/>
      <c r="F77" s="976"/>
      <c r="G77" s="976"/>
      <c r="H77" s="976"/>
      <c r="I77" s="976"/>
      <c r="J77" s="976"/>
      <c r="K77" s="976"/>
      <c r="L77" s="976"/>
      <c r="M77" s="976"/>
      <c r="N77" s="976"/>
      <c r="O77" s="976"/>
      <c r="P77" s="976"/>
      <c r="Q77" s="976"/>
      <c r="R77" s="976"/>
      <c r="S77" s="976"/>
      <c r="T77" s="976"/>
      <c r="U77" s="976"/>
      <c r="V77" s="976"/>
      <c r="W77" s="976"/>
      <c r="X77" s="976"/>
      <c r="Y77" s="2755"/>
      <c r="Z77" s="976"/>
      <c r="AA77" s="977"/>
      <c r="AB77" s="976"/>
      <c r="AC77" s="976"/>
      <c r="AD77" s="978"/>
      <c r="AE77" s="976"/>
      <c r="AF77" s="988"/>
      <c r="AG77" s="988"/>
      <c r="AH77" s="976"/>
      <c r="AI77" s="428"/>
      <c r="AJ77" s="1847" t="s">
        <v>15</v>
      </c>
    </row>
    <row r="78" spans="1:36" ht="15">
      <c r="A78" s="1748" t="s">
        <v>1167</v>
      </c>
      <c r="B78" s="428"/>
      <c r="C78" s="976">
        <f>+'Exhibit G state'!D61</f>
        <v>15.3</v>
      </c>
      <c r="D78" s="976"/>
      <c r="E78" s="976">
        <f>+'Exhibit G state'!F61</f>
        <v>0</v>
      </c>
      <c r="F78" s="976"/>
      <c r="G78" s="976">
        <f>+'Exhibit G state'!H61</f>
        <v>34.4</v>
      </c>
      <c r="H78" s="976"/>
      <c r="I78" s="976">
        <f>+'Exhibit G state'!J61</f>
        <v>15.6</v>
      </c>
      <c r="J78" s="976"/>
      <c r="K78" s="976">
        <f>+'Exhibit G state'!L61</f>
        <v>0</v>
      </c>
      <c r="L78" s="976"/>
      <c r="M78" s="976">
        <f>+'Exhibit G state'!N61</f>
        <v>37</v>
      </c>
      <c r="N78" s="976"/>
      <c r="O78" s="976">
        <f>+'Exhibit G state'!P61</f>
        <v>16.3</v>
      </c>
      <c r="P78" s="976"/>
      <c r="Q78" s="976">
        <f>+'Exhibit G state'!R61</f>
        <v>0</v>
      </c>
      <c r="R78" s="976"/>
      <c r="S78" s="976">
        <f>+'Exhibit G state'!T61</f>
        <v>39.700000000000003</v>
      </c>
      <c r="T78" s="976"/>
      <c r="U78" s="976">
        <f>+'Exhibit G state'!V61</f>
        <v>16</v>
      </c>
      <c r="V78" s="976"/>
      <c r="W78" s="976"/>
      <c r="X78" s="976"/>
      <c r="Y78" s="2755"/>
      <c r="Z78" s="976"/>
      <c r="AA78" s="977"/>
      <c r="AB78" s="976">
        <f>ROUND(SUM(C78:Y78),1)</f>
        <v>174.3</v>
      </c>
      <c r="AC78" s="976"/>
      <c r="AD78" s="978"/>
      <c r="AE78" s="976">
        <f>+'Exhibit G state'!AF61</f>
        <v>203.6</v>
      </c>
      <c r="AF78" s="988"/>
      <c r="AG78" s="988"/>
      <c r="AH78" s="976">
        <f t="shared" si="10"/>
        <v>-29.3</v>
      </c>
      <c r="AI78" s="428"/>
      <c r="AJ78" s="2636">
        <f>ROUND(SUM(AH78/ABS(AE78)),3)</f>
        <v>-0.14399999999999999</v>
      </c>
    </row>
    <row r="79" spans="1:36" ht="15">
      <c r="A79" s="1748" t="s">
        <v>1168</v>
      </c>
      <c r="B79" s="428"/>
      <c r="C79" s="976">
        <f>+'Exhibit G state'!D62</f>
        <v>188.8</v>
      </c>
      <c r="D79" s="976"/>
      <c r="E79" s="976">
        <f>+'Exhibit G state'!F62</f>
        <v>202.5</v>
      </c>
      <c r="F79" s="976"/>
      <c r="G79" s="976">
        <f>+'Exhibit G state'!H62</f>
        <v>244.8</v>
      </c>
      <c r="H79" s="976"/>
      <c r="I79" s="976">
        <f>+'Exhibit G state'!J62</f>
        <v>200.9</v>
      </c>
      <c r="J79" s="976"/>
      <c r="K79" s="976">
        <f>+'Exhibit G state'!L62</f>
        <v>228</v>
      </c>
      <c r="L79" s="976"/>
      <c r="M79" s="976">
        <f>+'Exhibit G state'!N62</f>
        <v>175.1</v>
      </c>
      <c r="N79" s="976"/>
      <c r="O79" s="976">
        <f>+'Exhibit G state'!P62</f>
        <v>174.8</v>
      </c>
      <c r="P79" s="976"/>
      <c r="Q79" s="976">
        <f>+'Exhibit G state'!R62</f>
        <v>217.8</v>
      </c>
      <c r="R79" s="976"/>
      <c r="S79" s="976">
        <f>+'Exhibit G state'!T62</f>
        <v>183</v>
      </c>
      <c r="T79" s="976"/>
      <c r="U79" s="976">
        <f>+'Exhibit G state'!V62</f>
        <v>181.6</v>
      </c>
      <c r="V79" s="976"/>
      <c r="W79" s="976"/>
      <c r="X79" s="976"/>
      <c r="Y79" s="2755"/>
      <c r="Z79" s="976"/>
      <c r="AA79" s="977"/>
      <c r="AB79" s="976">
        <f>ROUND(SUM(C79:Y79),1)</f>
        <v>1997.3</v>
      </c>
      <c r="AC79" s="976"/>
      <c r="AD79" s="978"/>
      <c r="AE79" s="976">
        <f>+'Exhibit G state'!AF62</f>
        <v>2100.9</v>
      </c>
      <c r="AF79" s="988"/>
      <c r="AG79" s="988"/>
      <c r="AH79" s="976">
        <f t="shared" si="10"/>
        <v>-103.6</v>
      </c>
      <c r="AI79" s="428"/>
      <c r="AJ79" s="2636">
        <f>ROUND(SUM(AH79/ABS(AE79)),3)</f>
        <v>-4.9000000000000002E-2</v>
      </c>
    </row>
    <row r="80" spans="1:36" ht="15">
      <c r="A80" s="1748" t="s">
        <v>1169</v>
      </c>
      <c r="B80" s="428"/>
      <c r="C80" s="976">
        <f>+'Exhibit G state'!D63</f>
        <v>78.400000000000006</v>
      </c>
      <c r="D80" s="976"/>
      <c r="E80" s="976">
        <f>+'Exhibit G state'!F63</f>
        <v>77.400000000000006</v>
      </c>
      <c r="F80" s="976"/>
      <c r="G80" s="976">
        <f>+'Exhibit G state'!H63</f>
        <v>90.8</v>
      </c>
      <c r="H80" s="976"/>
      <c r="I80" s="976">
        <f>+'Exhibit G state'!J63</f>
        <v>76.599999999999994</v>
      </c>
      <c r="J80" s="976"/>
      <c r="K80" s="976">
        <f>+'Exhibit G state'!L63</f>
        <v>93.1</v>
      </c>
      <c r="L80" s="976"/>
      <c r="M80" s="976">
        <f>+'Exhibit G state'!N63</f>
        <v>74.099999999999994</v>
      </c>
      <c r="N80" s="976"/>
      <c r="O80" s="976">
        <f>+'Exhibit G state'!P63</f>
        <v>71.8</v>
      </c>
      <c r="P80" s="976"/>
      <c r="Q80" s="976">
        <f>+'Exhibit G state'!R63</f>
        <v>87.7</v>
      </c>
      <c r="R80" s="976"/>
      <c r="S80" s="976">
        <f>+'Exhibit G state'!T63</f>
        <v>62.9</v>
      </c>
      <c r="T80" s="976"/>
      <c r="U80" s="976">
        <f>+'Exhibit G state'!V63</f>
        <v>75.3</v>
      </c>
      <c r="V80" s="976"/>
      <c r="W80" s="976"/>
      <c r="X80" s="976"/>
      <c r="Y80" s="2755"/>
      <c r="Z80" s="976"/>
      <c r="AA80" s="977"/>
      <c r="AB80" s="976">
        <f>ROUND(SUM(C80:Y80),1)</f>
        <v>788.1</v>
      </c>
      <c r="AC80" s="976"/>
      <c r="AD80" s="978"/>
      <c r="AE80" s="976">
        <f>+'Exhibit G state'!AF63</f>
        <v>791.3</v>
      </c>
      <c r="AF80" s="988"/>
      <c r="AG80" s="988"/>
      <c r="AH80" s="976">
        <f t="shared" si="10"/>
        <v>-3.2</v>
      </c>
      <c r="AI80" s="428"/>
      <c r="AJ80" s="2636">
        <f>ROUND(SUM(AH80/ABS(AE80)),3)</f>
        <v>-4.0000000000000001E-3</v>
      </c>
    </row>
    <row r="81" spans="1:36" ht="15">
      <c r="A81" s="1748" t="s">
        <v>1159</v>
      </c>
      <c r="B81" s="428"/>
      <c r="C81" s="976">
        <f>+'Exhibit F'!D73+'Exhibit H'!B37+'Exhibit G state'!D64</f>
        <v>5</v>
      </c>
      <c r="D81" s="976"/>
      <c r="E81" s="976">
        <f>+'Exhibit F'!F73+'Exhibit H'!D37+'Exhibit G state'!F64</f>
        <v>7.1</v>
      </c>
      <c r="F81" s="976"/>
      <c r="G81" s="976">
        <f>+'Exhibit F'!H73+'Exhibit H'!F37+'Exhibit G state'!H64</f>
        <v>5.9</v>
      </c>
      <c r="H81" s="976"/>
      <c r="I81" s="976">
        <f>+'Exhibit F'!J73+'Exhibit H'!H37+'Exhibit G state'!J64</f>
        <v>5.9</v>
      </c>
      <c r="J81" s="976"/>
      <c r="K81" s="976">
        <f>+'Exhibit F'!L73+'Exhibit H'!J37+'Exhibit G state'!L64</f>
        <v>6.2</v>
      </c>
      <c r="L81" s="976"/>
      <c r="M81" s="976">
        <f>+'Exhibit F'!N73+'Exhibit H'!L37+'Exhibit G state'!N64</f>
        <v>5.0999999999999996</v>
      </c>
      <c r="N81" s="976"/>
      <c r="O81" s="976">
        <f>+'Exhibit F'!P73+'Exhibit H'!N37+'Exhibit G state'!P64</f>
        <v>5.5</v>
      </c>
      <c r="P81" s="976"/>
      <c r="Q81" s="976">
        <f>+'Exhibit F'!R73+'Exhibit H'!P37+'Exhibit G state'!R64</f>
        <v>6.1</v>
      </c>
      <c r="R81" s="976"/>
      <c r="S81" s="976">
        <f>+'Exhibit F'!T73+'Exhibit H'!R37+'Exhibit G state'!T64</f>
        <v>5.5</v>
      </c>
      <c r="T81" s="976"/>
      <c r="U81" s="976">
        <f>+'Exhibit F'!V73+'Exhibit H'!T37+'Exhibit G state'!V64</f>
        <v>6</v>
      </c>
      <c r="V81" s="976"/>
      <c r="W81" s="976"/>
      <c r="X81" s="976"/>
      <c r="Y81" s="2755"/>
      <c r="Z81" s="976"/>
      <c r="AA81" s="977"/>
      <c r="AB81" s="976">
        <f>ROUND(SUM(C81:Y81),1)</f>
        <v>58.3</v>
      </c>
      <c r="AC81" s="976"/>
      <c r="AD81" s="978"/>
      <c r="AE81" s="976">
        <f>+'Exhibit F'!AF73+'Exhibit H'!AD37+'Exhibit G state'!AF64</f>
        <v>36.4</v>
      </c>
      <c r="AF81" s="988"/>
      <c r="AG81" s="988"/>
      <c r="AH81" s="976">
        <f t="shared" si="10"/>
        <v>21.9</v>
      </c>
      <c r="AI81" s="428"/>
      <c r="AJ81" s="2636">
        <f>ROUND(SUM(AH81/ABS(AE81)),3)</f>
        <v>0.60199999999999998</v>
      </c>
    </row>
    <row r="82" spans="1:36" ht="15">
      <c r="A82" s="1748" t="s">
        <v>1272</v>
      </c>
      <c r="B82" s="428"/>
      <c r="C82" s="976"/>
      <c r="D82" s="976"/>
      <c r="E82" s="976"/>
      <c r="F82" s="976"/>
      <c r="G82" s="976"/>
      <c r="H82" s="976"/>
      <c r="I82" s="976"/>
      <c r="J82" s="976"/>
      <c r="K82" s="976"/>
      <c r="L82" s="976"/>
      <c r="M82" s="976"/>
      <c r="N82" s="976"/>
      <c r="O82" s="976"/>
      <c r="P82" s="976"/>
      <c r="Q82" s="976"/>
      <c r="R82" s="976"/>
      <c r="S82" s="976"/>
      <c r="T82" s="976"/>
      <c r="U82" s="976"/>
      <c r="V82" s="976"/>
      <c r="W82" s="976"/>
      <c r="X82" s="976"/>
      <c r="Y82" s="2755"/>
      <c r="Z82" s="976"/>
      <c r="AA82" s="977"/>
      <c r="AB82" s="976"/>
      <c r="AC82" s="976"/>
      <c r="AD82" s="978"/>
      <c r="AE82" s="976"/>
      <c r="AF82" s="988"/>
      <c r="AG82" s="988"/>
      <c r="AH82" s="976"/>
      <c r="AI82" s="428"/>
      <c r="AJ82" s="1780"/>
    </row>
    <row r="83" spans="1:36" ht="15">
      <c r="A83" s="1748" t="s">
        <v>1526</v>
      </c>
      <c r="B83" s="428"/>
      <c r="C83" s="976">
        <f>+'Exhibit G state'!D66</f>
        <v>0</v>
      </c>
      <c r="D83" s="976"/>
      <c r="E83" s="976">
        <f>+'Exhibit G state'!F66</f>
        <v>0</v>
      </c>
      <c r="F83" s="976"/>
      <c r="G83" s="976">
        <f>+'Exhibit G state'!H66</f>
        <v>0</v>
      </c>
      <c r="H83" s="976"/>
      <c r="I83" s="976">
        <f>+'Exhibit G state'!J66</f>
        <v>0</v>
      </c>
      <c r="J83" s="976"/>
      <c r="K83" s="976">
        <f>+'Exhibit G state'!L66</f>
        <v>0</v>
      </c>
      <c r="L83" s="976"/>
      <c r="M83" s="976">
        <f>+'Exhibit G state'!N66</f>
        <v>0</v>
      </c>
      <c r="N83" s="976"/>
      <c r="O83" s="976">
        <f>+'Exhibit G state'!P66</f>
        <v>0</v>
      </c>
      <c r="P83" s="976"/>
      <c r="Q83" s="976">
        <f>+'Exhibit G state'!R66</f>
        <v>0</v>
      </c>
      <c r="R83" s="976"/>
      <c r="S83" s="976">
        <f>+'Exhibit G state'!T66</f>
        <v>0</v>
      </c>
      <c r="T83" s="976"/>
      <c r="U83" s="976">
        <f>+'Exhibit G state'!V66</f>
        <v>0</v>
      </c>
      <c r="V83" s="976"/>
      <c r="W83" s="976"/>
      <c r="X83" s="976"/>
      <c r="Y83" s="2755"/>
      <c r="Z83" s="976"/>
      <c r="AA83" s="977"/>
      <c r="AB83" s="976">
        <f t="shared" ref="AB83:AB88" si="12">ROUND(SUM(C83:Y83),1)</f>
        <v>0</v>
      </c>
      <c r="AC83" s="976"/>
      <c r="AD83" s="978"/>
      <c r="AE83" s="976">
        <f>+'Exhibit G state'!AF66</f>
        <v>0</v>
      </c>
      <c r="AF83" s="988"/>
      <c r="AG83" s="988"/>
      <c r="AH83" s="976">
        <f t="shared" si="10"/>
        <v>0</v>
      </c>
      <c r="AI83" s="428"/>
      <c r="AJ83" s="1780">
        <f>ROUND(IF(AE83=0,0,AH83/ABS(AE83)),3)</f>
        <v>0</v>
      </c>
    </row>
    <row r="84" spans="1:36" ht="15">
      <c r="A84" s="1748" t="s">
        <v>1508</v>
      </c>
      <c r="B84" s="428"/>
      <c r="C84" s="976">
        <f>+'Exhibit F'!D75+'Exhibit G state'!D67</f>
        <v>0</v>
      </c>
      <c r="D84" s="976"/>
      <c r="E84" s="976">
        <f>+'Exhibit F'!F75+'Exhibit G state'!F67</f>
        <v>0</v>
      </c>
      <c r="F84" s="976"/>
      <c r="G84" s="976">
        <f>+'Exhibit F'!H75+'Exhibit G state'!H67</f>
        <v>22.6</v>
      </c>
      <c r="H84" s="976"/>
      <c r="I84" s="976">
        <f>+'Exhibit F'!J75+'Exhibit G state'!J67</f>
        <v>0</v>
      </c>
      <c r="J84" s="976"/>
      <c r="K84" s="976">
        <f>+'Exhibit F'!L75+'Exhibit G state'!L67</f>
        <v>0</v>
      </c>
      <c r="L84" s="976"/>
      <c r="M84" s="976">
        <f>+'Exhibit F'!N75+'Exhibit G state'!N67</f>
        <v>0</v>
      </c>
      <c r="N84" s="976"/>
      <c r="O84" s="976">
        <f>+'Exhibit F'!P75+'Exhibit G state'!P67</f>
        <v>0</v>
      </c>
      <c r="P84" s="976"/>
      <c r="Q84" s="976">
        <f>+'Exhibit F'!R75+'Exhibit G state'!R67</f>
        <v>10.5</v>
      </c>
      <c r="R84" s="976"/>
      <c r="S84" s="976">
        <f>+'Exhibit F'!T75+'Exhibit G state'!T67</f>
        <v>0</v>
      </c>
      <c r="T84" s="976"/>
      <c r="U84" s="976">
        <f>+'Exhibit F'!V75+'Exhibit G state'!V67</f>
        <v>0.1</v>
      </c>
      <c r="V84" s="976"/>
      <c r="W84" s="976"/>
      <c r="X84" s="976"/>
      <c r="Y84" s="2755"/>
      <c r="Z84" s="976"/>
      <c r="AA84" s="977"/>
      <c r="AB84" s="976">
        <f t="shared" si="12"/>
        <v>33.200000000000003</v>
      </c>
      <c r="AC84" s="976"/>
      <c r="AD84" s="978"/>
      <c r="AE84" s="976">
        <f>+'Exhibit F'!AF75+'Exhibit G state'!AF67</f>
        <v>37.599999999999994</v>
      </c>
      <c r="AF84" s="988"/>
      <c r="AG84" s="988"/>
      <c r="AH84" s="976">
        <f t="shared" si="10"/>
        <v>-4.4000000000000004</v>
      </c>
      <c r="AI84" s="428"/>
      <c r="AJ84" s="2670">
        <f>ROUND(IF(AE84=0,1,AH84/ABS(AE84)),3)</f>
        <v>-0.11700000000000001</v>
      </c>
    </row>
    <row r="85" spans="1:36" ht="15">
      <c r="A85" s="1748" t="s">
        <v>1509</v>
      </c>
      <c r="B85" s="428"/>
      <c r="C85" s="976">
        <f>+'Exhibit F'!D76+'Exhibit G state'!D68</f>
        <v>15.600000000000001</v>
      </c>
      <c r="D85" s="976"/>
      <c r="E85" s="976">
        <f>+'Exhibit F'!F76+'Exhibit G state'!F68</f>
        <v>6.1</v>
      </c>
      <c r="F85" s="976"/>
      <c r="G85" s="976">
        <f>+'Exhibit F'!H76+'Exhibit G state'!H68</f>
        <v>3.2</v>
      </c>
      <c r="H85" s="976"/>
      <c r="I85" s="976">
        <f>+'Exhibit F'!J76+'Exhibit G state'!J68</f>
        <v>8.4</v>
      </c>
      <c r="J85" s="976"/>
      <c r="K85" s="976">
        <f>+'Exhibit F'!L76+'Exhibit G state'!L68</f>
        <v>5.2</v>
      </c>
      <c r="L85" s="976"/>
      <c r="M85" s="976">
        <f>+'Exhibit F'!N76+'Exhibit G state'!N68</f>
        <v>17.2</v>
      </c>
      <c r="N85" s="976"/>
      <c r="O85" s="976">
        <f>+'Exhibit F'!P76+'Exhibit G state'!P68</f>
        <v>13.8</v>
      </c>
      <c r="P85" s="976"/>
      <c r="Q85" s="976">
        <f>+'Exhibit F'!R76+'Exhibit G state'!R68</f>
        <v>0.9</v>
      </c>
      <c r="R85" s="976"/>
      <c r="S85" s="976">
        <f>+'Exhibit F'!T76+'Exhibit G state'!T68</f>
        <v>2.2999999999999998</v>
      </c>
      <c r="T85" s="976"/>
      <c r="U85" s="976">
        <f>+'Exhibit F'!V76+'Exhibit G state'!V68</f>
        <v>7.3</v>
      </c>
      <c r="V85" s="976"/>
      <c r="W85" s="976"/>
      <c r="X85" s="976"/>
      <c r="Y85" s="2755"/>
      <c r="Z85" s="976"/>
      <c r="AA85" s="977"/>
      <c r="AB85" s="976">
        <f t="shared" si="12"/>
        <v>80</v>
      </c>
      <c r="AC85" s="976"/>
      <c r="AD85" s="978"/>
      <c r="AE85" s="976">
        <f>+'Exhibit F'!AF76+'Exhibit G state'!AF68</f>
        <v>87</v>
      </c>
      <c r="AF85" s="988"/>
      <c r="AG85" s="988"/>
      <c r="AH85" s="976">
        <f t="shared" si="10"/>
        <v>-7</v>
      </c>
      <c r="AI85" s="428"/>
      <c r="AJ85" s="2636">
        <f>ROUND(SUM(AH85/ABS(AE85)),3)</f>
        <v>-0.08</v>
      </c>
    </row>
    <row r="86" spans="1:36" ht="15">
      <c r="A86" s="1748" t="s">
        <v>1510</v>
      </c>
      <c r="B86" s="428"/>
      <c r="C86" s="976">
        <f>+'Exhibit F'!D77+'Exhibit G state'!D69</f>
        <v>0.9</v>
      </c>
      <c r="D86" s="976"/>
      <c r="E86" s="976">
        <f>+'Exhibit F'!F77+'Exhibit G state'!F69</f>
        <v>0.9</v>
      </c>
      <c r="F86" s="976"/>
      <c r="G86" s="976">
        <f>+'Exhibit F'!H77+'Exhibit G state'!H69</f>
        <v>0</v>
      </c>
      <c r="H86" s="976"/>
      <c r="I86" s="976">
        <f>+'Exhibit F'!J77+'Exhibit G state'!J69</f>
        <v>-0.39999999999999997</v>
      </c>
      <c r="J86" s="976"/>
      <c r="K86" s="976">
        <f>+'Exhibit F'!L77+'Exhibit G state'!L69</f>
        <v>0.5</v>
      </c>
      <c r="L86" s="976"/>
      <c r="M86" s="976">
        <f>+'Exhibit F'!N77+'Exhibit G state'!N69</f>
        <v>0</v>
      </c>
      <c r="N86" s="976"/>
      <c r="O86" s="976">
        <f>+'Exhibit F'!P77+'Exhibit G state'!P69</f>
        <v>23.2</v>
      </c>
      <c r="P86" s="976"/>
      <c r="Q86" s="976">
        <f>+'Exhibit F'!R77+'Exhibit G state'!R69</f>
        <v>0.1</v>
      </c>
      <c r="R86" s="976"/>
      <c r="S86" s="976">
        <f>+'Exhibit F'!T77+'Exhibit G state'!T69</f>
        <v>47.7</v>
      </c>
      <c r="T86" s="976"/>
      <c r="U86" s="976">
        <f>+'Exhibit F'!V77+'Exhibit G state'!V69</f>
        <v>16.600000000000001</v>
      </c>
      <c r="V86" s="976"/>
      <c r="W86" s="976"/>
      <c r="X86" s="976"/>
      <c r="Y86" s="2755"/>
      <c r="Z86" s="976"/>
      <c r="AA86" s="977"/>
      <c r="AB86" s="976">
        <f t="shared" si="12"/>
        <v>89.5</v>
      </c>
      <c r="AC86" s="976"/>
      <c r="AD86" s="978"/>
      <c r="AE86" s="976">
        <f>+'Exhibit F'!AF77+'Exhibit G state'!AF69</f>
        <v>49</v>
      </c>
      <c r="AF86" s="988"/>
      <c r="AG86" s="988"/>
      <c r="AH86" s="976">
        <f t="shared" si="10"/>
        <v>40.5</v>
      </c>
      <c r="AI86" s="428"/>
      <c r="AJ86" s="2636">
        <f>ROUND(SUM(AH86/ABS(AE86)),3)</f>
        <v>0.82699999999999996</v>
      </c>
    </row>
    <row r="87" spans="1:36" ht="15">
      <c r="A87" s="1748" t="s">
        <v>1170</v>
      </c>
      <c r="B87" s="428"/>
      <c r="C87" s="976">
        <f>+'Exhibit F'!D78+'Exhibit H'!B38+'Exhibit G state'!D70</f>
        <v>58.4</v>
      </c>
      <c r="D87" s="976"/>
      <c r="E87" s="976">
        <f>+'Exhibit F'!F78+'Exhibit H'!D38+'Exhibit G state'!F70</f>
        <v>24.299999999999997</v>
      </c>
      <c r="F87" s="976"/>
      <c r="G87" s="976">
        <f>+'Exhibit F'!H78+'Exhibit H'!F38+'Exhibit G state'!H70</f>
        <v>54</v>
      </c>
      <c r="H87" s="976"/>
      <c r="I87" s="976">
        <f>+'Exhibit F'!J78+'Exhibit H'!H38+'Exhibit G state'!J70</f>
        <v>21.4</v>
      </c>
      <c r="J87" s="976"/>
      <c r="K87" s="976">
        <f>+'Exhibit F'!L78+'Exhibit H'!J38+'Exhibit G state'!L70</f>
        <v>21.6</v>
      </c>
      <c r="L87" s="976"/>
      <c r="M87" s="976">
        <f>+'Exhibit F'!N78+'Exhibit H'!L38+'Exhibit G state'!N70</f>
        <v>24.800000000000004</v>
      </c>
      <c r="N87" s="976"/>
      <c r="O87" s="976">
        <f>+'Exhibit F'!P78+'Exhibit H'!N38+'Exhibit G state'!P70</f>
        <v>22.099999999999998</v>
      </c>
      <c r="P87" s="976"/>
      <c r="Q87" s="976">
        <f>+'Exhibit F'!R78+'Exhibit H'!P38+'Exhibit G state'!R70</f>
        <v>20.6</v>
      </c>
      <c r="R87" s="976"/>
      <c r="S87" s="976">
        <f>+'Exhibit F'!T78+'Exhibit H'!R38+'Exhibit G state'!T70</f>
        <v>23.8</v>
      </c>
      <c r="T87" s="976"/>
      <c r="U87" s="976">
        <f>+'Exhibit F'!V78+'Exhibit H'!T38+'Exhibit G state'!V70</f>
        <v>21.4</v>
      </c>
      <c r="V87" s="976"/>
      <c r="W87" s="976"/>
      <c r="X87" s="976"/>
      <c r="Y87" s="2755"/>
      <c r="Z87" s="976"/>
      <c r="AA87" s="977"/>
      <c r="AB87" s="976">
        <f t="shared" si="12"/>
        <v>292.39999999999998</v>
      </c>
      <c r="AC87" s="976"/>
      <c r="AD87" s="978"/>
      <c r="AE87" s="976">
        <f>+'Exhibit F'!AF78+'Exhibit H'!AD38+'Exhibit G state'!AF70</f>
        <v>99.7</v>
      </c>
      <c r="AF87" s="988"/>
      <c r="AG87" s="988"/>
      <c r="AH87" s="976">
        <f t="shared" si="10"/>
        <v>192.7</v>
      </c>
      <c r="AI87" s="428"/>
      <c r="AJ87" s="2636">
        <f>ROUND(SUM(AH87/ABS(AE87)),3)</f>
        <v>1.9330000000000001</v>
      </c>
    </row>
    <row r="88" spans="1:36" ht="15">
      <c r="A88" s="1748" t="s">
        <v>1171</v>
      </c>
      <c r="B88" s="428"/>
      <c r="C88" s="976">
        <f>+'Exhibit F'!D79+'Exhibit H'!B39+'Exhibit G state'!D71</f>
        <v>55.4</v>
      </c>
      <c r="D88" s="976"/>
      <c r="E88" s="976">
        <f>+'Exhibit F'!F79+'Exhibit H'!D39+'Exhibit G state'!F71</f>
        <v>31.5</v>
      </c>
      <c r="F88" s="976"/>
      <c r="G88" s="976">
        <f>+'Exhibit F'!H79+'Exhibit H'!F39+'Exhibit G state'!H71</f>
        <v>21.400000000000002</v>
      </c>
      <c r="H88" s="976"/>
      <c r="I88" s="976">
        <f>+'Exhibit F'!J79+'Exhibit H'!H39+'Exhibit G state'!J71</f>
        <v>2.5</v>
      </c>
      <c r="J88" s="976"/>
      <c r="K88" s="976">
        <f>+'Exhibit F'!L79+'Exhibit H'!J39+'Exhibit G state'!L71</f>
        <v>47.199999999999996</v>
      </c>
      <c r="L88" s="976"/>
      <c r="M88" s="976">
        <f>+'Exhibit F'!N79+'Exhibit H'!L39+'Exhibit G state'!N71</f>
        <v>1.3</v>
      </c>
      <c r="N88" s="976"/>
      <c r="O88" s="976">
        <f>+'Exhibit F'!P79+'Exhibit H'!N39+'Exhibit G state'!P71</f>
        <v>34.9</v>
      </c>
      <c r="P88" s="976"/>
      <c r="Q88" s="976">
        <f>+'Exhibit F'!R79+'Exhibit H'!P39+'Exhibit G state'!R71</f>
        <v>49.900000000000006</v>
      </c>
      <c r="R88" s="976"/>
      <c r="S88" s="976">
        <f>+'Exhibit F'!T79+'Exhibit H'!R39+'Exhibit G state'!T71</f>
        <v>31.099999999999998</v>
      </c>
      <c r="T88" s="976"/>
      <c r="U88" s="976">
        <f>+'Exhibit F'!V79+'Exhibit H'!T39+'Exhibit G state'!V71</f>
        <v>47.4</v>
      </c>
      <c r="V88" s="976"/>
      <c r="W88" s="976"/>
      <c r="X88" s="976"/>
      <c r="Y88" s="2755"/>
      <c r="Z88" s="976"/>
      <c r="AA88" s="977"/>
      <c r="AB88" s="976">
        <f t="shared" si="12"/>
        <v>322.60000000000002</v>
      </c>
      <c r="AC88" s="976"/>
      <c r="AD88" s="978"/>
      <c r="AE88" s="976">
        <f>+'Exhibit F'!AF79+'Exhibit H'!AD39+'Exhibit G state'!AF71</f>
        <v>213</v>
      </c>
      <c r="AF88" s="988"/>
      <c r="AG88" s="988"/>
      <c r="AH88" s="976">
        <f t="shared" si="10"/>
        <v>109.6</v>
      </c>
      <c r="AI88" s="428"/>
      <c r="AJ88" s="2636">
        <f>ROUND(SUM(AH88/ABS(AE88)),3)</f>
        <v>0.51500000000000001</v>
      </c>
    </row>
    <row r="89" spans="1:36" ht="15">
      <c r="A89" s="1748" t="s">
        <v>1273</v>
      </c>
      <c r="B89" s="428"/>
      <c r="C89" s="976"/>
      <c r="D89" s="976"/>
      <c r="E89" s="976"/>
      <c r="F89" s="976"/>
      <c r="G89" s="976"/>
      <c r="H89" s="976"/>
      <c r="I89" s="976"/>
      <c r="J89" s="976"/>
      <c r="K89" s="976"/>
      <c r="L89" s="976"/>
      <c r="M89" s="976"/>
      <c r="N89" s="976"/>
      <c r="O89" s="976"/>
      <c r="P89" s="976"/>
      <c r="Q89" s="976"/>
      <c r="R89" s="976"/>
      <c r="S89" s="976"/>
      <c r="T89" s="976"/>
      <c r="U89" s="976"/>
      <c r="V89" s="976"/>
      <c r="W89" s="976"/>
      <c r="X89" s="976"/>
      <c r="Y89" s="2755"/>
      <c r="Z89" s="976"/>
      <c r="AA89" s="977"/>
      <c r="AB89" s="976"/>
      <c r="AC89" s="976"/>
      <c r="AD89" s="978"/>
      <c r="AE89" s="976"/>
      <c r="AF89" s="988"/>
      <c r="AG89" s="988"/>
      <c r="AH89" s="976"/>
      <c r="AI89" s="428"/>
      <c r="AJ89" s="1780"/>
    </row>
    <row r="90" spans="1:36" ht="15">
      <c r="A90" s="1748" t="s">
        <v>1511</v>
      </c>
      <c r="B90" s="428"/>
      <c r="C90" s="976">
        <f>+'Exhibit F'!D81+'Exhibit G state'!D73</f>
        <v>0.4</v>
      </c>
      <c r="D90" s="976"/>
      <c r="E90" s="976">
        <f>+'Exhibit F'!F81+'Exhibit G state'!F73</f>
        <v>29.1</v>
      </c>
      <c r="F90" s="976"/>
      <c r="G90" s="976">
        <f>+'Exhibit F'!H81+'Exhibit G state'!H73</f>
        <v>34.5</v>
      </c>
      <c r="H90" s="976"/>
      <c r="I90" s="976">
        <f>+'Exhibit F'!J81+'Exhibit G state'!J73</f>
        <v>20.9</v>
      </c>
      <c r="J90" s="976"/>
      <c r="K90" s="976">
        <f>+'Exhibit F'!L81+'Exhibit G state'!L73</f>
        <v>9.8999999999999986</v>
      </c>
      <c r="L90" s="976"/>
      <c r="M90" s="976">
        <f>+'Exhibit F'!N81+'Exhibit G state'!N73</f>
        <v>28.6</v>
      </c>
      <c r="N90" s="976"/>
      <c r="O90" s="976">
        <f>+'Exhibit F'!P81+'Exhibit G state'!P73</f>
        <v>8.1</v>
      </c>
      <c r="P90" s="976"/>
      <c r="Q90" s="976">
        <f>+'Exhibit F'!R81+'Exhibit G state'!R73</f>
        <v>9.6</v>
      </c>
      <c r="R90" s="976"/>
      <c r="S90" s="976">
        <f>+'Exhibit F'!T81+'Exhibit G state'!T73</f>
        <v>40.4</v>
      </c>
      <c r="T90" s="976"/>
      <c r="U90" s="976">
        <f>+'Exhibit F'!V81+'Exhibit G state'!V73</f>
        <v>5.7</v>
      </c>
      <c r="V90" s="976"/>
      <c r="W90" s="976"/>
      <c r="X90" s="976"/>
      <c r="Y90" s="2755"/>
      <c r="Z90" s="976"/>
      <c r="AA90" s="977"/>
      <c r="AB90" s="976">
        <f t="shared" ref="AB90:AB100" si="13">ROUND(SUM(C90:Y90),1)</f>
        <v>187.2</v>
      </c>
      <c r="AC90" s="976"/>
      <c r="AD90" s="978"/>
      <c r="AE90" s="976">
        <f>+'Exhibit F'!AF81+'Exhibit G state'!AF73</f>
        <v>145.30000000000001</v>
      </c>
      <c r="AF90" s="988"/>
      <c r="AG90" s="988"/>
      <c r="AH90" s="976">
        <f t="shared" si="10"/>
        <v>41.9</v>
      </c>
      <c r="AI90" s="428"/>
      <c r="AJ90" s="1847">
        <f>ROUND(SUM(AH90/ABS(AE90)),3)</f>
        <v>0.28799999999999998</v>
      </c>
    </row>
    <row r="91" spans="1:36" ht="15">
      <c r="A91" s="1748" t="s">
        <v>1512</v>
      </c>
      <c r="B91" s="428"/>
      <c r="C91" s="976">
        <f>+'Exhibit G state'!D74</f>
        <v>0.2</v>
      </c>
      <c r="D91" s="976"/>
      <c r="E91" s="976">
        <f>+'Exhibit G state'!F74</f>
        <v>0.2</v>
      </c>
      <c r="F91" s="976"/>
      <c r="G91" s="976">
        <f>+'Exhibit G state'!H74</f>
        <v>0.2</v>
      </c>
      <c r="H91" s="976"/>
      <c r="I91" s="976">
        <f>+'Exhibit G state'!J74</f>
        <v>0.1</v>
      </c>
      <c r="J91" s="976"/>
      <c r="K91" s="976">
        <f>+'Exhibit G state'!L74</f>
        <v>0.3</v>
      </c>
      <c r="L91" s="976"/>
      <c r="M91" s="976">
        <f>+'Exhibit G state'!N74+'Exhibit F'!N82</f>
        <v>2.8000000000000003</v>
      </c>
      <c r="N91" s="976"/>
      <c r="O91" s="976">
        <f>+'Exhibit G state'!P74+'Exhibit F'!P82</f>
        <v>0</v>
      </c>
      <c r="P91" s="976"/>
      <c r="Q91" s="976">
        <f>+'Exhibit G state'!R74+'Exhibit F'!R82</f>
        <v>0.4</v>
      </c>
      <c r="R91" s="976"/>
      <c r="S91" s="976">
        <f>+'Exhibit G state'!T74+'Exhibit F'!T82</f>
        <v>0.4</v>
      </c>
      <c r="T91" s="976"/>
      <c r="U91" s="976">
        <f>+'Exhibit G state'!V74+'Exhibit F'!V82</f>
        <v>0.1</v>
      </c>
      <c r="V91" s="976"/>
      <c r="W91" s="976"/>
      <c r="X91" s="976"/>
      <c r="Y91" s="2755"/>
      <c r="Z91" s="976"/>
      <c r="AA91" s="977"/>
      <c r="AB91" s="976">
        <f t="shared" si="13"/>
        <v>4.7</v>
      </c>
      <c r="AC91" s="976"/>
      <c r="AD91" s="978"/>
      <c r="AE91" s="976">
        <f>+'Exhibit G state'!AF74</f>
        <v>7.5</v>
      </c>
      <c r="AF91" s="988"/>
      <c r="AG91" s="988"/>
      <c r="AH91" s="976">
        <f t="shared" si="10"/>
        <v>-2.8</v>
      </c>
      <c r="AI91" s="428"/>
      <c r="AJ91" s="1847">
        <f t="shared" ref="AJ91:AJ99" si="14">ROUND(SUM(AH91/ABS(AE91)),3)</f>
        <v>-0.373</v>
      </c>
    </row>
    <row r="92" spans="1:36" ht="15">
      <c r="A92" s="1748" t="s">
        <v>1513</v>
      </c>
      <c r="B92" s="428"/>
      <c r="C92" s="976">
        <f>+'Exhibit F'!D83+'Exhibit G state'!D75</f>
        <v>0.9</v>
      </c>
      <c r="D92" s="976"/>
      <c r="E92" s="976">
        <f>+'Exhibit F'!F83+'Exhibit G state'!F75</f>
        <v>1</v>
      </c>
      <c r="F92" s="976"/>
      <c r="G92" s="976">
        <f>+'Exhibit F'!H83+'Exhibit G state'!H75</f>
        <v>3.1</v>
      </c>
      <c r="H92" s="976"/>
      <c r="I92" s="976">
        <f>+'Exhibit F'!J83+'Exhibit G state'!J75</f>
        <v>0.8</v>
      </c>
      <c r="J92" s="976"/>
      <c r="K92" s="976">
        <f>+'Exhibit F'!L83+'Exhibit G state'!L75</f>
        <v>0.7</v>
      </c>
      <c r="L92" s="976"/>
      <c r="M92" s="976">
        <f>+'Exhibit F'!N83+'Exhibit G state'!N75</f>
        <v>0.8</v>
      </c>
      <c r="N92" s="976"/>
      <c r="O92" s="976">
        <f>+'Exhibit F'!P83+'Exhibit G state'!P75</f>
        <v>1.3</v>
      </c>
      <c r="P92" s="976"/>
      <c r="Q92" s="976">
        <f>+'Exhibit F'!R83+'Exhibit G state'!R75</f>
        <v>0.4</v>
      </c>
      <c r="R92" s="976"/>
      <c r="S92" s="976">
        <f>+'Exhibit F'!T83+'Exhibit G state'!T75</f>
        <v>0.1</v>
      </c>
      <c r="T92" s="976"/>
      <c r="U92" s="976">
        <f>+'Exhibit F'!V83+'Exhibit G state'!V75</f>
        <v>0.7</v>
      </c>
      <c r="V92" s="976"/>
      <c r="W92" s="976"/>
      <c r="X92" s="976"/>
      <c r="Y92" s="2755"/>
      <c r="Z92" s="976"/>
      <c r="AA92" s="977"/>
      <c r="AB92" s="976">
        <f t="shared" si="13"/>
        <v>9.8000000000000007</v>
      </c>
      <c r="AC92" s="976"/>
      <c r="AD92" s="978"/>
      <c r="AE92" s="976">
        <f>+'Exhibit F'!AF83+'Exhibit G state'!AF75</f>
        <v>3.6</v>
      </c>
      <c r="AF92" s="988"/>
      <c r="AG92" s="988"/>
      <c r="AH92" s="976">
        <f t="shared" si="10"/>
        <v>6.2</v>
      </c>
      <c r="AI92" s="428"/>
      <c r="AJ92" s="1847">
        <f t="shared" si="14"/>
        <v>1.722</v>
      </c>
    </row>
    <row r="93" spans="1:36" ht="15">
      <c r="A93" s="1748" t="s">
        <v>1514</v>
      </c>
      <c r="B93" s="428"/>
      <c r="C93" s="976">
        <f>+'Exhibit F'!D84+'Exhibit G state'!D76</f>
        <v>0.4</v>
      </c>
      <c r="D93" s="976"/>
      <c r="E93" s="976">
        <f>+'Exhibit F'!F84+'Exhibit G state'!F76</f>
        <v>25.7</v>
      </c>
      <c r="F93" s="976"/>
      <c r="G93" s="976">
        <f>+'Exhibit F'!H84+'Exhibit G state'!H76</f>
        <v>6.8</v>
      </c>
      <c r="H93" s="976"/>
      <c r="I93" s="976">
        <f>+'Exhibit F'!J84+'Exhibit G state'!J76</f>
        <v>-0.4</v>
      </c>
      <c r="J93" s="976"/>
      <c r="K93" s="976">
        <f>+'Exhibit F'!L84+'Exhibit G state'!L76</f>
        <v>3.1</v>
      </c>
      <c r="L93" s="976"/>
      <c r="M93" s="976">
        <f>+'Exhibit F'!N84+'Exhibit G state'!N76</f>
        <v>23.9</v>
      </c>
      <c r="N93" s="976"/>
      <c r="O93" s="976">
        <f>+'Exhibit F'!P84+'Exhibit G state'!P76</f>
        <v>0.5</v>
      </c>
      <c r="P93" s="976"/>
      <c r="Q93" s="976">
        <f>+'Exhibit F'!R84+'Exhibit G state'!R76</f>
        <v>25.9</v>
      </c>
      <c r="R93" s="976"/>
      <c r="S93" s="976">
        <f>+'Exhibit F'!T84+'Exhibit G state'!T76</f>
        <v>3.2</v>
      </c>
      <c r="T93" s="976"/>
      <c r="U93" s="976">
        <f>+'Exhibit F'!V84+'Exhibit G state'!V76</f>
        <v>3.6</v>
      </c>
      <c r="V93" s="976"/>
      <c r="W93" s="976"/>
      <c r="X93" s="976"/>
      <c r="Y93" s="2755"/>
      <c r="Z93" s="976"/>
      <c r="AA93" s="977"/>
      <c r="AB93" s="976">
        <f t="shared" si="13"/>
        <v>92.7</v>
      </c>
      <c r="AC93" s="976"/>
      <c r="AD93" s="978"/>
      <c r="AE93" s="976">
        <f>+'Exhibit F'!AF84+'Exhibit G state'!AF76</f>
        <v>89</v>
      </c>
      <c r="AF93" s="988"/>
      <c r="AG93" s="988"/>
      <c r="AH93" s="976">
        <f t="shared" si="10"/>
        <v>3.7</v>
      </c>
      <c r="AI93" s="428"/>
      <c r="AJ93" s="1847">
        <f t="shared" si="14"/>
        <v>4.2000000000000003E-2</v>
      </c>
    </row>
    <row r="94" spans="1:36" ht="15">
      <c r="A94" s="1748" t="s">
        <v>1527</v>
      </c>
      <c r="B94" s="428"/>
      <c r="C94" s="976">
        <f>+'Exhibit H'!B41+'Exhibit G state'!D77</f>
        <v>156.5</v>
      </c>
      <c r="D94" s="976"/>
      <c r="E94" s="976">
        <f>+'Exhibit H'!D41+'Exhibit G state'!F77</f>
        <v>215.6</v>
      </c>
      <c r="F94" s="976"/>
      <c r="G94" s="976">
        <f>+'Exhibit H'!F41+'Exhibit G state'!H77</f>
        <v>53.699999999999996</v>
      </c>
      <c r="H94" s="976"/>
      <c r="I94" s="976">
        <f>+'Exhibit H'!H41+'Exhibit G state'!J77</f>
        <v>258.7</v>
      </c>
      <c r="J94" s="976"/>
      <c r="K94" s="976">
        <f>+'Exhibit H'!J41+'Exhibit G state'!L77</f>
        <v>251.89999999999998</v>
      </c>
      <c r="L94" s="976"/>
      <c r="M94" s="976">
        <f>+'Exhibit H'!L41+'Exhibit G state'!N77</f>
        <v>275.3</v>
      </c>
      <c r="N94" s="976"/>
      <c r="O94" s="976">
        <f>+'Exhibit H'!N41+'Exhibit G state'!P77</f>
        <v>162.9</v>
      </c>
      <c r="P94" s="976"/>
      <c r="Q94" s="976">
        <f>+'Exhibit H'!P41+'Exhibit G state'!R77</f>
        <v>121.80000000000001</v>
      </c>
      <c r="R94" s="976"/>
      <c r="S94" s="976">
        <f>+'Exhibit H'!R41+'Exhibit G state'!T77</f>
        <v>272.89999999999998</v>
      </c>
      <c r="T94" s="976"/>
      <c r="U94" s="976">
        <f>+'Exhibit H'!T41+'Exhibit G state'!V77</f>
        <v>83.600000000000009</v>
      </c>
      <c r="V94" s="976"/>
      <c r="W94" s="976"/>
      <c r="X94" s="976"/>
      <c r="Y94" s="2755"/>
      <c r="Z94" s="976"/>
      <c r="AA94" s="977"/>
      <c r="AB94" s="976">
        <f t="shared" si="13"/>
        <v>1852.9</v>
      </c>
      <c r="AC94" s="976"/>
      <c r="AD94" s="978"/>
      <c r="AE94" s="976">
        <f>+'Exhibit H'!AD41+'Exhibit G state'!AF77</f>
        <v>1168.5999999999999</v>
      </c>
      <c r="AF94" s="988"/>
      <c r="AG94" s="988"/>
      <c r="AH94" s="976">
        <f t="shared" si="10"/>
        <v>684.3</v>
      </c>
      <c r="AI94" s="428"/>
      <c r="AJ94" s="2636">
        <f t="shared" si="14"/>
        <v>0.58599999999999997</v>
      </c>
    </row>
    <row r="95" spans="1:36" ht="15">
      <c r="A95" s="1748" t="s">
        <v>1515</v>
      </c>
      <c r="B95" s="428"/>
      <c r="C95" s="976">
        <f>+'Exhibit G state'!D78+'Exhibit F'!D85</f>
        <v>1.3</v>
      </c>
      <c r="D95" s="976"/>
      <c r="E95" s="976">
        <f>+'Exhibit G state'!F78+'Exhibit F'!F85</f>
        <v>3.5</v>
      </c>
      <c r="F95" s="976"/>
      <c r="G95" s="976">
        <f>+'Exhibit G state'!H78+'Exhibit F'!H85</f>
        <v>3.6</v>
      </c>
      <c r="H95" s="976"/>
      <c r="I95" s="976">
        <f>+'Exhibit G state'!J78+'Exhibit F'!J85</f>
        <v>14</v>
      </c>
      <c r="J95" s="976"/>
      <c r="K95" s="976">
        <f>+'Exhibit G state'!L78+'Exhibit F'!L85</f>
        <v>0.7</v>
      </c>
      <c r="L95" s="976"/>
      <c r="M95" s="976">
        <f>+'Exhibit G state'!N78+'Exhibit F'!N85</f>
        <v>5.3</v>
      </c>
      <c r="N95" s="976"/>
      <c r="O95" s="976">
        <f>+'Exhibit G state'!P78+'Exhibit F'!P85</f>
        <v>3.1</v>
      </c>
      <c r="P95" s="976"/>
      <c r="Q95" s="976">
        <f>+'Exhibit G state'!R78+'Exhibit F'!R85</f>
        <v>3.2</v>
      </c>
      <c r="R95" s="976"/>
      <c r="S95" s="976">
        <f>+'Exhibit G state'!T78+'Exhibit F'!T85</f>
        <v>5.3</v>
      </c>
      <c r="T95" s="976"/>
      <c r="U95" s="976">
        <f>+'Exhibit G state'!V78+'Exhibit F'!V85</f>
        <v>2.9</v>
      </c>
      <c r="V95" s="976"/>
      <c r="W95" s="976"/>
      <c r="X95" s="976"/>
      <c r="Y95" s="2755"/>
      <c r="Z95" s="976"/>
      <c r="AA95" s="977"/>
      <c r="AB95" s="976">
        <f t="shared" si="13"/>
        <v>42.9</v>
      </c>
      <c r="AC95" s="976"/>
      <c r="AD95" s="978"/>
      <c r="AE95" s="976">
        <f>+'Exhibit G state'!AF78+'Exhibit F'!AF85</f>
        <v>43.5</v>
      </c>
      <c r="AF95" s="988"/>
      <c r="AG95" s="988"/>
      <c r="AH95" s="976">
        <f t="shared" si="10"/>
        <v>-0.6</v>
      </c>
      <c r="AI95" s="428"/>
      <c r="AJ95" s="1847">
        <f t="shared" si="14"/>
        <v>-1.4E-2</v>
      </c>
    </row>
    <row r="96" spans="1:36" ht="15">
      <c r="A96" s="1748" t="s">
        <v>1516</v>
      </c>
      <c r="B96" s="428"/>
      <c r="C96" s="976">
        <f>+'Exhibit F'!D86+'Exhibit G state'!D79</f>
        <v>7.2</v>
      </c>
      <c r="D96" s="976"/>
      <c r="E96" s="976">
        <f>+'Exhibit F'!F86+'Exhibit G state'!F79</f>
        <v>132.19999999999999</v>
      </c>
      <c r="F96" s="976"/>
      <c r="G96" s="976">
        <f>+'Exhibit F'!H86+'Exhibit G state'!H79</f>
        <v>62.8</v>
      </c>
      <c r="H96" s="976"/>
      <c r="I96" s="976">
        <f>+'Exhibit F'!J86+'Exhibit G state'!J79</f>
        <v>33.799999999999997</v>
      </c>
      <c r="J96" s="976"/>
      <c r="K96" s="976">
        <f>+'Exhibit F'!L86+'Exhibit G state'!L79</f>
        <v>0.3</v>
      </c>
      <c r="L96" s="976"/>
      <c r="M96" s="976">
        <f>+'Exhibit F'!N86+'Exhibit G state'!N79</f>
        <v>0.7</v>
      </c>
      <c r="N96" s="976"/>
      <c r="O96" s="976">
        <f>+'Exhibit F'!P86+'Exhibit G state'!P79</f>
        <v>9.6</v>
      </c>
      <c r="P96" s="976"/>
      <c r="Q96" s="976">
        <f>+'Exhibit F'!R86+'Exhibit G state'!R79</f>
        <v>0.6</v>
      </c>
      <c r="R96" s="976"/>
      <c r="S96" s="976">
        <f>+'Exhibit F'!T86+'Exhibit G state'!T79</f>
        <v>23.799999999999997</v>
      </c>
      <c r="T96" s="976"/>
      <c r="U96" s="976">
        <f>+'Exhibit F'!V86+'Exhibit G state'!V79</f>
        <v>7.8999999999999995</v>
      </c>
      <c r="V96" s="976"/>
      <c r="W96" s="976"/>
      <c r="X96" s="976"/>
      <c r="Y96" s="2755"/>
      <c r="Z96" s="976"/>
      <c r="AA96" s="977"/>
      <c r="AB96" s="976">
        <f t="shared" si="13"/>
        <v>278.89999999999998</v>
      </c>
      <c r="AC96" s="976"/>
      <c r="AD96" s="978"/>
      <c r="AE96" s="976">
        <f>+'Exhibit F'!AF86+'Exhibit G state'!AF79</f>
        <v>1268.2</v>
      </c>
      <c r="AF96" s="988"/>
      <c r="AG96" s="988"/>
      <c r="AH96" s="976">
        <f t="shared" si="10"/>
        <v>-989.3</v>
      </c>
      <c r="AI96" s="428"/>
      <c r="AJ96" s="1847">
        <f t="shared" si="14"/>
        <v>-0.78</v>
      </c>
    </row>
    <row r="97" spans="1:45" ht="15">
      <c r="A97" s="1748" t="s">
        <v>1517</v>
      </c>
      <c r="B97" s="428"/>
      <c r="C97" s="976">
        <f>+'Exhibit F'!D87+'Exhibit G state'!D80</f>
        <v>8.1999999999999993</v>
      </c>
      <c r="D97" s="976"/>
      <c r="E97" s="976">
        <f>+'Exhibit F'!F87+'Exhibit G state'!F80</f>
        <v>6.9</v>
      </c>
      <c r="F97" s="976"/>
      <c r="G97" s="976">
        <f>+'Exhibit F'!H87+'Exhibit G state'!H80</f>
        <v>6.2</v>
      </c>
      <c r="H97" s="976"/>
      <c r="I97" s="976">
        <f>+'Exhibit F'!J87+'Exhibit G state'!J80</f>
        <v>7.4</v>
      </c>
      <c r="J97" s="976"/>
      <c r="K97" s="976">
        <f>+'Exhibit F'!L87+'Exhibit G state'!L80</f>
        <v>6.4</v>
      </c>
      <c r="L97" s="976"/>
      <c r="M97" s="976">
        <f>+'Exhibit F'!N87+'Exhibit G state'!N80</f>
        <v>6.4</v>
      </c>
      <c r="N97" s="976"/>
      <c r="O97" s="976">
        <f>+'Exhibit F'!P87+'Exhibit G state'!P80</f>
        <v>7.9</v>
      </c>
      <c r="P97" s="976"/>
      <c r="Q97" s="976">
        <f>+'Exhibit F'!R87+'Exhibit G state'!R80</f>
        <v>6</v>
      </c>
      <c r="R97" s="976"/>
      <c r="S97" s="976">
        <f>+'Exhibit F'!T87+'Exhibit G state'!T80</f>
        <v>39.4</v>
      </c>
      <c r="T97" s="976"/>
      <c r="U97" s="976">
        <f>+'Exhibit F'!V87+'Exhibit G state'!V80</f>
        <v>2.5</v>
      </c>
      <c r="V97" s="976"/>
      <c r="W97" s="976"/>
      <c r="X97" s="976"/>
      <c r="Y97" s="2755"/>
      <c r="Z97" s="976"/>
      <c r="AA97" s="977"/>
      <c r="AB97" s="976">
        <f t="shared" si="13"/>
        <v>97.3</v>
      </c>
      <c r="AC97" s="976"/>
      <c r="AD97" s="978"/>
      <c r="AE97" s="976">
        <f>+'Exhibit F'!AF87+'Exhibit G state'!AF80</f>
        <v>57.9</v>
      </c>
      <c r="AF97" s="988"/>
      <c r="AG97" s="988"/>
      <c r="AH97" s="976">
        <f t="shared" si="10"/>
        <v>39.4</v>
      </c>
      <c r="AI97" s="428"/>
      <c r="AJ97" s="1847">
        <f t="shared" si="14"/>
        <v>0.68</v>
      </c>
    </row>
    <row r="98" spans="1:45" ht="15">
      <c r="A98" s="1748" t="s">
        <v>1518</v>
      </c>
      <c r="B98" s="428"/>
      <c r="C98" s="976">
        <f>+'Exhibit F'!D88+'Exhibit G state'!D81</f>
        <v>48.800000000000004</v>
      </c>
      <c r="D98" s="976"/>
      <c r="E98" s="976">
        <f>+'Exhibit F'!F88+'Exhibit G state'!F81</f>
        <v>27.200000000000003</v>
      </c>
      <c r="F98" s="976"/>
      <c r="G98" s="976">
        <f>+'Exhibit F'!H88+'Exhibit G state'!H81</f>
        <v>51.800000000000004</v>
      </c>
      <c r="H98" s="976"/>
      <c r="I98" s="976">
        <f>+'Exhibit F'!J88+'Exhibit G state'!J81</f>
        <v>42.5</v>
      </c>
      <c r="J98" s="976"/>
      <c r="K98" s="976">
        <f>+'Exhibit F'!L88+'Exhibit G state'!L81</f>
        <v>43.1</v>
      </c>
      <c r="L98" s="976"/>
      <c r="M98" s="976">
        <f>+'Exhibit F'!N88+'Exhibit G state'!N81</f>
        <v>51.4</v>
      </c>
      <c r="N98" s="976"/>
      <c r="O98" s="976">
        <f>+'Exhibit F'!P88+'Exhibit G state'!P81</f>
        <v>52.6</v>
      </c>
      <c r="P98" s="976"/>
      <c r="Q98" s="976">
        <f>+'Exhibit F'!R88+'Exhibit G state'!R81</f>
        <v>35.200000000000003</v>
      </c>
      <c r="R98" s="976"/>
      <c r="S98" s="976">
        <f>+'Exhibit F'!T88+'Exhibit G state'!T81</f>
        <v>23.5</v>
      </c>
      <c r="T98" s="976"/>
      <c r="U98" s="976">
        <f>+'Exhibit F'!V88+'Exhibit G state'!V81</f>
        <v>34.599999999999994</v>
      </c>
      <c r="V98" s="976"/>
      <c r="W98" s="976"/>
      <c r="X98" s="976"/>
      <c r="Y98" s="2755"/>
      <c r="Z98" s="976"/>
      <c r="AA98" s="977"/>
      <c r="AB98" s="976">
        <f t="shared" si="13"/>
        <v>410.7</v>
      </c>
      <c r="AC98" s="976"/>
      <c r="AD98" s="978"/>
      <c r="AE98" s="976">
        <f>+'Exhibit F'!AF88+'Exhibit G state'!AF81</f>
        <v>60.099999999999994</v>
      </c>
      <c r="AF98" s="988"/>
      <c r="AG98" s="988"/>
      <c r="AH98" s="976">
        <f t="shared" si="10"/>
        <v>350.6</v>
      </c>
      <c r="AI98" s="428"/>
      <c r="AJ98" s="2636">
        <f t="shared" si="14"/>
        <v>5.8339999999999996</v>
      </c>
    </row>
    <row r="99" spans="1:45" ht="15">
      <c r="A99" s="1748" t="s">
        <v>1172</v>
      </c>
      <c r="B99" s="428"/>
      <c r="C99" s="976">
        <f>+'Exhibit F'!D89+'Exhibit G state'!D82</f>
        <v>0.7</v>
      </c>
      <c r="D99" s="976"/>
      <c r="E99" s="976">
        <f>+'Exhibit F'!F89+'Exhibit G state'!F82</f>
        <v>1.4</v>
      </c>
      <c r="F99" s="976"/>
      <c r="G99" s="976">
        <f>+'Exhibit F'!H89+'Exhibit G state'!H82</f>
        <v>1.3</v>
      </c>
      <c r="H99" s="976"/>
      <c r="I99" s="976">
        <f>+'Exhibit F'!J89+'Exhibit G state'!J82</f>
        <v>1.3</v>
      </c>
      <c r="J99" s="976"/>
      <c r="K99" s="976">
        <f>+'Exhibit F'!L89+'Exhibit G state'!L82+'Exhibit H'!J42</f>
        <v>1.5000000000000002</v>
      </c>
      <c r="L99" s="976"/>
      <c r="M99" s="976">
        <f>+'Exhibit F'!N89+'Exhibit G state'!N82+'Exhibit H'!L42</f>
        <v>1.3</v>
      </c>
      <c r="N99" s="976"/>
      <c r="O99" s="976">
        <f>+'Exhibit F'!P89+'Exhibit G state'!P82+'Exhibit H'!N42</f>
        <v>8.6</v>
      </c>
      <c r="P99" s="976"/>
      <c r="Q99" s="976">
        <f>+'Exhibit F'!R89+'Exhibit G state'!R82+'Exhibit H'!P42</f>
        <v>0.7</v>
      </c>
      <c r="R99" s="976"/>
      <c r="S99" s="976">
        <f>+'Exhibit F'!T89+'Exhibit G state'!T82+'Exhibit H'!R42</f>
        <v>0.7</v>
      </c>
      <c r="T99" s="976"/>
      <c r="U99" s="976">
        <f>+'Exhibit F'!V89+'Exhibit G state'!V82+'Exhibit H'!T42</f>
        <v>4.2</v>
      </c>
      <c r="V99" s="976"/>
      <c r="W99" s="976"/>
      <c r="X99" s="976"/>
      <c r="Y99" s="2755"/>
      <c r="Z99" s="976"/>
      <c r="AA99" s="977"/>
      <c r="AB99" s="976">
        <f t="shared" si="13"/>
        <v>21.7</v>
      </c>
      <c r="AC99" s="976"/>
      <c r="AD99" s="978"/>
      <c r="AE99" s="976">
        <f>+'Exhibit F'!AF89+'Exhibit G state'!AF82+'Exhibit H'!AD42</f>
        <v>19.600000000000001</v>
      </c>
      <c r="AF99" s="988"/>
      <c r="AG99" s="988"/>
      <c r="AH99" s="976">
        <f t="shared" si="10"/>
        <v>2.1</v>
      </c>
      <c r="AI99" s="428"/>
      <c r="AJ99" s="1847">
        <f t="shared" si="14"/>
        <v>0.107</v>
      </c>
    </row>
    <row r="100" spans="1:45" ht="15">
      <c r="A100" s="1748" t="s">
        <v>1173</v>
      </c>
      <c r="B100" s="428"/>
      <c r="C100" s="976">
        <f>+'Exhibit G state'!D83</f>
        <v>54.7</v>
      </c>
      <c r="D100" s="976"/>
      <c r="E100" s="976">
        <f>+'Exhibit G state'!F83</f>
        <v>45.5</v>
      </c>
      <c r="F100" s="976"/>
      <c r="G100" s="976">
        <f>+'Exhibit G state'!H83</f>
        <v>60.7</v>
      </c>
      <c r="H100" s="976"/>
      <c r="I100" s="976">
        <f>+'Exhibit G state'!J83</f>
        <v>48.7</v>
      </c>
      <c r="J100" s="976"/>
      <c r="K100" s="976">
        <f>+'Exhibit G state'!L83</f>
        <v>177.7</v>
      </c>
      <c r="L100" s="976"/>
      <c r="M100" s="976">
        <f>+'Exhibit G state'!N83</f>
        <v>418.7</v>
      </c>
      <c r="N100" s="976"/>
      <c r="O100" s="976">
        <f>+'Exhibit G state'!P83</f>
        <v>164.5</v>
      </c>
      <c r="P100" s="976"/>
      <c r="Q100" s="976">
        <f>+'Exhibit G state'!R83</f>
        <v>67.3</v>
      </c>
      <c r="R100" s="976"/>
      <c r="S100" s="976">
        <f>+'Exhibit G state'!T83</f>
        <v>55.1</v>
      </c>
      <c r="T100" s="976"/>
      <c r="U100" s="976">
        <f>+'Exhibit G state'!V83</f>
        <v>275.39999999999998</v>
      </c>
      <c r="V100" s="976"/>
      <c r="W100" s="976"/>
      <c r="X100" s="976"/>
      <c r="Y100" s="2755"/>
      <c r="Z100" s="976"/>
      <c r="AA100" s="977"/>
      <c r="AB100" s="976">
        <f t="shared" si="13"/>
        <v>1368.3</v>
      </c>
      <c r="AC100" s="976"/>
      <c r="AD100" s="978"/>
      <c r="AE100" s="976">
        <f>+'Exhibit G state'!AF83</f>
        <v>1715</v>
      </c>
      <c r="AF100" s="988"/>
      <c r="AG100" s="988"/>
      <c r="AH100" s="976">
        <f t="shared" si="10"/>
        <v>-346.7</v>
      </c>
      <c r="AI100" s="428"/>
      <c r="AJ100" s="1847">
        <f>ROUND(SUM(AH100/ABS(AE100)),3)</f>
        <v>-0.20200000000000001</v>
      </c>
    </row>
    <row r="101" spans="1:45" ht="15.75">
      <c r="A101" s="587" t="s">
        <v>1208</v>
      </c>
      <c r="B101" s="411"/>
      <c r="C101" s="482">
        <f>ROUND(SUM(C61:C100),1)</f>
        <v>1357.3</v>
      </c>
      <c r="D101" s="2015"/>
      <c r="E101" s="482">
        <f>ROUND(SUM(E61:E100),1)</f>
        <v>1858.6</v>
      </c>
      <c r="F101" s="2015"/>
      <c r="G101" s="482">
        <f>ROUND(SUM(G61:G100),1)</f>
        <v>1677.1</v>
      </c>
      <c r="H101" s="1802"/>
      <c r="I101" s="482">
        <f>ROUND(SUM(I61:I100),1)</f>
        <v>1438.8</v>
      </c>
      <c r="J101" s="1802"/>
      <c r="K101" s="482">
        <f>ROUND(SUM(K61:K100),1)</f>
        <v>1862.5</v>
      </c>
      <c r="L101" s="1802"/>
      <c r="M101" s="482">
        <f>ROUND(SUM(M61:M100),1)</f>
        <v>2192.9</v>
      </c>
      <c r="N101" s="1802"/>
      <c r="O101" s="482">
        <f>ROUND(SUM(O61:O100),1)</f>
        <v>1482.6</v>
      </c>
      <c r="P101" s="1802"/>
      <c r="Q101" s="482">
        <f>ROUND(SUM(Q61:Q100),1)</f>
        <v>1879.6</v>
      </c>
      <c r="R101" s="1802"/>
      <c r="S101" s="482">
        <f>ROUND(SUM(S61:S100),1)</f>
        <v>2074.9</v>
      </c>
      <c r="T101" s="1802"/>
      <c r="U101" s="482">
        <f>ROUND(SUM(U61:U100),1)</f>
        <v>1536.5</v>
      </c>
      <c r="V101" s="1802"/>
      <c r="W101" s="482">
        <f>ROUND(SUM(W61:W100),1)</f>
        <v>0</v>
      </c>
      <c r="X101" s="408"/>
      <c r="Y101" s="482">
        <f>ROUND(SUM(Y61:Y100),1)</f>
        <v>0</v>
      </c>
      <c r="Z101" s="408"/>
      <c r="AA101" s="483"/>
      <c r="AB101" s="482">
        <f>ROUND(SUM(AB61:AB100),1)</f>
        <v>17360.8</v>
      </c>
      <c r="AC101" s="1802"/>
      <c r="AD101" s="258"/>
      <c r="AE101" s="482">
        <f>ROUND(SUM(AE61:AE100),1)</f>
        <v>18686.7</v>
      </c>
      <c r="AF101" s="272"/>
      <c r="AG101" s="2024"/>
      <c r="AH101" s="482">
        <f>ROUND(SUM(AH61:AH100),1)</f>
        <v>-1325.9</v>
      </c>
      <c r="AI101" s="272"/>
      <c r="AJ101" s="2016">
        <f>ROUND(SUM(+AH101/ABS(AE101)),3)</f>
        <v>-7.0999999999999994E-2</v>
      </c>
    </row>
    <row r="102" spans="1:45" ht="15">
      <c r="A102" s="428"/>
      <c r="B102" s="428"/>
      <c r="C102" s="976"/>
      <c r="D102" s="976"/>
      <c r="E102" s="976"/>
      <c r="F102" s="976"/>
      <c r="G102" s="976"/>
      <c r="H102" s="976"/>
      <c r="I102" s="976"/>
      <c r="J102" s="976"/>
      <c r="K102" s="976"/>
      <c r="L102" s="976"/>
      <c r="M102" s="976"/>
      <c r="N102" s="976"/>
      <c r="O102" s="976"/>
      <c r="P102" s="976"/>
      <c r="Q102" s="976"/>
      <c r="R102" s="976"/>
      <c r="S102" s="976"/>
      <c r="T102" s="976"/>
      <c r="U102" s="976"/>
      <c r="V102" s="976"/>
      <c r="X102" s="976"/>
      <c r="Y102" s="976"/>
      <c r="Z102" s="976"/>
      <c r="AA102" s="1846"/>
      <c r="AB102" s="976"/>
      <c r="AC102" s="988"/>
      <c r="AD102" s="977"/>
      <c r="AE102" s="976"/>
      <c r="AF102" s="988"/>
      <c r="AG102" s="988"/>
      <c r="AH102" s="976"/>
      <c r="AI102" s="428"/>
      <c r="AJ102" s="1847"/>
    </row>
    <row r="103" spans="1:45" ht="15">
      <c r="A103" s="428" t="s">
        <v>21</v>
      </c>
      <c r="B103" s="428"/>
      <c r="C103" s="981">
        <f>+'Exhibit F'!D92+'Exhibit G state'!D86+'Exhibit H'!B45</f>
        <v>14.8</v>
      </c>
      <c r="D103" s="976"/>
      <c r="E103" s="981">
        <f>+'Exhibit F'!F92+'Exhibit G state'!F86+'Exhibit H'!D45</f>
        <v>0.7</v>
      </c>
      <c r="F103" s="976"/>
      <c r="G103" s="981">
        <f>+'Exhibit F'!H92+'Exhibit G state'!H86+'Exhibit H'!F45</f>
        <v>0.1</v>
      </c>
      <c r="H103" s="976"/>
      <c r="I103" s="981">
        <f>+'Exhibit F'!J92+'Exhibit G state'!J86+'Exhibit H'!H45</f>
        <v>0.5</v>
      </c>
      <c r="J103" s="976"/>
      <c r="K103" s="981">
        <f>+'Exhibit F'!L92+'Exhibit G state'!L86+'Exhibit H'!J45</f>
        <v>20.400000000000002</v>
      </c>
      <c r="L103" s="976"/>
      <c r="M103" s="981">
        <f>+'Exhibit F'!N92+'Exhibit G state'!N86+'Exhibit H'!L45</f>
        <v>-0.1</v>
      </c>
      <c r="N103" s="976"/>
      <c r="O103" s="981">
        <f>+'Exhibit F'!P92+'Exhibit G state'!P86+'Exhibit H'!N45</f>
        <v>0</v>
      </c>
      <c r="P103" s="976"/>
      <c r="Q103" s="981">
        <f>+'Exhibit F'!R92+'Exhibit G state'!R86+'Exhibit H'!P45</f>
        <v>-1</v>
      </c>
      <c r="R103" s="976"/>
      <c r="S103" s="981">
        <f>+'Exhibit F'!T92+'Exhibit G state'!T86+'Exhibit H'!R45</f>
        <v>0.2</v>
      </c>
      <c r="T103" s="976"/>
      <c r="U103" s="981">
        <f>+'Exhibit F'!V92+'Exhibit G state'!V86+'Exhibit H'!T45</f>
        <v>1.7000000000000002</v>
      </c>
      <c r="V103" s="976"/>
      <c r="W103" s="981"/>
      <c r="X103" s="976"/>
      <c r="Y103" s="981"/>
      <c r="Z103" s="976"/>
      <c r="AA103" s="977"/>
      <c r="AB103" s="981">
        <f>ROUND(SUM(C103:Y103),1)</f>
        <v>37.299999999999997</v>
      </c>
      <c r="AC103" s="976"/>
      <c r="AD103" s="978"/>
      <c r="AE103" s="981">
        <f>'Exhibit F'!AF92+'Exhibit H'!AD45+'Exhibit G state'!AF86</f>
        <v>37.4</v>
      </c>
      <c r="AF103" s="988"/>
      <c r="AG103" s="988"/>
      <c r="AH103" s="981">
        <f>ROUND(SUM(AB103-AE103),1)</f>
        <v>-0.1</v>
      </c>
      <c r="AI103" s="428"/>
      <c r="AJ103" s="3225">
        <f>ROUND(IF(AE103=0,1,AH103/ABS(AE103)),3)</f>
        <v>-3.0000000000000001E-3</v>
      </c>
    </row>
    <row r="104" spans="1:45" ht="15">
      <c r="A104" s="428"/>
      <c r="B104" s="428"/>
      <c r="C104" s="976"/>
      <c r="D104" s="976"/>
      <c r="E104" s="976"/>
      <c r="F104" s="976"/>
      <c r="G104" s="976"/>
      <c r="H104" s="976"/>
      <c r="I104" s="976"/>
      <c r="J104" s="976"/>
      <c r="K104" s="976"/>
      <c r="L104" s="976"/>
      <c r="M104" s="976"/>
      <c r="N104" s="976"/>
      <c r="O104" s="976"/>
      <c r="P104" s="976"/>
      <c r="Q104" s="976"/>
      <c r="R104" s="976"/>
      <c r="S104" s="976"/>
      <c r="T104" s="976"/>
      <c r="U104" s="976"/>
      <c r="V104" s="976"/>
      <c r="W104" s="976"/>
      <c r="X104" s="976"/>
      <c r="Y104" s="976"/>
      <c r="Z104" s="976"/>
      <c r="AA104" s="977"/>
      <c r="AB104" s="976"/>
      <c r="AC104" s="976"/>
      <c r="AD104" s="978"/>
      <c r="AE104" s="976"/>
      <c r="AF104" s="988"/>
      <c r="AG104" s="988"/>
      <c r="AH104" s="976"/>
      <c r="AI104" s="428"/>
      <c r="AJ104" s="982"/>
    </row>
    <row r="105" spans="1:45" ht="15.75">
      <c r="A105" s="221" t="s">
        <v>155</v>
      </c>
      <c r="B105" s="222"/>
      <c r="C105" s="1656">
        <f>ROUND(SUM(C103+C101+C57),1)</f>
        <v>9500.2999999999993</v>
      </c>
      <c r="D105" s="1802"/>
      <c r="E105" s="1656">
        <f>ROUND(SUM(E103+E101+E57),1)</f>
        <v>5601.3</v>
      </c>
      <c r="F105" s="1802"/>
      <c r="G105" s="1656">
        <f>ROUND(SUM(G103+G101+G57),1)</f>
        <v>9333.5</v>
      </c>
      <c r="H105" s="1802"/>
      <c r="I105" s="1656">
        <f>ROUND(SUM(I103+I101+I57),1)</f>
        <v>5652</v>
      </c>
      <c r="J105" s="1802"/>
      <c r="K105" s="1656">
        <f>ROUND(SUM(K103+K101+K57),1)</f>
        <v>6447.3</v>
      </c>
      <c r="L105" s="1802"/>
      <c r="M105" s="1656">
        <f>ROUND(SUM(M103+M101+M57),1)</f>
        <v>10053.9</v>
      </c>
      <c r="N105" s="1802"/>
      <c r="O105" s="1656">
        <f>ROUND(SUM(O103+O101+O57),1)</f>
        <v>6076</v>
      </c>
      <c r="P105" s="1802"/>
      <c r="Q105" s="1656">
        <f>ROUND(SUM(Q103+Q101+Q57),1)</f>
        <v>5389.6</v>
      </c>
      <c r="R105" s="1802"/>
      <c r="S105" s="1656">
        <f>ROUND(SUM(S103+S101+S57),1)</f>
        <v>9985.7000000000007</v>
      </c>
      <c r="T105" s="1802"/>
      <c r="U105" s="1656">
        <f>ROUND(SUM(U103+U101+U57),1)</f>
        <v>10843.9</v>
      </c>
      <c r="V105" s="1802"/>
      <c r="W105" s="1656">
        <f>ROUND(SUM(W103+W101+W57),1)</f>
        <v>0</v>
      </c>
      <c r="X105" s="408"/>
      <c r="Y105" s="1656">
        <f>ROUND(SUM(Y103+Y101+Y57),1)</f>
        <v>0</v>
      </c>
      <c r="Z105" s="475"/>
      <c r="AA105" s="476"/>
      <c r="AB105" s="1656">
        <f>ROUND(SUM(AB103+AB101+AB57),1)</f>
        <v>78883.5</v>
      </c>
      <c r="AC105" s="1802"/>
      <c r="AD105" s="258"/>
      <c r="AE105" s="1656">
        <f>ROUND(SUM(AE103+AE101+AE57),1)</f>
        <v>80871.5</v>
      </c>
      <c r="AF105" s="272"/>
      <c r="AG105" s="2024"/>
      <c r="AH105" s="1656">
        <f>ROUND(SUM(AH103+AH101+AH57),1)</f>
        <v>-1988</v>
      </c>
      <c r="AI105" s="272"/>
      <c r="AJ105" s="523">
        <f>ROUND(SUM(+AH105/ABS(AE105)),3)</f>
        <v>-2.5000000000000001E-2</v>
      </c>
      <c r="AK105" s="792"/>
      <c r="AL105" s="792"/>
      <c r="AM105" s="792"/>
      <c r="AN105" s="792"/>
      <c r="AO105" s="792"/>
      <c r="AP105" s="792"/>
      <c r="AQ105" s="792"/>
      <c r="AR105" s="792"/>
      <c r="AS105" s="792"/>
    </row>
    <row r="106" spans="1:45" ht="15.75">
      <c r="A106" s="408"/>
      <c r="B106" s="428"/>
      <c r="C106" s="987"/>
      <c r="D106" s="976"/>
      <c r="E106" s="987"/>
      <c r="F106" s="976"/>
      <c r="G106" s="987"/>
      <c r="H106" s="976"/>
      <c r="I106" s="987"/>
      <c r="J106" s="976"/>
      <c r="K106" s="987"/>
      <c r="L106" s="976"/>
      <c r="M106" s="987"/>
      <c r="N106" s="976"/>
      <c r="O106" s="987"/>
      <c r="P106" s="976"/>
      <c r="Q106" s="987"/>
      <c r="R106" s="976"/>
      <c r="S106" s="987"/>
      <c r="T106" s="976"/>
      <c r="U106" s="987"/>
      <c r="V106" s="976"/>
      <c r="W106" s="987"/>
      <c r="X106" s="976"/>
      <c r="Y106" s="987"/>
      <c r="Z106" s="976"/>
      <c r="AA106" s="977"/>
      <c r="AB106" s="987"/>
      <c r="AC106" s="976"/>
      <c r="AD106" s="978"/>
      <c r="AE106" s="987"/>
      <c r="AF106" s="988"/>
      <c r="AG106" s="988"/>
      <c r="AH106" s="1146"/>
      <c r="AI106" s="428"/>
      <c r="AJ106" s="1632"/>
    </row>
    <row r="107" spans="1:45" ht="15.75">
      <c r="A107" s="408" t="s">
        <v>23</v>
      </c>
      <c r="B107" s="428"/>
      <c r="C107" s="988"/>
      <c r="D107" s="976"/>
      <c r="E107" s="988"/>
      <c r="F107" s="976"/>
      <c r="G107" s="988"/>
      <c r="H107" s="976"/>
      <c r="I107" s="988"/>
      <c r="J107" s="976"/>
      <c r="K107" s="988"/>
      <c r="L107" s="976"/>
      <c r="M107" s="988"/>
      <c r="N107" s="976"/>
      <c r="O107" s="988"/>
      <c r="P107" s="976"/>
      <c r="Q107" s="988"/>
      <c r="R107" s="976"/>
      <c r="S107" s="988"/>
      <c r="T107" s="976"/>
      <c r="U107" s="988"/>
      <c r="V107" s="976"/>
      <c r="W107" s="988"/>
      <c r="X107" s="976"/>
      <c r="Y107" s="988"/>
      <c r="Z107" s="976"/>
      <c r="AA107" s="977"/>
      <c r="AB107" s="988"/>
      <c r="AC107" s="976"/>
      <c r="AD107" s="978"/>
      <c r="AE107" s="988"/>
      <c r="AF107" s="988"/>
      <c r="AG107" s="988"/>
      <c r="AH107" s="1146"/>
      <c r="AI107" s="428"/>
      <c r="AJ107" s="1632"/>
    </row>
    <row r="108" spans="1:45" ht="15">
      <c r="A108" s="428" t="s">
        <v>141</v>
      </c>
      <c r="B108" s="428"/>
      <c r="C108" s="976"/>
      <c r="D108" s="976"/>
      <c r="E108" s="976"/>
      <c r="F108" s="976"/>
      <c r="G108" s="976"/>
      <c r="H108" s="976"/>
      <c r="I108" s="976"/>
      <c r="J108" s="976"/>
      <c r="K108" s="976"/>
      <c r="L108" s="976"/>
      <c r="M108" s="976"/>
      <c r="N108" s="976"/>
      <c r="O108" s="976"/>
      <c r="P108" s="976"/>
      <c r="Q108" s="976"/>
      <c r="R108" s="976"/>
      <c r="S108" s="976"/>
      <c r="T108" s="976"/>
      <c r="U108" s="976"/>
      <c r="V108" s="976"/>
      <c r="W108" s="976"/>
      <c r="X108" s="976"/>
      <c r="Y108" s="976"/>
      <c r="Z108" s="976"/>
      <c r="AA108" s="977"/>
      <c r="AB108" s="976"/>
      <c r="AC108" s="976"/>
      <c r="AD108" s="978"/>
      <c r="AE108" s="1146"/>
      <c r="AF108" s="988"/>
      <c r="AG108" s="988"/>
      <c r="AH108" s="976"/>
      <c r="AI108" s="428"/>
      <c r="AJ108" s="1847"/>
    </row>
    <row r="109" spans="1:45" ht="15">
      <c r="A109" s="1851" t="s">
        <v>25</v>
      </c>
      <c r="B109" s="428"/>
      <c r="C109" s="976">
        <f>+'Exhibit F'!D98+'Exhibit G state'!D92</f>
        <v>829.5</v>
      </c>
      <c r="D109" s="976"/>
      <c r="E109" s="976">
        <f>+'Exhibit F'!F98+'Exhibit G state'!F92</f>
        <v>3043.9</v>
      </c>
      <c r="F109" s="976"/>
      <c r="G109" s="976">
        <f>+'Exhibit F'!H98+'Exhibit G state'!H92</f>
        <v>3766.9</v>
      </c>
      <c r="H109" s="976"/>
      <c r="I109" s="976">
        <f>+'Exhibit F'!J98+'Exhibit G state'!J92</f>
        <v>418.1</v>
      </c>
      <c r="J109" s="976"/>
      <c r="K109" s="976">
        <f>+'Exhibit F'!L98+'Exhibit G state'!L92</f>
        <v>1016.7</v>
      </c>
      <c r="L109" s="976"/>
      <c r="M109" s="976">
        <f>+'Exhibit F'!N98+'Exhibit G state'!N92</f>
        <v>4116.3999999999996</v>
      </c>
      <c r="N109" s="976"/>
      <c r="O109" s="976">
        <f>+'Exhibit F'!P98+'Exhibit G state'!P92</f>
        <v>1513.5</v>
      </c>
      <c r="P109" s="976"/>
      <c r="Q109" s="976">
        <f>+'Exhibit F'!R98+'Exhibit G state'!R92</f>
        <v>1828.1000000000001</v>
      </c>
      <c r="R109" s="976"/>
      <c r="S109" s="976">
        <f>+'Exhibit F'!T98+'Exhibit G state'!T92</f>
        <v>2247</v>
      </c>
      <c r="T109" s="976"/>
      <c r="U109" s="2008">
        <f>+'Exhibit F'!V98+'Exhibit G state'!V92</f>
        <v>3058.3</v>
      </c>
      <c r="V109" s="976"/>
      <c r="W109" s="2008"/>
      <c r="X109" s="976"/>
      <c r="Y109" s="2755"/>
      <c r="Z109" s="976"/>
      <c r="AA109" s="977"/>
      <c r="AB109" s="1146">
        <f>ROUND(SUM(C109:Y109),1)</f>
        <v>21838.400000000001</v>
      </c>
      <c r="AC109" s="976"/>
      <c r="AD109" s="978"/>
      <c r="AE109" s="1146">
        <f>+'Exhibit F'!AF98+'Exhibit G state'!AF92</f>
        <v>21809.5</v>
      </c>
      <c r="AF109" s="988"/>
      <c r="AG109" s="988"/>
      <c r="AH109" s="976">
        <f>ROUND(SUM(AB109-AE109),1)</f>
        <v>28.9</v>
      </c>
      <c r="AI109" s="428"/>
      <c r="AJ109" s="1847">
        <f>ROUND(SUM(AH109/ABS(AE109)),3)</f>
        <v>1E-3</v>
      </c>
    </row>
    <row r="110" spans="1:45" ht="15">
      <c r="A110" s="1851" t="s">
        <v>26</v>
      </c>
      <c r="B110" s="428"/>
      <c r="C110" s="976">
        <f>+'Exhibit F'!D99+'Exhibit G state'!D93</f>
        <v>0.1</v>
      </c>
      <c r="D110" s="976"/>
      <c r="E110" s="976">
        <f>+'Exhibit F'!F99+'Exhibit G state'!F93</f>
        <v>0.4</v>
      </c>
      <c r="F110" s="976"/>
      <c r="G110" s="976">
        <f>+'Exhibit F'!H99+'Exhibit G state'!H93</f>
        <v>0.60000000000000009</v>
      </c>
      <c r="H110" s="976"/>
      <c r="I110" s="976">
        <f>+'Exhibit F'!J99+'Exhibit G state'!J93</f>
        <v>0.2</v>
      </c>
      <c r="J110" s="976"/>
      <c r="K110" s="976">
        <f>+'Exhibit F'!L99+'Exhibit G state'!L93</f>
        <v>2.8000000000000003</v>
      </c>
      <c r="L110" s="976"/>
      <c r="M110" s="976">
        <f>+'Exhibit F'!N99+'Exhibit G state'!N93</f>
        <v>0.5</v>
      </c>
      <c r="N110" s="976"/>
      <c r="O110" s="976">
        <f>+'Exhibit F'!P99+'Exhibit G state'!P93</f>
        <v>0.1</v>
      </c>
      <c r="P110" s="976"/>
      <c r="Q110" s="976">
        <f>+'Exhibit F'!R99+'Exhibit G state'!R93</f>
        <v>0.8</v>
      </c>
      <c r="R110" s="976"/>
      <c r="S110" s="976">
        <f>+'Exhibit F'!T99+'Exhibit G state'!T93</f>
        <v>1.4000000000000001</v>
      </c>
      <c r="T110" s="976"/>
      <c r="U110" s="2008">
        <f>+'Exhibit F'!V99+'Exhibit G state'!V93</f>
        <v>0.6</v>
      </c>
      <c r="V110" s="976"/>
      <c r="W110" s="2008"/>
      <c r="X110" s="976"/>
      <c r="Y110" s="2755"/>
      <c r="Z110" s="976"/>
      <c r="AA110" s="977"/>
      <c r="AB110" s="1146">
        <f t="shared" ref="AB110:AB117" si="15">ROUND(SUM(C110:Y110),1)</f>
        <v>7.5</v>
      </c>
      <c r="AC110" s="976"/>
      <c r="AD110" s="978"/>
      <c r="AE110" s="1146">
        <f>+'Exhibit F'!AF99+'Exhibit G state'!AF93</f>
        <v>9.4</v>
      </c>
      <c r="AF110" s="988"/>
      <c r="AG110" s="988"/>
      <c r="AH110" s="976">
        <f t="shared" ref="AH110:AH117" si="16">ROUND(SUM(AB110-AE110),1)</f>
        <v>-1.9</v>
      </c>
      <c r="AI110" s="428"/>
      <c r="AJ110" s="2600">
        <f>ROUND(IF(AE110=0,1,AH110/ABS(AE110)),3)</f>
        <v>-0.20200000000000001</v>
      </c>
    </row>
    <row r="111" spans="1:45" ht="15">
      <c r="A111" s="1851" t="s">
        <v>27</v>
      </c>
      <c r="B111" s="428"/>
      <c r="C111" s="976">
        <f>+'Exhibit F'!D100+'Exhibit G state'!D94</f>
        <v>11.799999999999999</v>
      </c>
      <c r="D111" s="976"/>
      <c r="E111" s="976">
        <f>+'Exhibit F'!F100+'Exhibit G state'!F94</f>
        <v>29.9</v>
      </c>
      <c r="F111" s="976"/>
      <c r="G111" s="976">
        <f>+'Exhibit F'!H100+'Exhibit G state'!H94</f>
        <v>583.80000000000007</v>
      </c>
      <c r="H111" s="976"/>
      <c r="I111" s="976">
        <f>+'Exhibit F'!J100+'Exhibit G state'!J94</f>
        <v>29.099999999999998</v>
      </c>
      <c r="J111" s="976"/>
      <c r="K111" s="976">
        <f>+'Exhibit F'!L100+'Exhibit G state'!L94</f>
        <v>36.299999999999997</v>
      </c>
      <c r="L111" s="976"/>
      <c r="M111" s="976">
        <f>+'Exhibit F'!N100+'Exhibit G state'!N94</f>
        <v>103.3</v>
      </c>
      <c r="N111" s="976"/>
      <c r="O111" s="976">
        <f>+'Exhibit F'!P100+'Exhibit G state'!P94</f>
        <v>55.1</v>
      </c>
      <c r="P111" s="976"/>
      <c r="Q111" s="976">
        <f>+'Exhibit F'!R100+'Exhibit G state'!R94</f>
        <v>10.1</v>
      </c>
      <c r="R111" s="976"/>
      <c r="S111" s="976">
        <f>+'Exhibit F'!T100+'Exhibit G state'!T94</f>
        <v>193.1</v>
      </c>
      <c r="T111" s="976"/>
      <c r="U111" s="2008">
        <f>+'Exhibit F'!V100+'Exhibit G state'!V94</f>
        <v>22.6</v>
      </c>
      <c r="V111" s="976"/>
      <c r="W111" s="2008"/>
      <c r="X111" s="976"/>
      <c r="Y111" s="2755"/>
      <c r="Z111" s="976"/>
      <c r="AA111" s="977"/>
      <c r="AB111" s="1146">
        <f t="shared" si="15"/>
        <v>1075.0999999999999</v>
      </c>
      <c r="AC111" s="976"/>
      <c r="AD111" s="978"/>
      <c r="AE111" s="1146">
        <f>+'Exhibit F'!AF100+'Exhibit G state'!AF94</f>
        <v>1077.0999999999999</v>
      </c>
      <c r="AF111" s="988"/>
      <c r="AG111" s="988"/>
      <c r="AH111" s="976">
        <f t="shared" si="16"/>
        <v>-2</v>
      </c>
      <c r="AI111" s="428"/>
      <c r="AJ111" s="1847">
        <f>ROUND(SUM(AH111/ABS(AE111)),3)</f>
        <v>-2E-3</v>
      </c>
    </row>
    <row r="112" spans="1:45" ht="15">
      <c r="A112" s="1851" t="s">
        <v>28</v>
      </c>
      <c r="B112" s="428"/>
      <c r="C112" s="976"/>
      <c r="D112" s="976"/>
      <c r="E112" s="976"/>
      <c r="F112" s="976"/>
      <c r="G112" s="976"/>
      <c r="H112" s="976"/>
      <c r="I112" s="976"/>
      <c r="J112" s="976"/>
      <c r="K112" s="976"/>
      <c r="L112" s="976"/>
      <c r="M112" s="976"/>
      <c r="N112" s="976"/>
      <c r="O112" s="976"/>
      <c r="P112" s="976"/>
      <c r="Q112" s="976"/>
      <c r="R112" s="976"/>
      <c r="S112" s="976"/>
      <c r="T112" s="976"/>
      <c r="U112" s="2008"/>
      <c r="V112" s="976"/>
      <c r="W112" s="2008"/>
      <c r="X112" s="976"/>
      <c r="Y112" s="2755"/>
      <c r="Z112" s="976"/>
      <c r="AA112" s="977"/>
      <c r="AB112" s="1146"/>
      <c r="AC112" s="976"/>
      <c r="AD112" s="978"/>
      <c r="AE112" s="1226"/>
      <c r="AF112" s="988"/>
      <c r="AG112" s="988"/>
      <c r="AH112" s="976" t="s">
        <v>15</v>
      </c>
      <c r="AI112" s="428"/>
      <c r="AJ112" s="1847"/>
    </row>
    <row r="113" spans="1:44" ht="15">
      <c r="A113" s="1852" t="s">
        <v>29</v>
      </c>
      <c r="B113" s="428"/>
      <c r="C113" s="976">
        <f>+'Exhibit F'!D102+'Exhibit G state'!D96</f>
        <v>1325.3</v>
      </c>
      <c r="D113" s="976"/>
      <c r="E113" s="976">
        <f>+'Exhibit F'!F102+'Exhibit G state'!F96</f>
        <v>1757.5</v>
      </c>
      <c r="F113" s="976"/>
      <c r="G113" s="976">
        <f>+'Exhibit F'!H102+'Exhibit G state'!H96</f>
        <v>1790.1999999999998</v>
      </c>
      <c r="H113" s="976"/>
      <c r="I113" s="976">
        <f>+'Exhibit F'!J102+'Exhibit G state'!J96</f>
        <v>1712</v>
      </c>
      <c r="J113" s="976"/>
      <c r="K113" s="976">
        <f>+'Exhibit F'!L102+'Exhibit G state'!L96</f>
        <v>1758.1999999999998</v>
      </c>
      <c r="L113" s="976"/>
      <c r="M113" s="976">
        <f>+'Exhibit F'!N102+'Exhibit G state'!N96</f>
        <v>1667.3</v>
      </c>
      <c r="N113" s="976"/>
      <c r="O113" s="976">
        <f>+'Exhibit F'!P102+'Exhibit G state'!P96</f>
        <v>1474.6999999999998</v>
      </c>
      <c r="P113" s="976"/>
      <c r="Q113" s="976">
        <f>+'Exhibit F'!R102+'Exhibit G state'!R96</f>
        <v>1986.9</v>
      </c>
      <c r="R113" s="976"/>
      <c r="S113" s="976">
        <f>+'Exhibit F'!T102+'Exhibit G state'!T96</f>
        <v>1804.5</v>
      </c>
      <c r="T113" s="976"/>
      <c r="U113" s="2008">
        <f>+'Exhibit F'!V102+'Exhibit G state'!V96</f>
        <v>1196.0999999999999</v>
      </c>
      <c r="V113" s="976"/>
      <c r="W113" s="2008"/>
      <c r="X113" s="976"/>
      <c r="Y113" s="2755"/>
      <c r="Z113" s="976"/>
      <c r="AA113" s="977"/>
      <c r="AB113" s="1146">
        <f t="shared" si="15"/>
        <v>16472.7</v>
      </c>
      <c r="AC113" s="976"/>
      <c r="AD113" s="978"/>
      <c r="AE113" s="1146">
        <f>+'Exhibit F'!AF102+'Exhibit G state'!AF96</f>
        <v>15702</v>
      </c>
      <c r="AF113" s="988"/>
      <c r="AG113" s="988"/>
      <c r="AH113" s="976">
        <f t="shared" si="16"/>
        <v>770.7</v>
      </c>
      <c r="AI113" s="428"/>
      <c r="AJ113" s="1847">
        <f t="shared" ref="AJ113:AJ119" si="17">ROUND(SUM(AH113/ABS(AE113)),3)</f>
        <v>4.9000000000000002E-2</v>
      </c>
      <c r="AK113" s="416"/>
    </row>
    <row r="114" spans="1:44" ht="15">
      <c r="A114" s="1851" t="s">
        <v>30</v>
      </c>
      <c r="B114" s="428"/>
      <c r="C114" s="976">
        <f>+'Exhibit F'!D103+'Exhibit G state'!D97</f>
        <v>174.5</v>
      </c>
      <c r="D114" s="976"/>
      <c r="E114" s="976">
        <f>+'Exhibit F'!F103+'Exhibit G state'!F97</f>
        <v>278.39999999999998</v>
      </c>
      <c r="F114" s="976"/>
      <c r="G114" s="976">
        <f>+'Exhibit F'!H103+'Exhibit G state'!H97</f>
        <v>629</v>
      </c>
      <c r="H114" s="976"/>
      <c r="I114" s="976">
        <f>+'Exhibit F'!J103+'Exhibit G state'!J97</f>
        <v>223.9</v>
      </c>
      <c r="J114" s="976"/>
      <c r="K114" s="976">
        <f>+'Exhibit F'!L103+'Exhibit G state'!L97</f>
        <v>140.30000000000001</v>
      </c>
      <c r="L114" s="976"/>
      <c r="M114" s="976">
        <f>+'Exhibit F'!N103+'Exhibit G state'!N97</f>
        <v>507.29999999999995</v>
      </c>
      <c r="N114" s="976"/>
      <c r="O114" s="976">
        <f>+'Exhibit F'!P103+'Exhibit G state'!P97</f>
        <v>203.7</v>
      </c>
      <c r="P114" s="976"/>
      <c r="Q114" s="976">
        <f>+'Exhibit F'!R103+'Exhibit G state'!R97</f>
        <v>143.30000000000001</v>
      </c>
      <c r="R114" s="976"/>
      <c r="S114" s="976">
        <f>+'Exhibit F'!T103+'Exhibit G state'!T97</f>
        <v>477</v>
      </c>
      <c r="T114" s="976"/>
      <c r="U114" s="2008">
        <f>+'Exhibit F'!V103+'Exhibit G state'!V97</f>
        <v>278.7</v>
      </c>
      <c r="V114" s="976"/>
      <c r="W114" s="2008"/>
      <c r="X114" s="976"/>
      <c r="Y114" s="2755"/>
      <c r="Z114" s="976"/>
      <c r="AA114" s="977"/>
      <c r="AB114" s="1146">
        <f t="shared" si="15"/>
        <v>3056.1</v>
      </c>
      <c r="AC114" s="1848"/>
      <c r="AD114" s="976"/>
      <c r="AE114" s="1146">
        <f>+'Exhibit F'!AF103+'Exhibit G state'!AF97</f>
        <v>2645.7</v>
      </c>
      <c r="AF114" s="988"/>
      <c r="AG114" s="988"/>
      <c r="AH114" s="976">
        <f t="shared" si="16"/>
        <v>410.4</v>
      </c>
      <c r="AI114" s="428"/>
      <c r="AJ114" s="1847">
        <f t="shared" si="17"/>
        <v>0.155</v>
      </c>
    </row>
    <row r="115" spans="1:44" ht="15">
      <c r="A115" s="1851" t="s">
        <v>31</v>
      </c>
      <c r="B115" s="428"/>
      <c r="C115" s="976">
        <f>+'Exhibit F'!D104+'Exhibit G state'!D98</f>
        <v>19</v>
      </c>
      <c r="D115" s="976"/>
      <c r="E115" s="976">
        <f>+'Exhibit F'!F104+'Exhibit G state'!F98</f>
        <v>30.4</v>
      </c>
      <c r="F115" s="976"/>
      <c r="G115" s="976">
        <f>+'Exhibit F'!H104+'Exhibit G state'!H98</f>
        <v>19.299999999999997</v>
      </c>
      <c r="H115" s="976"/>
      <c r="I115" s="976">
        <f>+'Exhibit F'!J104+'Exhibit G state'!J98</f>
        <v>24.4</v>
      </c>
      <c r="J115" s="976"/>
      <c r="K115" s="976">
        <f>+'Exhibit F'!L104+'Exhibit G state'!L98</f>
        <v>22.6</v>
      </c>
      <c r="L115" s="976"/>
      <c r="M115" s="976">
        <f>+'Exhibit F'!N104+'Exhibit G state'!N98</f>
        <v>42.5</v>
      </c>
      <c r="N115" s="976"/>
      <c r="O115" s="976">
        <f>+'Exhibit F'!P104+'Exhibit G state'!P98</f>
        <v>2.8999999999999995</v>
      </c>
      <c r="P115" s="976"/>
      <c r="Q115" s="976">
        <f>+'Exhibit F'!R104+'Exhibit G state'!R98</f>
        <v>28.5</v>
      </c>
      <c r="R115" s="976"/>
      <c r="S115" s="976">
        <f>+'Exhibit F'!T104+'Exhibit G state'!T98</f>
        <v>30.6</v>
      </c>
      <c r="T115" s="976"/>
      <c r="U115" s="2008">
        <f>+'Exhibit F'!V104+'Exhibit G state'!V98</f>
        <v>15.7</v>
      </c>
      <c r="V115" s="976"/>
      <c r="W115" s="2008"/>
      <c r="X115" s="976"/>
      <c r="Y115" s="2755"/>
      <c r="Z115" s="976"/>
      <c r="AA115" s="977"/>
      <c r="AB115" s="1146">
        <f t="shared" si="15"/>
        <v>235.9</v>
      </c>
      <c r="AC115" s="1853"/>
      <c r="AD115" s="978"/>
      <c r="AE115" s="1146">
        <f>+'Exhibit F'!AF104+'Exhibit G state'!AF98</f>
        <v>272.3</v>
      </c>
      <c r="AF115" s="988"/>
      <c r="AG115" s="988"/>
      <c r="AH115" s="976">
        <f t="shared" si="16"/>
        <v>-36.4</v>
      </c>
      <c r="AI115" s="428"/>
      <c r="AJ115" s="1847">
        <f t="shared" si="17"/>
        <v>-0.13400000000000001</v>
      </c>
    </row>
    <row r="116" spans="1:44" ht="15">
      <c r="A116" s="1851" t="s">
        <v>32</v>
      </c>
      <c r="B116" s="428"/>
      <c r="C116" s="976">
        <f>+'Exhibit F'!D105+'Exhibit G state'!D99</f>
        <v>123.30000000000001</v>
      </c>
      <c r="D116" s="976"/>
      <c r="E116" s="976">
        <f>+'Exhibit F'!F105+'Exhibit G state'!F99</f>
        <v>131</v>
      </c>
      <c r="F116" s="976"/>
      <c r="G116" s="976">
        <f>+'Exhibit F'!H105+'Exhibit G state'!H99</f>
        <v>421.4</v>
      </c>
      <c r="H116" s="976"/>
      <c r="I116" s="976">
        <f>+'Exhibit F'!J105+'Exhibit G state'!J99</f>
        <v>288.70000000000005</v>
      </c>
      <c r="J116" s="976"/>
      <c r="K116" s="976">
        <f>+'Exhibit F'!L105+'Exhibit G state'!L99</f>
        <v>168.6</v>
      </c>
      <c r="L116" s="976"/>
      <c r="M116" s="976">
        <f>+'Exhibit F'!N105+'Exhibit G state'!N99</f>
        <v>194.79999999999998</v>
      </c>
      <c r="N116" s="976"/>
      <c r="O116" s="976">
        <f>+'Exhibit F'!P105+'Exhibit G state'!P99</f>
        <v>164.5</v>
      </c>
      <c r="P116" s="976"/>
      <c r="Q116" s="976">
        <f>+'Exhibit F'!R105+'Exhibit G state'!R99</f>
        <v>190.3</v>
      </c>
      <c r="R116" s="976"/>
      <c r="S116" s="976">
        <f>+'Exhibit F'!T105+'Exhibit G state'!T99</f>
        <v>400.8</v>
      </c>
      <c r="T116" s="976"/>
      <c r="U116" s="2008">
        <f>+'Exhibit F'!V105+'Exhibit G state'!V99</f>
        <v>213.4</v>
      </c>
      <c r="V116" s="976"/>
      <c r="W116" s="2008"/>
      <c r="X116" s="976"/>
      <c r="Y116" s="2755"/>
      <c r="Z116" s="976"/>
      <c r="AA116" s="977"/>
      <c r="AB116" s="1146">
        <f t="shared" si="15"/>
        <v>2296.8000000000002</v>
      </c>
      <c r="AC116" s="1853"/>
      <c r="AD116" s="978"/>
      <c r="AE116" s="1146">
        <f>+'Exhibit F'!AF105+'Exhibit G state'!AF99</f>
        <v>2338.1</v>
      </c>
      <c r="AF116" s="988"/>
      <c r="AG116" s="988"/>
      <c r="AH116" s="976">
        <f t="shared" si="16"/>
        <v>-41.3</v>
      </c>
      <c r="AI116" s="428"/>
      <c r="AJ116" s="1847">
        <f t="shared" si="17"/>
        <v>-1.7999999999999999E-2</v>
      </c>
    </row>
    <row r="117" spans="1:44" ht="15">
      <c r="A117" s="1851" t="s">
        <v>33</v>
      </c>
      <c r="B117" s="428"/>
      <c r="C117" s="976">
        <f>+'Exhibit F'!D106+'Exhibit G state'!D100</f>
        <v>2.3000000000000003</v>
      </c>
      <c r="D117" s="976"/>
      <c r="E117" s="976">
        <f>+'Exhibit F'!F106+'Exhibit G state'!F100</f>
        <v>7.6000000000000005</v>
      </c>
      <c r="F117" s="976"/>
      <c r="G117" s="976">
        <f>+'Exhibit F'!H106+'Exhibit G state'!H100</f>
        <v>16</v>
      </c>
      <c r="H117" s="976"/>
      <c r="I117" s="976">
        <f>+'Exhibit F'!J106+'Exhibit G state'!J100</f>
        <v>18.599999999999998</v>
      </c>
      <c r="J117" s="976"/>
      <c r="K117" s="976">
        <f>+'Exhibit F'!L106+'Exhibit G state'!L100</f>
        <v>30.2</v>
      </c>
      <c r="L117" s="976"/>
      <c r="M117" s="976">
        <f>+'Exhibit F'!N106+'Exhibit G state'!N100</f>
        <v>19.799999999999997</v>
      </c>
      <c r="N117" s="976"/>
      <c r="O117" s="976">
        <f>+'Exhibit F'!P106+'Exhibit G state'!P100</f>
        <v>11.8</v>
      </c>
      <c r="P117" s="976"/>
      <c r="Q117" s="976">
        <f>+'Exhibit F'!R106+'Exhibit G state'!R100</f>
        <v>63.4</v>
      </c>
      <c r="R117" s="976"/>
      <c r="S117" s="976">
        <f>+'Exhibit F'!T106+'Exhibit G state'!T100</f>
        <v>17.5</v>
      </c>
      <c r="T117" s="976"/>
      <c r="U117" s="2008">
        <f>+'Exhibit F'!V106+'Exhibit G state'!V100</f>
        <v>21.8</v>
      </c>
      <c r="V117" s="976"/>
      <c r="W117" s="2008"/>
      <c r="X117" s="976"/>
      <c r="Y117" s="2755"/>
      <c r="Z117" s="976"/>
      <c r="AA117" s="977"/>
      <c r="AB117" s="1146">
        <f t="shared" si="15"/>
        <v>209</v>
      </c>
      <c r="AC117" s="1853"/>
      <c r="AD117" s="978"/>
      <c r="AE117" s="1146">
        <f>+'Exhibit F'!AF106+'Exhibit G state'!AF100</f>
        <v>145.19999999999999</v>
      </c>
      <c r="AF117" s="988"/>
      <c r="AG117" s="988"/>
      <c r="AH117" s="976">
        <f t="shared" si="16"/>
        <v>63.8</v>
      </c>
      <c r="AI117" s="428"/>
      <c r="AJ117" s="1847">
        <f t="shared" si="17"/>
        <v>0.439</v>
      </c>
    </row>
    <row r="118" spans="1:44" ht="15">
      <c r="A118" s="1851" t="s">
        <v>34</v>
      </c>
      <c r="B118" s="428"/>
      <c r="C118" s="976">
        <f>+'Exhibit F'!D107+'Exhibit G state'!D101</f>
        <v>192.1</v>
      </c>
      <c r="D118" s="976"/>
      <c r="E118" s="976">
        <f>+'Exhibit F'!F107+'Exhibit G state'!F101</f>
        <v>481</v>
      </c>
      <c r="F118" s="976"/>
      <c r="G118" s="976">
        <f>+'Exhibit F'!H107+'Exhibit G state'!H101</f>
        <v>524.20000000000005</v>
      </c>
      <c r="H118" s="976"/>
      <c r="I118" s="976">
        <f>+'Exhibit F'!J107+'Exhibit G state'!J101</f>
        <v>307.90000000000003</v>
      </c>
      <c r="J118" s="976"/>
      <c r="K118" s="976">
        <f>+'Exhibit F'!L107+'Exhibit G state'!L101</f>
        <v>489.4</v>
      </c>
      <c r="L118" s="976"/>
      <c r="M118" s="976">
        <f>+'Exhibit F'!N107+'Exhibit G state'!N101</f>
        <v>428.7</v>
      </c>
      <c r="N118" s="976"/>
      <c r="O118" s="976">
        <f>+'Exhibit F'!P107+'Exhibit G state'!P101</f>
        <v>376.40000000000009</v>
      </c>
      <c r="P118" s="976"/>
      <c r="Q118" s="976">
        <f>+'Exhibit F'!R107+'Exhibit G state'!R101</f>
        <v>621.9</v>
      </c>
      <c r="R118" s="976"/>
      <c r="S118" s="976">
        <f>+'Exhibit F'!T107+'Exhibit G state'!T101</f>
        <v>881.69999999999993</v>
      </c>
      <c r="T118" s="976"/>
      <c r="U118" s="2008">
        <f>+'Exhibit F'!V107+'Exhibit G state'!V101</f>
        <v>206.2</v>
      </c>
      <c r="V118" s="976"/>
      <c r="W118" s="2008"/>
      <c r="X118" s="976"/>
      <c r="Y118" s="2755"/>
      <c r="Z118" s="976"/>
      <c r="AA118" s="977"/>
      <c r="AB118" s="976">
        <f>ROUND(SUM(C118:Y118),1)</f>
        <v>4509.5</v>
      </c>
      <c r="AC118" s="1853"/>
      <c r="AD118" s="978"/>
      <c r="AE118" s="1146">
        <f>+'Exhibit F'!AF107+'Exhibit G state'!AF101</f>
        <v>4243.8</v>
      </c>
      <c r="AF118" s="988"/>
      <c r="AG118" s="988"/>
      <c r="AH118" s="976">
        <f>ROUND(SUM(AB118-AE118),1)</f>
        <v>265.7</v>
      </c>
      <c r="AI118" s="428"/>
      <c r="AJ118" s="1241">
        <f t="shared" si="17"/>
        <v>6.3E-2</v>
      </c>
    </row>
    <row r="119" spans="1:44" ht="15.75">
      <c r="A119" s="428" t="s">
        <v>35</v>
      </c>
      <c r="B119" s="428"/>
      <c r="C119" s="993">
        <f>ROUND(SUM(C109:C118),1)</f>
        <v>2677.9</v>
      </c>
      <c r="D119" s="984"/>
      <c r="E119" s="993">
        <f>ROUND(SUM(E109:E118),1)</f>
        <v>5760.1</v>
      </c>
      <c r="F119" s="984"/>
      <c r="G119" s="993">
        <f>ROUND(SUM(G109:G118),1)</f>
        <v>7751.4</v>
      </c>
      <c r="H119" s="984"/>
      <c r="I119" s="993">
        <f>ROUND(SUM(I109:I118),1)</f>
        <v>3022.9</v>
      </c>
      <c r="J119" s="984"/>
      <c r="K119" s="993">
        <f>ROUND(SUM(K109:K118),1)</f>
        <v>3665.1</v>
      </c>
      <c r="L119" s="984"/>
      <c r="M119" s="993">
        <f>ROUND(SUM(M109:M118),1)</f>
        <v>7080.6</v>
      </c>
      <c r="N119" s="984"/>
      <c r="O119" s="993">
        <f>ROUND(SUM(O109:O118),1)</f>
        <v>3802.7</v>
      </c>
      <c r="P119" s="984"/>
      <c r="Q119" s="993">
        <f>ROUND(SUM(Q109:Q118),1)</f>
        <v>4873.3</v>
      </c>
      <c r="R119" s="984"/>
      <c r="S119" s="993">
        <f>ROUND(SUM(S109:S118),1)</f>
        <v>6053.6</v>
      </c>
      <c r="T119" s="984"/>
      <c r="U119" s="993">
        <f>ROUND(SUM(U109:U118),1)</f>
        <v>5013.3999999999996</v>
      </c>
      <c r="V119" s="984"/>
      <c r="W119" s="993">
        <f>ROUND(SUM(W109:W118),1)</f>
        <v>0</v>
      </c>
      <c r="X119" s="984"/>
      <c r="Y119" s="993">
        <f>ROUND(SUM(Y109:Y118),1)</f>
        <v>0</v>
      </c>
      <c r="Z119" s="984"/>
      <c r="AA119" s="985"/>
      <c r="AB119" s="993">
        <f>ROUND(SUM(AB109:AB118),1)</f>
        <v>49701</v>
      </c>
      <c r="AC119" s="1855"/>
      <c r="AD119" s="986"/>
      <c r="AE119" s="482">
        <f>ROUND(SUM(AE109:AE118),1)</f>
        <v>48243.1</v>
      </c>
      <c r="AF119" s="2023"/>
      <c r="AG119" s="2023"/>
      <c r="AH119" s="482">
        <f>ROUND(SUM(AH109:AH118),1)</f>
        <v>1457.9</v>
      </c>
      <c r="AI119" s="966"/>
      <c r="AJ119" s="526">
        <f t="shared" si="17"/>
        <v>0.03</v>
      </c>
      <c r="AK119" s="792"/>
      <c r="AL119" s="792"/>
    </row>
    <row r="120" spans="1:44" ht="15">
      <c r="A120" s="428" t="s">
        <v>36</v>
      </c>
      <c r="B120" s="428"/>
      <c r="C120" s="988"/>
      <c r="D120" s="976"/>
      <c r="E120" s="988"/>
      <c r="F120" s="976"/>
      <c r="G120" s="988"/>
      <c r="H120" s="976"/>
      <c r="I120" s="988"/>
      <c r="J120" s="976"/>
      <c r="K120" s="988"/>
      <c r="L120" s="976"/>
      <c r="M120" s="988"/>
      <c r="N120" s="976"/>
      <c r="O120" s="988"/>
      <c r="P120" s="976"/>
      <c r="Q120" s="988"/>
      <c r="R120" s="976"/>
      <c r="S120" s="988"/>
      <c r="T120" s="976"/>
      <c r="U120" s="988"/>
      <c r="V120" s="976"/>
      <c r="W120" s="988"/>
      <c r="X120" s="976"/>
      <c r="Y120" s="988"/>
      <c r="Z120" s="976"/>
      <c r="AA120" s="977"/>
      <c r="AB120" s="988"/>
      <c r="AC120" s="976"/>
      <c r="AD120" s="978"/>
      <c r="AE120" s="1823"/>
      <c r="AF120" s="988"/>
      <c r="AG120" s="988"/>
      <c r="AH120" s="1146"/>
      <c r="AI120" s="428"/>
      <c r="AJ120" s="1632"/>
    </row>
    <row r="121" spans="1:44" ht="15">
      <c r="A121" s="428" t="s">
        <v>142</v>
      </c>
      <c r="B121" s="428"/>
      <c r="C121" s="976">
        <f>+'Exhibit F'!D110+'Exhibit G state'!D104</f>
        <v>1026</v>
      </c>
      <c r="D121" s="976"/>
      <c r="E121" s="976">
        <f>+'Exhibit F'!F110+'Exhibit G state'!F104</f>
        <v>1016.1</v>
      </c>
      <c r="F121" s="976"/>
      <c r="G121" s="976">
        <f>+'Exhibit F'!H110+'Exhibit G state'!H104</f>
        <v>1314.3</v>
      </c>
      <c r="H121" s="976"/>
      <c r="I121" s="976">
        <f>+'Exhibit F'!J110+'Exhibit G state'!J104</f>
        <v>1003.7</v>
      </c>
      <c r="J121" s="976"/>
      <c r="K121" s="976">
        <f>+'Exhibit F'!L110+'Exhibit G state'!L104</f>
        <v>1035.5</v>
      </c>
      <c r="L121" s="976"/>
      <c r="M121" s="976">
        <f>+'Exhibit F'!N110+'Exhibit G state'!N104</f>
        <v>1211.6999999999998</v>
      </c>
      <c r="N121" s="976"/>
      <c r="O121" s="976">
        <f>+'Exhibit F'!P110+'Exhibit G state'!P104</f>
        <v>993.40000000000009</v>
      </c>
      <c r="P121" s="976"/>
      <c r="Q121" s="976">
        <f>+'Exhibit F'!R110+'Exhibit G state'!R104</f>
        <v>1335.1</v>
      </c>
      <c r="R121" s="976"/>
      <c r="S121" s="976">
        <f>+'Exhibit F'!T110+'Exhibit G state'!T104</f>
        <v>1025.8999999999996</v>
      </c>
      <c r="T121" s="976"/>
      <c r="U121" s="988">
        <f>+'Exhibit F'!V110+'Exhibit G state'!V104</f>
        <v>993.4</v>
      </c>
      <c r="V121" s="976"/>
      <c r="W121" s="988"/>
      <c r="X121" s="976"/>
      <c r="Y121" s="2755"/>
      <c r="Z121" s="976"/>
      <c r="AA121" s="977"/>
      <c r="AB121" s="976">
        <f>ROUND(SUM(C121:Y121),1)</f>
        <v>10955.1</v>
      </c>
      <c r="AC121" s="976"/>
      <c r="AD121" s="978"/>
      <c r="AE121" s="1146">
        <f>+'Exhibit F'!AF110+'Exhibit G state'!AF104</f>
        <v>10908.8</v>
      </c>
      <c r="AF121" s="988"/>
      <c r="AG121" s="988"/>
      <c r="AH121" s="976">
        <f>ROUND(SUM(AB121-AE121),1)</f>
        <v>46.3</v>
      </c>
      <c r="AI121" s="428"/>
      <c r="AJ121" s="1847">
        <f>ROUND(SUM(AH121/ABS(AE121)),3)</f>
        <v>4.0000000000000001E-3</v>
      </c>
    </row>
    <row r="122" spans="1:44" ht="15">
      <c r="A122" s="428" t="s">
        <v>143</v>
      </c>
      <c r="B122" s="428"/>
      <c r="C122" s="976">
        <f>+'Exhibit F'!D111+'Exhibit G state'!D105+'Exhibit H'!B51</f>
        <v>317.89999999999998</v>
      </c>
      <c r="D122" s="976"/>
      <c r="E122" s="976">
        <f>+'Exhibit F'!F111+'Exhibit G state'!F105+'Exhibit H'!D51</f>
        <v>429.2</v>
      </c>
      <c r="F122" s="976"/>
      <c r="G122" s="976">
        <f>+'Exhibit F'!H111+'Exhibit G state'!H105+'Exhibit H'!F51</f>
        <v>485.90000000000003</v>
      </c>
      <c r="H122" s="976"/>
      <c r="I122" s="976">
        <f>+'Exhibit F'!J111+'Exhibit G state'!J105+'Exhibit H'!H51</f>
        <v>364.8</v>
      </c>
      <c r="J122" s="976"/>
      <c r="K122" s="976">
        <f>+'Exhibit F'!L111+'Exhibit G state'!L105+'Exhibit H'!J51</f>
        <v>514.70000000000005</v>
      </c>
      <c r="L122" s="976"/>
      <c r="M122" s="976">
        <f>+'Exhibit F'!N111+'Exhibit G state'!N105+'Exhibit H'!L51</f>
        <v>477.59999999999997</v>
      </c>
      <c r="N122" s="976"/>
      <c r="O122" s="976">
        <f>+'Exhibit F'!P111+'Exhibit G state'!P105+'Exhibit H'!N51</f>
        <v>502.19999999999993</v>
      </c>
      <c r="P122" s="976"/>
      <c r="Q122" s="976">
        <f>+'Exhibit F'!R111+'Exhibit G state'!R105+'Exhibit H'!P51</f>
        <v>495.1</v>
      </c>
      <c r="R122" s="976"/>
      <c r="S122" s="976">
        <f>+'Exhibit F'!T111+'Exhibit G state'!T105+'Exhibit H'!R51</f>
        <v>447.9</v>
      </c>
      <c r="T122" s="976"/>
      <c r="U122" s="988">
        <f>+'Exhibit F'!V111+'Exhibit G state'!V105+'Exhibit H'!T51</f>
        <v>422.4</v>
      </c>
      <c r="V122" s="976"/>
      <c r="W122" s="988"/>
      <c r="X122" s="976"/>
      <c r="Y122" s="2755"/>
      <c r="Z122" s="976"/>
      <c r="AA122" s="977"/>
      <c r="AB122" s="976">
        <f>ROUND(SUM(C122:Y122),1)</f>
        <v>4457.7</v>
      </c>
      <c r="AC122" s="976"/>
      <c r="AD122" s="978"/>
      <c r="AE122" s="1146">
        <f>+'Exhibit F'!AF111+'Exhibit G state'!AF105+'Exhibit H'!AD51</f>
        <v>4340.8</v>
      </c>
      <c r="AF122" s="988"/>
      <c r="AG122" s="988"/>
      <c r="AH122" s="976">
        <f>ROUND(SUM(AB122-AE122),1)</f>
        <v>116.9</v>
      </c>
      <c r="AI122" s="428"/>
      <c r="AJ122" s="1847">
        <f>ROUND(SUM(AH122/ABS(AE122)),3)</f>
        <v>2.7E-2</v>
      </c>
    </row>
    <row r="123" spans="1:44" ht="15">
      <c r="A123" s="428" t="s">
        <v>39</v>
      </c>
      <c r="B123" s="428"/>
      <c r="C123" s="976">
        <f>+'Exhibit F'!D112+'Exhibit G state'!D106</f>
        <v>2618.6999999999998</v>
      </c>
      <c r="D123" s="976"/>
      <c r="E123" s="976">
        <f>+'Exhibit F'!F112+'Exhibit G state'!F106</f>
        <v>431.1</v>
      </c>
      <c r="F123" s="976"/>
      <c r="G123" s="976">
        <f>+'Exhibit F'!H112+'Exhibit G state'!H106</f>
        <v>494.9</v>
      </c>
      <c r="H123" s="976"/>
      <c r="I123" s="976">
        <f>+'Exhibit F'!J112+'Exhibit G state'!J106</f>
        <v>430</v>
      </c>
      <c r="J123" s="976"/>
      <c r="K123" s="976">
        <f>+'Exhibit F'!L112+'Exhibit G state'!L106</f>
        <v>433.4</v>
      </c>
      <c r="L123" s="976"/>
      <c r="M123" s="976">
        <f>+'Exhibit F'!N112+'Exhibit G state'!N106</f>
        <v>416.6</v>
      </c>
      <c r="N123" s="976"/>
      <c r="O123" s="976">
        <f>+'Exhibit F'!P112+'Exhibit G state'!P106</f>
        <v>525.5</v>
      </c>
      <c r="P123" s="976"/>
      <c r="Q123" s="976">
        <f>+'Exhibit F'!R112+'Exhibit G state'!R106</f>
        <v>469.5</v>
      </c>
      <c r="R123" s="976"/>
      <c r="S123" s="976">
        <f>+'Exhibit F'!T112+'Exhibit G state'!T106</f>
        <v>506.4</v>
      </c>
      <c r="T123" s="976"/>
      <c r="U123" s="988">
        <f>+'Exhibit F'!V112+'Exhibit G state'!V106</f>
        <v>441.3</v>
      </c>
      <c r="V123" s="976"/>
      <c r="W123" s="988"/>
      <c r="X123" s="976"/>
      <c r="Y123" s="2755"/>
      <c r="Z123" s="976"/>
      <c r="AA123" s="977"/>
      <c r="AB123" s="976">
        <f>ROUND(SUM(C123:Y123),1)</f>
        <v>6767.4</v>
      </c>
      <c r="AC123" s="976"/>
      <c r="AD123" s="978"/>
      <c r="AE123" s="1146">
        <f>+'Exhibit F'!AF112+'Exhibit G state'!AF106</f>
        <v>6600.2000000000007</v>
      </c>
      <c r="AF123" s="988"/>
      <c r="AG123" s="988"/>
      <c r="AH123" s="976">
        <f>ROUND(SUM(AB123-AE123),1)</f>
        <v>167.2</v>
      </c>
      <c r="AI123" s="428"/>
      <c r="AJ123" s="1847">
        <f>ROUND(SUM(AH123/ABS(AE123)),3)</f>
        <v>2.5000000000000001E-2</v>
      </c>
    </row>
    <row r="124" spans="1:44" ht="15">
      <c r="A124" s="428" t="s">
        <v>40</v>
      </c>
      <c r="B124" s="428"/>
      <c r="C124" s="988"/>
      <c r="D124" s="976"/>
      <c r="E124" s="988"/>
      <c r="F124" s="976"/>
      <c r="G124" s="988"/>
      <c r="H124" s="976"/>
      <c r="I124" s="988"/>
      <c r="J124" s="976"/>
      <c r="K124" s="988"/>
      <c r="L124" s="976"/>
      <c r="M124" s="988"/>
      <c r="N124" s="976"/>
      <c r="O124" s="988"/>
      <c r="P124" s="976"/>
      <c r="Q124" s="988"/>
      <c r="R124" s="976"/>
      <c r="S124" s="988"/>
      <c r="T124" s="976"/>
      <c r="U124" s="988"/>
      <c r="V124" s="976"/>
      <c r="W124" s="988"/>
      <c r="X124" s="976"/>
      <c r="Y124" s="2755"/>
      <c r="Z124" s="976"/>
      <c r="AA124" s="977"/>
      <c r="AB124" s="976"/>
      <c r="AC124" s="976"/>
      <c r="AD124" s="978"/>
      <c r="AE124" s="988"/>
      <c r="AF124" s="988"/>
      <c r="AG124" s="988"/>
      <c r="AH124" s="976"/>
      <c r="AI124" s="428"/>
      <c r="AJ124" s="1847"/>
    </row>
    <row r="125" spans="1:44" ht="15">
      <c r="A125" s="428" t="s">
        <v>41</v>
      </c>
      <c r="B125" s="428"/>
      <c r="C125" s="976">
        <f>+'Exhibit H'!B53</f>
        <v>113.3</v>
      </c>
      <c r="D125" s="976"/>
      <c r="E125" s="976">
        <f>+'Exhibit H'!D53</f>
        <v>162.9</v>
      </c>
      <c r="F125" s="976"/>
      <c r="G125" s="976">
        <f>+'Exhibit H'!F53</f>
        <v>89.9</v>
      </c>
      <c r="H125" s="976"/>
      <c r="I125" s="976">
        <f>+'Exhibit H'!H53</f>
        <v>25.3</v>
      </c>
      <c r="J125" s="976"/>
      <c r="K125" s="976">
        <f>+'Exhibit H'!J53</f>
        <v>281.8</v>
      </c>
      <c r="L125" s="976"/>
      <c r="M125" s="976">
        <f>+'Exhibit H'!L53</f>
        <v>790</v>
      </c>
      <c r="N125" s="976"/>
      <c r="O125" s="976">
        <f>+'Exhibit H'!N53</f>
        <v>32.299999999999997</v>
      </c>
      <c r="P125" s="976"/>
      <c r="Q125" s="976">
        <f>+'Exhibit H'!P53</f>
        <v>74.099999999999994</v>
      </c>
      <c r="R125" s="976"/>
      <c r="S125" s="976">
        <f>+'Exhibit H'!R53</f>
        <v>364.80000000000018</v>
      </c>
      <c r="T125" s="976"/>
      <c r="U125" s="988">
        <f>+'Exhibit H'!T53</f>
        <v>25.6</v>
      </c>
      <c r="V125" s="976"/>
      <c r="W125" s="988"/>
      <c r="X125" s="976"/>
      <c r="Y125" s="2755"/>
      <c r="Z125" s="976"/>
      <c r="AA125" s="977"/>
      <c r="AB125" s="976">
        <f>ROUND(SUM(C125:Y125),1)</f>
        <v>1960</v>
      </c>
      <c r="AC125" s="976"/>
      <c r="AD125" s="978"/>
      <c r="AE125" s="1823">
        <f>+'Exhibit H'!AD53</f>
        <v>2145.5</v>
      </c>
      <c r="AF125" s="988"/>
      <c r="AG125" s="988"/>
      <c r="AH125" s="976">
        <f>ROUND(SUM(AB125-AE125),1)</f>
        <v>-185.5</v>
      </c>
      <c r="AI125" s="428"/>
      <c r="AJ125" s="1847">
        <f>ROUND(SUM(AH125/ABS(AE125)),3)</f>
        <v>-8.5999999999999993E-2</v>
      </c>
    </row>
    <row r="126" spans="1:44" ht="15">
      <c r="A126" s="992" t="s">
        <v>144</v>
      </c>
      <c r="B126" s="428"/>
      <c r="C126" s="981">
        <f>+'Exhibit G state'!D107</f>
        <v>0.1</v>
      </c>
      <c r="D126" s="976"/>
      <c r="E126" s="981">
        <f>+'Exhibit G state'!F107</f>
        <v>0.1</v>
      </c>
      <c r="F126" s="976"/>
      <c r="G126" s="981">
        <f>+'Exhibit G state'!H107</f>
        <v>0.2</v>
      </c>
      <c r="H126" s="976"/>
      <c r="I126" s="981">
        <f>+'Exhibit G state'!J107</f>
        <v>0.2</v>
      </c>
      <c r="J126" s="976"/>
      <c r="K126" s="981">
        <f>+'Exhibit G state'!L107</f>
        <v>0.2</v>
      </c>
      <c r="L126" s="976"/>
      <c r="M126" s="981">
        <f>+'Exhibit G state'!N107</f>
        <v>1.6</v>
      </c>
      <c r="N126" s="976"/>
      <c r="O126" s="981">
        <f>+'Exhibit G state'!P107</f>
        <v>0</v>
      </c>
      <c r="P126" s="976"/>
      <c r="Q126" s="981">
        <f>+'Exhibit G state'!R107</f>
        <v>0.1</v>
      </c>
      <c r="R126" s="976"/>
      <c r="S126" s="981">
        <f>+'Exhibit G state'!T107</f>
        <v>0.2</v>
      </c>
      <c r="T126" s="976"/>
      <c r="U126" s="981">
        <f>+'Exhibit G state'!V107</f>
        <v>0</v>
      </c>
      <c r="V126" s="976"/>
      <c r="W126" s="981"/>
      <c r="X126" s="976"/>
      <c r="Y126" s="2756"/>
      <c r="Z126" s="976"/>
      <c r="AA126" s="977"/>
      <c r="AB126" s="981">
        <f>ROUND(SUM(C126:Y126),1)</f>
        <v>2.7</v>
      </c>
      <c r="AC126" s="976"/>
      <c r="AD126" s="978"/>
      <c r="AE126" s="1809">
        <f>+'Exhibit G state'!AF107</f>
        <v>1.3</v>
      </c>
      <c r="AF126" s="988"/>
      <c r="AG126" s="988"/>
      <c r="AH126" s="981">
        <f>ROUND(SUM(AB126-AE126),1)</f>
        <v>1.4</v>
      </c>
      <c r="AI126" s="428"/>
      <c r="AJ126" s="1856">
        <f>ROUND(IF(AE126=0,1,AH126/ABS(AE126)),3)</f>
        <v>1.077</v>
      </c>
    </row>
    <row r="127" spans="1:44" ht="16.5" customHeight="1">
      <c r="A127" s="428"/>
      <c r="B127" s="428"/>
      <c r="C127" s="988"/>
      <c r="D127" s="976"/>
      <c r="E127" s="988"/>
      <c r="F127" s="976"/>
      <c r="G127" s="988"/>
      <c r="H127" s="976"/>
      <c r="I127" s="988"/>
      <c r="J127" s="976"/>
      <c r="K127" s="988"/>
      <c r="L127" s="976"/>
      <c r="M127" s="988"/>
      <c r="N127" s="976"/>
      <c r="O127" s="988"/>
      <c r="P127" s="976"/>
      <c r="Q127" s="988"/>
      <c r="R127" s="976"/>
      <c r="S127" s="988"/>
      <c r="T127" s="976"/>
      <c r="U127" s="988"/>
      <c r="V127" s="976"/>
      <c r="W127" s="988"/>
      <c r="X127" s="976"/>
      <c r="Y127" s="988"/>
      <c r="Z127" s="976"/>
      <c r="AA127" s="977"/>
      <c r="AB127" s="988"/>
      <c r="AC127" s="976"/>
      <c r="AD127" s="978"/>
      <c r="AE127" s="988"/>
      <c r="AF127" s="988"/>
      <c r="AG127" s="988"/>
      <c r="AH127" s="988"/>
      <c r="AI127" s="428"/>
      <c r="AJ127" s="1241"/>
    </row>
    <row r="128" spans="1:44" ht="16.5" customHeight="1">
      <c r="A128" s="408" t="s">
        <v>59</v>
      </c>
      <c r="B128" s="428"/>
      <c r="C128" s="1849">
        <f>ROUND(SUM(C119:C126),1)</f>
        <v>6753.9</v>
      </c>
      <c r="D128" s="984"/>
      <c r="E128" s="1849">
        <f>ROUND(SUM(E119:E126),1)</f>
        <v>7799.5</v>
      </c>
      <c r="F128" s="984"/>
      <c r="G128" s="1849">
        <f>ROUND(SUM(G119:G126),1)</f>
        <v>10136.6</v>
      </c>
      <c r="H128" s="984"/>
      <c r="I128" s="1849">
        <f>ROUND(SUM(I119:I126),1)</f>
        <v>4846.8999999999996</v>
      </c>
      <c r="J128" s="984"/>
      <c r="K128" s="1849">
        <f>ROUND(SUM(K119:K126),1)</f>
        <v>5930.7</v>
      </c>
      <c r="L128" s="984"/>
      <c r="M128" s="1849">
        <f>ROUND(SUM(M119:M126),1)</f>
        <v>9978.1</v>
      </c>
      <c r="N128" s="984"/>
      <c r="O128" s="1849">
        <f>ROUND(SUM(O119:O126),1)</f>
        <v>5856.1</v>
      </c>
      <c r="P128" s="984"/>
      <c r="Q128" s="1849">
        <f>ROUND(SUM(Q119:Q126),1)</f>
        <v>7247.2</v>
      </c>
      <c r="R128" s="984"/>
      <c r="S128" s="1849">
        <f>ROUND(SUM(S119:S126),1)</f>
        <v>8398.7999999999993</v>
      </c>
      <c r="T128" s="984"/>
      <c r="U128" s="1849">
        <f>ROUND(SUM(U119:U126),1)</f>
        <v>6896.1</v>
      </c>
      <c r="V128" s="984"/>
      <c r="W128" s="1849">
        <f>ROUND(SUM(W119:W126),1)</f>
        <v>0</v>
      </c>
      <c r="X128" s="984"/>
      <c r="Y128" s="1849">
        <f>ROUND(SUM(Y119:Y126),1)</f>
        <v>0</v>
      </c>
      <c r="Z128" s="984"/>
      <c r="AA128" s="985"/>
      <c r="AB128" s="1849">
        <f>ROUND(SUM(AB119:AB126),1)</f>
        <v>73843.899999999994</v>
      </c>
      <c r="AC128" s="984"/>
      <c r="AD128" s="986"/>
      <c r="AE128" s="1656">
        <f>ROUND(SUM(AE119:AE127),1)</f>
        <v>72239.7</v>
      </c>
      <c r="AF128" s="2023"/>
      <c r="AG128" s="2023"/>
      <c r="AH128" s="1656">
        <f>ROUND(SUM(AH119:AH127),1)</f>
        <v>1604.2</v>
      </c>
      <c r="AI128" s="966"/>
      <c r="AJ128" s="1850">
        <f>ROUND(SUM(AH128/ABS(AE128)),3)</f>
        <v>2.1999999999999999E-2</v>
      </c>
      <c r="AK128" s="792"/>
      <c r="AL128" s="792"/>
      <c r="AM128" s="792"/>
      <c r="AN128" s="792"/>
      <c r="AO128" s="792"/>
      <c r="AP128" s="792"/>
      <c r="AQ128" s="792"/>
      <c r="AR128" s="792"/>
    </row>
    <row r="129" spans="1:59" ht="16.5" customHeight="1">
      <c r="A129" s="408"/>
      <c r="B129" s="428"/>
      <c r="C129" s="976"/>
      <c r="D129" s="976"/>
      <c r="E129" s="976"/>
      <c r="F129" s="976"/>
      <c r="G129" s="976"/>
      <c r="H129" s="976"/>
      <c r="I129" s="976"/>
      <c r="J129" s="976"/>
      <c r="K129" s="976"/>
      <c r="L129" s="976"/>
      <c r="M129" s="976"/>
      <c r="N129" s="976"/>
      <c r="O129" s="976"/>
      <c r="P129" s="976"/>
      <c r="Q129" s="976"/>
      <c r="R129" s="976"/>
      <c r="S129" s="976"/>
      <c r="T129" s="976"/>
      <c r="U129" s="976"/>
      <c r="V129" s="976"/>
      <c r="W129" s="976"/>
      <c r="X129" s="976"/>
      <c r="Y129" s="976"/>
      <c r="Z129" s="976"/>
      <c r="AA129" s="977"/>
      <c r="AB129" s="976"/>
      <c r="AC129" s="976"/>
      <c r="AD129" s="978"/>
      <c r="AE129" s="976"/>
      <c r="AF129" s="988"/>
      <c r="AG129" s="988"/>
      <c r="AH129" s="1146"/>
      <c r="AI129" s="428"/>
      <c r="AJ129" s="1632"/>
    </row>
    <row r="130" spans="1:59" ht="16.5" customHeight="1">
      <c r="A130" s="408" t="s">
        <v>44</v>
      </c>
      <c r="B130" s="428"/>
      <c r="C130" s="976"/>
      <c r="D130" s="976"/>
      <c r="E130" s="976"/>
      <c r="F130" s="976"/>
      <c r="G130" s="976"/>
      <c r="H130" s="976"/>
      <c r="I130" s="976"/>
      <c r="J130" s="976"/>
      <c r="K130" s="976"/>
      <c r="L130" s="976"/>
      <c r="M130" s="976"/>
      <c r="N130" s="976"/>
      <c r="O130" s="976"/>
      <c r="P130" s="976"/>
      <c r="Q130" s="976"/>
      <c r="R130" s="976"/>
      <c r="S130" s="976"/>
      <c r="T130" s="976"/>
      <c r="U130" s="976"/>
      <c r="V130" s="976"/>
      <c r="W130" s="976"/>
      <c r="X130" s="976"/>
      <c r="Y130" s="976"/>
      <c r="Z130" s="976"/>
      <c r="AA130" s="977"/>
      <c r="AB130" s="976"/>
      <c r="AC130" s="976"/>
      <c r="AD130" s="978"/>
      <c r="AE130" s="976"/>
      <c r="AF130" s="988"/>
      <c r="AG130" s="988"/>
      <c r="AH130" s="1146"/>
      <c r="AI130" s="428"/>
      <c r="AJ130" s="1632"/>
    </row>
    <row r="131" spans="1:59" ht="16.5" customHeight="1">
      <c r="A131" s="408" t="s">
        <v>45</v>
      </c>
      <c r="B131" s="428"/>
      <c r="C131" s="1849">
        <f>ROUND(SUM(C105-C128),1)</f>
        <v>2746.4</v>
      </c>
      <c r="D131" s="984"/>
      <c r="E131" s="1849">
        <f>ROUND(SUM(E105-E128),1)</f>
        <v>-2198.1999999999998</v>
      </c>
      <c r="F131" s="984"/>
      <c r="G131" s="1849">
        <f>ROUND(SUM(G105-G128),1)</f>
        <v>-803.1</v>
      </c>
      <c r="H131" s="984"/>
      <c r="I131" s="1849">
        <f>ROUND(SUM(I105-I128),1)</f>
        <v>805.1</v>
      </c>
      <c r="J131" s="984"/>
      <c r="K131" s="1849">
        <f>ROUND(SUM(K105-K128),1)</f>
        <v>516.6</v>
      </c>
      <c r="L131" s="984"/>
      <c r="M131" s="1849">
        <f>ROUND(SUM(M105-M128),1)</f>
        <v>75.8</v>
      </c>
      <c r="N131" s="984"/>
      <c r="O131" s="1849">
        <f>ROUND(SUM(O105-O128),1)</f>
        <v>219.9</v>
      </c>
      <c r="P131" s="984"/>
      <c r="Q131" s="1849">
        <f>ROUND(SUM(Q105-Q128),1)</f>
        <v>-1857.6</v>
      </c>
      <c r="R131" s="984"/>
      <c r="S131" s="1849">
        <f>ROUND(SUM(S105-S128),1)</f>
        <v>1586.9</v>
      </c>
      <c r="T131" s="984"/>
      <c r="U131" s="1849">
        <f>ROUND(SUM(U105-U128),1)</f>
        <v>3947.8</v>
      </c>
      <c r="V131" s="984"/>
      <c r="W131" s="1849">
        <f>ROUND(SUM(W105-W128),1)</f>
        <v>0</v>
      </c>
      <c r="X131" s="984"/>
      <c r="Y131" s="1849">
        <f>ROUND(SUM(Y105-Y128),1)</f>
        <v>0</v>
      </c>
      <c r="Z131" s="984"/>
      <c r="AA131" s="985"/>
      <c r="AB131" s="1849">
        <f>ROUND(SUM(AB105-AB128),1)</f>
        <v>5039.6000000000004</v>
      </c>
      <c r="AC131" s="984"/>
      <c r="AD131" s="986"/>
      <c r="AE131" s="1849">
        <f>ROUND(SUM(AE105-AE128),1)</f>
        <v>8631.7999999999993</v>
      </c>
      <c r="AF131" s="2023"/>
      <c r="AG131" s="2023"/>
      <c r="AH131" s="1857">
        <f>ROUND(SUM(AB131-AE131),1)</f>
        <v>-3592.2</v>
      </c>
      <c r="AI131" s="966"/>
      <c r="AJ131" s="1850">
        <f>ROUND(SUM(AH131/ABS(AE131)),3)</f>
        <v>-0.41599999999999998</v>
      </c>
      <c r="AK131" s="792"/>
      <c r="AL131" s="792"/>
    </row>
    <row r="132" spans="1:59" ht="16.5" customHeight="1">
      <c r="A132" s="1632"/>
      <c r="B132" s="428"/>
      <c r="C132" s="987"/>
      <c r="D132" s="976"/>
      <c r="E132" s="987"/>
      <c r="F132" s="976"/>
      <c r="G132" s="987"/>
      <c r="H132" s="976"/>
      <c r="I132" s="987"/>
      <c r="J132" s="976"/>
      <c r="K132" s="987"/>
      <c r="L132" s="976"/>
      <c r="M132" s="987"/>
      <c r="N132" s="976"/>
      <c r="O132" s="987"/>
      <c r="P132" s="976"/>
      <c r="Q132" s="987"/>
      <c r="R132" s="976"/>
      <c r="S132" s="987"/>
      <c r="T132" s="976"/>
      <c r="U132" s="987"/>
      <c r="V132" s="976"/>
      <c r="W132" s="987"/>
      <c r="X132" s="976"/>
      <c r="Y132" s="987"/>
      <c r="Z132" s="990"/>
      <c r="AA132" s="977"/>
      <c r="AB132" s="987"/>
      <c r="AC132" s="976"/>
      <c r="AD132" s="978"/>
      <c r="AE132" s="987"/>
      <c r="AF132" s="988"/>
      <c r="AG132" s="988"/>
      <c r="AH132" s="1146"/>
      <c r="AI132" s="428"/>
      <c r="AJ132" s="1632"/>
    </row>
    <row r="133" spans="1:59" ht="16.5" customHeight="1">
      <c r="A133" s="408" t="s">
        <v>46</v>
      </c>
      <c r="B133" s="428"/>
      <c r="C133" s="988"/>
      <c r="D133" s="976"/>
      <c r="E133" s="996"/>
      <c r="F133" s="997"/>
      <c r="G133" s="996"/>
      <c r="H133" s="997"/>
      <c r="I133" s="996"/>
      <c r="J133" s="997"/>
      <c r="K133" s="996"/>
      <c r="L133" s="997"/>
      <c r="M133" s="996"/>
      <c r="N133" s="997"/>
      <c r="O133" s="996"/>
      <c r="P133" s="997"/>
      <c r="Q133" s="996"/>
      <c r="R133" s="997"/>
      <c r="S133" s="996"/>
      <c r="T133" s="997"/>
      <c r="U133" s="996"/>
      <c r="V133" s="976"/>
      <c r="W133" s="996"/>
      <c r="X133" s="976"/>
      <c r="Y133" s="988"/>
      <c r="Z133" s="1854"/>
      <c r="AA133" s="977"/>
      <c r="AB133" s="988"/>
      <c r="AC133" s="1854"/>
      <c r="AD133" s="976"/>
      <c r="AE133" s="988"/>
      <c r="AF133" s="988"/>
      <c r="AG133" s="988"/>
      <c r="AH133" s="1146"/>
      <c r="AI133" s="428"/>
      <c r="AJ133" s="1632"/>
    </row>
    <row r="134" spans="1:59" ht="16.5" customHeight="1">
      <c r="A134" s="428" t="s">
        <v>1316</v>
      </c>
      <c r="B134" s="428"/>
      <c r="C134" s="998">
        <f>+'Exhibit F'!D121+'Exhibit F'!D122+'Exhibit F'!D123+'Exhibit F'!D124+'Exhibit G state'!D115+'Exhibit H'!B62</f>
        <v>3034</v>
      </c>
      <c r="D134" s="976"/>
      <c r="E134" s="998">
        <f>+'Exhibit F'!F121+'Exhibit F'!F122+'Exhibit F'!F123+'Exhibit F'!F124+'Exhibit G state'!F115+'Exhibit H'!D62</f>
        <v>2444</v>
      </c>
      <c r="F134" s="976"/>
      <c r="G134" s="998">
        <f>+'Exhibit F'!H121+'Exhibit F'!H122+'Exhibit F'!H123+'Exhibit F'!H124+'Exhibit G state'!H115+'Exhibit H'!F62</f>
        <v>2968.6</v>
      </c>
      <c r="H134" s="976"/>
      <c r="I134" s="998">
        <f>+'Exhibit F'!J121+'Exhibit F'!J122+'Exhibit F'!J123+'Exhibit F'!J124+'Exhibit G state'!J115+'Exhibit H'!H62</f>
        <v>2324.8999999999996</v>
      </c>
      <c r="J134" s="976"/>
      <c r="K134" s="998">
        <f>+'Exhibit F'!L121+'Exhibit F'!L122+'Exhibit F'!L123+'Exhibit F'!L124+'Exhibit G state'!L115+'Exhibit H'!J62</f>
        <v>1506.2</v>
      </c>
      <c r="L134" s="976"/>
      <c r="M134" s="998">
        <f>+'Exhibit F'!N121+'Exhibit F'!N122+'Exhibit F'!N123+'Exhibit F'!N124+'Exhibit G state'!N115+'Exhibit H'!L62</f>
        <v>2728.2</v>
      </c>
      <c r="N134" s="976"/>
      <c r="O134" s="998">
        <f>+'Exhibit F'!P121+'Exhibit F'!P122+'Exhibit F'!P123+'Exhibit F'!P124+'Exhibit G state'!P115+'Exhibit H'!N62</f>
        <v>2037.9999999999998</v>
      </c>
      <c r="P134" s="976"/>
      <c r="Q134" s="998">
        <f>+'Exhibit F'!R121+'Exhibit F'!R122+'Exhibit F'!R123+'Exhibit F'!R124+'Exhibit G state'!R115+'Exhibit H'!P62</f>
        <v>1595.3000000000002</v>
      </c>
      <c r="R134" s="976"/>
      <c r="S134" s="998">
        <f>+'Exhibit F'!T121+'Exhibit F'!T122+'Exhibit F'!T123+'Exhibit F'!T124+'Exhibit G state'!T115+'Exhibit H'!R62</f>
        <v>2690.8999999999996</v>
      </c>
      <c r="T134" s="976"/>
      <c r="U134" s="998">
        <f>+'Exhibit F'!V121+'Exhibit F'!V122+'Exhibit F'!V123+'Exhibit F'!V124+'Exhibit G state'!V115+'Exhibit H'!T62</f>
        <v>2002.6000000000001</v>
      </c>
      <c r="V134" s="976"/>
      <c r="W134" s="998"/>
      <c r="X134" s="976"/>
      <c r="Y134" s="2757"/>
      <c r="Z134" s="976"/>
      <c r="AA134" s="977"/>
      <c r="AB134" s="976">
        <f>ROUND(SUM(C134:Y134),1)</f>
        <v>23332.7</v>
      </c>
      <c r="AC134" s="976"/>
      <c r="AD134" s="977"/>
      <c r="AE134" s="976">
        <f>'Exhibit F'!AF121+'Exhibit F'!AF122+'Exhibit F'!AF123+'Exhibit F'!AF124+'Exhibit G state'!AF115+'Exhibit H'!AD62</f>
        <v>25382.2</v>
      </c>
      <c r="AF134" s="988"/>
      <c r="AG134" s="988"/>
      <c r="AH134" s="976">
        <f>ROUND(SUM(AB134-AE134),1)</f>
        <v>-2049.5</v>
      </c>
      <c r="AI134" s="428"/>
      <c r="AJ134" s="1847">
        <f>ROUND(SUM(AH134/ABS(AE134)),3)</f>
        <v>-8.1000000000000003E-2</v>
      </c>
    </row>
    <row r="135" spans="1:59" ht="16.5" customHeight="1">
      <c r="A135" s="428" t="s">
        <v>1317</v>
      </c>
      <c r="C135" s="1106">
        <f>+'Exhibit F'!D125+'Exhibit F'!D126+'Exhibit F'!D127+'Exhibit F'!D128+'Exhibit F'!D129+'Exhibit G state'!D116+'Exhibit H'!B63</f>
        <v>-3076.5</v>
      </c>
      <c r="D135" s="247"/>
      <c r="E135" s="1106">
        <f>+'Exhibit F'!F125+'Exhibit F'!F126+'Exhibit F'!F127+'Exhibit F'!F128+'Exhibit F'!F129+'Exhibit G state'!F116+'Exhibit H'!D63</f>
        <v>-2440.4</v>
      </c>
      <c r="F135" s="247"/>
      <c r="G135" s="1106">
        <f>+'Exhibit F'!H125+'Exhibit F'!H126+'Exhibit F'!H127+'Exhibit F'!H128+'Exhibit F'!H129+'Exhibit G state'!H116+'Exhibit H'!F63</f>
        <v>-2766.8999999999996</v>
      </c>
      <c r="H135" s="247"/>
      <c r="I135" s="1106">
        <f>+'Exhibit F'!J125+'Exhibit F'!J126+'Exhibit F'!J127+'Exhibit F'!J128+'Exhibit F'!J129+'Exhibit G state'!J116+'Exhibit H'!H63</f>
        <v>-2527.2000000000003</v>
      </c>
      <c r="J135" s="247"/>
      <c r="K135" s="1106">
        <f>+'Exhibit F'!L125+'Exhibit F'!L126+'Exhibit F'!L127+'Exhibit F'!L128+'Exhibit F'!L129+'Exhibit G state'!L116+'Exhibit H'!J63</f>
        <v>-1782.8000000000002</v>
      </c>
      <c r="L135" s="247"/>
      <c r="M135" s="1106">
        <f>+'Exhibit F'!N125+'Exhibit F'!N126+'Exhibit F'!N127+'Exhibit F'!N128+'Exhibit F'!N129+'Exhibit G state'!N116+'Exhibit H'!L63</f>
        <v>-2294.2000000000003</v>
      </c>
      <c r="N135" s="247"/>
      <c r="O135" s="1106">
        <f>+'Exhibit F'!P125+'Exhibit F'!P126+'Exhibit F'!P127+'Exhibit F'!P128+'Exhibit F'!P129+'Exhibit G state'!P116+'Exhibit H'!N63</f>
        <v>-2231.3999999999996</v>
      </c>
      <c r="P135" s="247"/>
      <c r="Q135" s="1106">
        <f>+'Exhibit F'!R125+'Exhibit F'!R126+'Exhibit F'!R127+'Exhibit F'!R128+'Exhibit F'!R129+'Exhibit G state'!R116+'Exhibit H'!P63</f>
        <v>-1691.9</v>
      </c>
      <c r="R135" s="247"/>
      <c r="S135" s="1106">
        <f>+'Exhibit F'!T125+'Exhibit F'!T126+'Exhibit F'!T127+'Exhibit F'!T128+'Exhibit F'!T129+'Exhibit G state'!T116+'Exhibit H'!R63</f>
        <v>-2926</v>
      </c>
      <c r="T135" s="247"/>
      <c r="U135" s="1106">
        <f>+'Exhibit F'!V125+'Exhibit F'!V126+'Exhibit F'!V127+'Exhibit F'!V128+'Exhibit F'!V129+'Exhibit G state'!V116+'Exhibit H'!T63</f>
        <v>-2072.4000000000005</v>
      </c>
      <c r="V135" s="247"/>
      <c r="W135" s="1106"/>
      <c r="X135" s="247"/>
      <c r="Y135" s="2758"/>
      <c r="Z135" s="247"/>
      <c r="AA135" s="1000"/>
      <c r="AB135" s="981">
        <f>ROUND(SUM(C135:Y135),1)</f>
        <v>-23809.7</v>
      </c>
      <c r="AC135" s="247"/>
      <c r="AD135" s="1000"/>
      <c r="AE135" s="981">
        <f>'Exhibit F'!AF125+'Exhibit F'!AF126+'Exhibit F'!AF127+'Exhibit F'!AF128+'Exhibit F'!AF129+'Exhibit G state'!AF116+'Exhibit H'!AD63</f>
        <v>-24667.699999999997</v>
      </c>
      <c r="AF135" s="987"/>
      <c r="AG135" s="987"/>
      <c r="AH135" s="981">
        <f>ROUND(SUM(-AB135+AE135),1)</f>
        <v>-858</v>
      </c>
      <c r="AI135" s="1632"/>
      <c r="AJ135" s="1858">
        <f>ROUND(SUM(AH135/ABS(AE135)),3)</f>
        <v>-3.5000000000000003E-2</v>
      </c>
    </row>
    <row r="136" spans="1:59" ht="16.5" customHeight="1">
      <c r="A136" s="428"/>
      <c r="C136" s="988"/>
      <c r="D136" s="247"/>
      <c r="E136" s="988"/>
      <c r="F136" s="247"/>
      <c r="G136" s="988"/>
      <c r="H136" s="247"/>
      <c r="I136" s="988"/>
      <c r="J136" s="247"/>
      <c r="K136" s="988"/>
      <c r="L136" s="247"/>
      <c r="M136" s="988"/>
      <c r="N136" s="247"/>
      <c r="O136" s="988"/>
      <c r="P136" s="247"/>
      <c r="Q136" s="988"/>
      <c r="R136" s="247"/>
      <c r="S136" s="988"/>
      <c r="T136" s="247"/>
      <c r="U136" s="988"/>
      <c r="V136" s="247"/>
      <c r="W136" s="988"/>
      <c r="X136" s="247"/>
      <c r="Y136" s="988"/>
      <c r="Z136" s="247"/>
      <c r="AA136" s="1000"/>
      <c r="AB136" s="988"/>
      <c r="AC136" s="247"/>
      <c r="AD136" s="1000"/>
      <c r="AE136" s="988"/>
      <c r="AF136" s="987"/>
      <c r="AG136" s="987"/>
      <c r="AH136" s="988"/>
      <c r="AI136" s="1632"/>
      <c r="AJ136" s="1241"/>
    </row>
    <row r="137" spans="1:59" ht="16.5" customHeight="1">
      <c r="A137" s="408" t="s">
        <v>50</v>
      </c>
      <c r="C137" s="1849">
        <f>ROUND(SUM(C134:C135),1)</f>
        <v>-42.5</v>
      </c>
      <c r="D137" s="1001"/>
      <c r="E137" s="1849">
        <f>ROUND(SUM(E134:E135),1)</f>
        <v>3.6</v>
      </c>
      <c r="F137" s="1001"/>
      <c r="G137" s="1849">
        <f>ROUND(SUM(G134:G135),1)</f>
        <v>201.7</v>
      </c>
      <c r="H137" s="1001"/>
      <c r="I137" s="1849">
        <f>ROUND(SUM(I134:I135),1)</f>
        <v>-202.3</v>
      </c>
      <c r="J137" s="1001"/>
      <c r="K137" s="1849">
        <f>ROUND(SUM(K134:K135),1)</f>
        <v>-276.60000000000002</v>
      </c>
      <c r="L137" s="1001"/>
      <c r="M137" s="1849">
        <f>ROUND(SUM(M134:M135),1)</f>
        <v>434</v>
      </c>
      <c r="N137" s="1001"/>
      <c r="O137" s="1849">
        <f>ROUND(SUM(O134:O135),1)</f>
        <v>-193.4</v>
      </c>
      <c r="P137" s="1001"/>
      <c r="Q137" s="1849">
        <f>ROUND(SUM(Q134:Q135),1)</f>
        <v>-96.6</v>
      </c>
      <c r="R137" s="1001"/>
      <c r="S137" s="1849">
        <f>ROUND(SUM(S134:S135),1)</f>
        <v>-235.1</v>
      </c>
      <c r="T137" s="1001"/>
      <c r="U137" s="1849">
        <f>ROUND(SUM(U134:U135),1)</f>
        <v>-69.8</v>
      </c>
      <c r="V137" s="1001"/>
      <c r="W137" s="1849">
        <f>ROUND(SUM(W134:W135),1)</f>
        <v>0</v>
      </c>
      <c r="X137" s="1001"/>
      <c r="Y137" s="1849">
        <f>ROUND(SUM(Y134:Y135),1)</f>
        <v>0</v>
      </c>
      <c r="Z137" s="1001"/>
      <c r="AA137" s="1002"/>
      <c r="AB137" s="1849">
        <f>ROUND(SUM(AB134:AB135),1)</f>
        <v>-477</v>
      </c>
      <c r="AC137" s="1001"/>
      <c r="AD137" s="1002"/>
      <c r="AE137" s="1849">
        <f>ROUND(SUM(AE134:AE135),1)</f>
        <v>714.5</v>
      </c>
      <c r="AF137" s="1252"/>
      <c r="AG137" s="987"/>
      <c r="AH137" s="1849">
        <f>ROUND(SUM(AH134-AH135),1)</f>
        <v>-1191.5</v>
      </c>
      <c r="AI137" s="408"/>
      <c r="AJ137" s="1859">
        <f>-ROUND(SUM(-AH137/ABS(AE137)),3)</f>
        <v>-1.6679999999999999</v>
      </c>
      <c r="AK137" s="792"/>
      <c r="AL137" s="792"/>
    </row>
    <row r="138" spans="1:59" ht="16.5" customHeight="1">
      <c r="A138" s="1632"/>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1000"/>
      <c r="AB138" s="247"/>
      <c r="AC138" s="247"/>
      <c r="AD138" s="1000"/>
      <c r="AE138" s="247"/>
      <c r="AF138" s="987"/>
      <c r="AG138" s="416"/>
      <c r="AH138" s="1146"/>
      <c r="AI138" s="1632"/>
      <c r="AJ138" s="1632"/>
    </row>
    <row r="139" spans="1:59" ht="16.5" customHeight="1">
      <c r="A139" s="477" t="s">
        <v>44</v>
      </c>
      <c r="C139" s="988"/>
      <c r="D139" s="247"/>
      <c r="E139" s="988"/>
      <c r="F139" s="247"/>
      <c r="G139" s="988"/>
      <c r="H139" s="247"/>
      <c r="I139" s="988"/>
      <c r="J139" s="247"/>
      <c r="K139" s="988"/>
      <c r="L139" s="247"/>
      <c r="M139" s="988"/>
      <c r="N139" s="247"/>
      <c r="O139" s="988"/>
      <c r="P139" s="247"/>
      <c r="Q139" s="988"/>
      <c r="R139" s="247"/>
      <c r="S139" s="988"/>
      <c r="T139" s="247"/>
      <c r="U139" s="988"/>
      <c r="V139" s="247"/>
      <c r="W139" s="988"/>
      <c r="X139" s="247"/>
      <c r="Y139" s="988"/>
      <c r="Z139" s="247"/>
      <c r="AA139" s="1000"/>
      <c r="AB139" s="988"/>
      <c r="AC139" s="247"/>
      <c r="AD139" s="1000"/>
      <c r="AE139" s="988"/>
      <c r="AF139" s="987"/>
      <c r="AG139" s="2027"/>
      <c r="AH139" s="1146"/>
      <c r="AI139" s="1632"/>
      <c r="AJ139" s="1632"/>
    </row>
    <row r="140" spans="1:59" ht="16.5" customHeight="1">
      <c r="A140" s="477" t="s">
        <v>51</v>
      </c>
      <c r="C140" s="984"/>
      <c r="D140" s="1001"/>
      <c r="E140" s="984"/>
      <c r="F140" s="1001"/>
      <c r="G140" s="984"/>
      <c r="H140" s="1001"/>
      <c r="I140" s="984"/>
      <c r="J140" s="1001"/>
      <c r="K140" s="984"/>
      <c r="L140" s="1001"/>
      <c r="M140" s="984"/>
      <c r="N140" s="1001"/>
      <c r="O140" s="984"/>
      <c r="P140" s="1001"/>
      <c r="Q140" s="984"/>
      <c r="R140" s="1001"/>
      <c r="S140" s="984"/>
      <c r="T140" s="1001"/>
      <c r="U140" s="984"/>
      <c r="V140" s="1001"/>
      <c r="W140" s="984"/>
      <c r="X140" s="1001"/>
      <c r="Y140" s="984"/>
      <c r="Z140" s="1001"/>
      <c r="AA140" s="1002"/>
      <c r="AB140" s="984"/>
      <c r="AC140" s="1001"/>
      <c r="AD140" s="1002"/>
      <c r="AE140" s="984"/>
      <c r="AF140" s="987"/>
      <c r="AG140" s="416"/>
      <c r="AH140" s="1802"/>
      <c r="AI140" s="408"/>
      <c r="AJ140" s="408"/>
      <c r="AK140" s="792"/>
      <c r="AL140" s="792"/>
      <c r="AM140" s="792"/>
      <c r="AN140" s="792"/>
      <c r="AO140" s="792"/>
      <c r="AP140" s="792"/>
      <c r="AQ140" s="792"/>
      <c r="AR140" s="792"/>
      <c r="AS140" s="792"/>
      <c r="AT140" s="792"/>
      <c r="AU140" s="792"/>
      <c r="AV140" s="792"/>
      <c r="AW140" s="792"/>
      <c r="AX140" s="792"/>
      <c r="AY140" s="792"/>
      <c r="AZ140" s="792"/>
      <c r="BA140" s="792"/>
      <c r="BB140" s="792"/>
      <c r="BC140" s="792"/>
      <c r="BD140" s="792"/>
      <c r="BE140" s="792"/>
      <c r="BF140" s="792"/>
      <c r="BG140" s="792"/>
    </row>
    <row r="141" spans="1:59" ht="16.5" customHeight="1">
      <c r="A141" s="477" t="s">
        <v>52</v>
      </c>
      <c r="C141" s="1003">
        <f>ROUND(SUM(C131+C137),1)</f>
        <v>2703.9</v>
      </c>
      <c r="D141" s="1001"/>
      <c r="E141" s="1003">
        <f>ROUND(SUM(E131+E137),1)</f>
        <v>-2194.6</v>
      </c>
      <c r="F141" s="1001"/>
      <c r="G141" s="1003">
        <f>ROUND(SUM(G131+G137),1)</f>
        <v>-601.4</v>
      </c>
      <c r="H141" s="1001"/>
      <c r="I141" s="1003">
        <f>ROUND(SUM(I131+I137),1)</f>
        <v>602.79999999999995</v>
      </c>
      <c r="J141" s="1001"/>
      <c r="K141" s="1003">
        <f>ROUND(SUM(K131+K137),1)</f>
        <v>240</v>
      </c>
      <c r="L141" s="1001"/>
      <c r="M141" s="1003">
        <f>ROUND(SUM(M131+M137),1)</f>
        <v>509.8</v>
      </c>
      <c r="N141" s="1001"/>
      <c r="O141" s="1003">
        <f>ROUND(SUM(O131+O137),1)</f>
        <v>26.5</v>
      </c>
      <c r="P141" s="1001"/>
      <c r="Q141" s="1003">
        <f>ROUND(SUM(Q131+Q137),1)</f>
        <v>-1954.2</v>
      </c>
      <c r="R141" s="1001"/>
      <c r="S141" s="1003">
        <f>ROUND(SUM(S131+S137),1)</f>
        <v>1351.8</v>
      </c>
      <c r="T141" s="1001"/>
      <c r="U141" s="1003">
        <f>ROUND(SUM(U131+U137),1)</f>
        <v>3878</v>
      </c>
      <c r="V141" s="1001"/>
      <c r="W141" s="1003">
        <f>ROUND(SUM(W131+W137),1)</f>
        <v>0</v>
      </c>
      <c r="X141" s="1001"/>
      <c r="Y141" s="1003">
        <f>ROUND(SUM(Y131+Y137),1)</f>
        <v>0</v>
      </c>
      <c r="Z141" s="1001"/>
      <c r="AA141" s="1002"/>
      <c r="AB141" s="1003">
        <f>ROUND(SUM(AB131+AB137),1)</f>
        <v>4562.6000000000004</v>
      </c>
      <c r="AC141" s="1001"/>
      <c r="AD141" s="1002"/>
      <c r="AE141" s="1003">
        <f>ROUND(SUM(AE131+AE137),1)</f>
        <v>9346.2999999999993</v>
      </c>
      <c r="AF141" s="987"/>
      <c r="AG141" s="1008"/>
      <c r="AH141" s="1857">
        <f>ROUND(SUM(AB141-AE141),1)</f>
        <v>-4783.7</v>
      </c>
      <c r="AI141" s="408"/>
      <c r="AJ141" s="1859">
        <f>ROUND(SUM(AH141/ABS(AE141)),3)</f>
        <v>-0.51200000000000001</v>
      </c>
      <c r="AK141" s="792"/>
      <c r="AL141" s="792"/>
      <c r="AM141" s="792"/>
      <c r="AN141" s="792"/>
      <c r="AO141" s="792"/>
      <c r="AP141" s="792"/>
      <c r="AQ141" s="792"/>
      <c r="AR141" s="792"/>
      <c r="AS141" s="792"/>
      <c r="AT141" s="792"/>
      <c r="AU141" s="792"/>
      <c r="AV141" s="792"/>
      <c r="AW141" s="792"/>
      <c r="AX141" s="792"/>
      <c r="AY141" s="792"/>
      <c r="AZ141" s="792"/>
      <c r="BA141" s="792"/>
      <c r="BB141" s="792"/>
      <c r="BC141" s="792"/>
      <c r="BD141" s="792"/>
      <c r="BE141" s="792"/>
      <c r="BF141" s="792"/>
      <c r="BG141" s="792"/>
    </row>
    <row r="142" spans="1:59" ht="15.75">
      <c r="A142" s="408"/>
      <c r="C142" s="969"/>
      <c r="E142" s="969"/>
      <c r="G142" s="969"/>
      <c r="I142" s="969"/>
      <c r="K142" s="969"/>
      <c r="M142" s="969"/>
      <c r="O142" s="969"/>
      <c r="Q142" s="969"/>
      <c r="S142" s="969"/>
      <c r="U142" s="969"/>
      <c r="W142" s="969"/>
      <c r="Y142" s="969"/>
      <c r="AA142" s="1004"/>
      <c r="AB142" s="969"/>
      <c r="AD142" s="1004"/>
      <c r="AE142" s="969"/>
      <c r="AF142" s="987"/>
      <c r="AG142" s="1008"/>
      <c r="AH142" s="1632"/>
      <c r="AI142" s="1632"/>
      <c r="AJ142" s="1632"/>
    </row>
    <row r="143" spans="1:59" thickBot="1">
      <c r="A143" s="1005" t="s">
        <v>145</v>
      </c>
      <c r="C143" s="1006">
        <f>ROUND(SUM(C16+C141),1)</f>
        <v>15345.1</v>
      </c>
      <c r="D143" s="470"/>
      <c r="E143" s="1006">
        <f>ROUND(SUM(E16+E141),1)</f>
        <v>13150.5</v>
      </c>
      <c r="F143" s="470"/>
      <c r="G143" s="1006">
        <f>ROUND(SUM(G16+G141),1)</f>
        <v>12549.1</v>
      </c>
      <c r="H143" s="470"/>
      <c r="I143" s="1006">
        <f>ROUND(SUM(I16+I141),1)</f>
        <v>13151.9</v>
      </c>
      <c r="J143" s="1007"/>
      <c r="K143" s="1006">
        <f>ROUND(SUM(K16+K141),1)</f>
        <v>13391.9</v>
      </c>
      <c r="L143" s="1007"/>
      <c r="M143" s="1006">
        <f>ROUND(SUM(M16+M141),1)</f>
        <v>13901.7</v>
      </c>
      <c r="N143" s="1007"/>
      <c r="O143" s="1006">
        <f>ROUND(SUM(O16+O141),1)</f>
        <v>13928.2</v>
      </c>
      <c r="P143" s="1007"/>
      <c r="Q143" s="1006">
        <f>ROUND(SUM(Q16+Q141),1)</f>
        <v>11974</v>
      </c>
      <c r="R143" s="1007"/>
      <c r="S143" s="1006">
        <f>ROUND(SUM(S16+S141),1)</f>
        <v>13325.8</v>
      </c>
      <c r="T143" s="1007"/>
      <c r="U143" s="1006">
        <f>ROUND(SUM(U16+U141),1)</f>
        <v>17203.8</v>
      </c>
      <c r="V143" s="1007"/>
      <c r="W143" s="1006">
        <f>ROUND(SUM(W16+W141),1)</f>
        <v>0</v>
      </c>
      <c r="X143" s="1007"/>
      <c r="Y143" s="1006">
        <f>ROUND(SUM(Y16+Y141),1)</f>
        <v>0</v>
      </c>
      <c r="Z143" s="470"/>
      <c r="AA143" s="1008"/>
      <c r="AB143" s="1006">
        <f>ROUND(SUM(AB16+AB141),1)</f>
        <v>17203.8</v>
      </c>
      <c r="AC143" s="470"/>
      <c r="AD143" s="1008"/>
      <c r="AE143" s="1006">
        <f>ROUND(SUM(AE16+AE141),1)</f>
        <v>19237.099999999999</v>
      </c>
      <c r="AF143" s="987"/>
      <c r="AG143" s="1008"/>
      <c r="AH143" s="1006">
        <f>ROUND(SUM(AB143-AE143),1)</f>
        <v>-2033.3</v>
      </c>
      <c r="AI143" s="408"/>
      <c r="AJ143" s="529">
        <f>ROUND(SUM(AH143/ABS(AE143)),3)</f>
        <v>-0.106</v>
      </c>
      <c r="AK143" s="792"/>
    </row>
    <row r="144" spans="1:59" thickTop="1">
      <c r="A144" s="1009"/>
      <c r="C144" s="416"/>
      <c r="AH144" s="1632"/>
      <c r="AI144" s="1632"/>
      <c r="AJ144" s="1632"/>
    </row>
    <row r="145" spans="1:36" ht="15">
      <c r="A145" s="1100" t="s">
        <v>1302</v>
      </c>
      <c r="AH145" s="1632"/>
      <c r="AI145" s="1632"/>
      <c r="AJ145" s="1632"/>
    </row>
    <row r="146" spans="1:36" ht="15">
      <c r="A146" s="1100" t="s">
        <v>1259</v>
      </c>
      <c r="AH146" s="1632"/>
      <c r="AI146" s="1632"/>
      <c r="AJ146" s="1632"/>
    </row>
    <row r="147" spans="1:36" ht="15">
      <c r="A147" s="2283" t="s">
        <v>1340</v>
      </c>
      <c r="AH147" s="1632"/>
      <c r="AI147" s="1632"/>
      <c r="AJ147" s="1632"/>
    </row>
    <row r="148" spans="1:36" ht="16.5" customHeight="1">
      <c r="AH148" s="1632"/>
      <c r="AI148" s="1632"/>
      <c r="AJ148" s="1632"/>
    </row>
    <row r="149" spans="1:36" ht="16.5" customHeight="1">
      <c r="AH149" s="1632"/>
      <c r="AI149" s="1632"/>
      <c r="AJ149" s="1632"/>
    </row>
    <row r="150" spans="1:36" ht="16.5" customHeight="1">
      <c r="AH150" s="1632"/>
      <c r="AI150" s="1632"/>
      <c r="AJ150" s="1632"/>
    </row>
    <row r="151" spans="1:36" ht="16.5" customHeight="1">
      <c r="AH151" s="1632"/>
      <c r="AI151" s="1632"/>
      <c r="AJ151" s="1632"/>
    </row>
    <row r="152" spans="1:36" ht="16.5" customHeight="1">
      <c r="AH152" s="1632"/>
      <c r="AI152" s="1632"/>
      <c r="AJ152" s="1632"/>
    </row>
    <row r="153" spans="1:36" ht="16.5" customHeight="1">
      <c r="AH153" s="1632"/>
      <c r="AI153" s="1632"/>
      <c r="AJ153" s="1632"/>
    </row>
    <row r="154" spans="1:36" ht="16.5" customHeight="1">
      <c r="AH154" s="1632"/>
      <c r="AI154" s="1632"/>
      <c r="AJ154" s="1632"/>
    </row>
    <row r="155" spans="1:36" ht="16.5" customHeight="1">
      <c r="AH155" s="1632"/>
      <c r="AI155" s="1632"/>
      <c r="AJ155" s="1632"/>
    </row>
    <row r="156" spans="1:36" ht="16.5" customHeight="1">
      <c r="AH156" s="1632"/>
      <c r="AI156" s="1632"/>
      <c r="AJ156" s="1632"/>
    </row>
    <row r="157" spans="1:36" ht="16.5" customHeight="1">
      <c r="AH157" s="1632"/>
      <c r="AI157" s="1632"/>
      <c r="AJ157" s="1632"/>
    </row>
    <row r="158" spans="1:36" ht="16.5" customHeight="1">
      <c r="AH158" s="1632"/>
      <c r="AI158" s="1632"/>
      <c r="AJ158" s="1632"/>
    </row>
    <row r="159" spans="1:36" ht="16.5" customHeight="1">
      <c r="AH159" s="1632"/>
      <c r="AI159" s="1632"/>
      <c r="AJ159" s="1632"/>
    </row>
    <row r="160" spans="1:36" ht="16.5" customHeight="1">
      <c r="AH160" s="1632"/>
      <c r="AI160" s="1632"/>
      <c r="AJ160" s="1632"/>
    </row>
    <row r="161" spans="34:36" ht="16.5" customHeight="1">
      <c r="AH161" s="1632"/>
      <c r="AI161" s="1632"/>
      <c r="AJ161" s="1632"/>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9" orientation="landscape" useFirstPageNumber="1" r:id="rId2"/>
  <headerFooter scaleWithDoc="0" alignWithMargins="0">
    <oddFooter>&amp;C&amp;8&amp;P</oddFooter>
  </headerFooter>
  <rowBreaks count="1" manualBreakCount="1">
    <brk id="84" max="35" man="1"/>
  </rowBreaks>
  <ignoredErrors>
    <ignoredError sqref="AB12 AJ36:AJ37 AJ83 AJ27:AJ34 AJ103 AJ70" unlockedFormula="1"/>
    <ignoredError sqref="AB26 AH24 AH35:AJ35 AJ53 AJ38" formula="1"/>
    <ignoredError sqref="AJ82 AJ72:AJ74 AJ69 AJ66:AJ67 AJ68 AJ71 AJ110"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2"/>
  <sheetViews>
    <sheetView showGridLines="0" zoomScale="70" zoomScaleNormal="70" workbookViewId="0"/>
  </sheetViews>
  <sheetFormatPr defaultColWidth="8.88671875" defaultRowHeight="12.75"/>
  <cols>
    <col min="1" max="1" width="2.109375" style="409" customWidth="1"/>
    <col min="2" max="2" width="48.5546875" style="409" customWidth="1"/>
    <col min="3" max="3" width="1.109375" style="409" customWidth="1"/>
    <col min="4" max="4" width="12.44140625" style="409" bestFit="1" customWidth="1"/>
    <col min="5" max="5" width="1.6640625" style="409" customWidth="1"/>
    <col min="6" max="6" width="12" style="409" customWidth="1"/>
    <col min="7" max="7" width="1.6640625" style="409" customWidth="1"/>
    <col min="8" max="8" width="12.33203125" style="409" customWidth="1"/>
    <col min="9" max="9" width="1.6640625" style="409" customWidth="1"/>
    <col min="10" max="10" width="13.77734375" style="2057" customWidth="1"/>
    <col min="11" max="11" width="1.6640625" style="409" customWidth="1"/>
    <col min="12" max="12" width="12.33203125" style="409" bestFit="1" customWidth="1"/>
    <col min="13" max="13" width="1.6640625" style="409" customWidth="1"/>
    <col min="14" max="14" width="13.88671875" style="409" customWidth="1"/>
    <col min="15" max="15" width="1.6640625" style="409" customWidth="1"/>
    <col min="16" max="16" width="12.33203125" style="409" customWidth="1"/>
    <col min="17" max="17" width="1.6640625" style="409" customWidth="1"/>
    <col min="18" max="18" width="12.21875" style="409" customWidth="1"/>
    <col min="19" max="19" width="1.6640625" style="409" customWidth="1"/>
    <col min="20" max="20" width="10.6640625" style="409" customWidth="1"/>
    <col min="21" max="21" width="1.6640625" style="409" customWidth="1"/>
    <col min="22" max="22" width="11.33203125" style="409" customWidth="1"/>
    <col min="23" max="23" width="1.6640625" style="409" customWidth="1"/>
    <col min="24" max="24" width="10.6640625" style="409" customWidth="1"/>
    <col min="25" max="25" width="1.6640625" style="409" customWidth="1"/>
    <col min="26" max="26" width="10.6640625" style="409" customWidth="1"/>
    <col min="27" max="27" width="1.5546875" style="409" customWidth="1"/>
    <col min="28" max="28" width="1.6640625" style="409" customWidth="1"/>
    <col min="29" max="29" width="12.33203125" style="409" bestFit="1" customWidth="1"/>
    <col min="30" max="30" width="1.44140625" style="409" customWidth="1"/>
    <col min="31" max="31" width="1.33203125" style="409" customWidth="1"/>
    <col min="32" max="32" width="12.33203125" style="2062" bestFit="1" customWidth="1"/>
    <col min="33" max="33" width="1" style="409" customWidth="1"/>
    <col min="34" max="34" width="1.109375" style="409" customWidth="1"/>
    <col min="35" max="35" width="13.109375" style="409" bestFit="1" customWidth="1"/>
    <col min="36" max="36" width="1" style="415" customWidth="1"/>
    <col min="37" max="37" width="11.77734375" style="457" customWidth="1"/>
    <col min="38" max="38" width="10.33203125" style="409" customWidth="1"/>
    <col min="39" max="16384" width="8.88671875" style="409"/>
  </cols>
  <sheetData>
    <row r="1" spans="1:37" ht="15">
      <c r="B1" s="1159" t="s">
        <v>1090</v>
      </c>
    </row>
    <row r="2" spans="1:37">
      <c r="A2" s="454"/>
      <c r="B2" s="455"/>
      <c r="C2" s="455"/>
      <c r="D2" s="455"/>
      <c r="E2" s="455"/>
      <c r="F2" s="455"/>
      <c r="G2" s="455"/>
      <c r="H2" s="455"/>
      <c r="I2" s="455"/>
      <c r="J2" s="2058"/>
      <c r="K2" s="455"/>
      <c r="L2" s="455"/>
      <c r="M2" s="455"/>
      <c r="N2" s="455"/>
      <c r="O2" s="455"/>
      <c r="P2" s="455"/>
      <c r="Q2" s="455"/>
      <c r="R2" s="455"/>
      <c r="S2" s="455"/>
      <c r="T2" s="455"/>
      <c r="U2" s="455"/>
      <c r="V2" s="455"/>
      <c r="W2" s="455"/>
      <c r="X2" s="455"/>
      <c r="Y2" s="455"/>
      <c r="Z2" s="455"/>
      <c r="AA2" s="455"/>
      <c r="AB2" s="455"/>
      <c r="AC2" s="455"/>
      <c r="AD2" s="455"/>
      <c r="AE2" s="455"/>
      <c r="AF2" s="1743"/>
      <c r="AG2" s="455"/>
      <c r="AH2" s="456"/>
    </row>
    <row r="3" spans="1:37">
      <c r="A3" s="454"/>
      <c r="B3" s="455"/>
      <c r="C3" s="455"/>
      <c r="D3" s="455"/>
      <c r="E3" s="455"/>
      <c r="F3" s="455"/>
      <c r="G3" s="455"/>
      <c r="H3" s="455"/>
      <c r="I3" s="455"/>
      <c r="J3" s="2058"/>
      <c r="K3" s="455"/>
      <c r="L3" s="455"/>
      <c r="M3" s="455"/>
      <c r="N3" s="455"/>
      <c r="O3" s="455"/>
      <c r="P3" s="455"/>
      <c r="Q3" s="455"/>
      <c r="R3" s="455"/>
      <c r="S3" s="455"/>
      <c r="T3" s="455"/>
      <c r="U3" s="455"/>
      <c r="V3" s="455"/>
      <c r="W3" s="455"/>
      <c r="X3" s="455"/>
      <c r="Y3" s="455"/>
      <c r="Z3" s="455"/>
      <c r="AA3" s="455"/>
      <c r="AB3" s="455"/>
      <c r="AC3" s="455"/>
      <c r="AD3" s="455"/>
      <c r="AE3" s="455"/>
      <c r="AF3" s="1743"/>
      <c r="AG3" s="455"/>
      <c r="AH3" s="456"/>
    </row>
    <row r="4" spans="1:37">
      <c r="A4" s="454"/>
      <c r="B4" s="455"/>
      <c r="C4" s="455"/>
      <c r="D4" s="455"/>
      <c r="E4" s="455"/>
      <c r="F4" s="455"/>
      <c r="G4" s="455"/>
      <c r="H4" s="455"/>
      <c r="I4" s="455"/>
      <c r="J4" s="2058"/>
      <c r="K4" s="455"/>
      <c r="L4" s="455"/>
      <c r="M4" s="455"/>
      <c r="N4" s="455"/>
      <c r="O4" s="455"/>
      <c r="P4" s="455"/>
      <c r="Q4" s="455"/>
      <c r="R4" s="455"/>
      <c r="S4" s="455"/>
      <c r="T4" s="455"/>
      <c r="U4" s="455"/>
      <c r="V4" s="455"/>
      <c r="W4" s="455"/>
      <c r="X4" s="455"/>
      <c r="Y4" s="455"/>
      <c r="Z4" s="455"/>
      <c r="AA4" s="455"/>
      <c r="AB4" s="455"/>
      <c r="AC4" s="455"/>
      <c r="AD4" s="455"/>
      <c r="AE4" s="455"/>
      <c r="AF4" s="1743"/>
      <c r="AG4" s="455"/>
      <c r="AH4" s="456"/>
    </row>
    <row r="5" spans="1:37" ht="18">
      <c r="A5" s="454"/>
      <c r="B5" s="458" t="s">
        <v>0</v>
      </c>
      <c r="C5" s="455"/>
      <c r="D5" s="455"/>
      <c r="E5" s="455"/>
      <c r="F5" s="356"/>
      <c r="G5" s="455"/>
      <c r="H5" s="455"/>
      <c r="I5" s="455"/>
      <c r="J5" s="2058"/>
      <c r="K5" s="455"/>
      <c r="L5" s="455"/>
      <c r="M5" s="221"/>
      <c r="N5" s="411"/>
      <c r="O5" s="455"/>
      <c r="P5" s="455"/>
      <c r="Q5" s="455"/>
      <c r="R5" s="455"/>
      <c r="S5" s="455"/>
      <c r="T5" s="455"/>
      <c r="U5" s="455"/>
      <c r="V5" s="455"/>
      <c r="W5" s="455"/>
      <c r="X5" s="455"/>
      <c r="Y5" s="455"/>
      <c r="Z5" s="455"/>
      <c r="AA5" s="455"/>
      <c r="AB5" s="455"/>
      <c r="AC5" s="455"/>
      <c r="AD5" s="455"/>
      <c r="AE5" s="455"/>
      <c r="AF5" s="1743"/>
      <c r="AG5" s="455"/>
      <c r="AH5" s="456"/>
      <c r="AK5" s="462" t="s">
        <v>151</v>
      </c>
    </row>
    <row r="6" spans="1:37" ht="18">
      <c r="A6" s="454"/>
      <c r="B6" s="459" t="s">
        <v>150</v>
      </c>
      <c r="C6" s="455"/>
      <c r="D6" s="455"/>
      <c r="E6" s="455"/>
      <c r="F6" s="356"/>
      <c r="G6" s="455"/>
      <c r="H6" s="455" t="s">
        <v>15</v>
      </c>
      <c r="I6" s="455"/>
      <c r="J6" s="2058"/>
      <c r="K6" s="455"/>
      <c r="L6" s="455"/>
      <c r="M6" s="221"/>
      <c r="N6" s="411"/>
      <c r="O6" s="455"/>
      <c r="P6" s="455"/>
      <c r="Q6" s="455"/>
      <c r="R6" s="455"/>
      <c r="S6" s="455"/>
      <c r="T6" s="455"/>
      <c r="U6" s="455"/>
      <c r="V6" s="455"/>
      <c r="W6" s="455"/>
      <c r="X6" s="455"/>
      <c r="Y6" s="455"/>
      <c r="Z6" s="455"/>
      <c r="AA6" s="455"/>
      <c r="AB6" s="455"/>
      <c r="AC6" s="460"/>
      <c r="AD6" s="460"/>
      <c r="AE6" s="460"/>
      <c r="AF6" s="2063"/>
      <c r="AG6" s="461"/>
      <c r="AH6" s="456"/>
    </row>
    <row r="7" spans="1:37" ht="18">
      <c r="A7" s="454"/>
      <c r="B7" s="459" t="s">
        <v>152</v>
      </c>
      <c r="C7" s="455"/>
      <c r="D7" s="455"/>
      <c r="E7" s="455"/>
      <c r="F7" s="356"/>
      <c r="G7" s="455"/>
      <c r="H7" s="455"/>
      <c r="I7" s="455"/>
      <c r="J7" s="2058"/>
      <c r="K7" s="455"/>
      <c r="L7" s="455"/>
      <c r="M7" s="221"/>
      <c r="N7" s="411"/>
      <c r="O7" s="455"/>
      <c r="P7" s="455"/>
      <c r="Q7" s="455"/>
      <c r="R7" s="455"/>
      <c r="S7" s="455"/>
      <c r="T7" s="455"/>
      <c r="U7" s="455"/>
      <c r="V7" s="455"/>
      <c r="W7" s="455"/>
      <c r="X7" s="455"/>
      <c r="Y7" s="455"/>
      <c r="Z7" s="455"/>
      <c r="AA7" s="455"/>
      <c r="AB7" s="455"/>
      <c r="AD7" s="463"/>
      <c r="AE7" s="463"/>
      <c r="AH7" s="456"/>
    </row>
    <row r="8" spans="1:37" ht="18" customHeight="1">
      <c r="A8" s="454"/>
      <c r="B8" s="2928" t="s">
        <v>1413</v>
      </c>
      <c r="C8" s="455"/>
      <c r="D8" s="455"/>
      <c r="E8" s="455"/>
      <c r="F8" s="356"/>
      <c r="G8" s="455"/>
      <c r="H8" s="455"/>
      <c r="I8" s="455"/>
      <c r="J8" s="2058"/>
      <c r="K8" s="455"/>
      <c r="L8" s="455"/>
      <c r="M8" s="221"/>
      <c r="N8" s="411"/>
      <c r="O8" s="455"/>
      <c r="P8" s="455"/>
      <c r="Q8" s="455"/>
      <c r="R8" s="455"/>
      <c r="S8" s="455"/>
      <c r="T8" s="455"/>
      <c r="U8" s="455"/>
      <c r="V8" s="455"/>
      <c r="W8" s="455"/>
      <c r="X8" s="455"/>
      <c r="Y8" s="455"/>
      <c r="Z8" s="455"/>
      <c r="AA8" s="455"/>
      <c r="AB8" s="455"/>
      <c r="AC8" s="455"/>
      <c r="AD8" s="455"/>
      <c r="AE8" s="455"/>
      <c r="AF8" s="1743"/>
      <c r="AG8" s="455"/>
      <c r="AH8" s="456"/>
    </row>
    <row r="9" spans="1:37" ht="15" customHeight="1">
      <c r="A9" s="454"/>
      <c r="B9" s="459" t="s">
        <v>979</v>
      </c>
      <c r="C9" s="455"/>
      <c r="D9" s="455"/>
      <c r="E9" s="455"/>
      <c r="F9" s="356"/>
      <c r="G9" s="455"/>
      <c r="H9" s="455"/>
      <c r="I9" s="455"/>
      <c r="J9" s="2058"/>
      <c r="K9" s="455"/>
      <c r="L9" s="411"/>
      <c r="M9" s="221"/>
      <c r="N9" s="455"/>
      <c r="O9" s="455"/>
      <c r="P9" s="455"/>
      <c r="Q9" s="455"/>
      <c r="R9" s="455"/>
      <c r="S9" s="455"/>
      <c r="T9" s="455"/>
      <c r="U9" s="455"/>
      <c r="V9" s="455"/>
      <c r="W9" s="455"/>
      <c r="X9" s="455"/>
      <c r="Y9" s="455"/>
      <c r="Z9" s="455"/>
      <c r="AA9" s="455"/>
      <c r="AB9" s="455"/>
      <c r="AC9" s="455"/>
      <c r="AD9" s="455"/>
      <c r="AE9" s="455"/>
      <c r="AF9" s="1743"/>
      <c r="AG9" s="455"/>
      <c r="AH9" s="456"/>
    </row>
    <row r="10" spans="1:37" ht="15.75">
      <c r="A10" s="454"/>
      <c r="B10" s="455"/>
      <c r="C10" s="455"/>
      <c r="D10" s="455"/>
      <c r="E10" s="455"/>
      <c r="F10" s="356"/>
      <c r="G10" s="455"/>
      <c r="H10" s="455"/>
      <c r="I10" s="455"/>
      <c r="J10" s="2058"/>
      <c r="K10" s="455"/>
      <c r="L10" s="455"/>
      <c r="M10" s="455"/>
      <c r="N10" s="455"/>
      <c r="O10" s="455"/>
      <c r="P10" s="455"/>
      <c r="Q10" s="455"/>
      <c r="R10" s="455"/>
      <c r="S10" s="455"/>
      <c r="T10" s="455"/>
      <c r="U10" s="455"/>
      <c r="V10" s="455"/>
      <c r="W10" s="455"/>
      <c r="X10" s="455"/>
      <c r="Y10" s="455"/>
      <c r="Z10" s="455"/>
      <c r="AA10" s="455"/>
      <c r="AB10" s="3505" t="s">
        <v>1558</v>
      </c>
      <c r="AC10" s="3505"/>
      <c r="AD10" s="3505"/>
      <c r="AE10" s="3505"/>
      <c r="AF10" s="3505"/>
      <c r="AG10" s="3505"/>
      <c r="AH10" s="3505"/>
      <c r="AI10" s="3505"/>
      <c r="AJ10" s="3505"/>
      <c r="AK10" s="3505"/>
    </row>
    <row r="11" spans="1:37" ht="15" customHeight="1">
      <c r="A11" s="454"/>
      <c r="B11" s="222"/>
      <c r="C11" s="222"/>
      <c r="D11" s="1448">
        <v>2016</v>
      </c>
      <c r="E11" s="221"/>
      <c r="F11" s="1449"/>
      <c r="G11" s="221"/>
      <c r="H11" s="411"/>
      <c r="I11" s="221"/>
      <c r="J11" s="311"/>
      <c r="K11" s="221"/>
      <c r="L11" s="411"/>
      <c r="M11" s="221"/>
      <c r="N11" s="411"/>
      <c r="O11" s="221"/>
      <c r="P11" s="411"/>
      <c r="Q11" s="221"/>
      <c r="R11" s="411"/>
      <c r="S11" s="221"/>
      <c r="T11" s="411"/>
      <c r="U11" s="221"/>
      <c r="V11" s="1448">
        <v>2017</v>
      </c>
      <c r="W11" s="221"/>
      <c r="X11" s="411"/>
      <c r="Y11" s="221"/>
      <c r="Z11" s="411"/>
      <c r="AA11" s="411"/>
      <c r="AB11" s="221"/>
      <c r="AC11" s="412"/>
      <c r="AD11" s="476"/>
      <c r="AE11" s="476"/>
      <c r="AF11" s="2046"/>
      <c r="AG11" s="412"/>
      <c r="AH11" s="1451"/>
      <c r="AI11" s="1452" t="s">
        <v>8</v>
      </c>
      <c r="AJ11" s="412"/>
      <c r="AK11" s="1453" t="s">
        <v>9</v>
      </c>
    </row>
    <row r="12" spans="1:37" ht="15" customHeight="1">
      <c r="A12" s="454"/>
      <c r="B12" s="222"/>
      <c r="C12" s="222"/>
      <c r="D12" s="1435" t="s">
        <v>128</v>
      </c>
      <c r="E12" s="221"/>
      <c r="F12" s="1454" t="s">
        <v>129</v>
      </c>
      <c r="G12" s="221"/>
      <c r="H12" s="1454" t="s">
        <v>130</v>
      </c>
      <c r="I12" s="221"/>
      <c r="J12" s="2059" t="s">
        <v>131</v>
      </c>
      <c r="K12" s="221"/>
      <c r="L12" s="1455" t="s">
        <v>132</v>
      </c>
      <c r="M12" s="221"/>
      <c r="N12" s="1455" t="s">
        <v>133</v>
      </c>
      <c r="O12" s="221"/>
      <c r="P12" s="1455" t="s">
        <v>134</v>
      </c>
      <c r="Q12" s="221"/>
      <c r="R12" s="1455" t="s">
        <v>135</v>
      </c>
      <c r="S12" s="221"/>
      <c r="T12" s="1455" t="s">
        <v>136</v>
      </c>
      <c r="U12" s="221"/>
      <c r="V12" s="1455" t="s">
        <v>153</v>
      </c>
      <c r="W12" s="221"/>
      <c r="X12" s="1455" t="s">
        <v>138</v>
      </c>
      <c r="Y12" s="221"/>
      <c r="Z12" s="1455" t="s">
        <v>139</v>
      </c>
      <c r="AA12" s="1453"/>
      <c r="AB12" s="221"/>
      <c r="AC12" s="1456">
        <v>2017</v>
      </c>
      <c r="AD12" s="221" t="s">
        <v>15</v>
      </c>
      <c r="AE12" s="221"/>
      <c r="AF12" s="2064">
        <v>2016</v>
      </c>
      <c r="AG12" s="1457"/>
      <c r="AH12" s="1451"/>
      <c r="AI12" s="1458" t="s">
        <v>12</v>
      </c>
      <c r="AJ12" s="411"/>
      <c r="AK12" s="1459" t="s">
        <v>13</v>
      </c>
    </row>
    <row r="13" spans="1:37" ht="5.25" customHeight="1">
      <c r="A13" s="454"/>
      <c r="B13" s="222"/>
      <c r="C13" s="222"/>
      <c r="D13" s="235" t="s">
        <v>15</v>
      </c>
      <c r="E13" s="222"/>
      <c r="F13" s="465"/>
      <c r="G13" s="222"/>
      <c r="H13" s="235"/>
      <c r="I13" s="222"/>
      <c r="J13" s="326"/>
      <c r="K13" s="222"/>
      <c r="L13" s="235"/>
      <c r="M13" s="222"/>
      <c r="N13" s="235"/>
      <c r="O13" s="222"/>
      <c r="P13" s="235"/>
      <c r="Q13" s="222"/>
      <c r="R13" s="235"/>
      <c r="S13" s="222"/>
      <c r="T13" s="235"/>
      <c r="U13" s="222"/>
      <c r="V13" s="235"/>
      <c r="W13" s="222"/>
      <c r="X13" s="235"/>
      <c r="Y13" s="222"/>
      <c r="Z13" s="235"/>
      <c r="AA13" s="229"/>
      <c r="AB13" s="222"/>
      <c r="AC13" s="229"/>
      <c r="AD13" s="222"/>
      <c r="AE13" s="222"/>
      <c r="AF13" s="2065"/>
      <c r="AG13" s="229"/>
      <c r="AH13" s="466"/>
    </row>
    <row r="14" spans="1:37" ht="15" customHeight="1">
      <c r="A14" s="351"/>
      <c r="B14" s="227" t="s">
        <v>140</v>
      </c>
      <c r="C14" s="223"/>
      <c r="D14" s="293">
        <v>8934.1</v>
      </c>
      <c r="E14" s="467"/>
      <c r="F14" s="293">
        <f>D138</f>
        <v>10892.7</v>
      </c>
      <c r="G14" s="467"/>
      <c r="H14" s="293">
        <f>F138</f>
        <v>7750.5</v>
      </c>
      <c r="I14" s="467"/>
      <c r="J14" s="335">
        <f>H138</f>
        <v>7210.2</v>
      </c>
      <c r="K14" s="467"/>
      <c r="L14" s="293">
        <v>6765.3</v>
      </c>
      <c r="M14" s="467"/>
      <c r="N14" s="293">
        <f>+L138</f>
        <v>6229</v>
      </c>
      <c r="O14" s="467"/>
      <c r="P14" s="293">
        <f>N138</f>
        <v>9565.7999999999993</v>
      </c>
      <c r="Q14" s="467"/>
      <c r="R14" s="293">
        <f>P138</f>
        <v>8923.6</v>
      </c>
      <c r="S14" s="467"/>
      <c r="T14" s="293">
        <f>+R138</f>
        <v>7532.2</v>
      </c>
      <c r="U14" s="467"/>
      <c r="V14" s="293">
        <f>+T138</f>
        <v>9053.7000000000007</v>
      </c>
      <c r="W14" s="293"/>
      <c r="X14" s="293"/>
      <c r="Y14" s="467"/>
      <c r="Z14" s="467"/>
      <c r="AA14" s="467"/>
      <c r="AB14" s="468"/>
      <c r="AC14" s="293">
        <f>D14</f>
        <v>8934.1</v>
      </c>
      <c r="AD14" s="467"/>
      <c r="AE14" s="468"/>
      <c r="AF14" s="335">
        <v>7299.5</v>
      </c>
      <c r="AG14" s="467"/>
      <c r="AH14" s="469"/>
      <c r="AI14" s="293">
        <f>ROUND(SUM(+AC14-AF14),1)</f>
        <v>1634.6</v>
      </c>
      <c r="AJ14" s="2628"/>
      <c r="AK14" s="2669">
        <f>ROUND(IF(AF14=0,0,AI14/ABS(AF14)),3)</f>
        <v>0.224</v>
      </c>
    </row>
    <row r="15" spans="1:37" ht="15" customHeight="1">
      <c r="A15" s="351"/>
      <c r="B15" s="223"/>
      <c r="C15" s="223"/>
      <c r="D15" s="223"/>
      <c r="E15" s="223"/>
      <c r="F15" s="380"/>
      <c r="G15" s="223"/>
      <c r="H15" s="380"/>
      <c r="I15" s="223"/>
      <c r="J15" s="317"/>
      <c r="K15" s="223"/>
      <c r="L15" s="380"/>
      <c r="M15" s="223"/>
      <c r="N15" s="222"/>
      <c r="O15" s="223"/>
      <c r="P15" s="222"/>
      <c r="Q15" s="223"/>
      <c r="R15" s="222"/>
      <c r="S15" s="223"/>
      <c r="T15" s="222"/>
      <c r="U15" s="223"/>
      <c r="V15" s="222"/>
      <c r="W15" s="223"/>
      <c r="X15" s="222"/>
      <c r="Y15" s="223"/>
      <c r="Z15" s="222"/>
      <c r="AA15" s="222"/>
      <c r="AB15" s="237"/>
      <c r="AC15" s="222"/>
      <c r="AD15" s="223"/>
      <c r="AE15" s="237"/>
      <c r="AF15" s="305"/>
      <c r="AG15" s="222"/>
      <c r="AH15" s="466"/>
      <c r="AI15" s="455"/>
      <c r="AJ15" s="2005"/>
      <c r="AK15" s="1528"/>
    </row>
    <row r="16" spans="1:37" ht="15" customHeight="1">
      <c r="A16" s="351"/>
      <c r="B16" s="221" t="s">
        <v>14</v>
      </c>
      <c r="C16" s="223"/>
      <c r="D16" s="223"/>
      <c r="E16" s="223"/>
      <c r="F16" s="222"/>
      <c r="G16" s="223"/>
      <c r="H16" s="222"/>
      <c r="I16" s="223"/>
      <c r="J16" s="317"/>
      <c r="K16" s="223"/>
      <c r="L16" s="222"/>
      <c r="M16" s="223"/>
      <c r="N16" s="222"/>
      <c r="O16" s="223"/>
      <c r="P16" s="222"/>
      <c r="Q16" s="223"/>
      <c r="R16" s="222"/>
      <c r="S16" s="223"/>
      <c r="T16" s="222"/>
      <c r="U16" s="223"/>
      <c r="V16" s="222"/>
      <c r="W16" s="223"/>
      <c r="X16" s="222"/>
      <c r="Y16" s="223"/>
      <c r="Z16" s="222"/>
      <c r="AA16" s="222"/>
      <c r="AB16" s="237"/>
      <c r="AC16" s="222"/>
      <c r="AD16" s="223"/>
      <c r="AE16" s="237"/>
      <c r="AF16" s="305"/>
      <c r="AG16" s="222"/>
      <c r="AH16" s="466"/>
      <c r="AI16" s="455"/>
      <c r="AJ16" s="2005"/>
      <c r="AK16" s="1528"/>
    </row>
    <row r="17" spans="1:37" ht="15" customHeight="1">
      <c r="A17" s="351"/>
      <c r="B17" s="488" t="s">
        <v>1206</v>
      </c>
      <c r="C17" s="223"/>
      <c r="D17" s="223"/>
      <c r="E17" s="223"/>
      <c r="F17" s="222"/>
      <c r="G17" s="223"/>
      <c r="H17" s="222"/>
      <c r="I17" s="223"/>
      <c r="J17" s="317"/>
      <c r="K17" s="223"/>
      <c r="L17" s="222"/>
      <c r="M17" s="223"/>
      <c r="N17" s="222"/>
      <c r="O17" s="223"/>
      <c r="P17" s="222"/>
      <c r="Q17" s="223"/>
      <c r="R17" s="222"/>
      <c r="S17" s="223"/>
      <c r="T17" s="222"/>
      <c r="U17" s="223"/>
      <c r="V17" s="222"/>
      <c r="W17" s="223"/>
      <c r="X17" s="222"/>
      <c r="Y17" s="223"/>
      <c r="Z17" s="222"/>
      <c r="AA17" s="222"/>
      <c r="AB17" s="237"/>
      <c r="AC17" s="222"/>
      <c r="AD17" s="223"/>
      <c r="AE17" s="237"/>
      <c r="AF17" s="305"/>
      <c r="AG17" s="222"/>
      <c r="AH17" s="466"/>
      <c r="AI17" s="455"/>
      <c r="AJ17" s="2005"/>
      <c r="AK17" s="1528"/>
    </row>
    <row r="18" spans="1:37" ht="15" customHeight="1">
      <c r="A18" s="351"/>
      <c r="B18" s="1990" t="s">
        <v>1279</v>
      </c>
      <c r="C18" s="223"/>
      <c r="D18" s="223"/>
      <c r="E18" s="223"/>
      <c r="F18" s="222"/>
      <c r="G18" s="223"/>
      <c r="H18" s="222"/>
      <c r="I18" s="223"/>
      <c r="J18" s="317"/>
      <c r="K18" s="223"/>
      <c r="L18" s="222"/>
      <c r="M18" s="223"/>
      <c r="N18" s="222"/>
      <c r="O18" s="223"/>
      <c r="P18" s="222"/>
      <c r="Q18" s="223"/>
      <c r="R18" s="222"/>
      <c r="S18" s="223"/>
      <c r="T18" s="222"/>
      <c r="U18" s="223"/>
      <c r="V18" s="222"/>
      <c r="W18" s="223"/>
      <c r="X18" s="222"/>
      <c r="Y18" s="223"/>
      <c r="Z18" s="222"/>
      <c r="AA18" s="222"/>
      <c r="AB18" s="237"/>
      <c r="AC18" s="222"/>
      <c r="AD18" s="223"/>
      <c r="AE18" s="237"/>
      <c r="AF18" s="305"/>
      <c r="AG18" s="222"/>
      <c r="AH18" s="466"/>
      <c r="AI18" s="455"/>
      <c r="AJ18" s="2005"/>
      <c r="AK18" s="1528"/>
    </row>
    <row r="19" spans="1:37" ht="15" customHeight="1">
      <c r="A19" s="351"/>
      <c r="B19" s="1243" t="s">
        <v>1214</v>
      </c>
      <c r="C19" s="223"/>
      <c r="D19" s="2924">
        <v>2649.4</v>
      </c>
      <c r="E19" s="1595"/>
      <c r="F19" s="2924">
        <v>2595</v>
      </c>
      <c r="G19" s="1595"/>
      <c r="H19" s="2924">
        <v>2860</v>
      </c>
      <c r="I19" s="2031"/>
      <c r="J19" s="317">
        <v>2545.1</v>
      </c>
      <c r="K19" s="260"/>
      <c r="L19" s="2924">
        <v>2914.8</v>
      </c>
      <c r="M19" s="260"/>
      <c r="N19" s="260">
        <v>2466</v>
      </c>
      <c r="O19" s="260"/>
      <c r="P19" s="260">
        <v>2562.4</v>
      </c>
      <c r="Q19" s="260"/>
      <c r="R19" s="260">
        <v>2828.4</v>
      </c>
      <c r="S19" s="260"/>
      <c r="T19" s="260">
        <v>3535.3</v>
      </c>
      <c r="U19" s="260"/>
      <c r="V19" s="260">
        <v>4135.7</v>
      </c>
      <c r="W19" s="260"/>
      <c r="X19" s="260"/>
      <c r="Y19" s="260"/>
      <c r="Z19" s="260"/>
      <c r="AA19" s="222"/>
      <c r="AB19" s="237"/>
      <c r="AC19" s="260">
        <f>ROUND(SUM(D19:Z19),1)</f>
        <v>29092.1</v>
      </c>
      <c r="AD19" s="223"/>
      <c r="AE19" s="237"/>
      <c r="AF19" s="85">
        <v>28264.400000000001</v>
      </c>
      <c r="AG19" s="222"/>
      <c r="AH19" s="466"/>
      <c r="AI19" s="1146">
        <f>ROUND(SUM(+AC19-AF19),1)</f>
        <v>827.7</v>
      </c>
      <c r="AJ19" s="2005"/>
      <c r="AK19" s="1780">
        <f>ROUND(IF(AF19=0,0,AI19/ABS(AF19)),3)</f>
        <v>2.9000000000000001E-2</v>
      </c>
    </row>
    <row r="20" spans="1:37" ht="15" customHeight="1">
      <c r="A20" s="351"/>
      <c r="B20" s="1243" t="s">
        <v>1215</v>
      </c>
      <c r="C20" s="223"/>
      <c r="D20" s="2924">
        <v>4784</v>
      </c>
      <c r="E20" s="1111"/>
      <c r="F20" s="1111">
        <v>137</v>
      </c>
      <c r="G20" s="1111"/>
      <c r="H20" s="1111">
        <v>1950.5</v>
      </c>
      <c r="I20" s="223"/>
      <c r="J20" s="317">
        <v>95</v>
      </c>
      <c r="K20" s="223"/>
      <c r="L20" s="1111">
        <v>97.1</v>
      </c>
      <c r="M20" s="223"/>
      <c r="N20" s="260">
        <v>2355.6999999999998</v>
      </c>
      <c r="O20" s="260"/>
      <c r="P20" s="260">
        <v>162.4</v>
      </c>
      <c r="Q20" s="260"/>
      <c r="R20" s="260">
        <v>79.599999999999994</v>
      </c>
      <c r="S20" s="260"/>
      <c r="T20" s="260">
        <v>1647.2</v>
      </c>
      <c r="U20" s="260"/>
      <c r="V20" s="2925">
        <v>3481.6</v>
      </c>
      <c r="W20" s="260"/>
      <c r="X20" s="260"/>
      <c r="Y20" s="260"/>
      <c r="Z20" s="260"/>
      <c r="AA20" s="222"/>
      <c r="AB20" s="237"/>
      <c r="AC20" s="260">
        <f>ROUND(SUM(D20:Z20),1)</f>
        <v>14790.1</v>
      </c>
      <c r="AD20" s="223"/>
      <c r="AE20" s="237"/>
      <c r="AF20" s="85">
        <v>15925.9</v>
      </c>
      <c r="AG20" s="222"/>
      <c r="AH20" s="466"/>
      <c r="AI20" s="1146">
        <f>ROUND(SUM(+AC20-AF20),1)</f>
        <v>-1135.8</v>
      </c>
      <c r="AJ20" s="2005"/>
      <c r="AK20" s="1780">
        <f>ROUND(IF(AF20=0,0,AI20/ABS(AF20)),3)</f>
        <v>-7.0999999999999994E-2</v>
      </c>
    </row>
    <row r="21" spans="1:37" ht="15" customHeight="1">
      <c r="A21" s="351"/>
      <c r="B21" s="1243" t="s">
        <v>1216</v>
      </c>
      <c r="C21" s="223"/>
      <c r="D21" s="2924">
        <v>1717.3</v>
      </c>
      <c r="E21" s="1111"/>
      <c r="F21" s="1111">
        <v>63.3</v>
      </c>
      <c r="G21" s="1111"/>
      <c r="H21" s="1111">
        <v>38.799999999999997</v>
      </c>
      <c r="I21" s="223"/>
      <c r="J21" s="317">
        <v>30.2</v>
      </c>
      <c r="K21" s="223"/>
      <c r="L21" s="1111">
        <v>33.9</v>
      </c>
      <c r="M21" s="223"/>
      <c r="N21" s="260">
        <v>63</v>
      </c>
      <c r="O21" s="260"/>
      <c r="P21" s="260">
        <v>399.2</v>
      </c>
      <c r="Q21" s="260"/>
      <c r="R21" s="260">
        <v>33.4</v>
      </c>
      <c r="S21" s="260"/>
      <c r="T21" s="260">
        <v>22.9</v>
      </c>
      <c r="U21" s="260"/>
      <c r="V21" s="2925">
        <v>19.5</v>
      </c>
      <c r="W21" s="260"/>
      <c r="X21" s="260"/>
      <c r="Y21" s="260"/>
      <c r="Z21" s="260"/>
      <c r="AA21" s="222"/>
      <c r="AB21" s="237"/>
      <c r="AC21" s="260">
        <f>ROUND(SUM(D21:Z21),1)</f>
        <v>2421.5</v>
      </c>
      <c r="AD21" s="223"/>
      <c r="AE21" s="237"/>
      <c r="AF21" s="85">
        <v>2443.6</v>
      </c>
      <c r="AG21" s="222"/>
      <c r="AH21" s="466"/>
      <c r="AI21" s="1146">
        <f>ROUND(SUM(+AC21-AF21),1)</f>
        <v>-22.1</v>
      </c>
      <c r="AJ21" s="2005"/>
      <c r="AK21" s="1780">
        <f>ROUND(IF(AF21=0,0,AI21/ABS(AF21)),3)</f>
        <v>-8.9999999999999993E-3</v>
      </c>
    </row>
    <row r="22" spans="1:37" ht="15" customHeight="1">
      <c r="A22" s="351"/>
      <c r="B22" s="2028" t="s">
        <v>1217</v>
      </c>
      <c r="C22" s="223"/>
      <c r="D22" s="2924">
        <v>-184.9</v>
      </c>
      <c r="E22" s="1111"/>
      <c r="F22" s="1111">
        <v>-18.2</v>
      </c>
      <c r="G22" s="1111"/>
      <c r="H22" s="1111">
        <v>-16.7</v>
      </c>
      <c r="I22" s="223"/>
      <c r="J22" s="317">
        <v>-15.9</v>
      </c>
      <c r="K22" s="223"/>
      <c r="L22" s="1111">
        <v>-18.8</v>
      </c>
      <c r="M22" s="223"/>
      <c r="N22" s="260">
        <v>-64.900000000000006</v>
      </c>
      <c r="O22" s="260"/>
      <c r="P22" s="260">
        <v>-294.7</v>
      </c>
      <c r="Q22" s="260"/>
      <c r="R22" s="260">
        <v>-121.1</v>
      </c>
      <c r="S22" s="260"/>
      <c r="T22" s="260">
        <v>-19.899999999999999</v>
      </c>
      <c r="U22" s="260"/>
      <c r="V22" s="2925">
        <v>-15.2</v>
      </c>
      <c r="W22" s="260"/>
      <c r="X22" s="260"/>
      <c r="Y22" s="260"/>
      <c r="Z22" s="260"/>
      <c r="AA22" s="222"/>
      <c r="AB22" s="237"/>
      <c r="AC22" s="260">
        <f>ROUND(SUM(D22:Z22),1)</f>
        <v>-770.3</v>
      </c>
      <c r="AD22" s="223"/>
      <c r="AE22" s="237"/>
      <c r="AF22" s="85">
        <v>-624.79999999999995</v>
      </c>
      <c r="AG22" s="222"/>
      <c r="AH22" s="466"/>
      <c r="AI22" s="1146">
        <f>-ROUND(SUM(+AC22-AF22),1)</f>
        <v>145.5</v>
      </c>
      <c r="AJ22" s="2005"/>
      <c r="AK22" s="2679">
        <f>ROUND(IF(AF22=0,0,AI22/ABS(AF22)),3)</f>
        <v>0.23300000000000001</v>
      </c>
    </row>
    <row r="23" spans="1:37" ht="15" customHeight="1">
      <c r="A23" s="351"/>
      <c r="B23" s="2028" t="s">
        <v>1218</v>
      </c>
      <c r="C23" s="223"/>
      <c r="D23" s="2924">
        <v>170.4</v>
      </c>
      <c r="E23" s="1111"/>
      <c r="F23" s="1111">
        <v>104.2</v>
      </c>
      <c r="G23" s="1111"/>
      <c r="H23" s="1111">
        <v>122.9</v>
      </c>
      <c r="I23" s="223"/>
      <c r="J23" s="317">
        <v>79.400000000000006</v>
      </c>
      <c r="K23" s="223"/>
      <c r="L23" s="1111">
        <v>90.8</v>
      </c>
      <c r="M23" s="223"/>
      <c r="N23" s="260">
        <v>93.1</v>
      </c>
      <c r="O23" s="260"/>
      <c r="P23" s="260">
        <v>103.9</v>
      </c>
      <c r="Q23" s="260"/>
      <c r="R23" s="260">
        <v>93.3</v>
      </c>
      <c r="S23" s="260"/>
      <c r="T23" s="260">
        <v>102.4</v>
      </c>
      <c r="U23" s="260"/>
      <c r="V23" s="2925">
        <v>118.8</v>
      </c>
      <c r="W23" s="260"/>
      <c r="X23" s="260"/>
      <c r="Y23" s="260"/>
      <c r="Z23" s="260"/>
      <c r="AA23" s="222"/>
      <c r="AB23" s="237"/>
      <c r="AC23" s="260">
        <f>ROUND(SUM(D23:Z23),1)</f>
        <v>1079.2</v>
      </c>
      <c r="AD23" s="223"/>
      <c r="AE23" s="237"/>
      <c r="AF23" s="85">
        <v>968.7</v>
      </c>
      <c r="AG23" s="222"/>
      <c r="AH23" s="466"/>
      <c r="AI23" s="1146">
        <f>ROUND(SUM(+AC23-AF23),1)</f>
        <v>110.5</v>
      </c>
      <c r="AJ23" s="2005"/>
      <c r="AK23" s="1780">
        <f>ROUND(IF(AF23=0,0,AI23/ABS(AF23)),3)</f>
        <v>0.114</v>
      </c>
    </row>
    <row r="24" spans="1:37" ht="15" customHeight="1">
      <c r="A24" s="351"/>
      <c r="B24" s="1244" t="s">
        <v>1219</v>
      </c>
      <c r="C24" s="223"/>
      <c r="D24" s="482">
        <f>ROUND(SUM(D19:D23),1)</f>
        <v>9136.2000000000007</v>
      </c>
      <c r="E24" s="223"/>
      <c r="F24" s="482">
        <f>ROUND(SUM(F19:F23),1)</f>
        <v>2881.3</v>
      </c>
      <c r="G24" s="223"/>
      <c r="H24" s="482">
        <f>ROUND(SUM(H19:H23),1)</f>
        <v>4955.5</v>
      </c>
      <c r="I24" s="223"/>
      <c r="J24" s="1256">
        <f>ROUND(SUM(J19:J23),1)</f>
        <v>2733.8</v>
      </c>
      <c r="K24" s="223"/>
      <c r="L24" s="482">
        <f>ROUND(SUM(L19:L23),1)</f>
        <v>3117.8</v>
      </c>
      <c r="M24" s="223"/>
      <c r="N24" s="482">
        <f>ROUND(SUM(N19:N23),1)</f>
        <v>4912.8999999999996</v>
      </c>
      <c r="O24" s="260"/>
      <c r="P24" s="482">
        <f>ROUND(SUM(P19:P23),1)</f>
        <v>2933.2</v>
      </c>
      <c r="Q24" s="260"/>
      <c r="R24" s="482">
        <f>ROUND(SUM(R19:R23),1)</f>
        <v>2913.6</v>
      </c>
      <c r="S24" s="260"/>
      <c r="T24" s="482">
        <f>ROUND(SUM(T19:T23),1)</f>
        <v>5287.9</v>
      </c>
      <c r="U24" s="260"/>
      <c r="V24" s="482">
        <f>ROUND(SUM(V19:V23),1)</f>
        <v>7740.4</v>
      </c>
      <c r="W24" s="260"/>
      <c r="X24" s="482">
        <f>ROUND(SUM(X19:X23),1)</f>
        <v>0</v>
      </c>
      <c r="Y24" s="260"/>
      <c r="Z24" s="482">
        <f>ROUND(SUM(Z19:Z23),1)</f>
        <v>0</v>
      </c>
      <c r="AA24" s="222"/>
      <c r="AB24" s="237"/>
      <c r="AC24" s="482">
        <f>ROUND(SUM(AC19:AC23),1)</f>
        <v>46612.6</v>
      </c>
      <c r="AD24" s="223"/>
      <c r="AE24" s="237"/>
      <c r="AF24" s="1256">
        <f>ROUND(SUM(AF19:AF23),1)</f>
        <v>46977.8</v>
      </c>
      <c r="AG24" s="222"/>
      <c r="AH24" s="466"/>
      <c r="AI24" s="482">
        <f>ROUND(SUM(AC24-AF24),1)</f>
        <v>-365.2</v>
      </c>
      <c r="AJ24" s="2005"/>
      <c r="AK24" s="2016">
        <f>ROUND(SUM(+AI24/AF24),3)</f>
        <v>-8.0000000000000002E-3</v>
      </c>
    </row>
    <row r="25" spans="1:37" ht="15" customHeight="1">
      <c r="A25" s="351"/>
      <c r="B25" s="2028" t="s">
        <v>1221</v>
      </c>
      <c r="C25" s="223"/>
      <c r="D25" s="1396">
        <v>-1.3</v>
      </c>
      <c r="E25" s="1111"/>
      <c r="F25" s="1396">
        <v>0</v>
      </c>
      <c r="G25" s="1111"/>
      <c r="H25" s="1396">
        <v>-420.2</v>
      </c>
      <c r="I25" s="223"/>
      <c r="J25" s="317">
        <v>0</v>
      </c>
      <c r="K25" s="223"/>
      <c r="L25" s="1396">
        <v>0</v>
      </c>
      <c r="M25" s="223"/>
      <c r="N25" s="260">
        <v>-108.4</v>
      </c>
      <c r="O25" s="260"/>
      <c r="P25" s="260">
        <v>-4.5999999999999996</v>
      </c>
      <c r="Q25" s="260"/>
      <c r="R25" s="260">
        <v>-10.7</v>
      </c>
      <c r="S25" s="260"/>
      <c r="T25" s="260">
        <v>-107.1</v>
      </c>
      <c r="U25" s="260"/>
      <c r="V25" s="260">
        <v>-2243.6</v>
      </c>
      <c r="W25" s="260"/>
      <c r="X25" s="260"/>
      <c r="Y25" s="260"/>
      <c r="Z25" s="260"/>
      <c r="AA25" s="222"/>
      <c r="AB25" s="237"/>
      <c r="AC25" s="260">
        <f>ROUND(SUM(D25:Z25),1)</f>
        <v>-2895.9</v>
      </c>
      <c r="AD25" s="223"/>
      <c r="AE25" s="237"/>
      <c r="AF25" s="2520">
        <v>-3328.3</v>
      </c>
      <c r="AG25" s="222"/>
      <c r="AH25" s="466"/>
      <c r="AI25" s="1146">
        <f>-ROUND(SUM(+AC25-AF25),1)</f>
        <v>-432.4</v>
      </c>
      <c r="AJ25" s="2005"/>
      <c r="AK25" s="2679">
        <f>ROUND(IF(AF25=0,1,AI25/ABS(AF25)),3)</f>
        <v>-0.13</v>
      </c>
    </row>
    <row r="26" spans="1:37" ht="15" customHeight="1">
      <c r="A26" s="351"/>
      <c r="B26" s="2028" t="s">
        <v>1222</v>
      </c>
      <c r="C26" s="223"/>
      <c r="D26" s="2940">
        <v>-1595.9</v>
      </c>
      <c r="E26" s="1111"/>
      <c r="F26" s="1177">
        <v>-546.5</v>
      </c>
      <c r="G26" s="1111"/>
      <c r="H26" s="1177">
        <v>-1180.9000000000001</v>
      </c>
      <c r="I26" s="223"/>
      <c r="J26" s="317">
        <v>-640.5</v>
      </c>
      <c r="K26" s="223"/>
      <c r="L26" s="1177">
        <v>-734.9</v>
      </c>
      <c r="M26" s="223"/>
      <c r="N26" s="260">
        <v>-1176.0999999999999</v>
      </c>
      <c r="O26" s="260"/>
      <c r="P26" s="260">
        <v>-633.20000000000005</v>
      </c>
      <c r="Q26" s="260"/>
      <c r="R26" s="260">
        <v>-523.4</v>
      </c>
      <c r="S26" s="260"/>
      <c r="T26" s="260">
        <v>-1188.0999999999999</v>
      </c>
      <c r="U26" s="260"/>
      <c r="V26" s="260">
        <v>-1898.7</v>
      </c>
      <c r="W26" s="260"/>
      <c r="X26" s="260"/>
      <c r="Y26" s="260"/>
      <c r="Z26" s="260"/>
      <c r="AA26" s="222"/>
      <c r="AB26" s="237"/>
      <c r="AC26" s="260">
        <f>ROUND(SUM(D26:Z26),1)</f>
        <v>-10118.200000000001</v>
      </c>
      <c r="AD26" s="223"/>
      <c r="AE26" s="237"/>
      <c r="AF26" s="2521">
        <v>-10310.4</v>
      </c>
      <c r="AG26" s="222"/>
      <c r="AH26" s="466"/>
      <c r="AI26" s="1146">
        <f>-ROUND(SUM(+AC26-AF26),1)</f>
        <v>-192.2</v>
      </c>
      <c r="AJ26" s="2005"/>
      <c r="AK26" s="2679">
        <f>ROUND(IF(AF26=0,0,AI26/ABS(AF26)),3)</f>
        <v>-1.9E-2</v>
      </c>
    </row>
    <row r="27" spans="1:37" ht="15" customHeight="1">
      <c r="A27" s="351"/>
      <c r="B27" s="1243" t="s">
        <v>1223</v>
      </c>
      <c r="C27" s="223"/>
      <c r="D27" s="2924">
        <v>-2752.5</v>
      </c>
      <c r="E27" s="1111"/>
      <c r="F27" s="1111">
        <v>-695.6</v>
      </c>
      <c r="G27" s="1111"/>
      <c r="H27" s="1111">
        <v>-231.6</v>
      </c>
      <c r="I27" s="223"/>
      <c r="J27" s="317">
        <v>-172</v>
      </c>
      <c r="K27" s="223"/>
      <c r="L27" s="1111">
        <v>-178</v>
      </c>
      <c r="M27" s="223"/>
      <c r="N27" s="260">
        <v>-208.5</v>
      </c>
      <c r="O27" s="260"/>
      <c r="P27" s="260">
        <v>-400.5</v>
      </c>
      <c r="Q27" s="260"/>
      <c r="R27" s="260">
        <v>-819.8</v>
      </c>
      <c r="S27" s="260"/>
      <c r="T27" s="260">
        <v>-535.70000000000005</v>
      </c>
      <c r="U27" s="260"/>
      <c r="V27" s="260">
        <v>-145.5</v>
      </c>
      <c r="W27" s="260"/>
      <c r="X27" s="260"/>
      <c r="Y27" s="260"/>
      <c r="Z27" s="260"/>
      <c r="AA27" s="222"/>
      <c r="AB27" s="237"/>
      <c r="AC27" s="260">
        <f>ROUND(SUM(D27:Z27),1)</f>
        <v>-6139.7</v>
      </c>
      <c r="AD27" s="223"/>
      <c r="AE27" s="237"/>
      <c r="AF27" s="85">
        <v>-5736.1</v>
      </c>
      <c r="AG27" s="222"/>
      <c r="AH27" s="466"/>
      <c r="AI27" s="1146">
        <f>-ROUND(SUM(+AC27-AF27),1)</f>
        <v>403.6</v>
      </c>
      <c r="AJ27" s="2005"/>
      <c r="AK27" s="2679">
        <f>ROUND(IF(AF27=0,0,AI27/ABS(AF27)),3)</f>
        <v>7.0000000000000007E-2</v>
      </c>
    </row>
    <row r="28" spans="1:37" ht="15" customHeight="1">
      <c r="A28" s="351"/>
      <c r="B28" s="587" t="s">
        <v>1220</v>
      </c>
      <c r="C28" s="222"/>
      <c r="D28" s="482">
        <f>ROUND(SUM(D24:D27),1)</f>
        <v>4786.5</v>
      </c>
      <c r="E28" s="260"/>
      <c r="F28" s="482">
        <f>ROUND(SUM(F24+F25+F26+F27),1)</f>
        <v>1639.2</v>
      </c>
      <c r="G28" s="260"/>
      <c r="H28" s="482">
        <f>ROUND(SUM(H24+H25+H26+H27),1)</f>
        <v>3122.8</v>
      </c>
      <c r="I28" s="260"/>
      <c r="J28" s="1256">
        <f>ROUND(SUM(J24+J25+J26+J27),1)</f>
        <v>1921.3</v>
      </c>
      <c r="K28" s="260"/>
      <c r="L28" s="482">
        <f>ROUND(SUM(L24+L25+L26+L27),1)</f>
        <v>2204.9</v>
      </c>
      <c r="M28" s="260"/>
      <c r="N28" s="482">
        <f>ROUND(SUM(N24+N25+N26+N27),1)</f>
        <v>3419.9</v>
      </c>
      <c r="O28" s="260"/>
      <c r="P28" s="482">
        <f>ROUND(SUM(P24+P25+P26+P27),1)</f>
        <v>1894.9</v>
      </c>
      <c r="Q28" s="260"/>
      <c r="R28" s="482">
        <f>ROUND(SUM(R24+R25+R26+R27),1)</f>
        <v>1559.7</v>
      </c>
      <c r="S28" s="260"/>
      <c r="T28" s="482">
        <f>ROUND(SUM(T24+T25+T26+T27),1)</f>
        <v>3457</v>
      </c>
      <c r="U28" s="260"/>
      <c r="V28" s="482">
        <f>ROUND(SUM(V24+V25+V26+V27),1)</f>
        <v>3452.6</v>
      </c>
      <c r="W28" s="260"/>
      <c r="X28" s="482">
        <f>ROUND(SUM(X24+X25+X26+X27),1)</f>
        <v>0</v>
      </c>
      <c r="Y28" s="260"/>
      <c r="Z28" s="482">
        <f>ROUND(SUM(Z24+Z25+Z26+Z27),1)</f>
        <v>0</v>
      </c>
      <c r="AA28" s="366"/>
      <c r="AB28" s="237"/>
      <c r="AC28" s="482">
        <f>ROUND(SUM(AC24+AC25+AC26+AC27),1)</f>
        <v>27458.799999999999</v>
      </c>
      <c r="AD28" s="260"/>
      <c r="AE28" s="249"/>
      <c r="AF28" s="1256">
        <f>ROUND(SUM(AF24+AF25+AF26+AF27),1)</f>
        <v>27603</v>
      </c>
      <c r="AG28" s="260"/>
      <c r="AH28" s="1249"/>
      <c r="AI28" s="482">
        <f>ROUND(SUM(AI24-AI25-AI26-AI27),1)</f>
        <v>-144.19999999999999</v>
      </c>
      <c r="AJ28" s="1823"/>
      <c r="AK28" s="2016">
        <f>ROUND(SUM(+AI28/AF28),3)</f>
        <v>-5.0000000000000001E-3</v>
      </c>
    </row>
    <row r="29" spans="1:37" ht="15" customHeight="1">
      <c r="A29" s="351"/>
      <c r="B29" s="1990" t="s">
        <v>1276</v>
      </c>
      <c r="C29" s="222"/>
      <c r="D29" s="272"/>
      <c r="E29" s="260"/>
      <c r="F29" s="272"/>
      <c r="G29" s="260"/>
      <c r="H29" s="272"/>
      <c r="I29" s="260"/>
      <c r="J29" s="314"/>
      <c r="K29" s="260"/>
      <c r="L29" s="272"/>
      <c r="M29" s="260"/>
      <c r="N29" s="272"/>
      <c r="O29" s="260"/>
      <c r="P29" s="272"/>
      <c r="Q29" s="260"/>
      <c r="R29" s="272"/>
      <c r="S29" s="260"/>
      <c r="T29" s="272"/>
      <c r="U29" s="260"/>
      <c r="V29" s="272"/>
      <c r="W29" s="260"/>
      <c r="X29" s="272"/>
      <c r="Y29" s="260"/>
      <c r="Z29" s="272"/>
      <c r="AA29" s="366"/>
      <c r="AB29" s="237"/>
      <c r="AC29" s="272"/>
      <c r="AD29" s="260"/>
      <c r="AE29" s="249"/>
      <c r="AF29" s="314"/>
      <c r="AG29" s="260"/>
      <c r="AH29" s="1249"/>
      <c r="AI29" s="272"/>
      <c r="AJ29" s="1823"/>
      <c r="AK29" s="1988"/>
    </row>
    <row r="30" spans="1:37" ht="15" customHeight="1">
      <c r="A30" s="351"/>
      <c r="B30" s="1243" t="s">
        <v>1226</v>
      </c>
      <c r="C30" s="222"/>
      <c r="D30" s="1111">
        <v>497.9</v>
      </c>
      <c r="E30" s="1111"/>
      <c r="F30" s="1111">
        <v>474.7</v>
      </c>
      <c r="G30" s="1111"/>
      <c r="H30" s="1111">
        <v>655.4</v>
      </c>
      <c r="I30" s="260"/>
      <c r="J30" s="1959">
        <v>508.9</v>
      </c>
      <c r="K30" s="260"/>
      <c r="L30" s="1111">
        <v>485.7</v>
      </c>
      <c r="M30" s="260"/>
      <c r="N30" s="1823">
        <v>652.9</v>
      </c>
      <c r="O30" s="260"/>
      <c r="P30" s="1823">
        <v>500.2</v>
      </c>
      <c r="Q30" s="1146"/>
      <c r="R30" s="1823">
        <v>499</v>
      </c>
      <c r="S30" s="1146"/>
      <c r="T30" s="1823">
        <v>633.20000000000005</v>
      </c>
      <c r="U30" s="1146"/>
      <c r="V30" s="1823">
        <v>535.4</v>
      </c>
      <c r="W30" s="1146"/>
      <c r="X30" s="1823"/>
      <c r="Y30" s="1146"/>
      <c r="Z30" s="1823"/>
      <c r="AA30" s="366"/>
      <c r="AB30" s="237"/>
      <c r="AC30" s="317">
        <f t="shared" ref="AC30:AC36" si="0">ROUND(SUM(D30:Z30),1)</f>
        <v>5443.3</v>
      </c>
      <c r="AD30" s="260"/>
      <c r="AE30" s="249"/>
      <c r="AF30" s="85">
        <v>5226.1000000000004</v>
      </c>
      <c r="AG30" s="260"/>
      <c r="AH30" s="1249"/>
      <c r="AI30" s="1146">
        <f t="shared" ref="AI30:AI36" si="1">ROUND(SUM(+AC30-AF30),1)</f>
        <v>217.2</v>
      </c>
      <c r="AJ30" s="1823"/>
      <c r="AK30" s="1780">
        <f t="shared" ref="AK30:AK36" si="2">ROUND(IF(AF30=0,0,AI30/ABS(AF30)),3)</f>
        <v>4.2000000000000003E-2</v>
      </c>
    </row>
    <row r="31" spans="1:37" ht="15" customHeight="1">
      <c r="A31" s="351"/>
      <c r="B31" s="1243" t="s">
        <v>1227</v>
      </c>
      <c r="C31" s="222"/>
      <c r="D31" s="1177">
        <v>0</v>
      </c>
      <c r="E31" s="1111"/>
      <c r="F31" s="1177">
        <v>0</v>
      </c>
      <c r="G31" s="1111"/>
      <c r="H31" s="1177">
        <v>0</v>
      </c>
      <c r="I31" s="260"/>
      <c r="J31" s="1959">
        <v>0</v>
      </c>
      <c r="K31" s="260"/>
      <c r="L31" s="1177">
        <v>0</v>
      </c>
      <c r="M31" s="260"/>
      <c r="N31" s="1823">
        <v>0</v>
      </c>
      <c r="O31" s="260"/>
      <c r="P31" s="1823">
        <v>0</v>
      </c>
      <c r="Q31" s="1146"/>
      <c r="R31" s="1823">
        <v>0</v>
      </c>
      <c r="S31" s="1146"/>
      <c r="T31" s="1823">
        <v>0</v>
      </c>
      <c r="U31" s="1146"/>
      <c r="V31" s="1823">
        <v>0</v>
      </c>
      <c r="W31" s="1146"/>
      <c r="X31" s="1823"/>
      <c r="Y31" s="1146"/>
      <c r="Z31" s="1823"/>
      <c r="AA31" s="366"/>
      <c r="AB31" s="237"/>
      <c r="AC31" s="260">
        <f t="shared" si="0"/>
        <v>0</v>
      </c>
      <c r="AD31" s="260"/>
      <c r="AE31" s="249"/>
      <c r="AF31" s="2522">
        <v>0</v>
      </c>
      <c r="AG31" s="260"/>
      <c r="AH31" s="1249"/>
      <c r="AI31" s="1146">
        <f t="shared" si="1"/>
        <v>0</v>
      </c>
      <c r="AJ31" s="1823"/>
      <c r="AK31" s="1780">
        <f t="shared" si="2"/>
        <v>0</v>
      </c>
    </row>
    <row r="32" spans="1:37" ht="15" customHeight="1">
      <c r="A32" s="351"/>
      <c r="B32" s="1243" t="s">
        <v>1228</v>
      </c>
      <c r="C32" s="222"/>
      <c r="D32" s="1111">
        <v>28.7</v>
      </c>
      <c r="E32" s="1111"/>
      <c r="F32" s="1111">
        <v>28.9</v>
      </c>
      <c r="G32" s="1111"/>
      <c r="H32" s="1111">
        <v>33.9</v>
      </c>
      <c r="I32" s="260"/>
      <c r="J32" s="1959">
        <v>29.2</v>
      </c>
      <c r="K32" s="260"/>
      <c r="L32" s="1111">
        <v>35</v>
      </c>
      <c r="M32" s="260"/>
      <c r="N32" s="1823">
        <v>36.200000000000003</v>
      </c>
      <c r="O32" s="260"/>
      <c r="P32" s="1823">
        <v>28.8</v>
      </c>
      <c r="Q32" s="1146"/>
      <c r="R32" s="1823">
        <v>32.1</v>
      </c>
      <c r="S32" s="1146"/>
      <c r="T32" s="1823">
        <v>31.6</v>
      </c>
      <c r="U32" s="1146"/>
      <c r="V32" s="1823">
        <v>27</v>
      </c>
      <c r="W32" s="1146"/>
      <c r="X32" s="1823"/>
      <c r="Y32" s="1146"/>
      <c r="Z32" s="1823"/>
      <c r="AA32" s="366"/>
      <c r="AB32" s="237"/>
      <c r="AC32" s="260">
        <f t="shared" si="0"/>
        <v>311.39999999999998</v>
      </c>
      <c r="AD32" s="260"/>
      <c r="AE32" s="249"/>
      <c r="AF32" s="85">
        <v>272.39999999999998</v>
      </c>
      <c r="AG32" s="260"/>
      <c r="AH32" s="1249"/>
      <c r="AI32" s="1146">
        <f t="shared" si="1"/>
        <v>39</v>
      </c>
      <c r="AJ32" s="1823"/>
      <c r="AK32" s="1780">
        <f t="shared" si="2"/>
        <v>0.14299999999999999</v>
      </c>
    </row>
    <row r="33" spans="1:37" ht="15" customHeight="1">
      <c r="A33" s="351"/>
      <c r="B33" s="1243" t="s">
        <v>1229</v>
      </c>
      <c r="C33" s="222"/>
      <c r="D33" s="1177">
        <v>0</v>
      </c>
      <c r="E33" s="1111"/>
      <c r="F33" s="1177">
        <v>0</v>
      </c>
      <c r="G33" s="1111"/>
      <c r="H33" s="1177">
        <v>0</v>
      </c>
      <c r="I33" s="260"/>
      <c r="J33" s="1959">
        <v>0</v>
      </c>
      <c r="K33" s="260"/>
      <c r="L33" s="1177">
        <v>0</v>
      </c>
      <c r="M33" s="260"/>
      <c r="N33" s="1823">
        <v>0</v>
      </c>
      <c r="O33" s="260"/>
      <c r="P33" s="1823">
        <v>0</v>
      </c>
      <c r="Q33" s="1146"/>
      <c r="R33" s="1823">
        <v>0</v>
      </c>
      <c r="S33" s="1146"/>
      <c r="T33" s="1823">
        <v>0</v>
      </c>
      <c r="U33" s="1146"/>
      <c r="V33" s="1823">
        <v>0</v>
      </c>
      <c r="W33" s="1146"/>
      <c r="X33" s="1823"/>
      <c r="Y33" s="1146"/>
      <c r="Z33" s="1823"/>
      <c r="AA33" s="366"/>
      <c r="AB33" s="237"/>
      <c r="AC33" s="260">
        <f t="shared" si="0"/>
        <v>0</v>
      </c>
      <c r="AD33" s="260"/>
      <c r="AE33" s="249"/>
      <c r="AF33" s="2522">
        <v>0</v>
      </c>
      <c r="AG33" s="260"/>
      <c r="AH33" s="1249"/>
      <c r="AI33" s="1146">
        <f t="shared" si="1"/>
        <v>0</v>
      </c>
      <c r="AJ33" s="1823"/>
      <c r="AK33" s="1780">
        <f t="shared" si="2"/>
        <v>0</v>
      </c>
    </row>
    <row r="34" spans="1:37" ht="15" customHeight="1">
      <c r="A34" s="351"/>
      <c r="B34" s="1243" t="s">
        <v>1230</v>
      </c>
      <c r="C34" s="222"/>
      <c r="D34" s="2924">
        <v>20.399999999999999</v>
      </c>
      <c r="E34" s="1111"/>
      <c r="F34" s="1111">
        <v>19.3</v>
      </c>
      <c r="G34" s="1111"/>
      <c r="H34" s="1111">
        <v>21.7</v>
      </c>
      <c r="I34" s="260"/>
      <c r="J34" s="1959">
        <v>29.8</v>
      </c>
      <c r="K34" s="260"/>
      <c r="L34" s="1111">
        <v>16.5</v>
      </c>
      <c r="M34" s="260"/>
      <c r="N34" s="1823">
        <v>24.4</v>
      </c>
      <c r="O34" s="260"/>
      <c r="P34" s="1823">
        <v>20.3</v>
      </c>
      <c r="Q34" s="1146"/>
      <c r="R34" s="1823">
        <v>20.6</v>
      </c>
      <c r="S34" s="1146"/>
      <c r="T34" s="1823">
        <v>22</v>
      </c>
      <c r="U34" s="1146"/>
      <c r="V34" s="1823">
        <v>32.4</v>
      </c>
      <c r="W34" s="1146"/>
      <c r="X34" s="1823"/>
      <c r="Y34" s="1146"/>
      <c r="Z34" s="1823"/>
      <c r="AA34" s="366"/>
      <c r="AB34" s="237"/>
      <c r="AC34" s="260">
        <f t="shared" si="0"/>
        <v>227.4</v>
      </c>
      <c r="AD34" s="260"/>
      <c r="AE34" s="249"/>
      <c r="AF34" s="85">
        <v>224</v>
      </c>
      <c r="AG34" s="260"/>
      <c r="AH34" s="1249"/>
      <c r="AI34" s="1146">
        <f t="shared" si="1"/>
        <v>3.4</v>
      </c>
      <c r="AJ34" s="1823"/>
      <c r="AK34" s="1780">
        <f t="shared" si="2"/>
        <v>1.4999999999999999E-2</v>
      </c>
    </row>
    <row r="35" spans="1:37" ht="15" customHeight="1">
      <c r="A35" s="351"/>
      <c r="B35" s="1243" t="s">
        <v>1231</v>
      </c>
      <c r="C35" s="222"/>
      <c r="D35" s="1177">
        <v>0</v>
      </c>
      <c r="E35" s="1111"/>
      <c r="F35" s="1177">
        <v>0</v>
      </c>
      <c r="G35" s="1111"/>
      <c r="H35" s="1177">
        <v>0</v>
      </c>
      <c r="I35" s="260"/>
      <c r="J35" s="1959">
        <v>0</v>
      </c>
      <c r="K35" s="260"/>
      <c r="L35" s="1177">
        <v>0</v>
      </c>
      <c r="M35" s="260"/>
      <c r="N35" s="1823">
        <v>0</v>
      </c>
      <c r="O35" s="260"/>
      <c r="P35" s="1823">
        <v>0</v>
      </c>
      <c r="Q35" s="1146"/>
      <c r="R35" s="1823">
        <v>0</v>
      </c>
      <c r="S35" s="1146"/>
      <c r="T35" s="1823">
        <v>0</v>
      </c>
      <c r="U35" s="1146"/>
      <c r="V35" s="1823">
        <v>0</v>
      </c>
      <c r="W35" s="1146"/>
      <c r="X35" s="1823"/>
      <c r="Y35" s="1146"/>
      <c r="Z35" s="1823"/>
      <c r="AA35" s="366"/>
      <c r="AB35" s="237"/>
      <c r="AC35" s="260">
        <f t="shared" si="0"/>
        <v>0</v>
      </c>
      <c r="AD35" s="260"/>
      <c r="AE35" s="249"/>
      <c r="AF35" s="1959">
        <v>0</v>
      </c>
      <c r="AG35" s="260"/>
      <c r="AH35" s="1249"/>
      <c r="AI35" s="1146">
        <f t="shared" si="1"/>
        <v>0</v>
      </c>
      <c r="AJ35" s="1823"/>
      <c r="AK35" s="1780">
        <f t="shared" si="2"/>
        <v>0</v>
      </c>
    </row>
    <row r="36" spans="1:37" ht="15" customHeight="1">
      <c r="A36" s="351"/>
      <c r="B36" s="2029" t="s">
        <v>1232</v>
      </c>
      <c r="C36" s="222"/>
      <c r="D36" s="1177">
        <v>0</v>
      </c>
      <c r="E36" s="1111"/>
      <c r="F36" s="1177">
        <v>0</v>
      </c>
      <c r="G36" s="1111"/>
      <c r="H36" s="1177">
        <v>0</v>
      </c>
      <c r="I36" s="260"/>
      <c r="J36" s="1959">
        <v>0</v>
      </c>
      <c r="K36" s="260"/>
      <c r="L36" s="1177">
        <v>0</v>
      </c>
      <c r="M36" s="260"/>
      <c r="N36" s="1823">
        <v>0</v>
      </c>
      <c r="O36" s="260"/>
      <c r="P36" s="1823">
        <v>0</v>
      </c>
      <c r="Q36" s="1146"/>
      <c r="R36" s="1823">
        <v>0</v>
      </c>
      <c r="S36" s="1146"/>
      <c r="T36" s="1823">
        <v>0</v>
      </c>
      <c r="U36" s="1146"/>
      <c r="V36" s="1823">
        <v>0</v>
      </c>
      <c r="W36" s="1146"/>
      <c r="X36" s="1823"/>
      <c r="Y36" s="1146"/>
      <c r="Z36" s="1823"/>
      <c r="AA36" s="366"/>
      <c r="AB36" s="237"/>
      <c r="AC36" s="260">
        <f t="shared" si="0"/>
        <v>0</v>
      </c>
      <c r="AD36" s="260"/>
      <c r="AE36" s="249"/>
      <c r="AF36" s="1959">
        <v>0</v>
      </c>
      <c r="AG36" s="260"/>
      <c r="AH36" s="1249"/>
      <c r="AI36" s="1146">
        <f t="shared" si="1"/>
        <v>0</v>
      </c>
      <c r="AJ36" s="1823"/>
      <c r="AK36" s="1780">
        <f t="shared" si="2"/>
        <v>0</v>
      </c>
    </row>
    <row r="37" spans="1:37" s="420" customFormat="1" ht="15" customHeight="1">
      <c r="A37" s="2014"/>
      <c r="B37" s="587" t="s">
        <v>1225</v>
      </c>
      <c r="C37" s="411"/>
      <c r="D37" s="482">
        <f>ROUND(SUM(D30:D36),1)</f>
        <v>547</v>
      </c>
      <c r="E37" s="1802"/>
      <c r="F37" s="482">
        <f>ROUND(SUM(F30:F36),1)</f>
        <v>522.9</v>
      </c>
      <c r="G37" s="1802"/>
      <c r="H37" s="482">
        <f>ROUND(SUM(H30:H36),1)</f>
        <v>711</v>
      </c>
      <c r="I37" s="1802"/>
      <c r="J37" s="1256">
        <f>ROUND(SUM(J30:J36),1)</f>
        <v>567.9</v>
      </c>
      <c r="K37" s="1802"/>
      <c r="L37" s="482">
        <f>ROUND(SUM(L30:L36),1)</f>
        <v>537.20000000000005</v>
      </c>
      <c r="M37" s="1802"/>
      <c r="N37" s="482">
        <f>ROUND(SUM(N30:N36),1)</f>
        <v>713.5</v>
      </c>
      <c r="O37" s="1802"/>
      <c r="P37" s="482">
        <f>ROUND(SUM(P30:P36),1)</f>
        <v>549.29999999999995</v>
      </c>
      <c r="Q37" s="1802"/>
      <c r="R37" s="482">
        <f>ROUND(SUM(R30:R36),1)</f>
        <v>551.70000000000005</v>
      </c>
      <c r="S37" s="1802"/>
      <c r="T37" s="482">
        <f>ROUND(SUM(T30:T36),1)</f>
        <v>686.8</v>
      </c>
      <c r="U37" s="1802"/>
      <c r="V37" s="482">
        <f>ROUND(SUM(V30:V36),1)</f>
        <v>594.79999999999995</v>
      </c>
      <c r="W37" s="1802"/>
      <c r="X37" s="482">
        <f>ROUND(SUM(X30:X36),1)</f>
        <v>0</v>
      </c>
      <c r="Y37" s="1802"/>
      <c r="Z37" s="482">
        <f>ROUND(SUM(Z30:Z36),1)</f>
        <v>0</v>
      </c>
      <c r="AA37" s="408"/>
      <c r="AB37" s="483"/>
      <c r="AC37" s="482">
        <f>ROUND(SUM(AC30:AC36),1)</f>
        <v>5982.1</v>
      </c>
      <c r="AD37" s="1802"/>
      <c r="AE37" s="258"/>
      <c r="AF37" s="1256">
        <f>ROUND(SUM(AF30:AF36),1)</f>
        <v>5722.5</v>
      </c>
      <c r="AG37" s="1802"/>
      <c r="AH37" s="1251"/>
      <c r="AI37" s="482">
        <f>ROUND(SUM(AI30:AI36),1)</f>
        <v>259.60000000000002</v>
      </c>
      <c r="AJ37" s="272"/>
      <c r="AK37" s="2016">
        <f>ROUND(SUM(+AI37/AF37),3)</f>
        <v>4.4999999999999998E-2</v>
      </c>
    </row>
    <row r="38" spans="1:37" s="420" customFormat="1" ht="15" customHeight="1">
      <c r="A38" s="2014"/>
      <c r="B38" s="1990" t="s">
        <v>1277</v>
      </c>
      <c r="C38" s="411"/>
      <c r="D38" s="272"/>
      <c r="E38" s="1802"/>
      <c r="F38" s="272"/>
      <c r="G38" s="1802"/>
      <c r="H38" s="272"/>
      <c r="I38" s="1802"/>
      <c r="J38" s="1959"/>
      <c r="K38" s="1802"/>
      <c r="L38" s="272"/>
      <c r="M38" s="1802"/>
      <c r="N38" s="272"/>
      <c r="O38" s="1802"/>
      <c r="P38" s="272"/>
      <c r="Q38" s="1802"/>
      <c r="R38" s="272"/>
      <c r="S38" s="1802"/>
      <c r="T38" s="272"/>
      <c r="U38" s="1802"/>
      <c r="V38" s="272"/>
      <c r="W38" s="1802"/>
      <c r="X38" s="272"/>
      <c r="Y38" s="1802"/>
      <c r="Z38" s="272"/>
      <c r="AA38" s="408"/>
      <c r="AB38" s="483"/>
      <c r="AC38" s="272"/>
      <c r="AD38" s="1802"/>
      <c r="AE38" s="258"/>
      <c r="AF38" s="314"/>
      <c r="AG38" s="1802"/>
      <c r="AH38" s="1251"/>
      <c r="AI38" s="272"/>
      <c r="AJ38" s="272"/>
      <c r="AK38" s="1988"/>
    </row>
    <row r="39" spans="1:37" s="420" customFormat="1" ht="15" customHeight="1">
      <c r="A39" s="2014"/>
      <c r="B39" s="1243" t="s">
        <v>1234</v>
      </c>
      <c r="C39" s="411"/>
      <c r="D39" s="1111">
        <v>123.8</v>
      </c>
      <c r="E39" s="1111"/>
      <c r="F39" s="1111">
        <v>60</v>
      </c>
      <c r="G39" s="1111"/>
      <c r="H39" s="1111">
        <v>514.5</v>
      </c>
      <c r="I39" s="1802"/>
      <c r="J39" s="1959">
        <v>64.2</v>
      </c>
      <c r="K39" s="1802"/>
      <c r="L39" s="1111">
        <v>-2.5</v>
      </c>
      <c r="M39" s="1802"/>
      <c r="N39" s="1823">
        <v>694.9</v>
      </c>
      <c r="O39" s="1802"/>
      <c r="P39" s="1823">
        <v>141.19999999999999</v>
      </c>
      <c r="Q39" s="1146"/>
      <c r="R39" s="1823">
        <v>-116.6</v>
      </c>
      <c r="S39" s="1146"/>
      <c r="T39" s="1823">
        <v>595.29999999999995</v>
      </c>
      <c r="U39" s="1146"/>
      <c r="V39" s="1823">
        <v>-3.2</v>
      </c>
      <c r="W39" s="1146"/>
      <c r="X39" s="1823"/>
      <c r="Y39" s="1146"/>
      <c r="Z39" s="1823"/>
      <c r="AA39" s="408"/>
      <c r="AB39" s="483"/>
      <c r="AC39" s="260">
        <f>ROUND(SUM(D39:Z39),1)</f>
        <v>2071.6</v>
      </c>
      <c r="AD39" s="1802"/>
      <c r="AE39" s="258"/>
      <c r="AF39" s="85">
        <v>2620.4</v>
      </c>
      <c r="AG39" s="1802"/>
      <c r="AH39" s="1251"/>
      <c r="AI39" s="1146">
        <f>ROUND(SUM(+AC39-AF39),1)</f>
        <v>-548.79999999999995</v>
      </c>
      <c r="AJ39" s="272"/>
      <c r="AK39" s="1780">
        <f>ROUND(IF(AF39=0,0,AI39/ABS(AF39)),3)</f>
        <v>-0.20899999999999999</v>
      </c>
    </row>
    <row r="40" spans="1:37" s="420" customFormat="1" ht="15" customHeight="1">
      <c r="A40" s="2014"/>
      <c r="B40" s="1243" t="s">
        <v>1235</v>
      </c>
      <c r="C40" s="411"/>
      <c r="D40" s="1111">
        <v>8.1</v>
      </c>
      <c r="E40" s="1111"/>
      <c r="F40" s="1111">
        <v>1.1000000000000001</v>
      </c>
      <c r="G40" s="1111"/>
      <c r="H40" s="1111">
        <v>94.7</v>
      </c>
      <c r="I40" s="1802"/>
      <c r="J40" s="1959">
        <v>1.5</v>
      </c>
      <c r="K40" s="1802"/>
      <c r="L40" s="1111">
        <v>0.2</v>
      </c>
      <c r="M40" s="1802"/>
      <c r="N40" s="1823">
        <v>106.1</v>
      </c>
      <c r="O40" s="1802"/>
      <c r="P40" s="1823">
        <v>4.2</v>
      </c>
      <c r="Q40" s="1146"/>
      <c r="R40" s="1823">
        <v>-1.7</v>
      </c>
      <c r="S40" s="1146"/>
      <c r="T40" s="1823">
        <v>141.1</v>
      </c>
      <c r="U40" s="1146"/>
      <c r="V40" s="1823">
        <v>4</v>
      </c>
      <c r="W40" s="1146"/>
      <c r="X40" s="1823"/>
      <c r="Y40" s="1146"/>
      <c r="Z40" s="1823"/>
      <c r="AA40" s="408"/>
      <c r="AB40" s="483"/>
      <c r="AC40" s="260">
        <f>ROUND(SUM(D40:Z40),1)</f>
        <v>359.3</v>
      </c>
      <c r="AD40" s="1802"/>
      <c r="AE40" s="258"/>
      <c r="AF40" s="85">
        <v>387.9</v>
      </c>
      <c r="AG40" s="1802"/>
      <c r="AH40" s="1251"/>
      <c r="AI40" s="1146">
        <f>ROUND(SUM(+AC40-AF40),1)</f>
        <v>-28.6</v>
      </c>
      <c r="AJ40" s="272"/>
      <c r="AK40" s="1780">
        <f>ROUND(IF(AF40=0,0,AI40/ABS(AF40)),3)</f>
        <v>-7.3999999999999996E-2</v>
      </c>
    </row>
    <row r="41" spans="1:37" s="420" customFormat="1" ht="15" customHeight="1">
      <c r="A41" s="2014"/>
      <c r="B41" s="1243" t="s">
        <v>1236</v>
      </c>
      <c r="C41" s="411"/>
      <c r="D41" s="1111">
        <v>18.2</v>
      </c>
      <c r="E41" s="1111"/>
      <c r="F41" s="1111">
        <v>20</v>
      </c>
      <c r="G41" s="1111"/>
      <c r="H41" s="1111">
        <v>286.89999999999998</v>
      </c>
      <c r="I41" s="1802"/>
      <c r="J41" s="1959">
        <v>2.9</v>
      </c>
      <c r="K41" s="1802"/>
      <c r="L41" s="1111">
        <v>13.5</v>
      </c>
      <c r="M41" s="1802"/>
      <c r="N41" s="1823">
        <v>280.8</v>
      </c>
      <c r="O41" s="1802"/>
      <c r="P41" s="1823">
        <v>0.6</v>
      </c>
      <c r="Q41" s="1146"/>
      <c r="R41" s="1823">
        <v>6.5</v>
      </c>
      <c r="S41" s="1146"/>
      <c r="T41" s="1823">
        <v>257.3</v>
      </c>
      <c r="U41" s="1146"/>
      <c r="V41" s="1823">
        <v>4.4000000000000004</v>
      </c>
      <c r="W41" s="1146"/>
      <c r="X41" s="1823"/>
      <c r="Y41" s="1146"/>
      <c r="Z41" s="1823"/>
      <c r="AA41" s="408"/>
      <c r="AB41" s="483"/>
      <c r="AC41" s="260">
        <f>ROUND(SUM(D41:Z41),1)</f>
        <v>891.1</v>
      </c>
      <c r="AD41" s="1802"/>
      <c r="AE41" s="258"/>
      <c r="AF41" s="85">
        <v>838</v>
      </c>
      <c r="AG41" s="1802"/>
      <c r="AH41" s="1251"/>
      <c r="AI41" s="1146">
        <f>ROUND(SUM(+AC41-AF41),1)</f>
        <v>53.1</v>
      </c>
      <c r="AJ41" s="272"/>
      <c r="AK41" s="1780">
        <f>ROUND(IF(AF41=0,0,AI41/ABS(AF41)),3)</f>
        <v>6.3E-2</v>
      </c>
    </row>
    <row r="42" spans="1:37" s="420" customFormat="1" ht="15" customHeight="1">
      <c r="A42" s="2014"/>
      <c r="B42" s="1243" t="s">
        <v>1237</v>
      </c>
      <c r="C42" s="411"/>
      <c r="D42" s="1111">
        <v>7.9</v>
      </c>
      <c r="E42" s="1111"/>
      <c r="F42" s="1111">
        <v>2.5</v>
      </c>
      <c r="G42" s="1111"/>
      <c r="H42" s="1111">
        <v>-24.8</v>
      </c>
      <c r="I42" s="1802"/>
      <c r="J42" s="1959">
        <v>2.8</v>
      </c>
      <c r="K42" s="1802"/>
      <c r="L42" s="1111">
        <v>30.6</v>
      </c>
      <c r="M42" s="1802"/>
      <c r="N42" s="1823">
        <v>-3.3</v>
      </c>
      <c r="O42" s="1802"/>
      <c r="P42" s="1823">
        <v>263.7</v>
      </c>
      <c r="Q42" s="1146"/>
      <c r="R42" s="1823">
        <v>-4.5999999999999996</v>
      </c>
      <c r="S42" s="1146"/>
      <c r="T42" s="1823">
        <v>51.4</v>
      </c>
      <c r="U42" s="1146"/>
      <c r="V42" s="1823">
        <v>-13.4</v>
      </c>
      <c r="W42" s="1146"/>
      <c r="X42" s="1823"/>
      <c r="Y42" s="1146"/>
      <c r="Z42" s="1823"/>
      <c r="AA42" s="408"/>
      <c r="AB42" s="483"/>
      <c r="AC42" s="260">
        <f>ROUND(SUM(D42:Z42),1)</f>
        <v>312.8</v>
      </c>
      <c r="AD42" s="1802"/>
      <c r="AE42" s="258"/>
      <c r="AF42" s="85">
        <v>-83.2</v>
      </c>
      <c r="AG42" s="1802"/>
      <c r="AH42" s="1251"/>
      <c r="AI42" s="1146">
        <f>ROUND(SUM(+AC42-AF42),1)</f>
        <v>396</v>
      </c>
      <c r="AJ42" s="272"/>
      <c r="AK42" s="1780">
        <f>ROUND(IF(AF42=0,0,AI42/ABS(AF42)),3)</f>
        <v>4.76</v>
      </c>
    </row>
    <row r="43" spans="1:37" s="420" customFormat="1" ht="15" customHeight="1">
      <c r="A43" s="2014"/>
      <c r="B43" s="1243" t="s">
        <v>1238</v>
      </c>
      <c r="C43" s="411"/>
      <c r="D43" s="1177">
        <v>0</v>
      </c>
      <c r="E43" s="1111"/>
      <c r="F43" s="1177">
        <v>0</v>
      </c>
      <c r="G43" s="1111"/>
      <c r="H43" s="1177">
        <v>0</v>
      </c>
      <c r="I43" s="1802"/>
      <c r="J43" s="314">
        <v>0</v>
      </c>
      <c r="K43" s="1802"/>
      <c r="L43" s="1177">
        <v>0</v>
      </c>
      <c r="M43" s="1802"/>
      <c r="N43" s="1823">
        <v>0</v>
      </c>
      <c r="O43" s="1802"/>
      <c r="P43" s="1823">
        <v>0</v>
      </c>
      <c r="Q43" s="1146"/>
      <c r="R43" s="1823">
        <v>0</v>
      </c>
      <c r="S43" s="1146"/>
      <c r="T43" s="1823">
        <v>0</v>
      </c>
      <c r="U43" s="1146"/>
      <c r="V43" s="1823">
        <v>0</v>
      </c>
      <c r="W43" s="1146"/>
      <c r="X43" s="1823"/>
      <c r="Y43" s="1146"/>
      <c r="Z43" s="1823"/>
      <c r="AA43" s="408"/>
      <c r="AB43" s="483"/>
      <c r="AC43" s="260">
        <f>ROUND(SUM(D43:Z43),1)</f>
        <v>0</v>
      </c>
      <c r="AD43" s="1802"/>
      <c r="AE43" s="258"/>
      <c r="AF43" s="2523">
        <v>0</v>
      </c>
      <c r="AG43" s="1802"/>
      <c r="AH43" s="1251"/>
      <c r="AI43" s="1146">
        <f>ROUND(SUM(+AC43-AF43),1)</f>
        <v>0</v>
      </c>
      <c r="AJ43" s="272"/>
      <c r="AK43" s="1780">
        <f>ROUND(IF(AF43=0,0,AI43/ABS(AF43)),3)</f>
        <v>0</v>
      </c>
    </row>
    <row r="44" spans="1:37" s="420" customFormat="1" ht="15" customHeight="1">
      <c r="A44" s="2014"/>
      <c r="B44" s="587" t="s">
        <v>1233</v>
      </c>
      <c r="C44" s="411"/>
      <c r="D44" s="1256">
        <f>ROUND(SUM(D39:D43),1)</f>
        <v>158</v>
      </c>
      <c r="E44" s="1802"/>
      <c r="F44" s="1256">
        <f>ROUND(SUM(F39:F43),1)</f>
        <v>83.6</v>
      </c>
      <c r="G44" s="1802"/>
      <c r="H44" s="1256">
        <f>ROUND(SUM(H39:H43),1)</f>
        <v>871.3</v>
      </c>
      <c r="I44" s="1802"/>
      <c r="J44" s="1256">
        <f>ROUND(SUM(J39:J43),1)</f>
        <v>71.400000000000006</v>
      </c>
      <c r="K44" s="1802"/>
      <c r="L44" s="1256">
        <f>ROUND(SUM(L39:L43),1)</f>
        <v>41.8</v>
      </c>
      <c r="M44" s="1802"/>
      <c r="N44" s="1256">
        <f>ROUND(SUM(N39:N43),1)</f>
        <v>1078.5</v>
      </c>
      <c r="O44" s="1802"/>
      <c r="P44" s="1256">
        <f>ROUND(SUM(P39:P43),1)</f>
        <v>409.7</v>
      </c>
      <c r="Q44" s="1802"/>
      <c r="R44" s="1256">
        <f>ROUND(SUM(R39:R43),1)</f>
        <v>-116.4</v>
      </c>
      <c r="S44" s="1802"/>
      <c r="T44" s="1256">
        <f>ROUND(SUM(T39:T43),1)</f>
        <v>1045.0999999999999</v>
      </c>
      <c r="U44" s="1802"/>
      <c r="V44" s="1256">
        <f>ROUND(SUM(V39:V43),1)</f>
        <v>-8.1999999999999993</v>
      </c>
      <c r="W44" s="1802"/>
      <c r="X44" s="1256">
        <f>ROUND(SUM(X39:X43),1)</f>
        <v>0</v>
      </c>
      <c r="Y44" s="1802"/>
      <c r="Z44" s="1256">
        <f>ROUND(SUM(Z39:Z43),1)</f>
        <v>0</v>
      </c>
      <c r="AA44" s="408"/>
      <c r="AB44" s="483"/>
      <c r="AC44" s="1256">
        <f>ROUND(SUM(AC39:AC43),1)</f>
        <v>3634.8</v>
      </c>
      <c r="AD44" s="1802"/>
      <c r="AE44" s="258"/>
      <c r="AF44" s="1256">
        <f>ROUND(SUM(AF39:AF43),1)</f>
        <v>3763.1</v>
      </c>
      <c r="AG44" s="1802"/>
      <c r="AH44" s="1251"/>
      <c r="AI44" s="1256">
        <f>ROUND(SUM(AI39:AI43),1)</f>
        <v>-128.30000000000001</v>
      </c>
      <c r="AJ44" s="272"/>
      <c r="AK44" s="2016">
        <f>ROUND(SUM(+AI44/AF44),3)</f>
        <v>-3.4000000000000002E-2</v>
      </c>
    </row>
    <row r="45" spans="1:37" s="420" customFormat="1" ht="15" customHeight="1">
      <c r="A45" s="2014"/>
      <c r="B45" s="1990" t="s">
        <v>1278</v>
      </c>
      <c r="C45" s="411"/>
      <c r="D45" s="272"/>
      <c r="E45" s="1802"/>
      <c r="F45" s="272"/>
      <c r="G45" s="1802"/>
      <c r="H45" s="272"/>
      <c r="I45" s="1802"/>
      <c r="J45" s="314"/>
      <c r="K45" s="1802"/>
      <c r="L45" s="272"/>
      <c r="M45" s="1802"/>
      <c r="N45" s="272"/>
      <c r="O45" s="1802"/>
      <c r="P45" s="272"/>
      <c r="Q45" s="1802"/>
      <c r="R45" s="272"/>
      <c r="S45" s="1802"/>
      <c r="T45" s="272"/>
      <c r="U45" s="1802"/>
      <c r="V45" s="272"/>
      <c r="W45" s="1802"/>
      <c r="X45" s="272"/>
      <c r="Y45" s="1802"/>
      <c r="Z45" s="272"/>
      <c r="AA45" s="408"/>
      <c r="AB45" s="483"/>
      <c r="AC45" s="272"/>
      <c r="AD45" s="1802"/>
      <c r="AE45" s="258"/>
      <c r="AF45" s="314"/>
      <c r="AG45" s="1802"/>
      <c r="AH45" s="1251"/>
      <c r="AI45" s="272"/>
      <c r="AJ45" s="272"/>
      <c r="AK45" s="1988"/>
    </row>
    <row r="46" spans="1:37" s="420" customFormat="1" ht="15" customHeight="1">
      <c r="A46" s="2014"/>
      <c r="B46" s="1243" t="s">
        <v>1241</v>
      </c>
      <c r="C46" s="411"/>
      <c r="D46" s="1177">
        <v>0</v>
      </c>
      <c r="E46" s="1111"/>
      <c r="F46" s="1177">
        <v>0</v>
      </c>
      <c r="G46" s="1111"/>
      <c r="H46" s="1177">
        <v>0</v>
      </c>
      <c r="I46" s="1802"/>
      <c r="J46" s="1959">
        <v>0</v>
      </c>
      <c r="K46" s="2925"/>
      <c r="L46" s="1177">
        <v>0</v>
      </c>
      <c r="M46" s="1802"/>
      <c r="N46" s="2940">
        <v>0</v>
      </c>
      <c r="O46" s="1802"/>
      <c r="P46" s="1823">
        <v>0</v>
      </c>
      <c r="Q46" s="1802"/>
      <c r="R46" s="1823">
        <v>0.1</v>
      </c>
      <c r="S46" s="1802"/>
      <c r="T46" s="1823">
        <v>0</v>
      </c>
      <c r="U46" s="2925"/>
      <c r="V46" s="1823">
        <v>0</v>
      </c>
      <c r="W46" s="2925"/>
      <c r="X46" s="1823"/>
      <c r="Y46" s="2925"/>
      <c r="Z46" s="1823"/>
      <c r="AA46" s="408"/>
      <c r="AB46" s="483"/>
      <c r="AC46" s="260">
        <f t="shared" ref="AC46:AC51" si="3">ROUND(SUM(D46:Z46),1)</f>
        <v>0.1</v>
      </c>
      <c r="AD46" s="1802"/>
      <c r="AE46" s="258"/>
      <c r="AF46" s="2522">
        <v>0</v>
      </c>
      <c r="AG46" s="1802"/>
      <c r="AH46" s="1251"/>
      <c r="AI46" s="1146">
        <f t="shared" ref="AI46:AI51" si="4">ROUND(SUM(+AC46-AF46),1)</f>
        <v>0.1</v>
      </c>
      <c r="AJ46" s="272"/>
      <c r="AK46" s="2679">
        <f>ROUND(IF(AF46=0,1,AI46/ABS(AF46)),3)</f>
        <v>1</v>
      </c>
    </row>
    <row r="47" spans="1:37" s="420" customFormat="1" ht="15" customHeight="1">
      <c r="A47" s="2014"/>
      <c r="B47" s="1243" t="s">
        <v>1242</v>
      </c>
      <c r="C47" s="411"/>
      <c r="D47" s="1111">
        <v>74.900000000000006</v>
      </c>
      <c r="E47" s="1111"/>
      <c r="F47" s="1111">
        <v>106.1</v>
      </c>
      <c r="G47" s="1111"/>
      <c r="H47" s="1111">
        <v>77.2</v>
      </c>
      <c r="I47" s="1802"/>
      <c r="J47" s="1959">
        <v>72.7</v>
      </c>
      <c r="K47" s="1802"/>
      <c r="L47" s="1111">
        <v>122</v>
      </c>
      <c r="M47" s="1802"/>
      <c r="N47" s="1823">
        <v>85.7</v>
      </c>
      <c r="O47" s="1802"/>
      <c r="P47" s="1823">
        <v>99</v>
      </c>
      <c r="Q47" s="1802"/>
      <c r="R47" s="1823">
        <v>92</v>
      </c>
      <c r="S47" s="1146"/>
      <c r="T47" s="1823">
        <v>156.80000000000001</v>
      </c>
      <c r="U47" s="1146"/>
      <c r="V47" s="1823">
        <v>62.9</v>
      </c>
      <c r="W47" s="1146"/>
      <c r="X47" s="1823"/>
      <c r="Y47" s="1146"/>
      <c r="Z47" s="1823"/>
      <c r="AA47" s="408"/>
      <c r="AB47" s="483"/>
      <c r="AC47" s="260">
        <f t="shared" si="3"/>
        <v>949.3</v>
      </c>
      <c r="AD47" s="1802"/>
      <c r="AE47" s="258"/>
      <c r="AF47" s="85">
        <v>1346.3</v>
      </c>
      <c r="AG47" s="1802"/>
      <c r="AH47" s="1251"/>
      <c r="AI47" s="1146">
        <f t="shared" si="4"/>
        <v>-397</v>
      </c>
      <c r="AJ47" s="272"/>
      <c r="AK47" s="1780">
        <f t="shared" ref="AK47:AK51" si="5">ROUND(IF(AF47=0,0,AI47/ABS(AF47)),3)</f>
        <v>-0.29499999999999998</v>
      </c>
    </row>
    <row r="48" spans="1:37" s="420" customFormat="1" ht="15" customHeight="1">
      <c r="A48" s="2014"/>
      <c r="B48" s="1243" t="s">
        <v>1243</v>
      </c>
      <c r="C48" s="411"/>
      <c r="D48" s="1111">
        <v>0.7</v>
      </c>
      <c r="E48" s="1111"/>
      <c r="F48" s="1111">
        <v>1.4</v>
      </c>
      <c r="G48" s="1111"/>
      <c r="H48" s="1111">
        <v>1.7</v>
      </c>
      <c r="I48" s="1802"/>
      <c r="J48" s="1959">
        <v>1.3</v>
      </c>
      <c r="K48" s="1802"/>
      <c r="L48" s="1111">
        <v>2.2999999999999998</v>
      </c>
      <c r="M48" s="1802"/>
      <c r="N48" s="1823">
        <v>2.2999999999999998</v>
      </c>
      <c r="O48" s="1802"/>
      <c r="P48" s="1823">
        <v>1.1000000000000001</v>
      </c>
      <c r="Q48" s="1802"/>
      <c r="R48" s="1823">
        <v>1.1000000000000001</v>
      </c>
      <c r="S48" s="1146"/>
      <c r="T48" s="1823">
        <v>1</v>
      </c>
      <c r="U48" s="1146"/>
      <c r="V48" s="1823">
        <v>0.7</v>
      </c>
      <c r="W48" s="1146"/>
      <c r="X48" s="1823"/>
      <c r="Y48" s="1146"/>
      <c r="Z48" s="1823"/>
      <c r="AA48" s="408"/>
      <c r="AB48" s="483"/>
      <c r="AC48" s="260">
        <f t="shared" si="3"/>
        <v>13.6</v>
      </c>
      <c r="AD48" s="1802"/>
      <c r="AE48" s="258"/>
      <c r="AF48" s="85">
        <v>14.9</v>
      </c>
      <c r="AG48" s="1802"/>
      <c r="AH48" s="1251"/>
      <c r="AI48" s="1146">
        <f t="shared" si="4"/>
        <v>-1.3</v>
      </c>
      <c r="AJ48" s="272"/>
      <c r="AK48" s="1780">
        <f t="shared" si="5"/>
        <v>-8.6999999999999994E-2</v>
      </c>
    </row>
    <row r="49" spans="1:37" s="420" customFormat="1" ht="15" customHeight="1">
      <c r="A49" s="2014"/>
      <c r="B49" s="1243" t="s">
        <v>1244</v>
      </c>
      <c r="C49" s="411"/>
      <c r="D49" s="1177">
        <v>0</v>
      </c>
      <c r="E49" s="1111"/>
      <c r="F49" s="1177">
        <v>0</v>
      </c>
      <c r="G49" s="1111"/>
      <c r="H49" s="1177">
        <v>0</v>
      </c>
      <c r="I49" s="1802"/>
      <c r="J49" s="1959">
        <v>0</v>
      </c>
      <c r="K49" s="1802"/>
      <c r="L49" s="1177">
        <v>0</v>
      </c>
      <c r="M49" s="1802"/>
      <c r="N49" s="1823">
        <v>0</v>
      </c>
      <c r="O49" s="1802"/>
      <c r="P49" s="1823">
        <v>0</v>
      </c>
      <c r="Q49" s="1802"/>
      <c r="R49" s="1823">
        <v>0</v>
      </c>
      <c r="S49" s="1802"/>
      <c r="T49" s="1823">
        <v>0</v>
      </c>
      <c r="U49" s="2925"/>
      <c r="V49" s="1823">
        <v>0</v>
      </c>
      <c r="W49" s="2925"/>
      <c r="X49" s="1823"/>
      <c r="Y49" s="2925"/>
      <c r="Z49" s="1823"/>
      <c r="AA49" s="408"/>
      <c r="AB49" s="483"/>
      <c r="AC49" s="260">
        <f t="shared" si="3"/>
        <v>0</v>
      </c>
      <c r="AD49" s="1802"/>
      <c r="AE49" s="258"/>
      <c r="AF49" s="2522">
        <v>0</v>
      </c>
      <c r="AG49" s="1802"/>
      <c r="AH49" s="1251"/>
      <c r="AI49" s="1146">
        <f t="shared" si="4"/>
        <v>0</v>
      </c>
      <c r="AJ49" s="272"/>
      <c r="AK49" s="2679">
        <f t="shared" si="5"/>
        <v>0</v>
      </c>
    </row>
    <row r="50" spans="1:37" s="420" customFormat="1" ht="15" customHeight="1">
      <c r="A50" s="2014"/>
      <c r="B50" s="1243" t="s">
        <v>1245</v>
      </c>
      <c r="C50" s="411"/>
      <c r="D50" s="1177">
        <v>0</v>
      </c>
      <c r="E50" s="1111"/>
      <c r="F50" s="1177">
        <v>0.1</v>
      </c>
      <c r="G50" s="1111"/>
      <c r="H50" s="1177">
        <v>0</v>
      </c>
      <c r="I50" s="1802"/>
      <c r="J50" s="1959">
        <v>0.1</v>
      </c>
      <c r="K50" s="1802"/>
      <c r="L50" s="1177">
        <v>0.4</v>
      </c>
      <c r="M50" s="1802"/>
      <c r="N50" s="1823">
        <v>0.3</v>
      </c>
      <c r="O50" s="1802"/>
      <c r="P50" s="1823">
        <v>0</v>
      </c>
      <c r="Q50" s="1802"/>
      <c r="R50" s="1823">
        <v>1.6</v>
      </c>
      <c r="S50" s="1802"/>
      <c r="T50" s="1823">
        <v>-0.1</v>
      </c>
      <c r="U50" s="1146"/>
      <c r="V50" s="1823">
        <v>0.1</v>
      </c>
      <c r="W50" s="1146"/>
      <c r="X50" s="1823"/>
      <c r="Y50" s="1802"/>
      <c r="Z50" s="1823"/>
      <c r="AA50" s="408"/>
      <c r="AB50" s="483"/>
      <c r="AC50" s="260">
        <f t="shared" si="3"/>
        <v>2.5</v>
      </c>
      <c r="AD50" s="1802"/>
      <c r="AE50" s="258"/>
      <c r="AF50" s="2524">
        <v>1.4</v>
      </c>
      <c r="AG50" s="1802"/>
      <c r="AH50" s="1251"/>
      <c r="AI50" s="1146">
        <f t="shared" si="4"/>
        <v>1.1000000000000001</v>
      </c>
      <c r="AJ50" s="272"/>
      <c r="AK50" s="1780">
        <f t="shared" si="5"/>
        <v>0.78600000000000003</v>
      </c>
    </row>
    <row r="51" spans="1:37" s="420" customFormat="1" ht="15" customHeight="1">
      <c r="A51" s="2014"/>
      <c r="B51" s="2029" t="s">
        <v>1343</v>
      </c>
      <c r="C51" s="411"/>
      <c r="D51" s="1177">
        <v>0</v>
      </c>
      <c r="E51" s="1111"/>
      <c r="F51" s="1177">
        <v>0</v>
      </c>
      <c r="G51" s="1111"/>
      <c r="H51" s="1177">
        <v>0</v>
      </c>
      <c r="I51" s="1802"/>
      <c r="J51" s="1959">
        <v>0</v>
      </c>
      <c r="K51" s="1802"/>
      <c r="L51" s="1177">
        <v>0</v>
      </c>
      <c r="M51" s="1802"/>
      <c r="N51" s="1823">
        <v>0</v>
      </c>
      <c r="O51" s="1802"/>
      <c r="P51" s="1823">
        <v>0</v>
      </c>
      <c r="Q51" s="1802"/>
      <c r="R51" s="1823">
        <v>0</v>
      </c>
      <c r="S51" s="1802"/>
      <c r="T51" s="1823">
        <v>0</v>
      </c>
      <c r="U51" s="2925"/>
      <c r="V51" s="1823">
        <v>0</v>
      </c>
      <c r="W51" s="2925"/>
      <c r="X51" s="1823"/>
      <c r="Y51" s="2925"/>
      <c r="Z51" s="1823"/>
      <c r="AA51" s="408"/>
      <c r="AB51" s="483"/>
      <c r="AC51" s="260">
        <f t="shared" si="3"/>
        <v>0</v>
      </c>
      <c r="AD51" s="1802"/>
      <c r="AE51" s="258"/>
      <c r="AF51" s="2523">
        <v>0</v>
      </c>
      <c r="AG51" s="1802"/>
      <c r="AH51" s="1251"/>
      <c r="AI51" s="1146">
        <f t="shared" si="4"/>
        <v>0</v>
      </c>
      <c r="AJ51" s="272"/>
      <c r="AK51" s="1780">
        <f t="shared" si="5"/>
        <v>0</v>
      </c>
    </row>
    <row r="52" spans="1:37" s="420" customFormat="1" ht="15" customHeight="1">
      <c r="A52" s="2014"/>
      <c r="B52" s="587" t="s">
        <v>1239</v>
      </c>
      <c r="C52" s="411"/>
      <c r="D52" s="1256">
        <f>ROUND(SUM(D46:D51),1)</f>
        <v>75.599999999999994</v>
      </c>
      <c r="E52" s="1802"/>
      <c r="F52" s="1256">
        <f>ROUND(SUM(F46:F51),1)</f>
        <v>107.6</v>
      </c>
      <c r="G52" s="1802"/>
      <c r="H52" s="1256">
        <f>ROUND(SUM(H46:H51),1)</f>
        <v>78.900000000000006</v>
      </c>
      <c r="I52" s="1802"/>
      <c r="J52" s="1256">
        <f>ROUND(SUM(J46:J51),1)</f>
        <v>74.099999999999994</v>
      </c>
      <c r="K52" s="1802"/>
      <c r="L52" s="1256">
        <f>ROUND(SUM(L46:L51),1)</f>
        <v>124.7</v>
      </c>
      <c r="M52" s="1802"/>
      <c r="N52" s="1256">
        <f>ROUND(SUM(N46:N51),1)</f>
        <v>88.3</v>
      </c>
      <c r="O52" s="1802"/>
      <c r="P52" s="1256">
        <f>ROUND(SUM(P46:P51),1)</f>
        <v>100.1</v>
      </c>
      <c r="Q52" s="1802"/>
      <c r="R52" s="1256">
        <f>ROUND(SUM(R46:R51),1)</f>
        <v>94.8</v>
      </c>
      <c r="S52" s="1802"/>
      <c r="T52" s="1256">
        <f>ROUND(SUM(T46:T51),1)</f>
        <v>157.69999999999999</v>
      </c>
      <c r="U52" s="1802"/>
      <c r="V52" s="1256">
        <f>ROUND(SUM(V46:V51),1)</f>
        <v>63.7</v>
      </c>
      <c r="W52" s="1802"/>
      <c r="X52" s="1256">
        <f>ROUND(SUM(X46:X51),1)</f>
        <v>0</v>
      </c>
      <c r="Y52" s="1802"/>
      <c r="Z52" s="1256">
        <f>ROUND(SUM(Z46:Z51),1)</f>
        <v>0</v>
      </c>
      <c r="AA52" s="408"/>
      <c r="AB52" s="483"/>
      <c r="AC52" s="2941">
        <f>ROUND(SUM(AC46:AC51),1)</f>
        <v>965.5</v>
      </c>
      <c r="AD52" s="1802"/>
      <c r="AE52" s="258"/>
      <c r="AF52" s="1256">
        <f>ROUND(SUM(AF46:AF51),1)</f>
        <v>1362.6</v>
      </c>
      <c r="AG52" s="1802"/>
      <c r="AH52" s="1251"/>
      <c r="AI52" s="1256">
        <f>ROUND(SUM(AI46:AI51),1)</f>
        <v>-397.1</v>
      </c>
      <c r="AJ52" s="272"/>
      <c r="AK52" s="2016">
        <f>ROUND(SUM(+AI52/AF52),3)</f>
        <v>-0.29099999999999998</v>
      </c>
    </row>
    <row r="53" spans="1:37" s="420" customFormat="1" ht="15" customHeight="1">
      <c r="A53" s="2014"/>
      <c r="B53" s="587"/>
      <c r="C53" s="411"/>
      <c r="D53" s="272"/>
      <c r="E53" s="1802"/>
      <c r="F53" s="272"/>
      <c r="G53" s="272"/>
      <c r="H53" s="272"/>
      <c r="I53" s="272"/>
      <c r="J53" s="314"/>
      <c r="K53" s="272"/>
      <c r="L53" s="272"/>
      <c r="M53" s="272"/>
      <c r="N53" s="272"/>
      <c r="O53" s="272"/>
      <c r="P53" s="272"/>
      <c r="Q53" s="272"/>
      <c r="R53" s="272"/>
      <c r="S53" s="272"/>
      <c r="T53" s="272"/>
      <c r="U53" s="272"/>
      <c r="V53" s="272"/>
      <c r="W53" s="272"/>
      <c r="X53" s="314"/>
      <c r="Y53" s="272"/>
      <c r="Z53" s="272"/>
      <c r="AA53" s="408"/>
      <c r="AB53" s="483"/>
      <c r="AC53" s="272"/>
      <c r="AD53" s="1802"/>
      <c r="AE53" s="258"/>
      <c r="AF53" s="314"/>
      <c r="AG53" s="1802"/>
      <c r="AH53" s="1251"/>
      <c r="AI53" s="272"/>
      <c r="AJ53" s="272"/>
      <c r="AK53" s="1988"/>
    </row>
    <row r="54" spans="1:37" ht="15" customHeight="1">
      <c r="A54" s="351"/>
      <c r="B54" s="587" t="s">
        <v>1240</v>
      </c>
      <c r="C54" s="222"/>
      <c r="D54" s="614">
        <f>ROUND(SUM(D28+D37+D44+D52),1)</f>
        <v>5567.1</v>
      </c>
      <c r="E54" s="260"/>
      <c r="F54" s="614">
        <f>ROUND(SUM(F28+F37+F44+F52),1)</f>
        <v>2353.3000000000002</v>
      </c>
      <c r="G54" s="260"/>
      <c r="H54" s="614">
        <f>ROUND(SUM(H28+H37+H44+H52),1)</f>
        <v>4784</v>
      </c>
      <c r="I54" s="260"/>
      <c r="J54" s="614">
        <f>ROUND(SUM(J28+J37+J44+J52),1)</f>
        <v>2634.7</v>
      </c>
      <c r="K54" s="260"/>
      <c r="L54" s="614">
        <f>ROUND(SUM(L28+L37+L44+L52),1)</f>
        <v>2908.6</v>
      </c>
      <c r="M54" s="260"/>
      <c r="N54" s="614">
        <f>ROUND(SUM(N28+N37+N44+N52),1)</f>
        <v>5300.2</v>
      </c>
      <c r="O54" s="260"/>
      <c r="P54" s="614">
        <f>ROUND(SUM(P28+P37+P44+P52),1)</f>
        <v>2954</v>
      </c>
      <c r="Q54" s="260"/>
      <c r="R54" s="614">
        <f>ROUND(SUM(R28+R37+R44+R52),1)</f>
        <v>2089.8000000000002</v>
      </c>
      <c r="S54" s="260"/>
      <c r="T54" s="614">
        <f>ROUND(SUM(T28+T37+T44+T52),1)</f>
        <v>5346.6</v>
      </c>
      <c r="U54" s="260"/>
      <c r="V54" s="614">
        <f>ROUND(SUM(V28+V37+V44+V52),1)</f>
        <v>4102.8999999999996</v>
      </c>
      <c r="W54" s="260"/>
      <c r="X54" s="614">
        <f>ROUND(SUM(X28+X37+X44+X52),1)</f>
        <v>0</v>
      </c>
      <c r="Y54" s="260"/>
      <c r="Z54" s="614">
        <f>ROUND(SUM(Z28+Z37+Z44+Z52),1)</f>
        <v>0</v>
      </c>
      <c r="AA54" s="366"/>
      <c r="AB54" s="237"/>
      <c r="AC54" s="614">
        <f>ROUND(SUM(AC28+AC37+AC44+AC52),1)</f>
        <v>38041.199999999997</v>
      </c>
      <c r="AD54" s="260"/>
      <c r="AE54" s="249"/>
      <c r="AF54" s="614">
        <f>ROUND(SUM(AF28+AF37+AF44+AF52),1)</f>
        <v>38451.199999999997</v>
      </c>
      <c r="AG54" s="260"/>
      <c r="AH54" s="1249"/>
      <c r="AI54" s="614">
        <f>ROUND(SUM(AI28+AI37+AI44+AI52),1)</f>
        <v>-410</v>
      </c>
      <c r="AJ54" s="1823"/>
      <c r="AK54" s="523">
        <f>ROUND(SUM(+AI54/AF54),3)</f>
        <v>-1.0999999999999999E-2</v>
      </c>
    </row>
    <row r="55" spans="1:37" ht="8.25" customHeight="1">
      <c r="A55" s="351"/>
      <c r="B55" s="1321"/>
      <c r="C55" s="222"/>
      <c r="D55" s="260"/>
      <c r="E55" s="260"/>
      <c r="F55" s="260"/>
      <c r="G55" s="260"/>
      <c r="H55" s="260"/>
      <c r="I55" s="260"/>
      <c r="J55" s="317"/>
      <c r="K55" s="260"/>
      <c r="L55" s="260"/>
      <c r="M55" s="260"/>
      <c r="N55" s="260"/>
      <c r="O55" s="260"/>
      <c r="P55" s="260"/>
      <c r="Q55" s="260"/>
      <c r="R55" s="260"/>
      <c r="S55" s="260"/>
      <c r="T55" s="260"/>
      <c r="U55" s="260"/>
      <c r="V55" s="260"/>
      <c r="W55" s="260"/>
      <c r="X55" s="260"/>
      <c r="Y55" s="260"/>
      <c r="Z55" s="260"/>
      <c r="AA55" s="366"/>
      <c r="AB55" s="237"/>
      <c r="AC55" s="260"/>
      <c r="AD55" s="260"/>
      <c r="AE55" s="249"/>
      <c r="AF55" s="317"/>
      <c r="AG55" s="260"/>
      <c r="AH55" s="1249"/>
      <c r="AI55" s="1146"/>
      <c r="AJ55" s="1823"/>
      <c r="AK55" s="1847"/>
    </row>
    <row r="56" spans="1:37" ht="15" customHeight="1">
      <c r="A56" s="351"/>
      <c r="B56" s="488" t="s">
        <v>1157</v>
      </c>
      <c r="C56" s="1746"/>
      <c r="D56" s="1146"/>
      <c r="E56" s="1148"/>
      <c r="F56" s="260"/>
      <c r="G56" s="1148"/>
      <c r="H56" s="260"/>
      <c r="I56" s="260"/>
      <c r="J56" s="317"/>
      <c r="K56" s="260"/>
      <c r="L56" s="260"/>
      <c r="M56" s="260"/>
      <c r="N56" s="260"/>
      <c r="O56" s="260"/>
      <c r="P56" s="260"/>
      <c r="Q56" s="260"/>
      <c r="R56" s="260"/>
      <c r="S56" s="260"/>
      <c r="T56" s="260"/>
      <c r="U56" s="260"/>
      <c r="V56" s="260"/>
      <c r="W56" s="260"/>
      <c r="X56" s="260"/>
      <c r="Y56" s="260"/>
      <c r="Z56" s="260"/>
      <c r="AA56" s="366"/>
      <c r="AB56" s="237"/>
      <c r="AC56" s="260"/>
      <c r="AD56" s="260"/>
      <c r="AE56" s="249"/>
      <c r="AF56" s="317"/>
      <c r="AG56" s="260"/>
      <c r="AH56" s="1249"/>
      <c r="AI56" s="1146"/>
      <c r="AJ56" s="1823"/>
      <c r="AK56" s="1847"/>
    </row>
    <row r="57" spans="1:37" ht="15" customHeight="1">
      <c r="A57" s="351"/>
      <c r="B57" s="1748" t="s">
        <v>1269</v>
      </c>
      <c r="C57" s="1746"/>
      <c r="D57" s="1146"/>
      <c r="E57" s="1148"/>
      <c r="F57" s="260"/>
      <c r="G57" s="1148"/>
      <c r="H57" s="260"/>
      <c r="I57" s="260"/>
      <c r="J57" s="317"/>
      <c r="K57" s="260"/>
      <c r="L57" s="260"/>
      <c r="M57" s="260"/>
      <c r="N57" s="260"/>
      <c r="O57" s="260"/>
      <c r="P57" s="260"/>
      <c r="Q57" s="260"/>
      <c r="R57" s="260"/>
      <c r="S57" s="260"/>
      <c r="T57" s="260"/>
      <c r="U57" s="260"/>
      <c r="V57" s="260"/>
      <c r="W57" s="260"/>
      <c r="X57" s="260"/>
      <c r="Y57" s="260"/>
      <c r="Z57" s="260"/>
      <c r="AA57" s="366"/>
      <c r="AB57" s="237"/>
      <c r="AC57" s="260"/>
      <c r="AD57" s="260"/>
      <c r="AE57" s="249"/>
      <c r="AF57" s="1751" t="s">
        <v>189</v>
      </c>
      <c r="AG57" s="260"/>
      <c r="AH57" s="1249"/>
      <c r="AI57" s="1146"/>
      <c r="AJ57" s="1823"/>
      <c r="AK57" s="1847"/>
    </row>
    <row r="58" spans="1:37" ht="15" customHeight="1">
      <c r="A58" s="351"/>
      <c r="B58" s="1748" t="s">
        <v>1498</v>
      </c>
      <c r="C58" s="1748"/>
      <c r="D58" s="1146">
        <v>0</v>
      </c>
      <c r="E58" s="1148"/>
      <c r="F58" s="1146">
        <v>0</v>
      </c>
      <c r="G58" s="1148"/>
      <c r="H58" s="260">
        <v>0</v>
      </c>
      <c r="I58" s="260"/>
      <c r="J58" s="317">
        <v>0</v>
      </c>
      <c r="K58" s="260"/>
      <c r="L58" s="260">
        <v>0</v>
      </c>
      <c r="M58" s="260"/>
      <c r="N58" s="260">
        <v>38.200000000000003</v>
      </c>
      <c r="O58" s="260"/>
      <c r="P58" s="260">
        <v>29.3</v>
      </c>
      <c r="Q58" s="260"/>
      <c r="R58" s="260">
        <v>158.9</v>
      </c>
      <c r="S58" s="260"/>
      <c r="T58" s="260">
        <v>49.3</v>
      </c>
      <c r="U58" s="260"/>
      <c r="V58" s="260">
        <v>0</v>
      </c>
      <c r="W58" s="260"/>
      <c r="X58" s="260"/>
      <c r="Y58" s="260"/>
      <c r="Z58" s="260"/>
      <c r="AA58" s="366"/>
      <c r="AB58" s="237"/>
      <c r="AC58" s="260">
        <f t="shared" ref="AC58:AC89" si="6">ROUND(SUM(D58:Z58),1)</f>
        <v>275.7</v>
      </c>
      <c r="AD58" s="260"/>
      <c r="AE58" s="249"/>
      <c r="AF58" s="1751">
        <v>233.4</v>
      </c>
      <c r="AG58" s="260"/>
      <c r="AH58" s="1249"/>
      <c r="AI58" s="1146">
        <f>ROUND(SUM(+AC58-AF58),1)</f>
        <v>42.3</v>
      </c>
      <c r="AJ58" s="1823"/>
      <c r="AK58" s="2734">
        <f>ROUND(IF(AF58=0,0,AI58/ABS(AF58)),3)</f>
        <v>0.18099999999999999</v>
      </c>
    </row>
    <row r="59" spans="1:37" ht="15" customHeight="1">
      <c r="A59" s="351"/>
      <c r="B59" s="1748" t="s">
        <v>1499</v>
      </c>
      <c r="C59" s="1748"/>
      <c r="D59" s="1146">
        <v>-0.3</v>
      </c>
      <c r="E59" s="1148"/>
      <c r="F59" s="260">
        <v>0.1</v>
      </c>
      <c r="G59" s="1148"/>
      <c r="H59" s="317">
        <v>8.1</v>
      </c>
      <c r="I59" s="260"/>
      <c r="J59" s="317">
        <v>0.1</v>
      </c>
      <c r="K59" s="260"/>
      <c r="L59" s="260">
        <v>0.1</v>
      </c>
      <c r="M59" s="260"/>
      <c r="N59" s="260">
        <v>36.5</v>
      </c>
      <c r="O59" s="260"/>
      <c r="P59" s="260">
        <v>0.8</v>
      </c>
      <c r="Q59" s="260"/>
      <c r="R59" s="260">
        <v>0.3</v>
      </c>
      <c r="S59" s="260"/>
      <c r="T59" s="260">
        <v>17.600000000000001</v>
      </c>
      <c r="U59" s="260"/>
      <c r="V59" s="260">
        <v>2.7</v>
      </c>
      <c r="W59" s="260"/>
      <c r="X59" s="260"/>
      <c r="Y59" s="260"/>
      <c r="Z59" s="260"/>
      <c r="AA59" s="366"/>
      <c r="AB59" s="237"/>
      <c r="AC59" s="260">
        <f t="shared" si="6"/>
        <v>66</v>
      </c>
      <c r="AD59" s="260"/>
      <c r="AE59" s="249"/>
      <c r="AF59" s="317">
        <v>60.1</v>
      </c>
      <c r="AG59" s="260"/>
      <c r="AH59" s="1249"/>
      <c r="AI59" s="1146">
        <f>ROUND(SUM(+AC59-AF59),1)</f>
        <v>5.9</v>
      </c>
      <c r="AJ59" s="1823"/>
      <c r="AK59" s="1780">
        <f>ROUND(IF(AF59=0,0,AI59/ABS(AF59)),3)</f>
        <v>9.8000000000000004E-2</v>
      </c>
    </row>
    <row r="60" spans="1:37" ht="15" customHeight="1">
      <c r="A60" s="351"/>
      <c r="B60" s="1748" t="s">
        <v>1270</v>
      </c>
      <c r="C60" s="1748"/>
      <c r="D60" s="1146"/>
      <c r="E60" s="1148"/>
      <c r="F60" s="260"/>
      <c r="G60" s="1148"/>
      <c r="H60" s="260"/>
      <c r="I60" s="260"/>
      <c r="J60" s="317"/>
      <c r="K60" s="260"/>
      <c r="L60" s="260"/>
      <c r="M60" s="260"/>
      <c r="N60" s="260"/>
      <c r="O60" s="260"/>
      <c r="P60" s="260"/>
      <c r="Q60" s="260"/>
      <c r="R60" s="260"/>
      <c r="S60" s="260"/>
      <c r="T60" s="260"/>
      <c r="U60" s="260"/>
      <c r="V60" s="260"/>
      <c r="W60" s="260"/>
      <c r="X60" s="260"/>
      <c r="Y60" s="260"/>
      <c r="Z60" s="260"/>
      <c r="AA60" s="366"/>
      <c r="AB60" s="237"/>
      <c r="AC60" s="260"/>
      <c r="AD60" s="260"/>
      <c r="AE60" s="249"/>
      <c r="AF60" s="317"/>
      <c r="AG60" s="260"/>
      <c r="AH60" s="1249"/>
      <c r="AI60" s="1146"/>
      <c r="AJ60" s="1823"/>
      <c r="AK60" s="1847"/>
    </row>
    <row r="61" spans="1:37" ht="15" customHeight="1">
      <c r="A61" s="351"/>
      <c r="B61" s="1748" t="s">
        <v>1500</v>
      </c>
      <c r="C61" s="1748"/>
      <c r="D61" s="1146">
        <v>0</v>
      </c>
      <c r="E61" s="1148"/>
      <c r="F61" s="260">
        <v>250</v>
      </c>
      <c r="G61" s="1148"/>
      <c r="H61" s="260">
        <v>0</v>
      </c>
      <c r="I61" s="260"/>
      <c r="J61" s="317">
        <v>0</v>
      </c>
      <c r="K61" s="260"/>
      <c r="L61" s="260">
        <v>0</v>
      </c>
      <c r="M61" s="260"/>
      <c r="N61" s="260">
        <v>0</v>
      </c>
      <c r="O61" s="260"/>
      <c r="P61" s="260">
        <v>0</v>
      </c>
      <c r="Q61" s="260"/>
      <c r="R61" s="260">
        <v>0</v>
      </c>
      <c r="S61" s="260"/>
      <c r="T61" s="260">
        <v>0</v>
      </c>
      <c r="U61" s="260"/>
      <c r="V61" s="260">
        <v>0</v>
      </c>
      <c r="W61" s="260"/>
      <c r="X61" s="260"/>
      <c r="Y61" s="260"/>
      <c r="Z61" s="260"/>
      <c r="AA61" s="366"/>
      <c r="AB61" s="237"/>
      <c r="AC61" s="260">
        <f t="shared" si="6"/>
        <v>250</v>
      </c>
      <c r="AD61" s="260"/>
      <c r="AE61" s="249"/>
      <c r="AF61" s="317">
        <v>250</v>
      </c>
      <c r="AG61" s="260"/>
      <c r="AH61" s="1249"/>
      <c r="AI61" s="1146">
        <f>ROUND(SUM(+AC61-AF61),1)</f>
        <v>0</v>
      </c>
      <c r="AJ61" s="1823"/>
      <c r="AK61" s="1780">
        <f>ROUND(IF(AF61=0,0,AI61/ABS(AF61)),3)</f>
        <v>0</v>
      </c>
    </row>
    <row r="62" spans="1:37" ht="15" customHeight="1">
      <c r="A62" s="351"/>
      <c r="B62" s="1748" t="s">
        <v>1501</v>
      </c>
      <c r="C62" s="1748"/>
      <c r="D62" s="1146">
        <v>6.5</v>
      </c>
      <c r="E62" s="1148"/>
      <c r="F62" s="260">
        <v>2.2000000000000002</v>
      </c>
      <c r="G62" s="1148"/>
      <c r="H62" s="260">
        <v>4.8</v>
      </c>
      <c r="I62" s="260"/>
      <c r="J62" s="317">
        <v>0</v>
      </c>
      <c r="K62" s="260"/>
      <c r="L62" s="260">
        <v>14.2</v>
      </c>
      <c r="M62" s="260"/>
      <c r="N62" s="260">
        <v>2.7</v>
      </c>
      <c r="O62" s="260"/>
      <c r="P62" s="260">
        <v>2</v>
      </c>
      <c r="Q62" s="260"/>
      <c r="R62" s="260">
        <v>0</v>
      </c>
      <c r="S62" s="260"/>
      <c r="T62" s="260">
        <v>8.1999999999999993</v>
      </c>
      <c r="U62" s="260"/>
      <c r="V62" s="260">
        <v>3.2</v>
      </c>
      <c r="W62" s="260"/>
      <c r="X62" s="260"/>
      <c r="Y62" s="260"/>
      <c r="Z62" s="260"/>
      <c r="AA62" s="366"/>
      <c r="AB62" s="237"/>
      <c r="AC62" s="260">
        <f t="shared" si="6"/>
        <v>43.8</v>
      </c>
      <c r="AD62" s="260"/>
      <c r="AE62" s="249"/>
      <c r="AF62" s="317">
        <v>65.599999999999994</v>
      </c>
      <c r="AG62" s="260"/>
      <c r="AH62" s="1249"/>
      <c r="AI62" s="1146">
        <f>ROUND(SUM(+AC62-AF62),1)</f>
        <v>-21.8</v>
      </c>
      <c r="AJ62" s="1823"/>
      <c r="AK62" s="1780">
        <f>ROUND(IF(AF62=0,0,AI62/ABS(AF62)),3)</f>
        <v>-0.33200000000000002</v>
      </c>
    </row>
    <row r="63" spans="1:37" ht="15" customHeight="1">
      <c r="A63" s="351"/>
      <c r="B63" s="1748" t="s">
        <v>1502</v>
      </c>
      <c r="C63" s="1748"/>
      <c r="D63" s="1146">
        <v>0</v>
      </c>
      <c r="E63" s="1148"/>
      <c r="F63" s="1146">
        <v>0</v>
      </c>
      <c r="G63" s="1148"/>
      <c r="H63" s="260">
        <v>0</v>
      </c>
      <c r="I63" s="260"/>
      <c r="J63" s="317">
        <v>0</v>
      </c>
      <c r="K63" s="260"/>
      <c r="L63" s="260">
        <v>0</v>
      </c>
      <c r="M63" s="260"/>
      <c r="N63" s="260">
        <v>55.7</v>
      </c>
      <c r="O63" s="260"/>
      <c r="P63" s="260">
        <v>0</v>
      </c>
      <c r="Q63" s="260"/>
      <c r="R63" s="260">
        <v>0</v>
      </c>
      <c r="S63" s="260"/>
      <c r="T63" s="260">
        <v>2.5</v>
      </c>
      <c r="U63" s="260"/>
      <c r="V63" s="2925">
        <v>0</v>
      </c>
      <c r="W63" s="260"/>
      <c r="X63" s="260"/>
      <c r="Y63" s="260"/>
      <c r="Z63" s="260"/>
      <c r="AA63" s="366"/>
      <c r="AB63" s="237"/>
      <c r="AC63" s="260">
        <f t="shared" si="6"/>
        <v>58.2</v>
      </c>
      <c r="AD63" s="260"/>
      <c r="AE63" s="249"/>
      <c r="AF63" s="2574">
        <v>132.19999999999999</v>
      </c>
      <c r="AG63" s="260"/>
      <c r="AH63" s="1249"/>
      <c r="AI63" s="1146">
        <f>ROUND(SUM(+AC63-AF63),1)</f>
        <v>-74</v>
      </c>
      <c r="AJ63" s="1823"/>
      <c r="AK63" s="1780">
        <f>ROUND(IF(AF63=0,0,AI63/ABS(AF63)),3)</f>
        <v>-0.56000000000000005</v>
      </c>
    </row>
    <row r="64" spans="1:37" ht="15" customHeight="1">
      <c r="A64" s="351"/>
      <c r="B64" s="1748" t="s">
        <v>1503</v>
      </c>
      <c r="C64" s="1748"/>
      <c r="D64" s="1146">
        <v>0.1</v>
      </c>
      <c r="E64" s="1148"/>
      <c r="F64" s="260">
        <v>0</v>
      </c>
      <c r="G64" s="1148"/>
      <c r="H64" s="260">
        <v>0</v>
      </c>
      <c r="I64" s="260"/>
      <c r="J64" s="317">
        <v>0</v>
      </c>
      <c r="K64" s="260"/>
      <c r="L64" s="260">
        <v>0.1</v>
      </c>
      <c r="M64" s="260"/>
      <c r="N64" s="260">
        <v>0</v>
      </c>
      <c r="O64" s="260"/>
      <c r="P64" s="260">
        <v>0</v>
      </c>
      <c r="Q64" s="260"/>
      <c r="R64" s="260">
        <v>0.1</v>
      </c>
      <c r="S64" s="260"/>
      <c r="T64" s="260">
        <v>0.1</v>
      </c>
      <c r="U64" s="260"/>
      <c r="V64" s="260">
        <v>0.1</v>
      </c>
      <c r="W64" s="260"/>
      <c r="X64" s="260"/>
      <c r="Y64" s="260"/>
      <c r="Z64" s="260"/>
      <c r="AA64" s="366"/>
      <c r="AB64" s="237"/>
      <c r="AC64" s="260">
        <f t="shared" si="6"/>
        <v>0.5</v>
      </c>
      <c r="AD64" s="260"/>
      <c r="AE64" s="249"/>
      <c r="AF64" s="317">
        <v>0.6</v>
      </c>
      <c r="AG64" s="260"/>
      <c r="AH64" s="1249"/>
      <c r="AI64" s="1146">
        <f>ROUND(SUM(+AC64-AF64),1)</f>
        <v>-0.1</v>
      </c>
      <c r="AJ64" s="1823"/>
      <c r="AK64" s="1780">
        <f>ROUND(IF(AF64=0,1,AI64/ABS(AF64)),3)</f>
        <v>-0.16700000000000001</v>
      </c>
    </row>
    <row r="65" spans="1:37" ht="15" customHeight="1">
      <c r="A65" s="351"/>
      <c r="B65" s="1748" t="s">
        <v>1274</v>
      </c>
      <c r="C65" s="1748"/>
      <c r="D65" s="1146"/>
      <c r="E65" s="1148"/>
      <c r="F65" s="260"/>
      <c r="G65" s="1148"/>
      <c r="H65" s="260"/>
      <c r="I65" s="260"/>
      <c r="J65" s="317"/>
      <c r="K65" s="260"/>
      <c r="L65" s="260"/>
      <c r="M65" s="260"/>
      <c r="N65" s="260"/>
      <c r="O65" s="260"/>
      <c r="P65" s="260"/>
      <c r="Q65" s="260"/>
      <c r="R65" s="260"/>
      <c r="S65" s="260"/>
      <c r="T65" s="260"/>
      <c r="U65" s="260"/>
      <c r="V65" s="260"/>
      <c r="W65" s="260"/>
      <c r="X65" s="260"/>
      <c r="Y65" s="260"/>
      <c r="Z65" s="260"/>
      <c r="AA65" s="366"/>
      <c r="AB65" s="237"/>
      <c r="AC65" s="260"/>
      <c r="AD65" s="260"/>
      <c r="AE65" s="249"/>
      <c r="AF65" s="317"/>
      <c r="AG65" s="260"/>
      <c r="AH65" s="1249"/>
      <c r="AI65" s="1146"/>
      <c r="AJ65" s="1823"/>
      <c r="AK65" s="2670"/>
    </row>
    <row r="66" spans="1:37" ht="15" customHeight="1">
      <c r="A66" s="351"/>
      <c r="B66" s="1748" t="s">
        <v>1504</v>
      </c>
      <c r="C66" s="1748"/>
      <c r="D66" s="1146">
        <v>5.6</v>
      </c>
      <c r="E66" s="1148"/>
      <c r="F66" s="260">
        <v>5.0999999999999996</v>
      </c>
      <c r="G66" s="1148"/>
      <c r="H66" s="260">
        <v>4.4000000000000004</v>
      </c>
      <c r="I66" s="260"/>
      <c r="J66" s="317">
        <v>4.5</v>
      </c>
      <c r="K66" s="260"/>
      <c r="L66" s="260">
        <v>5</v>
      </c>
      <c r="M66" s="260"/>
      <c r="N66" s="260">
        <v>5.2</v>
      </c>
      <c r="O66" s="260"/>
      <c r="P66" s="260">
        <v>5.4</v>
      </c>
      <c r="Q66" s="260"/>
      <c r="R66" s="260">
        <v>4.4000000000000004</v>
      </c>
      <c r="S66" s="260"/>
      <c r="T66" s="260">
        <v>4.3</v>
      </c>
      <c r="U66" s="260"/>
      <c r="V66" s="260">
        <v>6.3</v>
      </c>
      <c r="W66" s="260"/>
      <c r="X66" s="260"/>
      <c r="Y66" s="260"/>
      <c r="Z66" s="260"/>
      <c r="AA66" s="366"/>
      <c r="AB66" s="237"/>
      <c r="AC66" s="260">
        <f t="shared" si="6"/>
        <v>50.2</v>
      </c>
      <c r="AD66" s="260"/>
      <c r="AE66" s="249"/>
      <c r="AF66" s="317">
        <v>56.4</v>
      </c>
      <c r="AG66" s="260"/>
      <c r="AH66" s="1249"/>
      <c r="AI66" s="1146">
        <f t="shared" ref="AI66:AI72" si="7">ROUND(SUM(+AC66-AF66),1)</f>
        <v>-6.2</v>
      </c>
      <c r="AJ66" s="1823"/>
      <c r="AK66" s="1780">
        <f>ROUND(IF(AF66=0,0,AI66/ABS(AF66)),3)</f>
        <v>-0.11</v>
      </c>
    </row>
    <row r="67" spans="1:37" ht="15" customHeight="1">
      <c r="A67" s="351"/>
      <c r="B67" s="1748" t="s">
        <v>1505</v>
      </c>
      <c r="C67" s="1748"/>
      <c r="D67" s="1146">
        <v>0.9</v>
      </c>
      <c r="E67" s="1148"/>
      <c r="F67" s="260">
        <v>6.2</v>
      </c>
      <c r="G67" s="1148"/>
      <c r="H67" s="260">
        <v>33</v>
      </c>
      <c r="I67" s="260"/>
      <c r="J67" s="317">
        <v>11</v>
      </c>
      <c r="K67" s="260"/>
      <c r="L67" s="260">
        <v>7.9</v>
      </c>
      <c r="M67" s="260"/>
      <c r="N67" s="260">
        <v>29.4</v>
      </c>
      <c r="O67" s="260"/>
      <c r="P67" s="260">
        <v>12</v>
      </c>
      <c r="Q67" s="260"/>
      <c r="R67" s="260">
        <v>15.3</v>
      </c>
      <c r="S67" s="260"/>
      <c r="T67" s="260">
        <v>27</v>
      </c>
      <c r="U67" s="260"/>
      <c r="V67" s="260">
        <v>37.9</v>
      </c>
      <c r="W67" s="260"/>
      <c r="X67" s="260"/>
      <c r="Y67" s="260"/>
      <c r="Z67" s="260"/>
      <c r="AA67" s="366"/>
      <c r="AB67" s="237"/>
      <c r="AC67" s="260">
        <f t="shared" si="6"/>
        <v>180.6</v>
      </c>
      <c r="AD67" s="260"/>
      <c r="AE67" s="249"/>
      <c r="AF67" s="317">
        <v>151</v>
      </c>
      <c r="AG67" s="260"/>
      <c r="AH67" s="1249"/>
      <c r="AI67" s="1146">
        <f t="shared" si="7"/>
        <v>29.6</v>
      </c>
      <c r="AJ67" s="1823"/>
      <c r="AK67" s="1780">
        <f>ROUND(IF(AF67=0,0,AI67/ABS(AF67)),3)</f>
        <v>0.19600000000000001</v>
      </c>
    </row>
    <row r="68" spans="1:37" ht="15" customHeight="1">
      <c r="A68" s="351"/>
      <c r="B68" s="1748" t="s">
        <v>1506</v>
      </c>
      <c r="C68" s="1748"/>
      <c r="D68" s="1146">
        <v>19.2</v>
      </c>
      <c r="E68" s="1148"/>
      <c r="F68" s="260">
        <v>13.9</v>
      </c>
      <c r="G68" s="1148"/>
      <c r="H68" s="260">
        <v>20.5</v>
      </c>
      <c r="I68" s="260"/>
      <c r="J68" s="317">
        <v>26.5</v>
      </c>
      <c r="K68" s="260"/>
      <c r="L68" s="260">
        <v>8.9</v>
      </c>
      <c r="M68" s="260"/>
      <c r="N68" s="260">
        <v>17.899999999999999</v>
      </c>
      <c r="O68" s="260"/>
      <c r="P68" s="260">
        <v>17.7</v>
      </c>
      <c r="Q68" s="260"/>
      <c r="R68" s="260">
        <v>21.3</v>
      </c>
      <c r="S68" s="260"/>
      <c r="T68" s="260">
        <v>16.399999999999999</v>
      </c>
      <c r="U68" s="260"/>
      <c r="V68" s="260">
        <v>17.600000000000001</v>
      </c>
      <c r="W68" s="260"/>
      <c r="X68" s="260"/>
      <c r="Y68" s="260"/>
      <c r="Z68" s="260"/>
      <c r="AA68" s="366"/>
      <c r="AB68" s="237"/>
      <c r="AC68" s="260">
        <f t="shared" si="6"/>
        <v>179.9</v>
      </c>
      <c r="AD68" s="260"/>
      <c r="AE68" s="249"/>
      <c r="AF68" s="317">
        <v>194.1</v>
      </c>
      <c r="AG68" s="260"/>
      <c r="AH68" s="1249"/>
      <c r="AI68" s="1146">
        <f t="shared" si="7"/>
        <v>-14.2</v>
      </c>
      <c r="AJ68" s="1823"/>
      <c r="AK68" s="1780">
        <f>ROUND(IF(AF68=0,0,AI68/ABS(AF68)),3)</f>
        <v>-7.2999999999999995E-2</v>
      </c>
    </row>
    <row r="69" spans="1:37" ht="15" customHeight="1">
      <c r="A69" s="351"/>
      <c r="B69" s="1748" t="s">
        <v>1507</v>
      </c>
      <c r="C69" s="1748"/>
      <c r="D69" s="1146">
        <v>0</v>
      </c>
      <c r="E69" s="1148"/>
      <c r="F69" s="260">
        <v>0.1</v>
      </c>
      <c r="G69" s="1148"/>
      <c r="H69" s="260">
        <v>0</v>
      </c>
      <c r="I69" s="260"/>
      <c r="J69" s="317">
        <v>0.1</v>
      </c>
      <c r="K69" s="260"/>
      <c r="L69" s="260">
        <v>0.1</v>
      </c>
      <c r="M69" s="260"/>
      <c r="N69" s="260">
        <v>0</v>
      </c>
      <c r="O69" s="260"/>
      <c r="P69" s="260">
        <v>0.1</v>
      </c>
      <c r="Q69" s="260"/>
      <c r="R69" s="260">
        <v>0</v>
      </c>
      <c r="S69" s="260"/>
      <c r="T69" s="260">
        <v>0.1</v>
      </c>
      <c r="U69" s="260"/>
      <c r="V69" s="260">
        <v>0</v>
      </c>
      <c r="W69" s="260"/>
      <c r="X69" s="260"/>
      <c r="Y69" s="260"/>
      <c r="Z69" s="260"/>
      <c r="AA69" s="366"/>
      <c r="AB69" s="237"/>
      <c r="AC69" s="260">
        <f t="shared" si="6"/>
        <v>0.5</v>
      </c>
      <c r="AD69" s="260"/>
      <c r="AE69" s="249"/>
      <c r="AF69" s="317">
        <v>0.5</v>
      </c>
      <c r="AG69" s="260"/>
      <c r="AH69" s="1249"/>
      <c r="AI69" s="1146">
        <f t="shared" si="7"/>
        <v>0</v>
      </c>
      <c r="AJ69" s="1823"/>
      <c r="AK69" s="1780">
        <f>ROUND(IF(AF69=0,0,AI69/ABS(AF69)),3)</f>
        <v>0</v>
      </c>
    </row>
    <row r="70" spans="1:37" ht="15" customHeight="1">
      <c r="A70" s="351"/>
      <c r="B70" s="1748" t="s">
        <v>1519</v>
      </c>
      <c r="C70" s="1748"/>
      <c r="D70" s="1146">
        <v>16.899999999999999</v>
      </c>
      <c r="E70" s="1148"/>
      <c r="F70" s="260">
        <v>16.399999999999999</v>
      </c>
      <c r="G70" s="1148"/>
      <c r="H70" s="260">
        <v>26</v>
      </c>
      <c r="I70" s="260"/>
      <c r="J70" s="317">
        <v>-4</v>
      </c>
      <c r="K70" s="260"/>
      <c r="L70" s="260">
        <v>29.9</v>
      </c>
      <c r="M70" s="260"/>
      <c r="N70" s="260">
        <v>5.9</v>
      </c>
      <c r="O70" s="260"/>
      <c r="P70" s="260">
        <v>-49.8</v>
      </c>
      <c r="Q70" s="260"/>
      <c r="R70" s="260">
        <v>69.400000000000006</v>
      </c>
      <c r="S70" s="260"/>
      <c r="T70" s="260">
        <v>16.7</v>
      </c>
      <c r="U70" s="260"/>
      <c r="V70" s="260">
        <v>8.1</v>
      </c>
      <c r="W70" s="260"/>
      <c r="X70" s="260"/>
      <c r="Y70" s="260"/>
      <c r="Z70" s="260"/>
      <c r="AA70" s="366"/>
      <c r="AB70" s="237"/>
      <c r="AC70" s="260">
        <f>ROUND(SUM(D70:Z70),1)</f>
        <v>135.5</v>
      </c>
      <c r="AD70" s="260"/>
      <c r="AE70" s="249"/>
      <c r="AF70" s="317">
        <v>139.4</v>
      </c>
      <c r="AG70" s="260"/>
      <c r="AH70" s="1249"/>
      <c r="AI70" s="1146">
        <f t="shared" si="7"/>
        <v>-3.9</v>
      </c>
      <c r="AJ70" s="1823"/>
      <c r="AK70" s="2734">
        <f>ROUND(IF(AF70=0,1,AI70/ABS(AF70)),3)</f>
        <v>-2.8000000000000001E-2</v>
      </c>
    </row>
    <row r="71" spans="1:37" ht="15" customHeight="1">
      <c r="A71" s="351"/>
      <c r="B71" s="1748" t="s">
        <v>1520</v>
      </c>
      <c r="C71" s="1748"/>
      <c r="D71" s="1146">
        <v>1.1000000000000001</v>
      </c>
      <c r="E71" s="1148"/>
      <c r="F71" s="260">
        <v>1.1000000000000001</v>
      </c>
      <c r="G71" s="1148"/>
      <c r="H71" s="260">
        <v>1.4</v>
      </c>
      <c r="I71" s="260"/>
      <c r="J71" s="317">
        <v>0.8</v>
      </c>
      <c r="K71" s="260"/>
      <c r="L71" s="260">
        <v>1.4</v>
      </c>
      <c r="M71" s="260"/>
      <c r="N71" s="260">
        <v>1.8</v>
      </c>
      <c r="O71" s="260"/>
      <c r="P71" s="260">
        <v>1.2</v>
      </c>
      <c r="Q71" s="260"/>
      <c r="R71" s="260">
        <v>1.2</v>
      </c>
      <c r="S71" s="260"/>
      <c r="T71" s="260">
        <v>1</v>
      </c>
      <c r="U71" s="260"/>
      <c r="V71" s="260">
        <v>1.2</v>
      </c>
      <c r="W71" s="260"/>
      <c r="X71" s="260"/>
      <c r="Y71" s="260"/>
      <c r="Z71" s="260"/>
      <c r="AA71" s="366"/>
      <c r="AB71" s="237"/>
      <c r="AC71" s="260">
        <f t="shared" si="6"/>
        <v>12.2</v>
      </c>
      <c r="AD71" s="260"/>
      <c r="AE71" s="249"/>
      <c r="AF71" s="1751">
        <v>11.9</v>
      </c>
      <c r="AG71" s="260"/>
      <c r="AH71" s="1249"/>
      <c r="AI71" s="1146">
        <f t="shared" si="7"/>
        <v>0.3</v>
      </c>
      <c r="AJ71" s="1823"/>
      <c r="AK71" s="1780">
        <f>ROUND(IF(AF71=0,0,AI71/ABS(AF71)),3)</f>
        <v>2.5000000000000001E-2</v>
      </c>
    </row>
    <row r="72" spans="1:37" ht="15" customHeight="1">
      <c r="A72" s="351"/>
      <c r="B72" s="1748" t="s">
        <v>1158</v>
      </c>
      <c r="C72" s="1748"/>
      <c r="D72" s="1146">
        <v>1.8</v>
      </c>
      <c r="E72" s="1148"/>
      <c r="F72" s="260">
        <v>48.3</v>
      </c>
      <c r="G72" s="1148"/>
      <c r="H72" s="260">
        <v>19.7</v>
      </c>
      <c r="I72" s="260"/>
      <c r="J72" s="1751">
        <v>10.9</v>
      </c>
      <c r="K72" s="260"/>
      <c r="L72" s="260">
        <v>222.3</v>
      </c>
      <c r="M72" s="260"/>
      <c r="N72" s="260">
        <v>4.5999999999999996</v>
      </c>
      <c r="O72" s="260"/>
      <c r="P72" s="260">
        <v>18.2</v>
      </c>
      <c r="Q72" s="260"/>
      <c r="R72" s="260">
        <v>290.60000000000002</v>
      </c>
      <c r="S72" s="260"/>
      <c r="T72" s="260">
        <v>273.5</v>
      </c>
      <c r="U72" s="260"/>
      <c r="V72" s="260">
        <v>33.6</v>
      </c>
      <c r="W72" s="260"/>
      <c r="X72" s="260"/>
      <c r="Y72" s="260"/>
      <c r="Z72" s="260"/>
      <c r="AA72" s="366"/>
      <c r="AB72" s="237"/>
      <c r="AC72" s="260">
        <f t="shared" si="6"/>
        <v>923.5</v>
      </c>
      <c r="AD72" s="260"/>
      <c r="AE72" s="249"/>
      <c r="AF72" s="317">
        <v>2099</v>
      </c>
      <c r="AG72" s="260"/>
      <c r="AH72" s="1249"/>
      <c r="AI72" s="1146">
        <f t="shared" si="7"/>
        <v>-1175.5</v>
      </c>
      <c r="AJ72" s="1823"/>
      <c r="AK72" s="1780">
        <f>ROUND(IF(AF72=0,0,AI72/ABS(AF72)),3)</f>
        <v>-0.56000000000000005</v>
      </c>
    </row>
    <row r="73" spans="1:37" ht="15" customHeight="1">
      <c r="A73" s="351"/>
      <c r="B73" s="1748" t="s">
        <v>1159</v>
      </c>
      <c r="C73" s="1748"/>
      <c r="D73" s="1146">
        <v>2.4</v>
      </c>
      <c r="E73" s="1148"/>
      <c r="F73" s="260">
        <v>2.1</v>
      </c>
      <c r="G73" s="1148"/>
      <c r="H73" s="260">
        <v>2.2000000000000002</v>
      </c>
      <c r="I73" s="260"/>
      <c r="J73" s="317">
        <v>1.5</v>
      </c>
      <c r="K73" s="260"/>
      <c r="L73" s="260">
        <v>1.3</v>
      </c>
      <c r="M73" s="260"/>
      <c r="N73" s="260">
        <v>1.1000000000000001</v>
      </c>
      <c r="O73" s="260"/>
      <c r="P73" s="260">
        <v>1.5</v>
      </c>
      <c r="Q73" s="260"/>
      <c r="R73" s="260">
        <v>1.5</v>
      </c>
      <c r="S73" s="260"/>
      <c r="T73" s="260">
        <v>1.4</v>
      </c>
      <c r="U73" s="260"/>
      <c r="V73" s="260">
        <v>1</v>
      </c>
      <c r="W73" s="260"/>
      <c r="X73" s="260"/>
      <c r="Y73" s="260"/>
      <c r="Z73" s="260"/>
      <c r="AA73" s="366"/>
      <c r="AB73" s="237"/>
      <c r="AC73" s="260">
        <f t="shared" si="6"/>
        <v>16</v>
      </c>
      <c r="AD73" s="260"/>
      <c r="AE73" s="249"/>
      <c r="AF73" s="317">
        <v>6.4</v>
      </c>
      <c r="AG73" s="260"/>
      <c r="AH73" s="1249"/>
      <c r="AI73" s="1146">
        <f>ROUND(SUM(+AC73-AF73),1)</f>
        <v>9.6</v>
      </c>
      <c r="AJ73" s="1823"/>
      <c r="AK73" s="2650">
        <f>ROUND(IF(AF73=0,1,AI73/ABS(AF73)),3)</f>
        <v>1.5</v>
      </c>
    </row>
    <row r="74" spans="1:37" ht="15" customHeight="1">
      <c r="A74" s="351"/>
      <c r="B74" s="1748" t="s">
        <v>1272</v>
      </c>
      <c r="C74" s="1748"/>
      <c r="D74" s="1146"/>
      <c r="E74" s="1148"/>
      <c r="F74" s="260"/>
      <c r="G74" s="1148"/>
      <c r="H74" s="260"/>
      <c r="I74" s="260"/>
      <c r="J74" s="317"/>
      <c r="K74" s="260"/>
      <c r="L74" s="260"/>
      <c r="M74" s="260"/>
      <c r="N74" s="260"/>
      <c r="O74" s="260"/>
      <c r="P74" s="260"/>
      <c r="Q74" s="260"/>
      <c r="R74" s="260"/>
      <c r="S74" s="260"/>
      <c r="T74" s="260"/>
      <c r="U74" s="260"/>
      <c r="V74" s="260"/>
      <c r="W74" s="260"/>
      <c r="X74" s="260"/>
      <c r="Y74" s="260"/>
      <c r="Z74" s="260"/>
      <c r="AA74" s="366"/>
      <c r="AB74" s="237"/>
      <c r="AC74" s="260"/>
      <c r="AD74" s="260"/>
      <c r="AE74" s="249"/>
      <c r="AF74" s="317"/>
      <c r="AG74" s="260"/>
      <c r="AH74" s="1249"/>
      <c r="AI74" s="1146"/>
      <c r="AJ74" s="1823"/>
      <c r="AK74" s="2670"/>
    </row>
    <row r="75" spans="1:37" ht="15" customHeight="1">
      <c r="A75" s="351"/>
      <c r="B75" s="1748" t="s">
        <v>1508</v>
      </c>
      <c r="C75" s="1748"/>
      <c r="D75" s="1146">
        <v>0</v>
      </c>
      <c r="E75" s="1148"/>
      <c r="F75" s="260">
        <v>0</v>
      </c>
      <c r="G75" s="1148"/>
      <c r="H75" s="260">
        <v>0</v>
      </c>
      <c r="I75" s="260"/>
      <c r="J75" s="317">
        <v>2.2000000000000002</v>
      </c>
      <c r="K75" s="260"/>
      <c r="L75" s="260">
        <v>0</v>
      </c>
      <c r="M75" s="260"/>
      <c r="N75" s="260">
        <v>0</v>
      </c>
      <c r="O75" s="260"/>
      <c r="P75" s="260">
        <v>0</v>
      </c>
      <c r="Q75" s="260"/>
      <c r="R75" s="260">
        <v>10.5</v>
      </c>
      <c r="S75" s="260"/>
      <c r="T75" s="260">
        <v>0</v>
      </c>
      <c r="U75" s="260"/>
      <c r="V75" s="260">
        <v>0.1</v>
      </c>
      <c r="W75" s="260"/>
      <c r="X75" s="260"/>
      <c r="Y75" s="260"/>
      <c r="Z75" s="260"/>
      <c r="AA75" s="366"/>
      <c r="AB75" s="237"/>
      <c r="AC75" s="260">
        <f t="shared" si="6"/>
        <v>12.8</v>
      </c>
      <c r="AD75" s="260"/>
      <c r="AE75" s="249"/>
      <c r="AF75" s="317">
        <v>17.2</v>
      </c>
      <c r="AG75" s="260"/>
      <c r="AH75" s="1249"/>
      <c r="AI75" s="1146">
        <f>ROUND(SUM(+AC75-AF75),1)</f>
        <v>-4.4000000000000004</v>
      </c>
      <c r="AJ75" s="1823"/>
      <c r="AK75" s="1780">
        <f>ROUND(IF(AF75=0,0,AI75/ABS(AF75)),3)</f>
        <v>-0.25600000000000001</v>
      </c>
    </row>
    <row r="76" spans="1:37" ht="15" customHeight="1">
      <c r="A76" s="351"/>
      <c r="B76" s="1748" t="s">
        <v>1509</v>
      </c>
      <c r="C76" s="1748"/>
      <c r="D76" s="1146">
        <v>8.4</v>
      </c>
      <c r="E76" s="1148"/>
      <c r="F76" s="260">
        <v>6.1</v>
      </c>
      <c r="G76" s="1148"/>
      <c r="H76" s="260">
        <v>3.2</v>
      </c>
      <c r="I76" s="260"/>
      <c r="J76" s="317">
        <v>8.4</v>
      </c>
      <c r="K76" s="260"/>
      <c r="L76" s="260">
        <v>5.2</v>
      </c>
      <c r="M76" s="260"/>
      <c r="N76" s="260">
        <v>17.2</v>
      </c>
      <c r="O76" s="260"/>
      <c r="P76" s="260">
        <v>13.8</v>
      </c>
      <c r="Q76" s="260"/>
      <c r="R76" s="260">
        <v>0.9</v>
      </c>
      <c r="S76" s="260"/>
      <c r="T76" s="260">
        <v>2.2999999999999998</v>
      </c>
      <c r="U76" s="260"/>
      <c r="V76" s="260">
        <v>7.3</v>
      </c>
      <c r="W76" s="260"/>
      <c r="X76" s="260"/>
      <c r="Y76" s="260"/>
      <c r="Z76" s="260"/>
      <c r="AA76" s="366"/>
      <c r="AB76" s="237"/>
      <c r="AC76" s="260">
        <f t="shared" si="6"/>
        <v>72.8</v>
      </c>
      <c r="AD76" s="260"/>
      <c r="AE76" s="249"/>
      <c r="AF76" s="317">
        <v>79.8</v>
      </c>
      <c r="AG76" s="260"/>
      <c r="AH76" s="1249"/>
      <c r="AI76" s="1146">
        <f>ROUND(SUM(+AC76-AF76),1)</f>
        <v>-7</v>
      </c>
      <c r="AJ76" s="1823"/>
      <c r="AK76" s="1780">
        <f>ROUND(IF(AF76=0,1,AI76/ABS(AF76)),3)</f>
        <v>-8.7999999999999995E-2</v>
      </c>
    </row>
    <row r="77" spans="1:37" ht="15" customHeight="1">
      <c r="A77" s="351"/>
      <c r="B77" s="1748" t="s">
        <v>1510</v>
      </c>
      <c r="C77" s="1748"/>
      <c r="D77" s="1146">
        <v>0</v>
      </c>
      <c r="E77" s="1148"/>
      <c r="F77" s="260">
        <v>0.9</v>
      </c>
      <c r="G77" s="1148"/>
      <c r="H77" s="260">
        <v>0</v>
      </c>
      <c r="I77" s="260"/>
      <c r="J77" s="317">
        <v>-0.6</v>
      </c>
      <c r="K77" s="260"/>
      <c r="L77" s="260">
        <v>0</v>
      </c>
      <c r="M77" s="260"/>
      <c r="N77" s="260">
        <v>0</v>
      </c>
      <c r="O77" s="260"/>
      <c r="P77" s="260">
        <v>23</v>
      </c>
      <c r="Q77" s="260"/>
      <c r="R77" s="260">
        <v>0</v>
      </c>
      <c r="S77" s="260"/>
      <c r="T77" s="260">
        <v>21</v>
      </c>
      <c r="U77" s="260"/>
      <c r="V77" s="260">
        <v>0</v>
      </c>
      <c r="W77" s="260"/>
      <c r="X77" s="260"/>
      <c r="Y77" s="260"/>
      <c r="Z77" s="260"/>
      <c r="AA77" s="366"/>
      <c r="AB77" s="237"/>
      <c r="AC77" s="260">
        <f t="shared" si="6"/>
        <v>44.3</v>
      </c>
      <c r="AD77" s="260"/>
      <c r="AE77" s="249"/>
      <c r="AF77" s="317">
        <v>42.3</v>
      </c>
      <c r="AG77" s="260"/>
      <c r="AH77" s="1249"/>
      <c r="AI77" s="1146">
        <f>ROUND(SUM(+AC77-AF77),1)</f>
        <v>2</v>
      </c>
      <c r="AJ77" s="1823"/>
      <c r="AK77" s="2679">
        <f>ROUND(IF(AF77=0,1,AI77/ABS(AF77)),3)</f>
        <v>4.7E-2</v>
      </c>
    </row>
    <row r="78" spans="1:37" ht="15" customHeight="1">
      <c r="A78" s="351"/>
      <c r="B78" s="1748" t="s">
        <v>1170</v>
      </c>
      <c r="C78" s="1748"/>
      <c r="D78" s="1146">
        <v>0</v>
      </c>
      <c r="E78" s="1148"/>
      <c r="F78" s="260">
        <v>16.7</v>
      </c>
      <c r="G78" s="1148"/>
      <c r="H78" s="260">
        <v>16.600000000000001</v>
      </c>
      <c r="I78" s="260"/>
      <c r="J78" s="317">
        <v>16.7</v>
      </c>
      <c r="K78" s="260"/>
      <c r="L78" s="260">
        <v>16.7</v>
      </c>
      <c r="M78" s="260"/>
      <c r="N78" s="260">
        <v>16.600000000000001</v>
      </c>
      <c r="O78" s="260"/>
      <c r="P78" s="260">
        <v>16.7</v>
      </c>
      <c r="Q78" s="260"/>
      <c r="R78" s="260">
        <v>16.7</v>
      </c>
      <c r="S78" s="260"/>
      <c r="T78" s="260">
        <v>16.7</v>
      </c>
      <c r="U78" s="260"/>
      <c r="V78" s="260">
        <v>16.7</v>
      </c>
      <c r="W78" s="260"/>
      <c r="X78" s="260"/>
      <c r="Y78" s="260"/>
      <c r="Z78" s="260"/>
      <c r="AA78" s="366"/>
      <c r="AB78" s="237"/>
      <c r="AC78" s="260">
        <f t="shared" si="6"/>
        <v>150.1</v>
      </c>
      <c r="AD78" s="260"/>
      <c r="AE78" s="249"/>
      <c r="AF78" s="317">
        <v>0</v>
      </c>
      <c r="AG78" s="260"/>
      <c r="AH78" s="1249"/>
      <c r="AI78" s="1146">
        <f>ROUND(SUM(+AC78-AF78),1)</f>
        <v>150.1</v>
      </c>
      <c r="AJ78" s="1823"/>
      <c r="AK78" s="2679">
        <f>ROUND(IF(AF78=0,1,AI78/ABS(AF78)),3)</f>
        <v>1</v>
      </c>
    </row>
    <row r="79" spans="1:37" ht="15" customHeight="1">
      <c r="A79" s="351"/>
      <c r="B79" s="1748" t="s">
        <v>1171</v>
      </c>
      <c r="C79" s="1748"/>
      <c r="D79" s="1146">
        <v>0.1</v>
      </c>
      <c r="E79" s="1148"/>
      <c r="F79" s="260">
        <v>0.4</v>
      </c>
      <c r="G79" s="1148"/>
      <c r="H79" s="260">
        <v>0.1</v>
      </c>
      <c r="I79" s="260"/>
      <c r="J79" s="317">
        <v>0.3</v>
      </c>
      <c r="K79" s="260"/>
      <c r="L79" s="260">
        <v>0.4</v>
      </c>
      <c r="M79" s="260"/>
      <c r="N79" s="260">
        <v>0.1</v>
      </c>
      <c r="O79" s="260"/>
      <c r="P79" s="260">
        <v>0.5</v>
      </c>
      <c r="Q79" s="260"/>
      <c r="R79" s="260">
        <v>0.2</v>
      </c>
      <c r="S79" s="260"/>
      <c r="T79" s="260">
        <v>0.2</v>
      </c>
      <c r="U79" s="260"/>
      <c r="V79" s="260">
        <v>0.3</v>
      </c>
      <c r="W79" s="260"/>
      <c r="X79" s="260"/>
      <c r="Y79" s="260"/>
      <c r="Z79" s="260"/>
      <c r="AA79" s="366"/>
      <c r="AB79" s="237"/>
      <c r="AC79" s="260">
        <f t="shared" si="6"/>
        <v>2.6</v>
      </c>
      <c r="AD79" s="260"/>
      <c r="AE79" s="249"/>
      <c r="AF79" s="317">
        <v>4</v>
      </c>
      <c r="AG79" s="260"/>
      <c r="AH79" s="1249"/>
      <c r="AI79" s="1146">
        <f>ROUND(SUM(+AC79-AF79),1)</f>
        <v>-1.4</v>
      </c>
      <c r="AJ79" s="1823"/>
      <c r="AK79" s="2650">
        <f>ROUND(IF(AF79=0,0,AI79/ABS(AF79)),3)</f>
        <v>-0.35</v>
      </c>
    </row>
    <row r="80" spans="1:37" ht="15" customHeight="1">
      <c r="A80" s="351"/>
      <c r="B80" s="1748" t="s">
        <v>1273</v>
      </c>
      <c r="C80" s="1748"/>
      <c r="D80" s="1146"/>
      <c r="E80" s="1148"/>
      <c r="F80" s="260"/>
      <c r="G80" s="1148"/>
      <c r="H80" s="260"/>
      <c r="I80" s="260"/>
      <c r="J80" s="317"/>
      <c r="K80" s="260"/>
      <c r="L80" s="260"/>
      <c r="M80" s="260"/>
      <c r="N80" s="260"/>
      <c r="O80" s="260"/>
      <c r="P80" s="260"/>
      <c r="Q80" s="260"/>
      <c r="R80" s="260"/>
      <c r="S80" s="260"/>
      <c r="T80" s="260"/>
      <c r="U80" s="260"/>
      <c r="V80" s="260"/>
      <c r="W80" s="260"/>
      <c r="X80" s="260"/>
      <c r="Y80" s="260"/>
      <c r="Z80" s="260"/>
      <c r="AA80" s="366"/>
      <c r="AB80" s="237"/>
      <c r="AC80" s="260"/>
      <c r="AD80" s="260"/>
      <c r="AE80" s="249"/>
      <c r="AF80" s="317"/>
      <c r="AG80" s="260"/>
      <c r="AH80" s="1249"/>
      <c r="AI80" s="1146"/>
      <c r="AJ80" s="1823"/>
      <c r="AK80" s="2670"/>
    </row>
    <row r="81" spans="1:37" ht="15" customHeight="1">
      <c r="A81" s="351"/>
      <c r="B81" s="1748" t="s">
        <v>1511</v>
      </c>
      <c r="C81" s="1748"/>
      <c r="D81" s="1146">
        <v>0</v>
      </c>
      <c r="E81" s="1148"/>
      <c r="F81" s="260">
        <v>0</v>
      </c>
      <c r="G81" s="1148"/>
      <c r="H81" s="260">
        <v>24.9</v>
      </c>
      <c r="I81" s="260"/>
      <c r="J81" s="317">
        <v>0.7</v>
      </c>
      <c r="K81" s="260"/>
      <c r="L81" s="260">
        <v>0.2</v>
      </c>
      <c r="M81" s="260"/>
      <c r="N81" s="260">
        <v>20.100000000000001</v>
      </c>
      <c r="O81" s="260"/>
      <c r="P81" s="1146">
        <v>-0.3</v>
      </c>
      <c r="Q81" s="260"/>
      <c r="R81" s="260">
        <v>1</v>
      </c>
      <c r="S81" s="260"/>
      <c r="T81" s="1146">
        <v>19.7</v>
      </c>
      <c r="U81" s="260"/>
      <c r="V81" s="260">
        <v>0.2</v>
      </c>
      <c r="W81" s="260"/>
      <c r="X81" s="260"/>
      <c r="Y81" s="260"/>
      <c r="Z81" s="260"/>
      <c r="AA81" s="366"/>
      <c r="AB81" s="237"/>
      <c r="AC81" s="260">
        <f t="shared" si="6"/>
        <v>66.5</v>
      </c>
      <c r="AD81" s="260"/>
      <c r="AE81" s="249"/>
      <c r="AF81" s="317">
        <v>61.1</v>
      </c>
      <c r="AG81" s="260"/>
      <c r="AH81" s="1249"/>
      <c r="AI81" s="1146">
        <f t="shared" ref="AI81:AI89" si="8">ROUND(SUM(+AC81-AF81),1)</f>
        <v>5.4</v>
      </c>
      <c r="AJ81" s="1823"/>
      <c r="AK81" s="2679">
        <f>ROUND(IF(AF81=0,0,AI81/ABS(AF81)),3)</f>
        <v>8.7999999999999995E-2</v>
      </c>
    </row>
    <row r="82" spans="1:37" ht="15" customHeight="1">
      <c r="A82" s="351"/>
      <c r="B82" s="1748" t="s">
        <v>1512</v>
      </c>
      <c r="C82" s="1748"/>
      <c r="D82" s="2925">
        <v>0</v>
      </c>
      <c r="E82" s="1148"/>
      <c r="F82" s="260">
        <v>0</v>
      </c>
      <c r="G82" s="1148"/>
      <c r="H82" s="260">
        <v>0</v>
      </c>
      <c r="I82" s="260"/>
      <c r="J82" s="317">
        <v>0</v>
      </c>
      <c r="K82" s="260"/>
      <c r="L82" s="260">
        <v>0</v>
      </c>
      <c r="M82" s="260"/>
      <c r="N82" s="260">
        <v>0.1</v>
      </c>
      <c r="O82" s="260"/>
      <c r="P82" s="2925">
        <v>0</v>
      </c>
      <c r="Q82" s="260"/>
      <c r="R82" s="260">
        <v>0.1</v>
      </c>
      <c r="S82" s="260"/>
      <c r="T82" s="2925">
        <v>0</v>
      </c>
      <c r="U82" s="260"/>
      <c r="V82" s="260">
        <v>0</v>
      </c>
      <c r="W82" s="260"/>
      <c r="X82" s="260"/>
      <c r="Y82" s="260"/>
      <c r="Z82" s="260"/>
      <c r="AA82" s="366"/>
      <c r="AB82" s="237"/>
      <c r="AC82" s="260">
        <f t="shared" ref="AC82" si="9">ROUND(SUM(D82:Z82),1)</f>
        <v>0.2</v>
      </c>
      <c r="AD82" s="260"/>
      <c r="AE82" s="249"/>
      <c r="AF82" s="317">
        <v>0</v>
      </c>
      <c r="AG82" s="260"/>
      <c r="AH82" s="1249"/>
      <c r="AI82" s="2925">
        <f t="shared" ref="AI82" si="10">ROUND(SUM(+AC82-AF82),1)</f>
        <v>0.2</v>
      </c>
      <c r="AJ82" s="1823"/>
      <c r="AK82" s="2679">
        <f>ROUND(IF(AF82=0,1,AI82/ABS(AF82)),3)</f>
        <v>1</v>
      </c>
    </row>
    <row r="83" spans="1:37" ht="15" customHeight="1">
      <c r="A83" s="351"/>
      <c r="B83" s="1748" t="s">
        <v>1513</v>
      </c>
      <c r="C83" s="1748"/>
      <c r="D83" s="1146">
        <v>0</v>
      </c>
      <c r="E83" s="1148"/>
      <c r="F83" s="260">
        <v>0</v>
      </c>
      <c r="G83" s="1148"/>
      <c r="H83" s="260">
        <v>0</v>
      </c>
      <c r="I83" s="260"/>
      <c r="J83" s="317">
        <v>0</v>
      </c>
      <c r="K83" s="260"/>
      <c r="L83" s="260">
        <v>0</v>
      </c>
      <c r="M83" s="260"/>
      <c r="N83" s="260">
        <v>0</v>
      </c>
      <c r="O83" s="260"/>
      <c r="P83" s="260">
        <v>0</v>
      </c>
      <c r="Q83" s="260"/>
      <c r="R83" s="260">
        <v>0</v>
      </c>
      <c r="S83" s="260"/>
      <c r="T83" s="260">
        <v>0</v>
      </c>
      <c r="U83" s="260"/>
      <c r="V83" s="260">
        <v>0</v>
      </c>
      <c r="W83" s="260"/>
      <c r="X83" s="260"/>
      <c r="Y83" s="260"/>
      <c r="Z83" s="260"/>
      <c r="AA83" s="366"/>
      <c r="AB83" s="237"/>
      <c r="AC83" s="260">
        <f t="shared" si="6"/>
        <v>0</v>
      </c>
      <c r="AD83" s="260"/>
      <c r="AE83" s="249"/>
      <c r="AF83" s="317">
        <v>0.1</v>
      </c>
      <c r="AG83" s="260"/>
      <c r="AH83" s="1249"/>
      <c r="AI83" s="1146">
        <f t="shared" si="8"/>
        <v>-0.1</v>
      </c>
      <c r="AJ83" s="1823"/>
      <c r="AK83" s="2679">
        <f>ROUND(IF(AF83=0,1,AI83/ABS(AF83)),3)</f>
        <v>-1</v>
      </c>
    </row>
    <row r="84" spans="1:37" ht="15" customHeight="1">
      <c r="A84" s="351"/>
      <c r="B84" s="1748" t="s">
        <v>1514</v>
      </c>
      <c r="C84" s="1748"/>
      <c r="D84" s="1146">
        <v>0.4</v>
      </c>
      <c r="E84" s="1148"/>
      <c r="F84" s="260">
        <v>20.7</v>
      </c>
      <c r="G84" s="1148"/>
      <c r="H84" s="260">
        <v>6.8</v>
      </c>
      <c r="I84" s="260"/>
      <c r="J84" s="317">
        <v>-0.4</v>
      </c>
      <c r="K84" s="260"/>
      <c r="L84" s="260">
        <v>3.1</v>
      </c>
      <c r="M84" s="260"/>
      <c r="N84" s="260">
        <v>23.9</v>
      </c>
      <c r="O84" s="260"/>
      <c r="P84" s="260">
        <v>0.4</v>
      </c>
      <c r="Q84" s="260"/>
      <c r="R84" s="260">
        <v>25.9</v>
      </c>
      <c r="S84" s="260"/>
      <c r="T84" s="260">
        <v>3.2</v>
      </c>
      <c r="U84" s="260"/>
      <c r="V84" s="260">
        <v>3.6</v>
      </c>
      <c r="W84" s="260"/>
      <c r="X84" s="260"/>
      <c r="Y84" s="260"/>
      <c r="Z84" s="260"/>
      <c r="AA84" s="366"/>
      <c r="AB84" s="237"/>
      <c r="AC84" s="260">
        <f t="shared" si="6"/>
        <v>87.6</v>
      </c>
      <c r="AD84" s="260"/>
      <c r="AE84" s="249"/>
      <c r="AF84" s="317">
        <v>85</v>
      </c>
      <c r="AG84" s="260"/>
      <c r="AH84" s="1249"/>
      <c r="AI84" s="1146">
        <f t="shared" si="8"/>
        <v>2.6</v>
      </c>
      <c r="AJ84" s="1823"/>
      <c r="AK84" s="1780">
        <f>ROUND(IF(AF84=0,1,AI84/ABS(AF84)),3)</f>
        <v>3.1E-2</v>
      </c>
    </row>
    <row r="85" spans="1:37" ht="15" customHeight="1">
      <c r="A85" s="351"/>
      <c r="B85" s="1748" t="s">
        <v>1515</v>
      </c>
      <c r="C85" s="1748"/>
      <c r="D85" s="1146">
        <v>-1.8</v>
      </c>
      <c r="E85" s="1148"/>
      <c r="F85" s="260">
        <v>0</v>
      </c>
      <c r="G85" s="1148"/>
      <c r="H85" s="260">
        <v>1.4</v>
      </c>
      <c r="I85" s="260"/>
      <c r="J85" s="317">
        <v>0</v>
      </c>
      <c r="K85" s="260"/>
      <c r="L85" s="260">
        <v>-0.3</v>
      </c>
      <c r="M85" s="260"/>
      <c r="N85" s="260">
        <v>-0.7</v>
      </c>
      <c r="O85" s="260"/>
      <c r="P85" s="260">
        <v>1.8</v>
      </c>
      <c r="Q85" s="260"/>
      <c r="R85" s="260">
        <v>0</v>
      </c>
      <c r="S85" s="260"/>
      <c r="T85" s="260">
        <v>1.9</v>
      </c>
      <c r="U85" s="260"/>
      <c r="V85" s="260">
        <v>-1</v>
      </c>
      <c r="W85" s="260"/>
      <c r="X85" s="260"/>
      <c r="Y85" s="260"/>
      <c r="Z85" s="1146"/>
      <c r="AA85" s="366"/>
      <c r="AB85" s="237"/>
      <c r="AC85" s="260">
        <f t="shared" si="6"/>
        <v>1.3</v>
      </c>
      <c r="AD85" s="260"/>
      <c r="AE85" s="249"/>
      <c r="AF85" s="317">
        <v>6.2</v>
      </c>
      <c r="AG85" s="260"/>
      <c r="AH85" s="1249"/>
      <c r="AI85" s="1146">
        <f t="shared" si="8"/>
        <v>-4.9000000000000004</v>
      </c>
      <c r="AJ85" s="1823"/>
      <c r="AK85" s="2679">
        <f>ROUND(IF(AF85=0,1,AI85/ABS(AF85)),3)</f>
        <v>-0.79</v>
      </c>
    </row>
    <row r="86" spans="1:37" ht="15" customHeight="1">
      <c r="A86" s="351"/>
      <c r="B86" s="1748" t="s">
        <v>1516</v>
      </c>
      <c r="C86" s="1748"/>
      <c r="D86" s="1146">
        <v>8.4</v>
      </c>
      <c r="E86" s="1148"/>
      <c r="F86" s="260">
        <v>121.2</v>
      </c>
      <c r="G86" s="1148"/>
      <c r="H86" s="260">
        <v>-0.1</v>
      </c>
      <c r="I86" s="260"/>
      <c r="J86" s="317">
        <v>4.4000000000000004</v>
      </c>
      <c r="K86" s="260"/>
      <c r="L86" s="260">
        <v>0</v>
      </c>
      <c r="M86" s="260"/>
      <c r="N86" s="260">
        <v>0.2</v>
      </c>
      <c r="O86" s="260"/>
      <c r="P86" s="260">
        <v>0.5</v>
      </c>
      <c r="Q86" s="260"/>
      <c r="R86" s="260">
        <v>0.1</v>
      </c>
      <c r="S86" s="260"/>
      <c r="T86" s="260">
        <v>22.9</v>
      </c>
      <c r="U86" s="260"/>
      <c r="V86" s="260">
        <v>0.1</v>
      </c>
      <c r="W86" s="260"/>
      <c r="X86" s="260"/>
      <c r="Y86" s="260"/>
      <c r="Z86" s="260"/>
      <c r="AA86" s="366"/>
      <c r="AB86" s="237"/>
      <c r="AC86" s="260">
        <f t="shared" si="6"/>
        <v>157.69999999999999</v>
      </c>
      <c r="AD86" s="260"/>
      <c r="AE86" s="249"/>
      <c r="AF86" s="317">
        <v>1229</v>
      </c>
      <c r="AG86" s="260"/>
      <c r="AH86" s="1249"/>
      <c r="AI86" s="1146">
        <f t="shared" si="8"/>
        <v>-1071.3</v>
      </c>
      <c r="AJ86" s="1823"/>
      <c r="AK86" s="2734">
        <f>ROUND(IF(AF86=0,1,AI86/ABS(AF86)),3)</f>
        <v>-0.872</v>
      </c>
    </row>
    <row r="87" spans="1:37" ht="15" customHeight="1">
      <c r="A87" s="351"/>
      <c r="B87" s="1748" t="s">
        <v>1517</v>
      </c>
      <c r="C87" s="1748"/>
      <c r="D87" s="1146">
        <v>0</v>
      </c>
      <c r="E87" s="1148"/>
      <c r="F87" s="260">
        <v>0</v>
      </c>
      <c r="G87" s="1148"/>
      <c r="H87" s="260">
        <v>0</v>
      </c>
      <c r="I87" s="260"/>
      <c r="J87" s="317">
        <v>0</v>
      </c>
      <c r="K87" s="260"/>
      <c r="L87" s="260">
        <v>0</v>
      </c>
      <c r="M87" s="260"/>
      <c r="N87" s="260">
        <v>0</v>
      </c>
      <c r="O87" s="260"/>
      <c r="P87" s="260">
        <v>0</v>
      </c>
      <c r="Q87" s="260"/>
      <c r="R87" s="260">
        <v>0</v>
      </c>
      <c r="S87" s="260"/>
      <c r="T87" s="260">
        <v>0</v>
      </c>
      <c r="U87" s="260"/>
      <c r="V87" s="260">
        <v>0</v>
      </c>
      <c r="W87" s="260"/>
      <c r="X87" s="260"/>
      <c r="Y87" s="260"/>
      <c r="Z87" s="260"/>
      <c r="AA87" s="366"/>
      <c r="AB87" s="237"/>
      <c r="AC87" s="260">
        <f t="shared" si="6"/>
        <v>0</v>
      </c>
      <c r="AD87" s="260"/>
      <c r="AE87" s="249"/>
      <c r="AF87" s="317">
        <v>0</v>
      </c>
      <c r="AG87" s="260"/>
      <c r="AH87" s="1249"/>
      <c r="AI87" s="1146">
        <f t="shared" si="8"/>
        <v>0</v>
      </c>
      <c r="AJ87" s="1823"/>
      <c r="AK87" s="1780">
        <f>ROUND(IF(AF87=0,0,AI87/ABS(AF87)),3)</f>
        <v>0</v>
      </c>
    </row>
    <row r="88" spans="1:37" ht="15" customHeight="1">
      <c r="A88" s="351"/>
      <c r="B88" s="1748" t="s">
        <v>1518</v>
      </c>
      <c r="C88" s="1748"/>
      <c r="D88" s="1146">
        <v>-1.4</v>
      </c>
      <c r="E88" s="1148"/>
      <c r="F88" s="260">
        <v>1.6</v>
      </c>
      <c r="G88" s="1148"/>
      <c r="H88" s="260">
        <v>3.7</v>
      </c>
      <c r="I88" s="260"/>
      <c r="J88" s="317">
        <v>3.7</v>
      </c>
      <c r="K88" s="260"/>
      <c r="L88" s="260">
        <v>3.6</v>
      </c>
      <c r="M88" s="260"/>
      <c r="N88" s="260">
        <v>5.5</v>
      </c>
      <c r="O88" s="260"/>
      <c r="P88" s="2925">
        <v>1.5</v>
      </c>
      <c r="Q88" s="260"/>
      <c r="R88" s="260">
        <v>1</v>
      </c>
      <c r="S88" s="260"/>
      <c r="T88" s="260">
        <v>3.1</v>
      </c>
      <c r="U88" s="260"/>
      <c r="V88" s="260">
        <v>-0.2</v>
      </c>
      <c r="W88" s="260"/>
      <c r="X88" s="260"/>
      <c r="Y88" s="260"/>
      <c r="Z88" s="260"/>
      <c r="AA88" s="366"/>
      <c r="AB88" s="237"/>
      <c r="AC88" s="317">
        <f>ROUND(SUM(D88:Z88),1)</f>
        <v>22.1</v>
      </c>
      <c r="AD88" s="260"/>
      <c r="AE88" s="249"/>
      <c r="AF88" s="317">
        <v>25.2</v>
      </c>
      <c r="AG88" s="260"/>
      <c r="AH88" s="1249"/>
      <c r="AI88" s="1146">
        <f t="shared" si="8"/>
        <v>-3.1</v>
      </c>
      <c r="AJ88" s="1823"/>
      <c r="AK88" s="1780">
        <f>ROUND(IF(AF88=0,0,AI88/ABS(AF88)),3)</f>
        <v>-0.123</v>
      </c>
    </row>
    <row r="89" spans="1:37" ht="15" customHeight="1">
      <c r="A89" s="351"/>
      <c r="B89" s="1748" t="s">
        <v>1172</v>
      </c>
      <c r="C89" s="1748"/>
      <c r="D89" s="1146">
        <v>0</v>
      </c>
      <c r="E89" s="1148"/>
      <c r="F89" s="260">
        <v>0</v>
      </c>
      <c r="G89" s="1148"/>
      <c r="H89" s="260">
        <v>0</v>
      </c>
      <c r="I89" s="260"/>
      <c r="J89" s="317">
        <v>0</v>
      </c>
      <c r="K89" s="260"/>
      <c r="L89" s="260">
        <v>0.1</v>
      </c>
      <c r="M89" s="260"/>
      <c r="N89" s="260">
        <v>0</v>
      </c>
      <c r="O89" s="260"/>
      <c r="P89" s="260">
        <v>0</v>
      </c>
      <c r="Q89" s="260"/>
      <c r="R89" s="260">
        <v>0</v>
      </c>
      <c r="S89" s="260"/>
      <c r="T89" s="260">
        <v>0</v>
      </c>
      <c r="U89" s="260"/>
      <c r="V89" s="260">
        <v>0</v>
      </c>
      <c r="W89" s="260"/>
      <c r="X89" s="260"/>
      <c r="Y89" s="260"/>
      <c r="Z89" s="260"/>
      <c r="AA89" s="366"/>
      <c r="AB89" s="237"/>
      <c r="AC89" s="260">
        <f t="shared" si="6"/>
        <v>0.1</v>
      </c>
      <c r="AD89" s="260"/>
      <c r="AE89" s="249"/>
      <c r="AF89" s="317">
        <v>4.0999999999999996</v>
      </c>
      <c r="AG89" s="260"/>
      <c r="AH89" s="1249"/>
      <c r="AI89" s="1146">
        <f t="shared" si="8"/>
        <v>-4</v>
      </c>
      <c r="AJ89" s="1823"/>
      <c r="AK89" s="2679">
        <f>ROUND(IF(AF89=0,1,AI89/ABS(AF89)),3)</f>
        <v>-0.97599999999999998</v>
      </c>
    </row>
    <row r="90" spans="1:37" s="420" customFormat="1" ht="15" customHeight="1">
      <c r="A90" s="2014"/>
      <c r="B90" s="587" t="s">
        <v>1208</v>
      </c>
      <c r="C90" s="411"/>
      <c r="D90" s="482">
        <f>ROUND(SUM(D58:D89),1)</f>
        <v>68.3</v>
      </c>
      <c r="E90" s="2015"/>
      <c r="F90" s="482">
        <f>ROUND(SUM(F58:F89),1)</f>
        <v>513.1</v>
      </c>
      <c r="G90" s="2015"/>
      <c r="H90" s="482">
        <f>ROUND(SUM(H58:H89),1)</f>
        <v>176.7</v>
      </c>
      <c r="I90" s="1802"/>
      <c r="J90" s="1256">
        <f>ROUND(SUM(J58:J89),1)</f>
        <v>86.8</v>
      </c>
      <c r="K90" s="1802"/>
      <c r="L90" s="482">
        <f>ROUND(SUM(L58:L89),1)</f>
        <v>320.2</v>
      </c>
      <c r="M90" s="1802"/>
      <c r="N90" s="482">
        <f>ROUND(SUM(N58:N89),1)</f>
        <v>282</v>
      </c>
      <c r="O90" s="1802"/>
      <c r="P90" s="482">
        <f>ROUND(SUM(P58:P89),1)</f>
        <v>96.3</v>
      </c>
      <c r="Q90" s="1802"/>
      <c r="R90" s="482">
        <f>ROUND(SUM(R58:R89),1)</f>
        <v>619.4</v>
      </c>
      <c r="S90" s="1802"/>
      <c r="T90" s="482">
        <f>ROUND(SUM(T58:T89),1)</f>
        <v>509.1</v>
      </c>
      <c r="U90" s="1802"/>
      <c r="V90" s="482">
        <f>ROUND(SUM(V58:V89),1)</f>
        <v>138.80000000000001</v>
      </c>
      <c r="W90" s="1802"/>
      <c r="X90" s="482">
        <f>ROUND(SUM(X58:X89),1)</f>
        <v>0</v>
      </c>
      <c r="Y90" s="1802"/>
      <c r="Z90" s="482">
        <f>ROUND(SUM(Z58:Z89),1)</f>
        <v>0</v>
      </c>
      <c r="AA90" s="408"/>
      <c r="AB90" s="483"/>
      <c r="AC90" s="482">
        <f>ROUND(SUM(AC58:AC89),1)</f>
        <v>2810.7</v>
      </c>
      <c r="AD90" s="1802"/>
      <c r="AE90" s="258"/>
      <c r="AF90" s="1256">
        <f>ROUND(SUM(AF58:AF89),1)</f>
        <v>4954.6000000000004</v>
      </c>
      <c r="AG90" s="1802"/>
      <c r="AH90" s="1251"/>
      <c r="AI90" s="482">
        <f>ROUND(SUM(AI58:AI89),1)</f>
        <v>-2143.9</v>
      </c>
      <c r="AJ90" s="272"/>
      <c r="AK90" s="2016">
        <f>ROUND(SUM(+AI90/AF90),3)</f>
        <v>-0.433</v>
      </c>
    </row>
    <row r="91" spans="1:37" s="420" customFormat="1" ht="8.25" customHeight="1">
      <c r="A91" s="2014"/>
      <c r="B91" s="221"/>
      <c r="C91" s="411"/>
      <c r="D91" s="1802"/>
      <c r="E91" s="2015"/>
      <c r="F91" s="1802"/>
      <c r="G91" s="2015"/>
      <c r="H91" s="1802"/>
      <c r="I91" s="1802"/>
      <c r="J91" s="311"/>
      <c r="K91" s="1802"/>
      <c r="L91" s="1802"/>
      <c r="M91" s="1802"/>
      <c r="N91" s="1802"/>
      <c r="O91" s="1802"/>
      <c r="P91" s="1802"/>
      <c r="Q91" s="1802"/>
      <c r="R91" s="1802"/>
      <c r="S91" s="1802"/>
      <c r="T91" s="1802"/>
      <c r="U91" s="1802"/>
      <c r="V91" s="1802"/>
      <c r="W91" s="1802"/>
      <c r="X91" s="1802"/>
      <c r="Y91" s="1802"/>
      <c r="Z91" s="1802"/>
      <c r="AA91" s="408"/>
      <c r="AB91" s="476"/>
      <c r="AC91" s="1802"/>
      <c r="AD91" s="1802"/>
      <c r="AE91" s="258"/>
      <c r="AF91" s="311"/>
      <c r="AG91" s="1802"/>
      <c r="AH91" s="1251"/>
      <c r="AI91" s="1802"/>
      <c r="AJ91" s="272"/>
      <c r="AK91" s="511"/>
    </row>
    <row r="92" spans="1:37" ht="15" customHeight="1">
      <c r="A92" s="351"/>
      <c r="B92" s="1321" t="s">
        <v>1391</v>
      </c>
      <c r="C92" s="222"/>
      <c r="D92" s="1147">
        <v>0</v>
      </c>
      <c r="E92" s="260"/>
      <c r="F92" s="1147">
        <v>0.2</v>
      </c>
      <c r="G92" s="260"/>
      <c r="H92" s="1147">
        <v>0.1</v>
      </c>
      <c r="I92" s="260"/>
      <c r="J92" s="2049">
        <v>0</v>
      </c>
      <c r="K92" s="260"/>
      <c r="L92" s="1147">
        <v>0</v>
      </c>
      <c r="M92" s="260"/>
      <c r="N92" s="1147">
        <v>0</v>
      </c>
      <c r="O92" s="260"/>
      <c r="P92" s="1149">
        <v>0</v>
      </c>
      <c r="Q92" s="260"/>
      <c r="R92" s="1147">
        <v>0</v>
      </c>
      <c r="S92" s="260"/>
      <c r="T92" s="1147">
        <v>0</v>
      </c>
      <c r="U92" s="260"/>
      <c r="V92" s="1147">
        <v>0.1</v>
      </c>
      <c r="W92" s="260"/>
      <c r="X92" s="514"/>
      <c r="Y92" s="260"/>
      <c r="Z92" s="260"/>
      <c r="AA92" s="472"/>
      <c r="AB92" s="228"/>
      <c r="AC92" s="317">
        <f>ROUND(SUM(D92:Z92),1)</f>
        <v>0.4</v>
      </c>
      <c r="AD92" s="260"/>
      <c r="AE92" s="249"/>
      <c r="AF92" s="1250">
        <v>0.3</v>
      </c>
      <c r="AG92" s="248"/>
      <c r="AH92" s="1249"/>
      <c r="AI92" s="2629">
        <f>ROUND(SUM(+AC92-AF92),1)</f>
        <v>0.1</v>
      </c>
      <c r="AJ92" s="1823"/>
      <c r="AK92" s="2750">
        <f>ROUND(IF(AF92=0,0,AI92/ABS(AF92)),3)</f>
        <v>0.33300000000000002</v>
      </c>
    </row>
    <row r="93" spans="1:37" ht="3.95" customHeight="1">
      <c r="A93" s="351"/>
      <c r="B93" s="223"/>
      <c r="C93" s="222"/>
      <c r="D93" s="287"/>
      <c r="E93" s="260"/>
      <c r="F93" s="287"/>
      <c r="G93" s="260"/>
      <c r="H93" s="287"/>
      <c r="I93" s="260"/>
      <c r="J93" s="326"/>
      <c r="K93" s="260"/>
      <c r="L93" s="287"/>
      <c r="M93" s="260"/>
      <c r="N93" s="287"/>
      <c r="O93" s="260"/>
      <c r="P93" s="260"/>
      <c r="Q93" s="260"/>
      <c r="R93" s="287"/>
      <c r="S93" s="260"/>
      <c r="T93" s="287"/>
      <c r="U93" s="260"/>
      <c r="V93" s="287"/>
      <c r="W93" s="260"/>
      <c r="X93" s="287"/>
      <c r="Y93" s="260"/>
      <c r="Z93" s="287"/>
      <c r="AA93" s="474"/>
      <c r="AB93" s="228"/>
      <c r="AC93" s="326"/>
      <c r="AD93" s="260"/>
      <c r="AE93" s="249"/>
      <c r="AF93" s="326"/>
      <c r="AG93" s="248"/>
      <c r="AH93" s="1249"/>
      <c r="AI93" s="1146"/>
      <c r="AJ93" s="1823"/>
      <c r="AK93" s="1847"/>
    </row>
    <row r="94" spans="1:37" ht="15" customHeight="1">
      <c r="A94" s="351"/>
      <c r="B94" s="221" t="s">
        <v>155</v>
      </c>
      <c r="C94" s="222"/>
      <c r="D94" s="270">
        <f>ROUND(SUM(D92+D90+D54),1)</f>
        <v>5635.4</v>
      </c>
      <c r="E94" s="256"/>
      <c r="F94" s="270">
        <f>ROUND(SUM(F92+F90+F54),1)</f>
        <v>2866.6</v>
      </c>
      <c r="G94" s="256"/>
      <c r="H94" s="270">
        <f>ROUND(SUM(H92+H90+H54),1)</f>
        <v>4960.8</v>
      </c>
      <c r="I94" s="256"/>
      <c r="J94" s="312">
        <f>ROUND(SUM(J92+J90+J54),1)</f>
        <v>2721.5</v>
      </c>
      <c r="K94" s="256"/>
      <c r="L94" s="1802">
        <f>ROUND(SUM(L92+L90+L54),1)</f>
        <v>3228.8</v>
      </c>
      <c r="M94" s="256"/>
      <c r="N94" s="270">
        <f>ROUND(SUM(N92+N90+N54),1)</f>
        <v>5582.2</v>
      </c>
      <c r="O94" s="1802"/>
      <c r="P94" s="270">
        <f>ROUND(SUM(P92+P90+P54),1)</f>
        <v>3050.3</v>
      </c>
      <c r="Q94" s="1802"/>
      <c r="R94" s="270">
        <f>ROUND(SUM(R92+R90+R54),1)</f>
        <v>2709.2</v>
      </c>
      <c r="S94" s="1802"/>
      <c r="T94" s="270">
        <f>ROUND(SUM(T92+T90+T54),1)</f>
        <v>5855.7</v>
      </c>
      <c r="U94" s="1802"/>
      <c r="V94" s="270">
        <f>ROUND(SUM(V92+V90+V54),1)</f>
        <v>4241.8</v>
      </c>
      <c r="W94" s="1802"/>
      <c r="X94" s="270">
        <f>ROUND(SUM(X92+X90+X54),1)</f>
        <v>0</v>
      </c>
      <c r="Y94" s="1802"/>
      <c r="Z94" s="270">
        <f>ROUND(SUM(Z92+Z90+Z54),1)</f>
        <v>0</v>
      </c>
      <c r="AA94" s="475"/>
      <c r="AB94" s="476"/>
      <c r="AC94" s="312">
        <f>ROUND(SUM(AC92+AC90+AC54),1)</f>
        <v>40852.300000000003</v>
      </c>
      <c r="AD94" s="256"/>
      <c r="AE94" s="258"/>
      <c r="AF94" s="312">
        <f>ROUND(SUM(AF92+AF90+AF54),1)</f>
        <v>43406.1</v>
      </c>
      <c r="AG94" s="272"/>
      <c r="AH94" s="1251"/>
      <c r="AI94" s="270">
        <f>ROUND(SUM(AI92+AI90+AI54),1)</f>
        <v>-2553.8000000000002</v>
      </c>
      <c r="AJ94" s="272"/>
      <c r="AK94" s="523">
        <f>ROUND(SUM(+AI94/AF94),3)</f>
        <v>-5.8999999999999997E-2</v>
      </c>
    </row>
    <row r="95" spans="1:37" ht="15" customHeight="1">
      <c r="A95" s="351"/>
      <c r="B95" s="223"/>
      <c r="C95" s="222"/>
      <c r="D95" s="248"/>
      <c r="E95" s="260"/>
      <c r="F95" s="248"/>
      <c r="G95" s="260"/>
      <c r="H95" s="248"/>
      <c r="I95" s="260"/>
      <c r="J95" s="261"/>
      <c r="K95" s="260"/>
      <c r="L95" s="287"/>
      <c r="M95" s="260"/>
      <c r="N95" s="248"/>
      <c r="O95" s="260"/>
      <c r="P95" s="248"/>
      <c r="Q95" s="260"/>
      <c r="R95" s="248"/>
      <c r="S95" s="260"/>
      <c r="T95" s="248"/>
      <c r="U95" s="260"/>
      <c r="V95" s="248"/>
      <c r="W95" s="260"/>
      <c r="X95" s="248"/>
      <c r="Y95" s="260"/>
      <c r="Z95" s="248"/>
      <c r="AA95" s="252"/>
      <c r="AB95" s="237"/>
      <c r="AC95" s="248"/>
      <c r="AD95" s="260"/>
      <c r="AE95" s="249"/>
      <c r="AF95" s="261"/>
      <c r="AG95" s="248"/>
      <c r="AH95" s="1249"/>
      <c r="AI95" s="1146"/>
      <c r="AJ95" s="1823"/>
      <c r="AK95" s="1847"/>
    </row>
    <row r="96" spans="1:37" ht="15" customHeight="1">
      <c r="A96" s="351"/>
      <c r="B96" s="221" t="s">
        <v>23</v>
      </c>
      <c r="C96" s="222"/>
      <c r="D96" s="260"/>
      <c r="E96" s="260"/>
      <c r="F96" s="260"/>
      <c r="G96" s="260"/>
      <c r="H96" s="260"/>
      <c r="I96" s="260"/>
      <c r="J96" s="317"/>
      <c r="K96" s="260"/>
      <c r="L96" s="260"/>
      <c r="M96" s="260"/>
      <c r="N96" s="260"/>
      <c r="O96" s="260"/>
      <c r="P96" s="260"/>
      <c r="Q96" s="260"/>
      <c r="R96" s="260"/>
      <c r="S96" s="260"/>
      <c r="T96" s="260"/>
      <c r="U96" s="260"/>
      <c r="V96" s="260"/>
      <c r="W96" s="260"/>
      <c r="X96" s="260"/>
      <c r="Y96" s="260"/>
      <c r="Z96" s="260"/>
      <c r="AA96" s="366"/>
      <c r="AB96" s="237"/>
      <c r="AC96" s="260"/>
      <c r="AD96" s="260"/>
      <c r="AE96" s="249"/>
      <c r="AF96" s="317"/>
      <c r="AG96" s="260"/>
      <c r="AH96" s="1249"/>
      <c r="AI96" s="1146"/>
      <c r="AJ96" s="1823"/>
      <c r="AK96" s="1847"/>
    </row>
    <row r="97" spans="1:37" ht="15" customHeight="1">
      <c r="A97" s="351"/>
      <c r="B97" s="223" t="s">
        <v>156</v>
      </c>
      <c r="C97" s="222"/>
      <c r="D97" s="248"/>
      <c r="E97" s="248"/>
      <c r="F97" s="248"/>
      <c r="G97" s="248"/>
      <c r="H97" s="248"/>
      <c r="I97" s="248"/>
      <c r="J97" s="261"/>
      <c r="K97" s="248"/>
      <c r="L97" s="248"/>
      <c r="M97" s="248"/>
      <c r="N97" s="248"/>
      <c r="O97" s="248"/>
      <c r="P97" s="248"/>
      <c r="Q97" s="248"/>
      <c r="R97" s="248"/>
      <c r="S97" s="248"/>
      <c r="T97" s="248"/>
      <c r="U97" s="248"/>
      <c r="V97" s="248"/>
      <c r="W97" s="248"/>
      <c r="X97" s="248"/>
      <c r="Y97" s="248"/>
      <c r="Z97" s="248"/>
      <c r="AA97" s="366"/>
      <c r="AB97" s="237"/>
      <c r="AC97" s="260"/>
      <c r="AD97" s="260"/>
      <c r="AE97" s="249"/>
      <c r="AF97" s="2060"/>
      <c r="AG97" s="1253"/>
      <c r="AH97" s="1249"/>
      <c r="AI97" s="1146"/>
      <c r="AJ97" s="1823"/>
      <c r="AK97" s="1847"/>
    </row>
    <row r="98" spans="1:37" ht="15" customHeight="1">
      <c r="A98" s="351"/>
      <c r="B98" s="380" t="s">
        <v>25</v>
      </c>
      <c r="C98" s="222"/>
      <c r="D98" s="263">
        <v>828.1</v>
      </c>
      <c r="E98" s="248"/>
      <c r="F98" s="248">
        <v>3043.4</v>
      </c>
      <c r="G98" s="248"/>
      <c r="H98" s="248">
        <v>3045.9</v>
      </c>
      <c r="I98" s="248"/>
      <c r="J98" s="2060">
        <v>418.3</v>
      </c>
      <c r="K98" s="248"/>
      <c r="L98" s="1823">
        <v>1015.2</v>
      </c>
      <c r="M98" s="248"/>
      <c r="N98" s="248">
        <v>1854.8</v>
      </c>
      <c r="O98" s="248"/>
      <c r="P98" s="248">
        <v>1367</v>
      </c>
      <c r="Q98" s="248"/>
      <c r="R98" s="263">
        <v>1664.9</v>
      </c>
      <c r="S98" s="248"/>
      <c r="T98" s="248">
        <v>1995</v>
      </c>
      <c r="U98" s="248"/>
      <c r="V98" s="263">
        <v>671</v>
      </c>
      <c r="W98" s="248"/>
      <c r="X98" s="248"/>
      <c r="Y98" s="248"/>
      <c r="Z98" s="248"/>
      <c r="AA98" s="366"/>
      <c r="AB98" s="237"/>
      <c r="AC98" s="260">
        <f>ROUND(SUM(D98:Z98),1)</f>
        <v>15903.6</v>
      </c>
      <c r="AD98" s="260"/>
      <c r="AE98" s="249"/>
      <c r="AF98" s="1892">
        <v>15589.5</v>
      </c>
      <c r="AG98" s="1253"/>
      <c r="AH98" s="1249"/>
      <c r="AI98" s="1146">
        <f>ROUND(SUM(+AC98-AF98),1)</f>
        <v>314.10000000000002</v>
      </c>
      <c r="AJ98" s="1823"/>
      <c r="AK98" s="1780">
        <f>ROUND(IF(AF98=0,0,AI98/ABS(AF98)),3)</f>
        <v>0.02</v>
      </c>
    </row>
    <row r="99" spans="1:37" ht="15" customHeight="1">
      <c r="A99" s="351"/>
      <c r="B99" s="380" t="s">
        <v>26</v>
      </c>
      <c r="C99" s="222"/>
      <c r="D99" s="263">
        <v>0.1</v>
      </c>
      <c r="E99" s="260"/>
      <c r="F99" s="260">
        <v>0.4</v>
      </c>
      <c r="G99" s="260"/>
      <c r="H99" s="260">
        <v>0.4</v>
      </c>
      <c r="I99" s="260"/>
      <c r="J99" s="317">
        <v>0</v>
      </c>
      <c r="K99" s="260"/>
      <c r="L99" s="1146">
        <v>2.2000000000000002</v>
      </c>
      <c r="M99" s="260"/>
      <c r="N99" s="260">
        <v>0.3</v>
      </c>
      <c r="O99" s="260"/>
      <c r="P99" s="260">
        <v>0.1</v>
      </c>
      <c r="Q99" s="260"/>
      <c r="R99" s="1147">
        <v>0.6</v>
      </c>
      <c r="S99" s="260"/>
      <c r="T99" s="1147">
        <v>0.1</v>
      </c>
      <c r="U99" s="260"/>
      <c r="V99" s="260">
        <v>0.1</v>
      </c>
      <c r="W99" s="260"/>
      <c r="X99" s="260"/>
      <c r="Y99" s="260"/>
      <c r="Z99" s="260"/>
      <c r="AA99" s="366"/>
      <c r="AB99" s="237"/>
      <c r="AC99" s="260">
        <f t="shared" ref="AC99:AC106" si="11">ROUND(SUM(D99:Z99),1)</f>
        <v>4.3</v>
      </c>
      <c r="AD99" s="260"/>
      <c r="AE99" s="249"/>
      <c r="AF99" s="2925">
        <v>4.9000000000000004</v>
      </c>
      <c r="AG99" s="260"/>
      <c r="AH99" s="1249"/>
      <c r="AI99" s="1146">
        <f t="shared" ref="AI99:AI107" si="12">ROUND(SUM(+AC99-AF99),1)</f>
        <v>-0.6</v>
      </c>
      <c r="AJ99" s="1823"/>
      <c r="AK99" s="1780">
        <f>ROUND(IF(AF99=0,1,AI99/ABS(AF99)),3)</f>
        <v>-0.122</v>
      </c>
    </row>
    <row r="100" spans="1:37" ht="15" customHeight="1">
      <c r="A100" s="351"/>
      <c r="B100" s="380" t="s">
        <v>27</v>
      </c>
      <c r="C100" s="222"/>
      <c r="D100" s="263">
        <v>2.1</v>
      </c>
      <c r="E100" s="260"/>
      <c r="F100" s="260">
        <v>12.6</v>
      </c>
      <c r="G100" s="260"/>
      <c r="H100" s="260">
        <v>559.70000000000005</v>
      </c>
      <c r="I100" s="260"/>
      <c r="J100" s="317">
        <v>10.7</v>
      </c>
      <c r="K100" s="260"/>
      <c r="L100" s="1146">
        <v>2.2999999999999998</v>
      </c>
      <c r="M100" s="260"/>
      <c r="N100" s="260">
        <v>99.7</v>
      </c>
      <c r="O100" s="260"/>
      <c r="P100" s="260">
        <v>41.2</v>
      </c>
      <c r="Q100" s="260"/>
      <c r="R100" s="260">
        <v>3.4</v>
      </c>
      <c r="S100" s="260"/>
      <c r="T100" s="260">
        <v>182</v>
      </c>
      <c r="U100" s="260"/>
      <c r="V100" s="260">
        <v>3.5</v>
      </c>
      <c r="W100" s="260"/>
      <c r="X100" s="260"/>
      <c r="Y100" s="260"/>
      <c r="Z100" s="260"/>
      <c r="AA100" s="366"/>
      <c r="AB100" s="237"/>
      <c r="AC100" s="317">
        <f t="shared" si="11"/>
        <v>917.2</v>
      </c>
      <c r="AD100" s="260"/>
      <c r="AE100" s="249"/>
      <c r="AF100" s="1751">
        <v>930.4</v>
      </c>
      <c r="AG100" s="260"/>
      <c r="AH100" s="1249"/>
      <c r="AI100" s="1146">
        <f t="shared" si="12"/>
        <v>-13.2</v>
      </c>
      <c r="AJ100" s="1823"/>
      <c r="AK100" s="1780">
        <f>ROUND(IF(AF100=0,0,AI100/ABS(AF100)),3)</f>
        <v>-1.4E-2</v>
      </c>
    </row>
    <row r="101" spans="1:37" ht="15" customHeight="1">
      <c r="A101" s="351"/>
      <c r="B101" s="380" t="s">
        <v>28</v>
      </c>
      <c r="C101" s="222"/>
      <c r="D101" s="263"/>
      <c r="E101" s="260"/>
      <c r="F101" s="260"/>
      <c r="G101" s="260"/>
      <c r="H101" s="260"/>
      <c r="I101" s="260"/>
      <c r="J101" s="317"/>
      <c r="K101" s="260"/>
      <c r="L101" s="1146"/>
      <c r="M101" s="260"/>
      <c r="N101" s="260"/>
      <c r="O101" s="260"/>
      <c r="P101" s="260"/>
      <c r="Q101" s="260"/>
      <c r="R101" s="260"/>
      <c r="S101" s="260"/>
      <c r="T101" s="260"/>
      <c r="U101" s="260"/>
      <c r="V101" s="260"/>
      <c r="W101" s="260"/>
      <c r="X101" s="260"/>
      <c r="Y101" s="260"/>
      <c r="Z101" s="260"/>
      <c r="AA101" s="366"/>
      <c r="AB101" s="237"/>
      <c r="AC101" s="1146" t="s">
        <v>15</v>
      </c>
      <c r="AD101" s="260"/>
      <c r="AE101" s="249"/>
      <c r="AF101" s="1751"/>
      <c r="AG101" s="260"/>
      <c r="AH101" s="1249"/>
      <c r="AI101" s="1146" t="s">
        <v>15</v>
      </c>
      <c r="AJ101" s="1823"/>
      <c r="AK101" s="1847" t="s">
        <v>15</v>
      </c>
    </row>
    <row r="102" spans="1:37" ht="15" customHeight="1">
      <c r="A102" s="351"/>
      <c r="B102" s="1639" t="s">
        <v>29</v>
      </c>
      <c r="C102" s="222"/>
      <c r="D102" s="263">
        <v>990.1</v>
      </c>
      <c r="E102" s="2925" t="s">
        <v>15</v>
      </c>
      <c r="F102" s="260">
        <v>1259.9000000000001</v>
      </c>
      <c r="G102" s="260"/>
      <c r="H102" s="260">
        <v>1361.8</v>
      </c>
      <c r="I102" s="260"/>
      <c r="J102" s="317">
        <v>1070.3</v>
      </c>
      <c r="K102" s="260"/>
      <c r="L102" s="1146">
        <v>1281.0999999999999</v>
      </c>
      <c r="M102" s="260"/>
      <c r="N102" s="260">
        <v>1261.3</v>
      </c>
      <c r="O102" s="260"/>
      <c r="P102" s="260">
        <v>1039.8</v>
      </c>
      <c r="Q102" s="260"/>
      <c r="R102" s="260">
        <v>1343.8</v>
      </c>
      <c r="S102" s="260"/>
      <c r="T102" s="260">
        <v>1375.3</v>
      </c>
      <c r="U102" s="260"/>
      <c r="V102" s="260">
        <v>704.2</v>
      </c>
      <c r="W102" s="260"/>
      <c r="X102" s="260"/>
      <c r="Y102" s="260"/>
      <c r="Z102" s="260"/>
      <c r="AA102" s="366"/>
      <c r="AB102" s="237"/>
      <c r="AC102" s="260">
        <f t="shared" si="11"/>
        <v>11687.6</v>
      </c>
      <c r="AD102" s="260"/>
      <c r="AE102" s="249"/>
      <c r="AF102" s="1751">
        <v>11290.9</v>
      </c>
      <c r="AG102" s="260"/>
      <c r="AH102" s="1249"/>
      <c r="AI102" s="1146">
        <f t="shared" si="12"/>
        <v>396.7</v>
      </c>
      <c r="AJ102" s="1823"/>
      <c r="AK102" s="1780">
        <f t="shared" ref="AK102:AK107" si="13">ROUND(IF(AF102=0,0,AI102/ABS(AF102)),3)</f>
        <v>3.5000000000000003E-2</v>
      </c>
    </row>
    <row r="103" spans="1:37" ht="15" customHeight="1">
      <c r="A103" s="351"/>
      <c r="B103" s="380" t="s">
        <v>30</v>
      </c>
      <c r="C103" s="222"/>
      <c r="D103" s="263">
        <v>24.7</v>
      </c>
      <c r="E103" s="260"/>
      <c r="F103" s="260">
        <v>210.8</v>
      </c>
      <c r="G103" s="260"/>
      <c r="H103" s="260">
        <v>255.3</v>
      </c>
      <c r="I103" s="260"/>
      <c r="J103" s="317">
        <v>62.1</v>
      </c>
      <c r="K103" s="260"/>
      <c r="L103" s="1146">
        <v>44.4</v>
      </c>
      <c r="M103" s="260"/>
      <c r="N103" s="260">
        <v>200.4</v>
      </c>
      <c r="O103" s="260"/>
      <c r="P103" s="260">
        <v>50.8</v>
      </c>
      <c r="Q103" s="260"/>
      <c r="R103" s="260">
        <v>71.599999999999994</v>
      </c>
      <c r="S103" s="260"/>
      <c r="T103" s="260">
        <v>154.30000000000001</v>
      </c>
      <c r="U103" s="260"/>
      <c r="V103" s="260">
        <v>117.2</v>
      </c>
      <c r="W103" s="260"/>
      <c r="X103" s="260"/>
      <c r="Y103" s="260"/>
      <c r="Z103" s="260"/>
      <c r="AA103" s="366"/>
      <c r="AB103" s="237"/>
      <c r="AC103" s="317">
        <f t="shared" si="11"/>
        <v>1191.5999999999999</v>
      </c>
      <c r="AD103" s="260"/>
      <c r="AE103" s="249"/>
      <c r="AF103" s="1751">
        <v>692</v>
      </c>
      <c r="AG103" s="260"/>
      <c r="AH103" s="1249"/>
      <c r="AI103" s="1146">
        <f t="shared" si="12"/>
        <v>499.6</v>
      </c>
      <c r="AJ103" s="1823"/>
      <c r="AK103" s="1780">
        <f t="shared" si="13"/>
        <v>0.72199999999999998</v>
      </c>
    </row>
    <row r="104" spans="1:37" ht="15" customHeight="1">
      <c r="A104" s="351"/>
      <c r="B104" s="380" t="s">
        <v>31</v>
      </c>
      <c r="C104" s="222"/>
      <c r="D104" s="263">
        <v>7.2</v>
      </c>
      <c r="E104" s="260"/>
      <c r="F104" s="260">
        <v>11</v>
      </c>
      <c r="G104" s="260"/>
      <c r="H104" s="260">
        <v>8.1</v>
      </c>
      <c r="I104" s="260"/>
      <c r="J104" s="317">
        <v>17</v>
      </c>
      <c r="K104" s="260"/>
      <c r="L104" s="1146">
        <v>9.1999999999999993</v>
      </c>
      <c r="M104" s="260"/>
      <c r="N104" s="260">
        <v>26.8</v>
      </c>
      <c r="O104" s="260"/>
      <c r="P104" s="260">
        <v>7.3</v>
      </c>
      <c r="Q104" s="260"/>
      <c r="R104" s="260">
        <v>13.3</v>
      </c>
      <c r="S104" s="260"/>
      <c r="T104" s="260">
        <v>18.3</v>
      </c>
      <c r="U104" s="260"/>
      <c r="V104" s="260">
        <v>5.7</v>
      </c>
      <c r="W104" s="260"/>
      <c r="X104" s="260"/>
      <c r="Y104" s="260"/>
      <c r="Z104" s="260"/>
      <c r="AA104" s="366"/>
      <c r="AB104" s="237"/>
      <c r="AC104" s="260">
        <f t="shared" si="11"/>
        <v>123.9</v>
      </c>
      <c r="AD104" s="260"/>
      <c r="AE104" s="249"/>
      <c r="AF104" s="1146">
        <v>166.1</v>
      </c>
      <c r="AG104" s="260"/>
      <c r="AH104" s="1249" t="s">
        <v>15</v>
      </c>
      <c r="AI104" s="1146">
        <f t="shared" si="12"/>
        <v>-42.2</v>
      </c>
      <c r="AJ104" s="1823"/>
      <c r="AK104" s="1780">
        <f t="shared" si="13"/>
        <v>-0.254</v>
      </c>
    </row>
    <row r="105" spans="1:37" ht="15" customHeight="1">
      <c r="A105" s="351"/>
      <c r="B105" s="380" t="s">
        <v>32</v>
      </c>
      <c r="C105" s="222"/>
      <c r="D105" s="263">
        <v>122.9</v>
      </c>
      <c r="E105" s="260"/>
      <c r="F105" s="260">
        <v>130.1</v>
      </c>
      <c r="G105" s="260"/>
      <c r="H105" s="260">
        <v>420.9</v>
      </c>
      <c r="I105" s="260"/>
      <c r="J105" s="317">
        <v>288.60000000000002</v>
      </c>
      <c r="K105" s="260"/>
      <c r="L105" s="1146">
        <v>168</v>
      </c>
      <c r="M105" s="260"/>
      <c r="N105" s="260">
        <v>194.7</v>
      </c>
      <c r="O105" s="260"/>
      <c r="P105" s="260">
        <v>163.9</v>
      </c>
      <c r="Q105" s="260"/>
      <c r="R105" s="260">
        <v>189.4</v>
      </c>
      <c r="S105" s="260"/>
      <c r="T105" s="260">
        <v>400.7</v>
      </c>
      <c r="U105" s="260"/>
      <c r="V105" s="260">
        <v>214.6</v>
      </c>
      <c r="W105" s="260"/>
      <c r="X105" s="260"/>
      <c r="Y105" s="260"/>
      <c r="Z105" s="260"/>
      <c r="AA105" s="366"/>
      <c r="AB105" s="237"/>
      <c r="AC105" s="260">
        <f t="shared" si="11"/>
        <v>2293.8000000000002</v>
      </c>
      <c r="AD105" s="260"/>
      <c r="AE105" s="249"/>
      <c r="AF105" s="1146">
        <v>2334.4</v>
      </c>
      <c r="AG105" s="260"/>
      <c r="AH105" s="1249"/>
      <c r="AI105" s="1146">
        <f t="shared" si="12"/>
        <v>-40.6</v>
      </c>
      <c r="AJ105" s="1823"/>
      <c r="AK105" s="1780">
        <f t="shared" si="13"/>
        <v>-1.7000000000000001E-2</v>
      </c>
    </row>
    <row r="106" spans="1:37" ht="15" customHeight="1">
      <c r="A106" s="351"/>
      <c r="B106" s="380" t="s">
        <v>33</v>
      </c>
      <c r="C106" s="222"/>
      <c r="D106" s="253">
        <v>2.2000000000000002</v>
      </c>
      <c r="E106" s="260"/>
      <c r="F106" s="515">
        <v>6.4</v>
      </c>
      <c r="G106" s="260"/>
      <c r="H106" s="260">
        <v>11.3</v>
      </c>
      <c r="I106" s="260"/>
      <c r="J106" s="317">
        <v>17.2</v>
      </c>
      <c r="K106" s="260"/>
      <c r="L106" s="1146">
        <v>27.7</v>
      </c>
      <c r="M106" s="260"/>
      <c r="N106" s="514">
        <v>16.399999999999999</v>
      </c>
      <c r="O106" s="260"/>
      <c r="P106" s="260">
        <v>10.9</v>
      </c>
      <c r="Q106" s="260"/>
      <c r="R106" s="260">
        <v>24.9</v>
      </c>
      <c r="S106" s="260"/>
      <c r="T106" s="260">
        <v>15</v>
      </c>
      <c r="U106" s="260"/>
      <c r="V106" s="514">
        <v>20.2</v>
      </c>
      <c r="W106" s="260"/>
      <c r="X106" s="260"/>
      <c r="Y106" s="260"/>
      <c r="Z106" s="260"/>
      <c r="AA106" s="366"/>
      <c r="AB106" s="237"/>
      <c r="AC106" s="260">
        <f t="shared" si="11"/>
        <v>152.19999999999999</v>
      </c>
      <c r="AD106" s="260"/>
      <c r="AE106" s="249"/>
      <c r="AF106" s="1892">
        <v>57</v>
      </c>
      <c r="AG106" s="260"/>
      <c r="AH106" s="1249"/>
      <c r="AI106" s="1146">
        <f t="shared" si="12"/>
        <v>95.2</v>
      </c>
      <c r="AJ106" s="1823"/>
      <c r="AK106" s="1780">
        <f t="shared" si="13"/>
        <v>1.67</v>
      </c>
    </row>
    <row r="107" spans="1:37" ht="15" customHeight="1">
      <c r="A107" s="351"/>
      <c r="B107" s="380" t="s">
        <v>34</v>
      </c>
      <c r="C107" s="222"/>
      <c r="D107" s="1147">
        <v>0</v>
      </c>
      <c r="E107" s="260"/>
      <c r="F107" s="515">
        <v>23.2</v>
      </c>
      <c r="G107" s="260"/>
      <c r="H107" s="260">
        <v>11</v>
      </c>
      <c r="I107" s="260"/>
      <c r="J107" s="2061">
        <v>0.1</v>
      </c>
      <c r="K107" s="260"/>
      <c r="L107" s="1146">
        <v>23.9</v>
      </c>
      <c r="M107" s="260"/>
      <c r="N107" s="260">
        <v>0</v>
      </c>
      <c r="O107" s="260"/>
      <c r="P107" s="1147">
        <v>0</v>
      </c>
      <c r="Q107" s="260"/>
      <c r="R107" s="260">
        <v>23.8</v>
      </c>
      <c r="S107" s="260"/>
      <c r="T107" s="260">
        <v>9.9</v>
      </c>
      <c r="U107" s="260"/>
      <c r="V107" s="260">
        <v>0</v>
      </c>
      <c r="W107" s="260"/>
      <c r="X107" s="260"/>
      <c r="Y107" s="260"/>
      <c r="Z107" s="260"/>
      <c r="AA107" s="366"/>
      <c r="AB107" s="237"/>
      <c r="AC107" s="260">
        <f>ROUND(SUM(D107:Z107),1)</f>
        <v>91.9</v>
      </c>
      <c r="AD107" s="265"/>
      <c r="AE107" s="1254"/>
      <c r="AF107" s="1318">
        <v>97.2</v>
      </c>
      <c r="AG107" s="265"/>
      <c r="AH107" s="1255"/>
      <c r="AI107" s="1146">
        <f t="shared" si="12"/>
        <v>-5.3</v>
      </c>
      <c r="AJ107" s="2268"/>
      <c r="AK107" s="1780">
        <f t="shared" si="13"/>
        <v>-5.5E-2</v>
      </c>
    </row>
    <row r="108" spans="1:37" ht="15" customHeight="1">
      <c r="A108" s="351"/>
      <c r="B108" s="1321" t="s">
        <v>1108</v>
      </c>
      <c r="C108" s="222"/>
      <c r="D108" s="482">
        <f>ROUND(SUM(D98:D107),1)</f>
        <v>1977.4</v>
      </c>
      <c r="E108" s="256"/>
      <c r="F108" s="482">
        <f>ROUND(SUM(F98:F107),1)</f>
        <v>4697.8</v>
      </c>
      <c r="G108" s="256"/>
      <c r="H108" s="482">
        <f>ROUND(SUM(H98:H107),1)</f>
        <v>5674.4</v>
      </c>
      <c r="I108" s="272" t="s">
        <v>15</v>
      </c>
      <c r="J108" s="1256">
        <f>ROUND(SUM(J98:J107),1)</f>
        <v>1884.3</v>
      </c>
      <c r="K108" s="272" t="s">
        <v>15</v>
      </c>
      <c r="L108" s="482">
        <f>ROUND(SUM(L98:L107),1)</f>
        <v>2574</v>
      </c>
      <c r="M108" s="272" t="s">
        <v>15</v>
      </c>
      <c r="N108" s="482">
        <f>ROUND(SUM(N98:N107),1)</f>
        <v>3654.4</v>
      </c>
      <c r="O108" s="272" t="s">
        <v>15</v>
      </c>
      <c r="P108" s="482">
        <f>ROUND(SUM(P98:P107),1)</f>
        <v>2681</v>
      </c>
      <c r="Q108" s="272" t="s">
        <v>15</v>
      </c>
      <c r="R108" s="482">
        <f>ROUND(SUM(R98:R107),1)</f>
        <v>3335.7</v>
      </c>
      <c r="S108" s="272" t="s">
        <v>15</v>
      </c>
      <c r="T108" s="482">
        <f>ROUND(SUM(T98:T107),1)</f>
        <v>4150.6000000000004</v>
      </c>
      <c r="U108" s="272" t="s">
        <v>15</v>
      </c>
      <c r="V108" s="482">
        <f>ROUND(SUM(V98:V107),1)</f>
        <v>1736.5</v>
      </c>
      <c r="W108" s="272" t="s">
        <v>15</v>
      </c>
      <c r="X108" s="482">
        <f>ROUND(SUM(X98:X107),1)</f>
        <v>0</v>
      </c>
      <c r="Y108" s="272" t="s">
        <v>15</v>
      </c>
      <c r="Z108" s="482">
        <f>ROUND(SUM(Z98:Z107),1)</f>
        <v>0</v>
      </c>
      <c r="AA108" s="367" t="s">
        <v>15</v>
      </c>
      <c r="AB108" s="483"/>
      <c r="AC108" s="2941">
        <f>SUM(AC98:AC107)</f>
        <v>32366.1</v>
      </c>
      <c r="AD108" s="256"/>
      <c r="AE108" s="258"/>
      <c r="AF108" s="1256">
        <f>ROUND(SUM(AF98:AF107),1)</f>
        <v>31162.400000000001</v>
      </c>
      <c r="AG108" s="272"/>
      <c r="AH108" s="1251"/>
      <c r="AI108" s="482">
        <f>ROUND(SUM(+AC108-AF108),1)</f>
        <v>1203.7</v>
      </c>
      <c r="AJ108" s="272"/>
      <c r="AK108" s="2630">
        <f>ROUND(SUM(AI108/AF108),3)</f>
        <v>3.9E-2</v>
      </c>
    </row>
    <row r="109" spans="1:37" ht="15" customHeight="1">
      <c r="A109" s="351"/>
      <c r="B109" s="223" t="s">
        <v>157</v>
      </c>
      <c r="C109" s="222"/>
      <c r="D109" s="260"/>
      <c r="E109" s="260"/>
      <c r="F109" s="260"/>
      <c r="G109" s="260"/>
      <c r="H109" s="260"/>
      <c r="I109" s="260"/>
      <c r="J109" s="317"/>
      <c r="K109" s="260"/>
      <c r="L109" s="260"/>
      <c r="M109" s="260"/>
      <c r="N109" s="260"/>
      <c r="O109" s="260"/>
      <c r="P109" s="260"/>
      <c r="Q109" s="260"/>
      <c r="R109" s="260"/>
      <c r="S109" s="260"/>
      <c r="T109" s="260"/>
      <c r="U109" s="260"/>
      <c r="V109" s="260"/>
      <c r="W109" s="260"/>
      <c r="X109" s="260"/>
      <c r="Y109" s="260"/>
      <c r="Z109" s="260"/>
      <c r="AA109" s="366"/>
      <c r="AB109" s="237"/>
      <c r="AC109" s="260"/>
      <c r="AD109" s="260"/>
      <c r="AE109" s="249"/>
      <c r="AF109" s="317"/>
      <c r="AG109" s="260"/>
      <c r="AH109" s="1249"/>
      <c r="AI109" s="1146"/>
      <c r="AJ109" s="1823"/>
      <c r="AK109" s="1847"/>
    </row>
    <row r="110" spans="1:37" ht="15" customHeight="1">
      <c r="A110" s="351"/>
      <c r="B110" s="223" t="s">
        <v>158</v>
      </c>
      <c r="C110" s="222"/>
      <c r="D110" s="260">
        <v>474.9</v>
      </c>
      <c r="E110" s="260"/>
      <c r="F110" s="260">
        <v>487.9</v>
      </c>
      <c r="G110" s="260"/>
      <c r="H110" s="260">
        <v>609.4</v>
      </c>
      <c r="I110" s="260"/>
      <c r="J110" s="317">
        <v>476.2</v>
      </c>
      <c r="K110" s="260"/>
      <c r="L110" s="1146">
        <v>490.3</v>
      </c>
      <c r="M110" s="260"/>
      <c r="N110" s="260">
        <v>577.79999999999995</v>
      </c>
      <c r="O110" s="260"/>
      <c r="P110" s="260">
        <v>461.8</v>
      </c>
      <c r="Q110" s="260"/>
      <c r="R110" s="260">
        <v>621.5</v>
      </c>
      <c r="S110" s="260"/>
      <c r="T110" s="260">
        <v>483.5</v>
      </c>
      <c r="U110" s="260"/>
      <c r="V110" s="260">
        <v>430.1</v>
      </c>
      <c r="W110" s="260"/>
      <c r="X110" s="260"/>
      <c r="Y110" s="260"/>
      <c r="Z110" s="260"/>
      <c r="AA110" s="366"/>
      <c r="AB110" s="237"/>
      <c r="AC110" s="260">
        <f>ROUND(SUM(D110:Z110),1)</f>
        <v>5113.3999999999996</v>
      </c>
      <c r="AD110" s="260"/>
      <c r="AE110" s="249"/>
      <c r="AF110" s="1146">
        <v>5111.2</v>
      </c>
      <c r="AG110" s="260"/>
      <c r="AH110" s="1249"/>
      <c r="AI110" s="1146">
        <f>ROUND(SUM(+AC110-AF110),1)</f>
        <v>2.2000000000000002</v>
      </c>
      <c r="AJ110" s="1823"/>
      <c r="AK110" s="1780">
        <f>ROUND(IF(AF110=0,0,AI110/ABS(AF110)),3)</f>
        <v>0</v>
      </c>
    </row>
    <row r="111" spans="1:37" ht="15" customHeight="1">
      <c r="A111" s="351"/>
      <c r="B111" s="246" t="s">
        <v>159</v>
      </c>
      <c r="C111" s="222"/>
      <c r="D111" s="260">
        <v>102.9</v>
      </c>
      <c r="E111" s="260"/>
      <c r="F111" s="260">
        <v>135.30000000000001</v>
      </c>
      <c r="G111" s="260"/>
      <c r="H111" s="260">
        <v>162.1</v>
      </c>
      <c r="I111" s="260"/>
      <c r="J111" s="317">
        <v>131.5</v>
      </c>
      <c r="K111" s="260"/>
      <c r="L111" s="1146">
        <v>186.4</v>
      </c>
      <c r="M111" s="260"/>
      <c r="N111" s="260">
        <v>171.3</v>
      </c>
      <c r="O111" s="260"/>
      <c r="P111" s="260">
        <v>220.9</v>
      </c>
      <c r="Q111" s="260"/>
      <c r="R111" s="260">
        <v>205.2</v>
      </c>
      <c r="S111" s="260"/>
      <c r="T111" s="260">
        <v>129.9</v>
      </c>
      <c r="U111" s="260"/>
      <c r="V111" s="260">
        <v>149.19999999999999</v>
      </c>
      <c r="W111" s="260"/>
      <c r="X111" s="260"/>
      <c r="Y111" s="260"/>
      <c r="Z111" s="260"/>
      <c r="AA111" s="366"/>
      <c r="AB111" s="237"/>
      <c r="AC111" s="260">
        <f>ROUND(SUM(D111:Z111),1)</f>
        <v>1594.7</v>
      </c>
      <c r="AD111" s="260"/>
      <c r="AE111" s="249"/>
      <c r="AF111" s="1146">
        <v>1449.3</v>
      </c>
      <c r="AG111" s="260"/>
      <c r="AH111" s="1249"/>
      <c r="AI111" s="1146">
        <f>ROUND(SUM(+AC111-AF111),1)</f>
        <v>145.4</v>
      </c>
      <c r="AJ111" s="1823"/>
      <c r="AK111" s="1780">
        <f>ROUND(IF(AF111=0,0,AI111/ABS(AF111)),3)</f>
        <v>0.1</v>
      </c>
    </row>
    <row r="112" spans="1:37" ht="15" customHeight="1">
      <c r="A112" s="351"/>
      <c r="B112" s="246" t="s">
        <v>160</v>
      </c>
      <c r="C112" s="222"/>
      <c r="D112" s="260">
        <v>2439.6999999999998</v>
      </c>
      <c r="E112" s="1148"/>
      <c r="F112" s="260">
        <v>193.5</v>
      </c>
      <c r="G112" s="1148"/>
      <c r="H112" s="260">
        <v>391.3</v>
      </c>
      <c r="I112" s="260"/>
      <c r="J112" s="317">
        <v>403.1</v>
      </c>
      <c r="K112" s="260"/>
      <c r="L112" s="1146">
        <v>364.3</v>
      </c>
      <c r="M112" s="260"/>
      <c r="N112" s="260">
        <v>0</v>
      </c>
      <c r="O112" s="260"/>
      <c r="P112" s="260">
        <v>500.6</v>
      </c>
      <c r="Q112" s="260"/>
      <c r="R112" s="487">
        <v>-21.6</v>
      </c>
      <c r="S112" s="260"/>
      <c r="T112" s="260">
        <v>404</v>
      </c>
      <c r="U112" s="260"/>
      <c r="V112" s="260">
        <v>351.3</v>
      </c>
      <c r="W112" s="260"/>
      <c r="X112" s="260"/>
      <c r="Y112" s="260"/>
      <c r="Z112" s="260"/>
      <c r="AA112" s="484"/>
      <c r="AB112" s="228"/>
      <c r="AC112" s="260">
        <f>ROUND(SUM(D112:Z112),1)</f>
        <v>5026.2</v>
      </c>
      <c r="AD112" s="260"/>
      <c r="AE112" s="249"/>
      <c r="AF112" s="1146">
        <v>5093.1000000000004</v>
      </c>
      <c r="AG112" s="248"/>
      <c r="AH112" s="1249"/>
      <c r="AI112" s="2629">
        <f>ROUND(SUM(+AC112-AF112),1)</f>
        <v>-66.900000000000006</v>
      </c>
      <c r="AJ112" s="1823"/>
      <c r="AK112" s="2510">
        <f>ROUND(IF(AF112=0,0,AI112/ABS(AF112)),3)</f>
        <v>-1.2999999999999999E-2</v>
      </c>
    </row>
    <row r="113" spans="1:37" ht="7.5" customHeight="1">
      <c r="A113" s="351"/>
      <c r="B113" s="223"/>
      <c r="C113" s="222"/>
      <c r="D113" s="287"/>
      <c r="E113" s="260"/>
      <c r="F113" s="287"/>
      <c r="G113" s="260"/>
      <c r="H113" s="287"/>
      <c r="I113" s="260"/>
      <c r="J113" s="326"/>
      <c r="K113" s="260"/>
      <c r="L113" s="287"/>
      <c r="M113" s="260"/>
      <c r="N113" s="287"/>
      <c r="O113" s="260"/>
      <c r="P113" s="287"/>
      <c r="Q113" s="260"/>
      <c r="R113" s="260"/>
      <c r="S113" s="260"/>
      <c r="T113" s="287"/>
      <c r="U113" s="260"/>
      <c r="V113" s="287"/>
      <c r="W113" s="260"/>
      <c r="X113" s="287"/>
      <c r="Y113" s="260"/>
      <c r="Z113" s="287"/>
      <c r="AA113" s="252"/>
      <c r="AB113" s="237"/>
      <c r="AC113" s="326"/>
      <c r="AD113" s="260"/>
      <c r="AE113" s="249"/>
      <c r="AF113" s="326"/>
      <c r="AG113" s="248"/>
      <c r="AH113" s="1249"/>
      <c r="AI113" s="1146"/>
      <c r="AJ113" s="1823"/>
      <c r="AK113" s="1847"/>
    </row>
    <row r="114" spans="1:37" ht="15" customHeight="1">
      <c r="A114" s="351"/>
      <c r="B114" s="221" t="s">
        <v>161</v>
      </c>
      <c r="C114" s="222"/>
      <c r="D114" s="256">
        <f>ROUND(SUM(D110:D112)+D108,1)</f>
        <v>4994.8999999999996</v>
      </c>
      <c r="E114" s="256"/>
      <c r="F114" s="256">
        <f>ROUND(SUM(F108:F112),1)</f>
        <v>5514.5</v>
      </c>
      <c r="G114" s="256"/>
      <c r="H114" s="256">
        <f>ROUND(SUM(H108:H112),1)</f>
        <v>6837.2</v>
      </c>
      <c r="I114" s="256"/>
      <c r="J114" s="311">
        <f>ROUND(SUM(J108:J112),1)</f>
        <v>2895.1</v>
      </c>
      <c r="K114" s="256"/>
      <c r="L114" s="256">
        <f>ROUND(SUM(L108:L112),1)</f>
        <v>3615</v>
      </c>
      <c r="M114" s="256"/>
      <c r="N114" s="1802">
        <f>ROUND(SUM(N108:N112),1)</f>
        <v>4403.5</v>
      </c>
      <c r="O114" s="1802"/>
      <c r="P114" s="1802">
        <f>ROUND(SUM(P108:P112),1)</f>
        <v>3864.3</v>
      </c>
      <c r="Q114" s="1802"/>
      <c r="R114" s="1802">
        <f>ROUND(SUM(R108:R112),1)</f>
        <v>4140.8</v>
      </c>
      <c r="S114" s="1802"/>
      <c r="T114" s="1802">
        <f>ROUND(SUM(T108:T112),1)</f>
        <v>5168</v>
      </c>
      <c r="U114" s="1802"/>
      <c r="V114" s="1802">
        <f>ROUND(SUM(V108:V112),1)</f>
        <v>2667.1</v>
      </c>
      <c r="W114" s="1802"/>
      <c r="X114" s="1802">
        <f>ROUND(SUM(X108:X112),1)</f>
        <v>0</v>
      </c>
      <c r="Y114" s="1802"/>
      <c r="Z114" s="1802">
        <f>ROUND(SUM(Z108:Z112),1)</f>
        <v>0</v>
      </c>
      <c r="AA114" s="475"/>
      <c r="AB114" s="476"/>
      <c r="AC114" s="311">
        <f>ROUND(SUM(AC108:AC112),1)</f>
        <v>44100.4</v>
      </c>
      <c r="AD114" s="256"/>
      <c r="AE114" s="258"/>
      <c r="AF114" s="311">
        <f>ROUND(SUM(AF108:AF112),1)</f>
        <v>42816</v>
      </c>
      <c r="AG114" s="272"/>
      <c r="AH114" s="1251"/>
      <c r="AI114" s="2101">
        <f>ROUND(SUM(AI108:AI112),1)</f>
        <v>1284.4000000000001</v>
      </c>
      <c r="AJ114" s="272"/>
      <c r="AK114" s="2631">
        <f>ROUND(SUM(AI114/AF114),3)</f>
        <v>0.03</v>
      </c>
    </row>
    <row r="115" spans="1:37" ht="15" customHeight="1">
      <c r="A115" s="351"/>
      <c r="B115" s="223"/>
      <c r="C115" s="222"/>
      <c r="D115" s="287"/>
      <c r="E115" s="260"/>
      <c r="F115" s="287"/>
      <c r="G115" s="260"/>
      <c r="H115" s="287"/>
      <c r="I115" s="260"/>
      <c r="J115" s="326"/>
      <c r="K115" s="260"/>
      <c r="L115" s="287"/>
      <c r="M115" s="260"/>
      <c r="N115" s="287"/>
      <c r="O115" s="260"/>
      <c r="P115" s="287"/>
      <c r="Q115" s="260"/>
      <c r="R115" s="287"/>
      <c r="S115" s="260"/>
      <c r="T115" s="287"/>
      <c r="U115" s="260"/>
      <c r="V115" s="287"/>
      <c r="W115" s="260"/>
      <c r="X115" s="287"/>
      <c r="Y115" s="260"/>
      <c r="Z115" s="287"/>
      <c r="AA115" s="252"/>
      <c r="AB115" s="237"/>
      <c r="AC115" s="287"/>
      <c r="AD115" s="260"/>
      <c r="AE115" s="249"/>
      <c r="AF115" s="326"/>
      <c r="AG115" s="248"/>
      <c r="AH115" s="1249"/>
      <c r="AI115" s="1146"/>
      <c r="AJ115" s="1823"/>
      <c r="AK115" s="1847"/>
    </row>
    <row r="116" spans="1:37" ht="15" customHeight="1">
      <c r="A116" s="351"/>
      <c r="B116" s="221" t="s">
        <v>162</v>
      </c>
      <c r="C116" s="222"/>
      <c r="D116" s="260"/>
      <c r="E116" s="260"/>
      <c r="F116" s="260"/>
      <c r="G116" s="260"/>
      <c r="H116" s="260"/>
      <c r="I116" s="260"/>
      <c r="J116" s="317"/>
      <c r="K116" s="260"/>
      <c r="L116" s="260"/>
      <c r="M116" s="260"/>
      <c r="N116" s="260"/>
      <c r="O116" s="260"/>
      <c r="P116" s="260"/>
      <c r="Q116" s="260"/>
      <c r="R116" s="260"/>
      <c r="S116" s="260"/>
      <c r="T116" s="260"/>
      <c r="U116" s="260"/>
      <c r="V116" s="260"/>
      <c r="W116" s="260"/>
      <c r="X116" s="260"/>
      <c r="Y116" s="260"/>
      <c r="Z116" s="260"/>
      <c r="AA116" s="366"/>
      <c r="AB116" s="237"/>
      <c r="AC116" s="2925" t="s">
        <v>163</v>
      </c>
      <c r="AD116" s="260"/>
      <c r="AE116" s="249"/>
      <c r="AF116" s="317"/>
      <c r="AG116" s="260"/>
      <c r="AH116" s="1249"/>
      <c r="AI116" s="1146"/>
      <c r="AJ116" s="1823"/>
      <c r="AK116" s="1847"/>
    </row>
    <row r="117" spans="1:37" ht="15" customHeight="1">
      <c r="A117" s="351"/>
      <c r="B117" s="221" t="s">
        <v>45</v>
      </c>
      <c r="C117" s="222"/>
      <c r="D117" s="256">
        <f>ROUND(SUM(D94-D114),1)</f>
        <v>640.5</v>
      </c>
      <c r="E117" s="256"/>
      <c r="F117" s="256">
        <f>ROUND(SUM(F94-F114),1)</f>
        <v>-2647.9</v>
      </c>
      <c r="G117" s="256"/>
      <c r="H117" s="256">
        <f>ROUND(SUM(H94-H114),1)</f>
        <v>-1876.4</v>
      </c>
      <c r="I117" s="256"/>
      <c r="J117" s="311">
        <f>ROUND(SUM(J94-J114),1)</f>
        <v>-173.6</v>
      </c>
      <c r="K117" s="256"/>
      <c r="L117" s="256">
        <f>ROUND(SUM(L94-L114),1)</f>
        <v>-386.2</v>
      </c>
      <c r="M117" s="256"/>
      <c r="N117" s="1802">
        <f>ROUND(SUM(N94-N114),1)</f>
        <v>1178.7</v>
      </c>
      <c r="O117" s="1802"/>
      <c r="P117" s="1802">
        <f>ROUND(SUM(P94-P114),1)</f>
        <v>-814</v>
      </c>
      <c r="Q117" s="1802"/>
      <c r="R117" s="1802">
        <f>ROUND(SUM(R94-R114),1)</f>
        <v>-1431.6</v>
      </c>
      <c r="S117" s="1802"/>
      <c r="T117" s="1802">
        <f>ROUND(SUM(T94-T114),1)</f>
        <v>687.7</v>
      </c>
      <c r="U117" s="1802"/>
      <c r="V117" s="1802">
        <f>ROUND(SUM(V94-V114),1)</f>
        <v>1574.7</v>
      </c>
      <c r="W117" s="1802"/>
      <c r="X117" s="1802">
        <f>ROUND(SUM(X94-X114),1)</f>
        <v>0</v>
      </c>
      <c r="Y117" s="1802"/>
      <c r="Z117" s="1802">
        <f>ROUND(SUM(Z94-Z114),1)</f>
        <v>0</v>
      </c>
      <c r="AA117" s="475"/>
      <c r="AB117" s="476"/>
      <c r="AC117" s="256">
        <f>ROUND(SUM(AC94-AC114),1)</f>
        <v>-3248.1</v>
      </c>
      <c r="AD117" s="256"/>
      <c r="AE117" s="258"/>
      <c r="AF117" s="311">
        <f>ROUND(SUM(AF94-AF114),1)</f>
        <v>590.1</v>
      </c>
      <c r="AG117" s="256"/>
      <c r="AH117" s="1251"/>
      <c r="AI117" s="270">
        <f>ROUND(SUM(+AC117-AF117),1)</f>
        <v>-3838.2</v>
      </c>
      <c r="AJ117" s="272"/>
      <c r="AK117" s="3266">
        <f>ROUND(SUM(AI117/AF117),3)</f>
        <v>-6.5039999999999996</v>
      </c>
    </row>
    <row r="118" spans="1:37" ht="15" customHeight="1">
      <c r="A118" s="351"/>
      <c r="B118" s="223"/>
      <c r="C118" s="222"/>
      <c r="D118" s="287"/>
      <c r="E118" s="260"/>
      <c r="F118" s="287"/>
      <c r="G118" s="260"/>
      <c r="H118" s="287"/>
      <c r="I118" s="260"/>
      <c r="J118" s="326"/>
      <c r="K118" s="260"/>
      <c r="L118" s="287"/>
      <c r="M118" s="260"/>
      <c r="N118" s="287"/>
      <c r="O118" s="260"/>
      <c r="P118" s="287"/>
      <c r="Q118" s="260"/>
      <c r="R118" s="287"/>
      <c r="S118" s="260"/>
      <c r="T118" s="287"/>
      <c r="U118" s="260"/>
      <c r="V118" s="287"/>
      <c r="W118" s="260"/>
      <c r="X118" s="287"/>
      <c r="Y118" s="260"/>
      <c r="Z118" s="287"/>
      <c r="AA118" s="252"/>
      <c r="AB118" s="237"/>
      <c r="AC118" s="287"/>
      <c r="AD118" s="260"/>
      <c r="AE118" s="249"/>
      <c r="AF118" s="326"/>
      <c r="AG118" s="287"/>
      <c r="AH118" s="1249"/>
      <c r="AI118" s="1146"/>
      <c r="AJ118" s="1823"/>
      <c r="AK118" s="1847"/>
    </row>
    <row r="119" spans="1:37" ht="15" customHeight="1">
      <c r="A119" s="351"/>
      <c r="B119" s="221" t="s">
        <v>46</v>
      </c>
      <c r="C119" s="222"/>
      <c r="D119" s="260"/>
      <c r="E119" s="260"/>
      <c r="F119" s="260"/>
      <c r="G119" s="260"/>
      <c r="H119" s="260"/>
      <c r="I119" s="260"/>
      <c r="J119" s="317"/>
      <c r="K119" s="260"/>
      <c r="L119" s="260"/>
      <c r="M119" s="260"/>
      <c r="N119" s="260"/>
      <c r="O119" s="260"/>
      <c r="P119" s="260"/>
      <c r="Q119" s="260"/>
      <c r="R119" s="260"/>
      <c r="S119" s="260"/>
      <c r="T119" s="260"/>
      <c r="U119" s="260"/>
      <c r="V119" s="260"/>
      <c r="W119" s="260"/>
      <c r="X119" s="260"/>
      <c r="Y119" s="260"/>
      <c r="Z119" s="260"/>
      <c r="AA119" s="366"/>
      <c r="AB119" s="237"/>
      <c r="AC119" s="260"/>
      <c r="AD119" s="260"/>
      <c r="AE119" s="249"/>
      <c r="AF119" s="317"/>
      <c r="AG119" s="260"/>
      <c r="AH119" s="1249"/>
      <c r="AI119" s="1146"/>
      <c r="AJ119" s="1823"/>
      <c r="AK119" s="1847"/>
    </row>
    <row r="120" spans="1:37" ht="15" customHeight="1">
      <c r="A120" s="351"/>
      <c r="B120" s="221"/>
      <c r="C120" s="222"/>
      <c r="D120" s="260"/>
      <c r="E120" s="260"/>
      <c r="F120" s="260"/>
      <c r="G120" s="260"/>
      <c r="H120" s="260"/>
      <c r="I120" s="260"/>
      <c r="J120" s="317"/>
      <c r="K120" s="260"/>
      <c r="L120" s="260"/>
      <c r="M120" s="260"/>
      <c r="N120" s="260"/>
      <c r="O120" s="260"/>
      <c r="P120" s="260"/>
      <c r="Q120" s="260"/>
      <c r="R120" s="260"/>
      <c r="S120" s="260"/>
      <c r="T120" s="260"/>
      <c r="U120" s="260"/>
      <c r="V120" s="260"/>
      <c r="W120" s="260"/>
      <c r="X120" s="260"/>
      <c r="Y120" s="260"/>
      <c r="Z120" s="260"/>
      <c r="AA120" s="366"/>
      <c r="AB120" s="237"/>
      <c r="AC120" s="260"/>
      <c r="AD120" s="260"/>
      <c r="AE120" s="249"/>
      <c r="AF120" s="317"/>
      <c r="AG120" s="260"/>
      <c r="AH120" s="1249"/>
      <c r="AI120" s="1146"/>
      <c r="AJ120" s="1823"/>
      <c r="AK120" s="1847"/>
    </row>
    <row r="121" spans="1:37" ht="15" customHeight="1">
      <c r="A121" s="351"/>
      <c r="B121" s="1772" t="s">
        <v>1122</v>
      </c>
      <c r="C121" s="305"/>
      <c r="D121" s="260">
        <v>1594.3</v>
      </c>
      <c r="E121" s="317"/>
      <c r="F121" s="273">
        <v>530.79999999999995</v>
      </c>
      <c r="G121" s="317"/>
      <c r="H121" s="273">
        <v>1181</v>
      </c>
      <c r="I121" s="317"/>
      <c r="J121" s="318">
        <v>469.7</v>
      </c>
      <c r="K121" s="317"/>
      <c r="L121" s="1146">
        <v>269.89999999999998</v>
      </c>
      <c r="M121" s="317"/>
      <c r="N121" s="260">
        <v>1430</v>
      </c>
      <c r="O121" s="317"/>
      <c r="P121" s="260">
        <v>633.20000000000005</v>
      </c>
      <c r="Q121" s="317"/>
      <c r="R121" s="260">
        <v>245.5</v>
      </c>
      <c r="S121" s="317"/>
      <c r="T121" s="260">
        <v>1187.0999999999999</v>
      </c>
      <c r="U121" s="317"/>
      <c r="V121" s="260">
        <v>582.5</v>
      </c>
      <c r="W121" s="317"/>
      <c r="X121" s="260"/>
      <c r="Y121" s="317"/>
      <c r="Z121" s="260"/>
      <c r="AA121" s="366"/>
      <c r="AB121" s="486"/>
      <c r="AC121" s="260">
        <f t="shared" ref="AC121:AC128" si="14">ROUND(SUM(D121:Z121),1)</f>
        <v>8124</v>
      </c>
      <c r="AD121" s="317"/>
      <c r="AE121" s="1257"/>
      <c r="AF121" s="1751">
        <v>8473</v>
      </c>
      <c r="AG121" s="317"/>
      <c r="AH121" s="1249"/>
      <c r="AI121" s="1146">
        <f>ROUND(SUM(+AC121-AF121),1)</f>
        <v>-349</v>
      </c>
      <c r="AJ121" s="1823"/>
      <c r="AK121" s="1780">
        <f t="shared" ref="AK121:AK126" si="15">ROUND(IF(AF121=0,0,AI121/ABS(AF121)),3)</f>
        <v>-4.1000000000000002E-2</v>
      </c>
    </row>
    <row r="122" spans="1:37" ht="15" customHeight="1">
      <c r="A122" s="351"/>
      <c r="B122" s="1772" t="s">
        <v>1148</v>
      </c>
      <c r="C122" s="305"/>
      <c r="D122" s="260">
        <v>442.8</v>
      </c>
      <c r="E122" s="317"/>
      <c r="F122" s="273">
        <v>295.7</v>
      </c>
      <c r="G122" s="317"/>
      <c r="H122" s="273">
        <v>727</v>
      </c>
      <c r="I122" s="317"/>
      <c r="J122" s="318">
        <v>455.1</v>
      </c>
      <c r="K122" s="317"/>
      <c r="L122" s="1146">
        <v>392.1</v>
      </c>
      <c r="M122" s="317"/>
      <c r="N122" s="260">
        <v>621.9</v>
      </c>
      <c r="O122" s="317"/>
      <c r="P122" s="260">
        <v>440.4</v>
      </c>
      <c r="Q122" s="317"/>
      <c r="R122" s="260">
        <v>453.1</v>
      </c>
      <c r="S122" s="317"/>
      <c r="T122" s="260">
        <v>576.6</v>
      </c>
      <c r="U122" s="317"/>
      <c r="V122" s="260">
        <v>478.7</v>
      </c>
      <c r="W122" s="317"/>
      <c r="X122" s="260"/>
      <c r="Y122" s="317"/>
      <c r="Z122" s="260"/>
      <c r="AA122" s="260"/>
      <c r="AB122" s="1257"/>
      <c r="AC122" s="260">
        <f t="shared" si="14"/>
        <v>4883.3999999999996</v>
      </c>
      <c r="AD122" s="317"/>
      <c r="AE122" s="1257"/>
      <c r="AF122" s="1751">
        <v>4854</v>
      </c>
      <c r="AG122" s="317"/>
      <c r="AH122" s="1249"/>
      <c r="AI122" s="1146">
        <f>ROUND(SUM(+AC122-AF122),1)</f>
        <v>29.4</v>
      </c>
      <c r="AJ122" s="1823"/>
      <c r="AK122" s="1780">
        <f t="shared" si="15"/>
        <v>6.0000000000000001E-3</v>
      </c>
    </row>
    <row r="123" spans="1:37" ht="15" customHeight="1">
      <c r="A123" s="351"/>
      <c r="B123" s="1772" t="s">
        <v>1123</v>
      </c>
      <c r="C123" s="305"/>
      <c r="D123" s="260">
        <v>74</v>
      </c>
      <c r="E123" s="317"/>
      <c r="F123" s="273">
        <v>74.099999999999994</v>
      </c>
      <c r="G123" s="317"/>
      <c r="H123" s="273">
        <v>90.5</v>
      </c>
      <c r="I123" s="317"/>
      <c r="J123" s="318">
        <v>96.3</v>
      </c>
      <c r="K123" s="317"/>
      <c r="L123" s="1146">
        <v>84.8</v>
      </c>
      <c r="M123" s="317"/>
      <c r="N123" s="260">
        <v>83.2</v>
      </c>
      <c r="O123" s="317"/>
      <c r="P123" s="260">
        <v>78.7</v>
      </c>
      <c r="Q123" s="317"/>
      <c r="R123" s="260">
        <v>77.2</v>
      </c>
      <c r="S123" s="317"/>
      <c r="T123" s="260">
        <v>71.2</v>
      </c>
      <c r="U123" s="317"/>
      <c r="V123" s="260">
        <v>77.900000000000006</v>
      </c>
      <c r="W123" s="317"/>
      <c r="X123" s="260"/>
      <c r="Y123" s="317"/>
      <c r="Z123" s="260"/>
      <c r="AA123" s="260"/>
      <c r="AB123" s="1257"/>
      <c r="AC123" s="260">
        <f t="shared" si="14"/>
        <v>807.9</v>
      </c>
      <c r="AD123" s="317"/>
      <c r="AE123" s="1257"/>
      <c r="AF123" s="1751">
        <v>823.5</v>
      </c>
      <c r="AG123" s="317"/>
      <c r="AH123" s="1249"/>
      <c r="AI123" s="1146">
        <f>ROUND(SUM(+AC123-AF123),1)</f>
        <v>-15.6</v>
      </c>
      <c r="AJ123" s="1823"/>
      <c r="AK123" s="1780">
        <f t="shared" si="15"/>
        <v>-1.9E-2</v>
      </c>
    </row>
    <row r="124" spans="1:37" ht="15" customHeight="1">
      <c r="A124" s="351"/>
      <c r="B124" s="485" t="s">
        <v>164</v>
      </c>
      <c r="C124" s="305"/>
      <c r="D124" s="260">
        <v>5</v>
      </c>
      <c r="E124" s="317"/>
      <c r="F124" s="273">
        <v>38.799999999999997</v>
      </c>
      <c r="G124" s="317"/>
      <c r="H124" s="273">
        <v>23</v>
      </c>
      <c r="I124" s="317"/>
      <c r="J124" s="318">
        <v>6</v>
      </c>
      <c r="K124" s="317"/>
      <c r="L124" s="1146">
        <v>0.7</v>
      </c>
      <c r="M124" s="317"/>
      <c r="N124" s="260">
        <v>43.4</v>
      </c>
      <c r="O124" s="317"/>
      <c r="P124" s="260">
        <v>21.1</v>
      </c>
      <c r="Q124" s="317"/>
      <c r="R124" s="260">
        <v>42.6</v>
      </c>
      <c r="S124" s="317"/>
      <c r="T124" s="260">
        <v>4.7</v>
      </c>
      <c r="U124" s="317"/>
      <c r="V124" s="260">
        <v>86.3</v>
      </c>
      <c r="W124" s="317"/>
      <c r="X124" s="260"/>
      <c r="Y124" s="317"/>
      <c r="Z124" s="260"/>
      <c r="AA124" s="260"/>
      <c r="AB124" s="1257"/>
      <c r="AC124" s="260">
        <f t="shared" si="14"/>
        <v>271.60000000000002</v>
      </c>
      <c r="AD124" s="317"/>
      <c r="AE124" s="1257"/>
      <c r="AF124" s="1751">
        <v>538.4</v>
      </c>
      <c r="AG124" s="317"/>
      <c r="AH124" s="1249"/>
      <c r="AI124" s="1146">
        <f>ROUND(SUM(+AC124-AF124),1)</f>
        <v>-266.8</v>
      </c>
      <c r="AJ124" s="1823"/>
      <c r="AK124" s="1780">
        <f t="shared" si="15"/>
        <v>-0.496</v>
      </c>
    </row>
    <row r="125" spans="1:37" ht="15" customHeight="1">
      <c r="A125" s="351" t="s">
        <v>15</v>
      </c>
      <c r="B125" s="223" t="s">
        <v>165</v>
      </c>
      <c r="C125" s="222"/>
      <c r="D125" s="260">
        <v>-122.3</v>
      </c>
      <c r="E125" s="260"/>
      <c r="F125" s="260">
        <v>-71.3</v>
      </c>
      <c r="G125" s="260"/>
      <c r="H125" s="260">
        <v>39.6</v>
      </c>
      <c r="I125" s="260"/>
      <c r="J125" s="318">
        <v>-214.3</v>
      </c>
      <c r="K125" s="260"/>
      <c r="L125" s="1146">
        <v>-341.6</v>
      </c>
      <c r="M125" s="260"/>
      <c r="N125" s="260">
        <v>23.8</v>
      </c>
      <c r="O125" s="260"/>
      <c r="P125" s="260">
        <v>-213.4</v>
      </c>
      <c r="Q125" s="260"/>
      <c r="R125" s="260">
        <v>-226.3</v>
      </c>
      <c r="S125" s="260"/>
      <c r="T125" s="260">
        <v>-370.9</v>
      </c>
      <c r="U125" s="260"/>
      <c r="V125" s="260">
        <v>-167.2</v>
      </c>
      <c r="W125" s="260"/>
      <c r="X125" s="260"/>
      <c r="Y125" s="260"/>
      <c r="Z125" s="260"/>
      <c r="AA125" s="366"/>
      <c r="AB125" s="237"/>
      <c r="AC125" s="260">
        <f t="shared" si="14"/>
        <v>-1663.9</v>
      </c>
      <c r="AD125" s="260"/>
      <c r="AE125" s="249"/>
      <c r="AF125" s="1146">
        <v>-733.5</v>
      </c>
      <c r="AG125" s="260"/>
      <c r="AH125" s="1249"/>
      <c r="AI125" s="1146">
        <f>ROUND(SUM(+AC125-AF125)*-1,1)</f>
        <v>930.4</v>
      </c>
      <c r="AJ125" s="1823"/>
      <c r="AK125" s="2734">
        <f t="shared" si="15"/>
        <v>1.268</v>
      </c>
    </row>
    <row r="126" spans="1:37" ht="15" customHeight="1">
      <c r="A126" s="351"/>
      <c r="B126" s="223" t="s">
        <v>166</v>
      </c>
      <c r="C126" s="222"/>
      <c r="D126" s="1147">
        <v>0</v>
      </c>
      <c r="E126" s="260"/>
      <c r="F126" s="1147">
        <v>0</v>
      </c>
      <c r="G126" s="260"/>
      <c r="H126" s="1147">
        <v>0</v>
      </c>
      <c r="I126" s="260"/>
      <c r="J126" s="2061">
        <v>0</v>
      </c>
      <c r="K126" s="260"/>
      <c r="L126" s="2519">
        <v>0</v>
      </c>
      <c r="M126" s="260"/>
      <c r="N126" s="1147">
        <v>0</v>
      </c>
      <c r="O126" s="260"/>
      <c r="P126" s="1147">
        <v>0</v>
      </c>
      <c r="Q126" s="260"/>
      <c r="R126" s="1147">
        <v>0</v>
      </c>
      <c r="S126" s="260"/>
      <c r="T126" s="1147">
        <v>0</v>
      </c>
      <c r="U126" s="260"/>
      <c r="V126" s="1147">
        <v>0</v>
      </c>
      <c r="W126" s="260"/>
      <c r="X126" s="1147"/>
      <c r="Y126" s="260"/>
      <c r="Z126" s="371"/>
      <c r="AA126" s="366"/>
      <c r="AB126" s="237"/>
      <c r="AC126" s="260">
        <f t="shared" si="14"/>
        <v>0</v>
      </c>
      <c r="AD126" s="260"/>
      <c r="AE126" s="249"/>
      <c r="AF126" s="2519">
        <v>0</v>
      </c>
      <c r="AG126" s="260"/>
      <c r="AH126" s="1249"/>
      <c r="AI126" s="2925">
        <f>ROUND(SUM(+AC126-AF126)*-1,1)</f>
        <v>0</v>
      </c>
      <c r="AJ126" s="1823"/>
      <c r="AK126" s="2679">
        <f t="shared" si="15"/>
        <v>0</v>
      </c>
    </row>
    <row r="127" spans="1:37" ht="15" customHeight="1">
      <c r="A127" s="351"/>
      <c r="B127" s="1321" t="s">
        <v>1388</v>
      </c>
      <c r="C127" s="222"/>
      <c r="D127" s="1147">
        <v>-40</v>
      </c>
      <c r="E127" s="260"/>
      <c r="F127" s="1147">
        <v>-108</v>
      </c>
      <c r="G127" s="260"/>
      <c r="H127" s="1147">
        <v>-145.69999999999999</v>
      </c>
      <c r="I127" s="260"/>
      <c r="J127" s="2061">
        <v>-130</v>
      </c>
      <c r="K127" s="260"/>
      <c r="L127" s="2519">
        <v>0</v>
      </c>
      <c r="M127" s="260"/>
      <c r="N127" s="1147">
        <v>-16.5</v>
      </c>
      <c r="O127" s="260"/>
      <c r="P127" s="1147">
        <v>-67.2</v>
      </c>
      <c r="Q127" s="260"/>
      <c r="R127" s="1147">
        <v>-60.5</v>
      </c>
      <c r="S127" s="260"/>
      <c r="T127" s="1147">
        <v>-72</v>
      </c>
      <c r="U127" s="260"/>
      <c r="V127" s="1147">
        <v>-76</v>
      </c>
      <c r="W127" s="260"/>
      <c r="X127" s="1147"/>
      <c r="Y127" s="260"/>
      <c r="Z127" s="371"/>
      <c r="AA127" s="366"/>
      <c r="AB127" s="237"/>
      <c r="AC127" s="260">
        <f t="shared" si="14"/>
        <v>-715.9</v>
      </c>
      <c r="AD127" s="260"/>
      <c r="AE127" s="249"/>
      <c r="AF127" s="2519">
        <v>-817.9</v>
      </c>
      <c r="AG127" s="260"/>
      <c r="AH127" s="1249"/>
      <c r="AI127" s="2925">
        <f>ROUND(SUM(+AC127-AF127)*-1,1)</f>
        <v>-102</v>
      </c>
      <c r="AJ127" s="1823"/>
      <c r="AK127" s="2734">
        <f>ROUND(IF(AF127=0,1,AI127/ABS(AF127)),3)</f>
        <v>-0.125</v>
      </c>
    </row>
    <row r="128" spans="1:37" ht="15" customHeight="1">
      <c r="A128" s="351"/>
      <c r="B128" s="223" t="s">
        <v>167</v>
      </c>
      <c r="C128" s="222"/>
      <c r="D128" s="260">
        <v>-245.3</v>
      </c>
      <c r="E128" s="260"/>
      <c r="F128" s="260">
        <v>1.8</v>
      </c>
      <c r="G128" s="260"/>
      <c r="H128" s="260">
        <v>3</v>
      </c>
      <c r="I128" s="260"/>
      <c r="J128" s="318">
        <v>-166.9</v>
      </c>
      <c r="K128" s="260"/>
      <c r="L128" s="1146">
        <v>18</v>
      </c>
      <c r="M128" s="260"/>
      <c r="N128" s="260">
        <v>80.7</v>
      </c>
      <c r="O128" s="260"/>
      <c r="P128" s="260">
        <v>-104.1</v>
      </c>
      <c r="Q128" s="260"/>
      <c r="R128" s="260">
        <v>1.7</v>
      </c>
      <c r="S128" s="260"/>
      <c r="T128" s="260">
        <v>1.6</v>
      </c>
      <c r="U128" s="260"/>
      <c r="V128" s="260">
        <v>-344.5</v>
      </c>
      <c r="W128" s="260"/>
      <c r="X128" s="260"/>
      <c r="Y128" s="260"/>
      <c r="Z128" s="260"/>
      <c r="AA128" s="366"/>
      <c r="AB128" s="237"/>
      <c r="AC128" s="260">
        <f t="shared" si="14"/>
        <v>-754</v>
      </c>
      <c r="AD128" s="260"/>
      <c r="AE128" s="249"/>
      <c r="AF128" s="1146">
        <v>-842.4</v>
      </c>
      <c r="AG128" s="260"/>
      <c r="AH128" s="1249"/>
      <c r="AI128" s="1146">
        <f>ROUND(SUM(+AC128-AF128)*-1,1)</f>
        <v>-88.4</v>
      </c>
      <c r="AJ128" s="1823"/>
      <c r="AK128" s="1780">
        <f>ROUND(IF(AF128=0,0,AI128/ABS(AF128)),3)</f>
        <v>-0.105</v>
      </c>
    </row>
    <row r="129" spans="1:37" ht="15" customHeight="1">
      <c r="A129" s="351"/>
      <c r="B129" s="306" t="s">
        <v>168</v>
      </c>
      <c r="C129" s="305"/>
      <c r="D129" s="260">
        <v>-390.4</v>
      </c>
      <c r="E129" s="317"/>
      <c r="F129" s="260">
        <v>-1256.2</v>
      </c>
      <c r="G129" s="317"/>
      <c r="H129" s="260">
        <v>-582.29999999999995</v>
      </c>
      <c r="I129" s="317"/>
      <c r="J129" s="318">
        <v>-787.2</v>
      </c>
      <c r="K129" s="317"/>
      <c r="L129" s="1146">
        <v>-574</v>
      </c>
      <c r="M129" s="317"/>
      <c r="N129" s="260">
        <v>-108.4</v>
      </c>
      <c r="O129" s="317"/>
      <c r="P129" s="260">
        <v>-616.9</v>
      </c>
      <c r="Q129" s="317"/>
      <c r="R129" s="260">
        <v>-493.1</v>
      </c>
      <c r="S129" s="317"/>
      <c r="T129" s="260">
        <v>-564.5</v>
      </c>
      <c r="U129" s="317"/>
      <c r="V129" s="260">
        <v>-180</v>
      </c>
      <c r="W129" s="317"/>
      <c r="X129" s="260"/>
      <c r="Y129" s="317"/>
      <c r="Z129" s="260"/>
      <c r="AA129" s="484"/>
      <c r="AB129" s="308"/>
      <c r="AC129" s="317">
        <f>ROUND(SUM(D129:Z129),1)</f>
        <v>-5553</v>
      </c>
      <c r="AD129" s="317"/>
      <c r="AE129" s="1257"/>
      <c r="AF129" s="1751">
        <v>-6406.2</v>
      </c>
      <c r="AG129" s="261"/>
      <c r="AH129" s="1249"/>
      <c r="AI129" s="2629">
        <f>ROUND(SUM(+AC129-AF129)*-1,1)</f>
        <v>-853.2</v>
      </c>
      <c r="AJ129" s="1823"/>
      <c r="AK129" s="2510">
        <f>ROUND(IF(AF129=0,0,AI129/ABS(AF129)),3)</f>
        <v>-0.13300000000000001</v>
      </c>
    </row>
    <row r="130" spans="1:37" ht="5.0999999999999996" customHeight="1">
      <c r="A130" s="351"/>
      <c r="B130" s="306"/>
      <c r="C130" s="305"/>
      <c r="D130" s="326"/>
      <c r="E130" s="317"/>
      <c r="F130" s="326"/>
      <c r="G130" s="317"/>
      <c r="H130" s="326" t="s">
        <v>15</v>
      </c>
      <c r="I130" s="317"/>
      <c r="J130" s="326"/>
      <c r="K130" s="317"/>
      <c r="L130" s="326"/>
      <c r="M130" s="317"/>
      <c r="N130" s="326"/>
      <c r="O130" s="317"/>
      <c r="P130" s="326"/>
      <c r="Q130" s="317"/>
      <c r="R130" s="326"/>
      <c r="S130" s="317"/>
      <c r="T130" s="326"/>
      <c r="U130" s="317"/>
      <c r="V130" s="326"/>
      <c r="W130" s="317"/>
      <c r="X130" s="326"/>
      <c r="Y130" s="317"/>
      <c r="Z130" s="326"/>
      <c r="AA130" s="316"/>
      <c r="AB130" s="486"/>
      <c r="AC130" s="326"/>
      <c r="AD130" s="317"/>
      <c r="AE130" s="1257"/>
      <c r="AF130" s="326"/>
      <c r="AG130" s="261"/>
      <c r="AH130" s="1249"/>
      <c r="AI130" s="1146"/>
      <c r="AJ130" s="1823"/>
      <c r="AK130" s="1847"/>
    </row>
    <row r="131" spans="1:37" ht="15" customHeight="1">
      <c r="A131" s="351"/>
      <c r="B131" s="221" t="s">
        <v>169</v>
      </c>
      <c r="C131" s="222"/>
      <c r="D131" s="260"/>
      <c r="E131" s="260"/>
      <c r="F131" s="260"/>
      <c r="G131" s="260"/>
      <c r="H131" s="260"/>
      <c r="I131" s="260"/>
      <c r="J131" s="317"/>
      <c r="K131" s="260"/>
      <c r="L131" s="260"/>
      <c r="M131" s="260"/>
      <c r="N131" s="260"/>
      <c r="O131" s="260"/>
      <c r="P131" s="260"/>
      <c r="Q131" s="260"/>
      <c r="R131" s="260"/>
      <c r="S131" s="260"/>
      <c r="T131" s="260"/>
      <c r="U131" s="260"/>
      <c r="V131" s="260"/>
      <c r="W131" s="260"/>
      <c r="X131" s="260"/>
      <c r="Y131" s="366"/>
      <c r="Z131" s="366"/>
      <c r="AA131" s="366"/>
      <c r="AB131" s="237"/>
      <c r="AC131" s="260"/>
      <c r="AD131" s="260"/>
      <c r="AE131" s="249"/>
      <c r="AF131" s="317"/>
      <c r="AG131" s="260"/>
      <c r="AH131" s="1249"/>
      <c r="AI131" s="1146"/>
      <c r="AJ131" s="1823"/>
      <c r="AK131" s="1847"/>
    </row>
    <row r="132" spans="1:37" ht="15" customHeight="1">
      <c r="A132" s="351"/>
      <c r="B132" s="221" t="s">
        <v>170</v>
      </c>
      <c r="C132" s="222"/>
      <c r="D132" s="256">
        <f>ROUND(SUM(D121:D130),1)</f>
        <v>1318.1</v>
      </c>
      <c r="E132" s="256"/>
      <c r="F132" s="256">
        <f>ROUND(SUM(F121:F130),1)</f>
        <v>-494.3</v>
      </c>
      <c r="G132" s="256"/>
      <c r="H132" s="256">
        <f>ROUND(SUM(H121:H130),1)</f>
        <v>1336.1</v>
      </c>
      <c r="I132" s="256"/>
      <c r="J132" s="311">
        <f>ROUND(SUM(J121:J129),1)</f>
        <v>-271.3</v>
      </c>
      <c r="K132" s="256"/>
      <c r="L132" s="256">
        <f>ROUND(SUM(L121:L129),1)</f>
        <v>-150.1</v>
      </c>
      <c r="M132" s="256"/>
      <c r="N132" s="256">
        <f>ROUND(SUM(N121:N129),1)</f>
        <v>2158.1</v>
      </c>
      <c r="O132" s="256"/>
      <c r="P132" s="256">
        <f>ROUND(SUM(P121:P129),1)</f>
        <v>171.8</v>
      </c>
      <c r="Q132" s="256"/>
      <c r="R132" s="256">
        <f>ROUND(SUM(R121:R129),1)</f>
        <v>40.200000000000003</v>
      </c>
      <c r="S132" s="256"/>
      <c r="T132" s="256">
        <f>ROUND(SUM(T121:T129),1)</f>
        <v>833.8</v>
      </c>
      <c r="U132" s="256"/>
      <c r="V132" s="256">
        <f>ROUND(SUM(V121:V129),1)</f>
        <v>457.7</v>
      </c>
      <c r="W132" s="256"/>
      <c r="X132" s="256">
        <f>ROUND(SUM(X121:X129),1)</f>
        <v>0</v>
      </c>
      <c r="Y132" s="408"/>
      <c r="Z132" s="256">
        <f>ROUND(SUM(Z121:Z129),1)</f>
        <v>0</v>
      </c>
      <c r="AA132" s="475"/>
      <c r="AB132" s="476"/>
      <c r="AC132" s="256">
        <f>ROUND(SUM(AC121:AC129),1)</f>
        <v>5400.1</v>
      </c>
      <c r="AD132" s="256"/>
      <c r="AE132" s="258"/>
      <c r="AF132" s="311">
        <f>ROUND(SUM(AF121:AF129),1)</f>
        <v>5888.9</v>
      </c>
      <c r="AG132" s="272"/>
      <c r="AH132" s="1251"/>
      <c r="AI132" s="270">
        <f>ROUND(SUM(+AC132-AF132),1)</f>
        <v>-488.8</v>
      </c>
      <c r="AJ132" s="272"/>
      <c r="AK132" s="523">
        <f>ROUND(SUM(+AI132/AF132),3)</f>
        <v>-8.3000000000000004E-2</v>
      </c>
    </row>
    <row r="133" spans="1:37" ht="15" customHeight="1">
      <c r="A133" s="351"/>
      <c r="B133" s="223"/>
      <c r="C133" s="222"/>
      <c r="D133" s="287"/>
      <c r="E133" s="260"/>
      <c r="F133" s="287"/>
      <c r="G133" s="260"/>
      <c r="H133" s="287"/>
      <c r="I133" s="260"/>
      <c r="J133" s="326"/>
      <c r="K133" s="260"/>
      <c r="L133" s="287"/>
      <c r="M133" s="260"/>
      <c r="N133" s="287"/>
      <c r="O133" s="260"/>
      <c r="P133" s="287"/>
      <c r="Q133" s="260"/>
      <c r="R133" s="287"/>
      <c r="S133" s="260"/>
      <c r="T133" s="287"/>
      <c r="U133" s="260"/>
      <c r="V133" s="287"/>
      <c r="W133" s="260"/>
      <c r="X133" s="287"/>
      <c r="Y133" s="366"/>
      <c r="Z133" s="369"/>
      <c r="AA133" s="252"/>
      <c r="AB133" s="237"/>
      <c r="AC133" s="287"/>
      <c r="AD133" s="260"/>
      <c r="AE133" s="249"/>
      <c r="AF133" s="326"/>
      <c r="AG133" s="248"/>
      <c r="AH133" s="1249"/>
      <c r="AI133" s="1325"/>
      <c r="AJ133" s="1536"/>
      <c r="AK133" s="1528"/>
    </row>
    <row r="134" spans="1:37" ht="15" customHeight="1">
      <c r="A134" s="351"/>
      <c r="B134" s="221" t="s">
        <v>171</v>
      </c>
      <c r="C134" s="222"/>
      <c r="D134" s="260"/>
      <c r="E134" s="260"/>
      <c r="F134" s="260"/>
      <c r="G134" s="260"/>
      <c r="H134" s="260"/>
      <c r="I134" s="260"/>
      <c r="J134" s="317"/>
      <c r="K134" s="260"/>
      <c r="L134" s="260"/>
      <c r="M134" s="260"/>
      <c r="N134" s="260"/>
      <c r="O134" s="260"/>
      <c r="P134" s="260"/>
      <c r="Q134" s="260"/>
      <c r="R134" s="260"/>
      <c r="S134" s="260"/>
      <c r="T134" s="260"/>
      <c r="U134" s="260"/>
      <c r="V134" s="260"/>
      <c r="W134" s="260"/>
      <c r="X134" s="260"/>
      <c r="Y134" s="366"/>
      <c r="Z134" s="366"/>
      <c r="AA134" s="366"/>
      <c r="AB134" s="237"/>
      <c r="AC134" s="260"/>
      <c r="AD134" s="260"/>
      <c r="AE134" s="249">
        <v>16739.599999999999</v>
      </c>
      <c r="AF134" s="317"/>
      <c r="AG134" s="260"/>
      <c r="AH134" s="1249"/>
      <c r="AI134" s="1325"/>
      <c r="AJ134" s="1536"/>
      <c r="AK134" s="1528"/>
    </row>
    <row r="135" spans="1:37" ht="15" customHeight="1">
      <c r="A135" s="351"/>
      <c r="B135" s="221" t="s">
        <v>172</v>
      </c>
      <c r="C135" s="222"/>
      <c r="D135" s="260"/>
      <c r="E135" s="260"/>
      <c r="F135" s="260"/>
      <c r="G135" s="260"/>
      <c r="H135" s="260"/>
      <c r="I135" s="260"/>
      <c r="J135" s="317"/>
      <c r="K135" s="260"/>
      <c r="L135" s="260"/>
      <c r="M135" s="260"/>
      <c r="N135" s="260"/>
      <c r="O135" s="260"/>
      <c r="P135" s="260"/>
      <c r="Q135" s="260"/>
      <c r="R135" s="260"/>
      <c r="S135" s="260"/>
      <c r="T135" s="260"/>
      <c r="U135" s="260"/>
      <c r="V135" s="260"/>
      <c r="W135" s="260"/>
      <c r="X135" s="260"/>
      <c r="Y135" s="366"/>
      <c r="Z135" s="366"/>
      <c r="AA135" s="366"/>
      <c r="AB135" s="237"/>
      <c r="AC135" s="260"/>
      <c r="AD135" s="260"/>
      <c r="AE135" s="249">
        <v>-16162.7</v>
      </c>
      <c r="AF135" s="317"/>
      <c r="AG135" s="260"/>
      <c r="AH135" s="1249"/>
      <c r="AI135" s="1325"/>
      <c r="AJ135" s="1536"/>
      <c r="AK135" s="1528"/>
    </row>
    <row r="136" spans="1:37" ht="15" customHeight="1">
      <c r="A136" s="351"/>
      <c r="B136" s="221" t="s">
        <v>173</v>
      </c>
      <c r="C136" s="222"/>
      <c r="D136" s="256">
        <f>ROUND(SUM(D117+D132),1)</f>
        <v>1958.6</v>
      </c>
      <c r="E136" s="256"/>
      <c r="F136" s="256">
        <f>ROUND(SUM(F117+F132),1)</f>
        <v>-3142.2</v>
      </c>
      <c r="G136" s="256"/>
      <c r="H136" s="256">
        <f>ROUND(SUM(H117+H132),1)</f>
        <v>-540.29999999999995</v>
      </c>
      <c r="I136" s="256"/>
      <c r="J136" s="311">
        <f>ROUND(SUM(J117+J132),1)</f>
        <v>-444.9</v>
      </c>
      <c r="K136" s="256"/>
      <c r="L136" s="256">
        <f>ROUND(SUM(L117+L132),1)</f>
        <v>-536.29999999999995</v>
      </c>
      <c r="M136" s="256"/>
      <c r="N136" s="256">
        <f>ROUND(SUM(N117+N132),1)</f>
        <v>3336.8</v>
      </c>
      <c r="O136" s="256"/>
      <c r="P136" s="256">
        <f>ROUND(SUM(P117+P132),1)</f>
        <v>-642.20000000000005</v>
      </c>
      <c r="Q136" s="256"/>
      <c r="R136" s="256">
        <f>ROUND(SUM(R117+R132),1)</f>
        <v>-1391.4</v>
      </c>
      <c r="S136" s="260"/>
      <c r="T136" s="256">
        <f>ROUND(SUM(T117+T132),1)</f>
        <v>1521.5</v>
      </c>
      <c r="U136" s="260"/>
      <c r="V136" s="256">
        <f>ROUND(SUM(V117+V132),1)</f>
        <v>2032.4</v>
      </c>
      <c r="W136" s="260"/>
      <c r="X136" s="256">
        <f>ROUND(SUM(X117+X132),1)</f>
        <v>0</v>
      </c>
      <c r="Y136" s="366"/>
      <c r="Z136" s="270">
        <f>ROUND(SUM(Z117+Z132),1)</f>
        <v>0</v>
      </c>
      <c r="AA136" s="252"/>
      <c r="AB136" s="237"/>
      <c r="AC136" s="256">
        <f>ROUND(SUM(AC117+AC132),1)</f>
        <v>2152</v>
      </c>
      <c r="AD136" s="256"/>
      <c r="AE136" s="258"/>
      <c r="AF136" s="311">
        <f>ROUND(SUM(AF117+AF132),1)</f>
        <v>6479</v>
      </c>
      <c r="AG136" s="272"/>
      <c r="AH136" s="1251"/>
      <c r="AI136" s="270">
        <f>ROUND(SUM(+AC136-AF136),1)</f>
        <v>-4327</v>
      </c>
      <c r="AJ136" s="2632"/>
      <c r="AK136" s="523">
        <f>ROUND(SUM(AI136/AF136),3)</f>
        <v>-0.66800000000000004</v>
      </c>
    </row>
    <row r="137" spans="1:37" ht="9" customHeight="1">
      <c r="A137" s="351"/>
      <c r="B137" s="223"/>
      <c r="C137" s="222"/>
      <c r="D137" s="369"/>
      <c r="E137" s="223"/>
      <c r="F137" s="465"/>
      <c r="G137" s="223"/>
      <c r="H137" s="235"/>
      <c r="I137" s="223"/>
      <c r="J137" s="326"/>
      <c r="K137" s="223"/>
      <c r="L137" s="235"/>
      <c r="M137" s="223"/>
      <c r="N137" s="235"/>
      <c r="O137" s="223"/>
      <c r="P137" s="235"/>
      <c r="Q137" s="223"/>
      <c r="R137" s="235"/>
      <c r="S137" s="223"/>
      <c r="T137" s="235"/>
      <c r="U137" s="223"/>
      <c r="V137" s="235"/>
      <c r="W137" s="223"/>
      <c r="X137" s="235"/>
      <c r="Y137" s="223"/>
      <c r="Z137" s="229"/>
      <c r="AA137" s="229"/>
      <c r="AB137" s="237"/>
      <c r="AC137" s="287"/>
      <c r="AD137" s="260"/>
      <c r="AE137" s="249"/>
      <c r="AF137" s="326"/>
      <c r="AG137" s="248"/>
      <c r="AH137" s="1249"/>
      <c r="AI137" s="1319"/>
      <c r="AJ137" s="1536"/>
      <c r="AK137" s="2633"/>
    </row>
    <row r="138" spans="1:37" ht="15" customHeight="1" thickBot="1">
      <c r="A138" s="351"/>
      <c r="B138" s="488" t="s">
        <v>145</v>
      </c>
      <c r="C138" s="305"/>
      <c r="D138" s="489">
        <f>ROUND(SUM(D14+D136),1)</f>
        <v>10892.7</v>
      </c>
      <c r="E138" s="490"/>
      <c r="F138" s="489">
        <f>ROUND(SUM(F14+F136),1)</f>
        <v>7750.5</v>
      </c>
      <c r="G138" s="491"/>
      <c r="H138" s="489">
        <f>ROUND(SUM(H14+H136),1)</f>
        <v>7210.2</v>
      </c>
      <c r="I138" s="491"/>
      <c r="J138" s="489">
        <f>ROUND(SUM(J14+J136),1)</f>
        <v>6765.3</v>
      </c>
      <c r="K138" s="491"/>
      <c r="L138" s="489">
        <f>ROUND(SUM(L14+L136),1)</f>
        <v>6229</v>
      </c>
      <c r="M138" s="491"/>
      <c r="N138" s="489">
        <f>ROUND(SUM(N14+N136),1)</f>
        <v>9565.7999999999993</v>
      </c>
      <c r="O138" s="491"/>
      <c r="P138" s="489">
        <f>ROUND(SUM(P14+P136),1)</f>
        <v>8923.6</v>
      </c>
      <c r="Q138" s="491"/>
      <c r="R138" s="489">
        <f>ROUND(SUM(R14+R136),1)</f>
        <v>7532.2</v>
      </c>
      <c r="S138" s="491"/>
      <c r="T138" s="489">
        <f>ROUND(SUM(T14+T136),1)</f>
        <v>9053.7000000000007</v>
      </c>
      <c r="U138" s="491"/>
      <c r="V138" s="489">
        <f>ROUND(SUM(V14+V136),1)</f>
        <v>11086.1</v>
      </c>
      <c r="W138" s="491"/>
      <c r="X138" s="489">
        <f>ROUND(SUM(X14+X136),1)</f>
        <v>0</v>
      </c>
      <c r="Y138" s="491"/>
      <c r="Z138" s="489">
        <f>ROUND(SUM(Z14+Z136),1)</f>
        <v>0</v>
      </c>
      <c r="AA138" s="490"/>
      <c r="AB138" s="492"/>
      <c r="AC138" s="489">
        <f>ROUND(SUM(AC14+AC136),1)</f>
        <v>11086.1</v>
      </c>
      <c r="AD138" s="311"/>
      <c r="AE138" s="1258"/>
      <c r="AF138" s="489">
        <f>ROUND(SUM(AF14+AF136),1)</f>
        <v>13778.5</v>
      </c>
      <c r="AG138" s="383"/>
      <c r="AH138" s="469"/>
      <c r="AI138" s="501">
        <f>ROUND(SUM(+AC138-AF138),1)</f>
        <v>-2692.4</v>
      </c>
      <c r="AJ138" s="2632"/>
      <c r="AK138" s="529">
        <f>ROUND(SUM(+AI138/AF138),3)</f>
        <v>-0.19500000000000001</v>
      </c>
    </row>
    <row r="139" spans="1:37" ht="15" customHeight="1" thickTop="1">
      <c r="A139" s="351"/>
      <c r="B139" s="223"/>
      <c r="C139" s="222"/>
      <c r="D139" s="229"/>
      <c r="E139" s="228"/>
      <c r="F139" s="493"/>
      <c r="G139" s="228"/>
      <c r="H139" s="229"/>
      <c r="I139" s="228"/>
      <c r="J139" s="261"/>
      <c r="K139" s="228"/>
      <c r="L139" s="229"/>
      <c r="M139" s="228"/>
      <c r="N139" s="229"/>
      <c r="O139" s="228"/>
      <c r="P139" s="229"/>
      <c r="Q139" s="228"/>
      <c r="R139" s="229"/>
      <c r="S139" s="228"/>
      <c r="T139" s="229"/>
      <c r="U139" s="228"/>
      <c r="V139" s="229"/>
      <c r="W139" s="228"/>
      <c r="X139" s="229"/>
      <c r="Y139" s="228"/>
      <c r="Z139" s="229"/>
      <c r="AA139" s="229"/>
      <c r="AB139" s="228"/>
      <c r="AC139" s="248"/>
      <c r="AD139" s="248"/>
      <c r="AE139" s="248"/>
      <c r="AF139" s="261"/>
      <c r="AG139" s="248"/>
      <c r="AH139" s="1259"/>
      <c r="AI139" s="1325"/>
      <c r="AJ139" s="1536"/>
      <c r="AK139" s="1528"/>
    </row>
    <row r="140" spans="1:37" ht="15" customHeight="1">
      <c r="A140" s="351"/>
      <c r="B140" s="223" t="s">
        <v>15</v>
      </c>
      <c r="C140" s="222"/>
      <c r="D140" s="229"/>
      <c r="E140" s="223"/>
      <c r="F140" s="493"/>
      <c r="G140" s="223"/>
      <c r="H140" s="229"/>
      <c r="I140" s="223"/>
      <c r="J140" s="261"/>
      <c r="K140" s="223"/>
      <c r="L140" s="229"/>
      <c r="M140" s="223"/>
      <c r="N140" s="229"/>
      <c r="O140" s="223"/>
      <c r="P140" s="229"/>
      <c r="Q140" s="223"/>
      <c r="R140" s="229"/>
      <c r="S140" s="223"/>
      <c r="T140" s="229"/>
      <c r="U140" s="223"/>
      <c r="V140" s="229"/>
      <c r="W140" s="223"/>
      <c r="X140" s="229"/>
      <c r="Y140" s="223"/>
      <c r="Z140" s="229"/>
      <c r="AA140" s="229"/>
      <c r="AB140" s="223"/>
      <c r="AC140" s="248"/>
      <c r="AD140" s="260"/>
      <c r="AE140" s="260"/>
      <c r="AF140" s="261"/>
      <c r="AG140" s="248"/>
      <c r="AH140" s="1260"/>
      <c r="AI140" s="1325"/>
      <c r="AJ140" s="1536"/>
      <c r="AK140" s="1528"/>
    </row>
    <row r="141" spans="1:37" ht="15" customHeight="1">
      <c r="A141" s="351"/>
      <c r="B141" s="223"/>
      <c r="C141" s="222"/>
      <c r="D141" s="229"/>
      <c r="E141" s="223"/>
      <c r="F141" s="493"/>
      <c r="G141" s="223"/>
      <c r="H141" s="229"/>
      <c r="I141" s="223"/>
      <c r="J141" s="261"/>
      <c r="K141" s="223"/>
      <c r="L141" s="229"/>
      <c r="M141" s="223"/>
      <c r="N141" s="229"/>
      <c r="O141" s="223"/>
      <c r="P141" s="229"/>
      <c r="Q141" s="223"/>
      <c r="R141" s="229"/>
      <c r="S141" s="223"/>
      <c r="T141" s="229"/>
      <c r="U141" s="223"/>
      <c r="V141" s="229"/>
      <c r="W141" s="223"/>
      <c r="X141" s="229"/>
      <c r="Y141" s="223"/>
      <c r="Z141" s="229"/>
      <c r="AA141" s="229"/>
      <c r="AB141" s="223"/>
      <c r="AC141" s="248"/>
      <c r="AD141" s="260"/>
      <c r="AE141" s="260"/>
      <c r="AF141" s="261"/>
      <c r="AG141" s="248"/>
      <c r="AH141" s="1260"/>
      <c r="AI141" s="1325"/>
      <c r="AJ141" s="1536"/>
      <c r="AK141" s="1528"/>
    </row>
    <row r="142" spans="1:37" ht="15" customHeight="1">
      <c r="A142" s="454"/>
      <c r="B142" s="363"/>
      <c r="C142" s="494"/>
      <c r="D142" s="494"/>
      <c r="E142" s="495"/>
      <c r="F142" s="495"/>
      <c r="G142" s="495"/>
      <c r="H142" s="222"/>
      <c r="I142" s="222"/>
      <c r="J142" s="317"/>
      <c r="K142" s="222"/>
      <c r="L142" s="222"/>
      <c r="M142" s="222"/>
      <c r="N142" s="222"/>
      <c r="O142" s="222"/>
      <c r="P142" s="222"/>
      <c r="Q142" s="222"/>
      <c r="R142" s="222"/>
      <c r="S142" s="222"/>
      <c r="T142" s="222"/>
      <c r="U142" s="222"/>
      <c r="V142" s="222"/>
      <c r="W142" s="222"/>
      <c r="X142" s="222"/>
      <c r="Y142" s="222"/>
      <c r="Z142" s="222"/>
      <c r="AA142" s="222"/>
      <c r="AB142" s="222"/>
      <c r="AC142" s="260"/>
      <c r="AD142" s="260"/>
      <c r="AE142" s="260"/>
      <c r="AF142" s="317"/>
      <c r="AG142" s="260"/>
      <c r="AH142" s="1261"/>
      <c r="AI142" s="1146"/>
      <c r="AJ142" s="1823"/>
      <c r="AK142" s="1847"/>
    </row>
    <row r="143" spans="1:37" ht="14.1" customHeight="1">
      <c r="A143" s="454"/>
      <c r="B143" s="363"/>
      <c r="C143" s="494"/>
      <c r="D143" s="494"/>
      <c r="E143" s="495"/>
      <c r="F143" s="495"/>
      <c r="G143" s="495"/>
      <c r="H143" s="222"/>
      <c r="I143" s="222"/>
      <c r="J143" s="317"/>
      <c r="K143" s="222"/>
      <c r="L143" s="222"/>
      <c r="M143" s="222"/>
      <c r="N143" s="222"/>
      <c r="O143" s="222"/>
      <c r="P143" s="222"/>
      <c r="Q143" s="222"/>
      <c r="R143" s="222"/>
      <c r="S143" s="222"/>
      <c r="T143" s="222"/>
      <c r="U143" s="222"/>
      <c r="V143" s="222"/>
      <c r="W143" s="222"/>
      <c r="X143" s="222"/>
      <c r="Y143" s="222"/>
      <c r="Z143" s="222"/>
      <c r="AA143" s="222"/>
      <c r="AB143" s="222"/>
      <c r="AC143" s="260"/>
      <c r="AD143" s="260"/>
      <c r="AE143" s="260"/>
      <c r="AF143" s="317"/>
      <c r="AG143" s="260"/>
      <c r="AH143" s="1261"/>
      <c r="AI143" s="1146"/>
      <c r="AJ143" s="1823"/>
      <c r="AK143" s="1847"/>
    </row>
    <row r="144" spans="1:37" ht="15" customHeight="1">
      <c r="A144" s="454"/>
      <c r="B144" s="363"/>
      <c r="C144" s="494"/>
      <c r="D144" s="494"/>
      <c r="E144" s="495"/>
      <c r="F144" s="495"/>
      <c r="G144" s="495"/>
      <c r="H144" s="222"/>
      <c r="I144" s="222"/>
      <c r="J144" s="317"/>
      <c r="K144" s="222"/>
      <c r="L144" s="222"/>
      <c r="M144" s="222"/>
      <c r="N144" s="222"/>
      <c r="O144" s="222"/>
      <c r="P144" s="222"/>
      <c r="Q144" s="222"/>
      <c r="R144" s="222"/>
      <c r="S144" s="222"/>
      <c r="T144" s="222"/>
      <c r="U144" s="222"/>
      <c r="V144" s="222"/>
      <c r="W144" s="222"/>
      <c r="X144" s="222"/>
      <c r="Y144" s="222"/>
      <c r="Z144" s="222"/>
      <c r="AA144" s="222"/>
      <c r="AB144" s="222"/>
      <c r="AC144" s="260"/>
      <c r="AD144" s="260"/>
      <c r="AE144" s="260"/>
      <c r="AF144" s="317"/>
      <c r="AG144" s="260"/>
      <c r="AH144" s="1261"/>
      <c r="AI144" s="1146"/>
      <c r="AJ144" s="1823"/>
      <c r="AK144" s="1847"/>
    </row>
    <row r="145" spans="1:37" ht="15.75" customHeight="1">
      <c r="A145" s="454"/>
      <c r="B145" s="363"/>
      <c r="C145" s="494"/>
      <c r="D145" s="494"/>
      <c r="E145" s="495"/>
      <c r="F145" s="495"/>
      <c r="G145" s="495"/>
      <c r="H145" s="222"/>
      <c r="I145" s="222"/>
      <c r="J145" s="317"/>
      <c r="K145" s="222"/>
      <c r="L145" s="222"/>
      <c r="M145" s="222"/>
      <c r="N145" s="222"/>
      <c r="O145" s="222"/>
      <c r="P145" s="222"/>
      <c r="Q145" s="222"/>
      <c r="R145" s="222"/>
      <c r="S145" s="222"/>
      <c r="T145" s="222"/>
      <c r="U145" s="222"/>
      <c r="V145" s="222"/>
      <c r="W145" s="222"/>
      <c r="X145" s="222"/>
      <c r="Y145" s="222"/>
      <c r="Z145" s="222"/>
      <c r="AA145" s="222"/>
      <c r="AB145" s="222"/>
      <c r="AC145" s="260"/>
      <c r="AD145" s="260"/>
      <c r="AE145" s="260"/>
      <c r="AF145" s="317"/>
      <c r="AG145" s="260"/>
      <c r="AH145" s="1261"/>
      <c r="AI145" s="1146"/>
      <c r="AJ145" s="1823"/>
      <c r="AK145" s="1847"/>
    </row>
    <row r="146" spans="1:37" ht="14.25" customHeight="1">
      <c r="A146" s="454"/>
      <c r="B146" s="363"/>
      <c r="C146" s="494"/>
      <c r="D146" s="494"/>
      <c r="E146" s="495"/>
      <c r="F146" s="495"/>
      <c r="G146" s="495"/>
      <c r="H146" s="222"/>
      <c r="I146" s="222"/>
      <c r="J146" s="317"/>
      <c r="K146" s="222"/>
      <c r="L146" s="222"/>
      <c r="M146" s="222"/>
      <c r="N146" s="222"/>
      <c r="O146" s="222"/>
      <c r="P146" s="222"/>
      <c r="Q146" s="222"/>
      <c r="R146" s="222"/>
      <c r="S146" s="222"/>
      <c r="T146" s="222"/>
      <c r="U146" s="222"/>
      <c r="V146" s="222"/>
      <c r="W146" s="222"/>
      <c r="X146" s="222"/>
      <c r="Y146" s="222"/>
      <c r="Z146" s="222"/>
      <c r="AA146" s="222"/>
      <c r="AB146" s="222"/>
      <c r="AC146" s="260"/>
      <c r="AD146" s="260"/>
      <c r="AE146" s="260"/>
      <c r="AF146" s="317"/>
      <c r="AG146" s="260"/>
      <c r="AH146" s="1261"/>
      <c r="AI146" s="1146"/>
      <c r="AJ146" s="1823"/>
      <c r="AK146" s="1847"/>
    </row>
    <row r="147" spans="1:37" ht="14.25" customHeight="1">
      <c r="A147" s="454"/>
      <c r="B147" s="363"/>
      <c r="C147" s="494"/>
      <c r="D147" s="494"/>
      <c r="E147" s="495"/>
      <c r="F147" s="495"/>
      <c r="G147" s="495"/>
      <c r="H147" s="222"/>
      <c r="I147" s="222"/>
      <c r="J147" s="317"/>
      <c r="K147" s="222"/>
      <c r="L147" s="222"/>
      <c r="M147" s="222"/>
      <c r="N147" s="222"/>
      <c r="O147" s="222"/>
      <c r="P147" s="222"/>
      <c r="Q147" s="222"/>
      <c r="R147" s="222"/>
      <c r="S147" s="222"/>
      <c r="T147" s="222"/>
      <c r="U147" s="222"/>
      <c r="V147" s="222"/>
      <c r="W147" s="222"/>
      <c r="X147" s="222"/>
      <c r="Y147" s="222"/>
      <c r="Z147" s="222"/>
      <c r="AA147" s="222"/>
      <c r="AB147" s="222"/>
      <c r="AC147" s="260"/>
      <c r="AD147" s="260"/>
      <c r="AE147" s="260"/>
      <c r="AF147" s="317"/>
      <c r="AG147" s="260"/>
      <c r="AH147" s="1261"/>
      <c r="AI147" s="1146"/>
      <c r="AJ147" s="1823"/>
      <c r="AK147" s="1847"/>
    </row>
    <row r="148" spans="1:37" ht="14.25" customHeight="1">
      <c r="A148" s="454"/>
      <c r="B148" s="363"/>
      <c r="C148" s="494"/>
      <c r="D148" s="494"/>
      <c r="E148" s="495"/>
      <c r="F148" s="495"/>
      <c r="G148" s="495"/>
      <c r="H148" s="222"/>
      <c r="I148" s="222"/>
      <c r="J148" s="317"/>
      <c r="K148" s="222"/>
      <c r="L148" s="222"/>
      <c r="M148" s="222"/>
      <c r="N148" s="222"/>
      <c r="O148" s="222"/>
      <c r="P148" s="222"/>
      <c r="Q148" s="222"/>
      <c r="R148" s="222"/>
      <c r="S148" s="222"/>
      <c r="T148" s="222"/>
      <c r="U148" s="222"/>
      <c r="V148" s="222"/>
      <c r="W148" s="222"/>
      <c r="X148" s="222"/>
      <c r="Y148" s="222"/>
      <c r="Z148" s="222"/>
      <c r="AA148" s="222"/>
      <c r="AB148" s="222"/>
      <c r="AC148" s="260"/>
      <c r="AD148" s="260"/>
      <c r="AE148" s="260"/>
      <c r="AF148" s="317"/>
      <c r="AG148" s="260"/>
      <c r="AH148" s="1261"/>
      <c r="AI148" s="1146"/>
      <c r="AJ148" s="1823"/>
      <c r="AK148" s="1847"/>
    </row>
    <row r="149" spans="1:37" ht="14.25" customHeight="1">
      <c r="A149" s="454"/>
      <c r="B149" s="363"/>
      <c r="C149" s="494"/>
      <c r="D149" s="494"/>
      <c r="E149" s="495"/>
      <c r="F149" s="495"/>
      <c r="G149" s="495"/>
      <c r="H149" s="222"/>
      <c r="I149" s="222"/>
      <c r="J149" s="317"/>
      <c r="K149" s="222"/>
      <c r="L149" s="222"/>
      <c r="M149" s="222"/>
      <c r="N149" s="222"/>
      <c r="O149" s="222"/>
      <c r="P149" s="222"/>
      <c r="Q149" s="222"/>
      <c r="R149" s="222"/>
      <c r="S149" s="222"/>
      <c r="T149" s="222"/>
      <c r="U149" s="222"/>
      <c r="V149" s="222"/>
      <c r="W149" s="222"/>
      <c r="X149" s="222"/>
      <c r="Y149" s="222"/>
      <c r="Z149" s="222"/>
      <c r="AA149" s="222"/>
      <c r="AB149" s="222"/>
      <c r="AC149" s="260"/>
      <c r="AD149" s="260"/>
      <c r="AE149" s="260"/>
      <c r="AF149" s="317"/>
      <c r="AG149" s="260"/>
      <c r="AH149" s="1261"/>
      <c r="AI149" s="1146"/>
      <c r="AJ149" s="1823"/>
      <c r="AK149" s="1847"/>
    </row>
    <row r="150" spans="1:37" ht="14.25" customHeight="1">
      <c r="A150" s="454"/>
      <c r="B150" s="363"/>
      <c r="C150" s="494"/>
      <c r="D150" s="494"/>
      <c r="E150" s="495"/>
      <c r="F150" s="495"/>
      <c r="G150" s="495"/>
      <c r="H150" s="222"/>
      <c r="I150" s="222"/>
      <c r="J150" s="317"/>
      <c r="K150" s="222"/>
      <c r="L150" s="222"/>
      <c r="M150" s="222"/>
      <c r="N150" s="222"/>
      <c r="O150" s="222"/>
      <c r="P150" s="222"/>
      <c r="Q150" s="222"/>
      <c r="R150" s="222"/>
      <c r="S150" s="222"/>
      <c r="T150" s="222"/>
      <c r="U150" s="222"/>
      <c r="V150" s="222"/>
      <c r="W150" s="222"/>
      <c r="X150" s="222"/>
      <c r="Y150" s="222"/>
      <c r="Z150" s="222"/>
      <c r="AA150" s="222"/>
      <c r="AB150" s="222"/>
      <c r="AC150" s="260"/>
      <c r="AD150" s="260"/>
      <c r="AE150" s="260"/>
      <c r="AF150" s="317"/>
      <c r="AG150" s="260"/>
      <c r="AH150" s="1261"/>
      <c r="AI150" s="1146"/>
      <c r="AJ150" s="1823"/>
      <c r="AK150" s="1847"/>
    </row>
    <row r="151" spans="1:37" ht="14.25" customHeight="1">
      <c r="A151" s="454"/>
      <c r="B151" s="363"/>
      <c r="C151" s="494"/>
      <c r="D151" s="494"/>
      <c r="E151" s="495"/>
      <c r="F151" s="495"/>
      <c r="G151" s="495"/>
      <c r="H151" s="222"/>
      <c r="I151" s="222"/>
      <c r="J151" s="317"/>
      <c r="K151" s="222"/>
      <c r="L151" s="222"/>
      <c r="M151" s="222"/>
      <c r="N151" s="222"/>
      <c r="O151" s="222"/>
      <c r="P151" s="222"/>
      <c r="Q151" s="222"/>
      <c r="R151" s="222"/>
      <c r="S151" s="222"/>
      <c r="T151" s="222"/>
      <c r="U151" s="222"/>
      <c r="V151" s="222"/>
      <c r="W151" s="222"/>
      <c r="X151" s="222"/>
      <c r="Y151" s="222"/>
      <c r="Z151" s="222"/>
      <c r="AA151" s="222"/>
      <c r="AB151" s="222"/>
      <c r="AC151" s="260"/>
      <c r="AD151" s="260"/>
      <c r="AE151" s="260"/>
      <c r="AF151" s="317"/>
      <c r="AG151" s="260"/>
      <c r="AH151" s="1261"/>
      <c r="AI151" s="1146"/>
      <c r="AJ151" s="1823"/>
      <c r="AK151" s="1847"/>
    </row>
    <row r="152" spans="1:37" ht="14.25" customHeight="1">
      <c r="A152" s="454"/>
      <c r="B152" s="363"/>
      <c r="C152" s="494"/>
      <c r="D152" s="494"/>
      <c r="E152" s="495"/>
      <c r="F152" s="495"/>
      <c r="G152" s="495"/>
      <c r="H152" s="222"/>
      <c r="I152" s="222"/>
      <c r="J152" s="317"/>
      <c r="K152" s="222"/>
      <c r="L152" s="222"/>
      <c r="M152" s="222"/>
      <c r="N152" s="222"/>
      <c r="O152" s="222"/>
      <c r="P152" s="222"/>
      <c r="Q152" s="222"/>
      <c r="R152" s="222"/>
      <c r="S152" s="222"/>
      <c r="T152" s="222"/>
      <c r="U152" s="222"/>
      <c r="V152" s="222"/>
      <c r="W152" s="222"/>
      <c r="X152" s="222"/>
      <c r="Y152" s="222"/>
      <c r="Z152" s="222"/>
      <c r="AA152" s="222"/>
      <c r="AB152" s="222"/>
      <c r="AC152" s="260"/>
      <c r="AD152" s="260"/>
      <c r="AE152" s="260"/>
      <c r="AF152" s="317"/>
      <c r="AG152" s="260"/>
      <c r="AH152" s="1261"/>
      <c r="AI152" s="1146"/>
      <c r="AJ152" s="1823"/>
      <c r="AK152" s="1847"/>
    </row>
    <row r="153" spans="1:37" ht="14.25" customHeight="1">
      <c r="A153" s="454"/>
      <c r="B153" s="363"/>
      <c r="C153" s="494"/>
      <c r="D153" s="494"/>
      <c r="E153" s="495"/>
      <c r="F153" s="495"/>
      <c r="G153" s="495"/>
      <c r="H153" s="222"/>
      <c r="I153" s="222"/>
      <c r="J153" s="317"/>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305"/>
      <c r="AG153" s="222"/>
      <c r="AH153" s="496"/>
      <c r="AI153" s="1798"/>
      <c r="AJ153" s="2624"/>
      <c r="AK153" s="1847"/>
    </row>
    <row r="154" spans="1:37" ht="14.25" customHeight="1">
      <c r="A154" s="454"/>
      <c r="B154" s="363"/>
      <c r="C154" s="494"/>
      <c r="D154" s="494"/>
      <c r="E154" s="495"/>
      <c r="F154" s="495"/>
      <c r="G154" s="495"/>
      <c r="H154" s="222"/>
      <c r="I154" s="222"/>
      <c r="J154" s="317"/>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5"/>
      <c r="AG154" s="222"/>
      <c r="AH154" s="496"/>
      <c r="AI154" s="1798"/>
      <c r="AJ154" s="2624"/>
      <c r="AK154" s="1847"/>
    </row>
    <row r="155" spans="1:37" ht="14.25" customHeight="1">
      <c r="A155" s="454"/>
      <c r="B155" s="363"/>
      <c r="C155" s="494"/>
      <c r="D155" s="494"/>
      <c r="E155" s="495"/>
      <c r="F155" s="495"/>
      <c r="G155" s="495"/>
      <c r="H155" s="222"/>
      <c r="I155" s="222"/>
      <c r="J155" s="317"/>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5"/>
      <c r="AG155" s="222"/>
      <c r="AH155" s="496"/>
      <c r="AI155" s="1798"/>
      <c r="AJ155" s="2624"/>
      <c r="AK155" s="1847"/>
    </row>
    <row r="156" spans="1:37" ht="14.25" customHeight="1">
      <c r="A156" s="454"/>
      <c r="B156" s="363"/>
      <c r="C156" s="494"/>
      <c r="D156" s="494"/>
      <c r="E156" s="495"/>
      <c r="F156" s="495"/>
      <c r="G156" s="495"/>
      <c r="H156" s="222"/>
      <c r="I156" s="222"/>
      <c r="J156" s="317"/>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5"/>
      <c r="AG156" s="222"/>
      <c r="AH156" s="496"/>
      <c r="AI156" s="1798"/>
      <c r="AJ156" s="2624"/>
      <c r="AK156" s="1847"/>
    </row>
    <row r="157" spans="1:37" ht="14.25" customHeight="1">
      <c r="A157" s="454"/>
      <c r="B157" s="363"/>
      <c r="C157" s="494"/>
      <c r="D157" s="494"/>
      <c r="E157" s="495"/>
      <c r="F157" s="495"/>
      <c r="G157" s="495"/>
      <c r="H157" s="222"/>
      <c r="I157" s="222"/>
      <c r="J157" s="317"/>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5"/>
      <c r="AG157" s="222"/>
      <c r="AH157" s="496"/>
      <c r="AI157" s="1798"/>
      <c r="AJ157" s="2624"/>
      <c r="AK157" s="1847"/>
    </row>
    <row r="158" spans="1:37" ht="14.25" customHeight="1">
      <c r="A158" s="454"/>
      <c r="B158" s="363"/>
      <c r="C158" s="494"/>
      <c r="D158" s="494"/>
      <c r="E158" s="495"/>
      <c r="F158" s="495"/>
      <c r="G158" s="495"/>
      <c r="H158" s="222"/>
      <c r="I158" s="222"/>
      <c r="J158" s="317"/>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5"/>
      <c r="AG158" s="222"/>
      <c r="AH158" s="496"/>
      <c r="AI158" s="1798"/>
      <c r="AJ158" s="2624"/>
      <c r="AK158" s="1847"/>
    </row>
    <row r="159" spans="1:37" ht="14.25" customHeight="1">
      <c r="A159" s="454"/>
      <c r="B159" s="363"/>
      <c r="C159" s="494"/>
      <c r="D159" s="494"/>
      <c r="E159" s="495"/>
      <c r="F159" s="495"/>
      <c r="G159" s="495"/>
      <c r="H159" s="222"/>
      <c r="I159" s="222"/>
      <c r="J159" s="317"/>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5"/>
      <c r="AG159" s="222"/>
      <c r="AH159" s="496"/>
      <c r="AI159" s="1798"/>
      <c r="AJ159" s="2624"/>
      <c r="AK159" s="1847"/>
    </row>
    <row r="160" spans="1:37" ht="14.25" customHeight="1">
      <c r="A160" s="454"/>
      <c r="B160" s="363"/>
      <c r="C160" s="494"/>
      <c r="D160" s="494"/>
      <c r="E160" s="495"/>
      <c r="F160" s="495"/>
      <c r="G160" s="495"/>
      <c r="H160" s="222"/>
      <c r="I160" s="222"/>
      <c r="J160" s="317"/>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5"/>
      <c r="AG160" s="222"/>
      <c r="AH160" s="496"/>
      <c r="AI160" s="1798"/>
      <c r="AJ160" s="2624"/>
      <c r="AK160" s="1847"/>
    </row>
    <row r="161" spans="1:38" ht="14.25" customHeight="1">
      <c r="A161" s="454"/>
      <c r="B161" s="363"/>
      <c r="C161" s="494"/>
      <c r="D161" s="494"/>
      <c r="E161" s="495"/>
      <c r="F161" s="495"/>
      <c r="G161" s="495"/>
      <c r="H161" s="222"/>
      <c r="I161" s="222"/>
      <c r="J161" s="317"/>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5"/>
      <c r="AG161" s="222"/>
      <c r="AH161" s="496"/>
      <c r="AI161" s="1798"/>
      <c r="AJ161" s="2624"/>
      <c r="AK161" s="1847"/>
    </row>
    <row r="162" spans="1:38" ht="20.100000000000001" customHeight="1">
      <c r="A162" s="454"/>
      <c r="B162" s="246"/>
      <c r="C162" s="222"/>
      <c r="D162" s="222"/>
      <c r="E162" s="222"/>
      <c r="F162" s="222"/>
      <c r="G162" s="222"/>
      <c r="H162" s="222"/>
      <c r="I162" s="222"/>
      <c r="J162" s="317"/>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5"/>
      <c r="AG162" s="222"/>
      <c r="AH162" s="496"/>
      <c r="AI162" s="1798"/>
      <c r="AJ162" s="2624"/>
      <c r="AK162" s="1847"/>
    </row>
    <row r="163" spans="1:38" ht="20.100000000000001" customHeight="1">
      <c r="A163" s="454"/>
      <c r="B163" s="246"/>
      <c r="C163" s="222"/>
      <c r="D163" s="222"/>
      <c r="E163" s="222"/>
      <c r="F163" s="222"/>
      <c r="G163" s="222"/>
      <c r="H163" s="222"/>
      <c r="I163" s="222"/>
      <c r="J163" s="317"/>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5"/>
      <c r="AG163" s="222"/>
      <c r="AH163" s="496"/>
      <c r="AI163" s="1798"/>
      <c r="AJ163" s="2624"/>
      <c r="AK163" s="1847"/>
      <c r="AL163" s="222"/>
    </row>
    <row r="164" spans="1:38" ht="20.100000000000001" customHeight="1">
      <c r="A164" s="454"/>
      <c r="B164" s="246"/>
      <c r="C164" s="222"/>
      <c r="D164" s="222"/>
      <c r="E164" s="222"/>
      <c r="F164" s="222"/>
      <c r="G164" s="222"/>
      <c r="H164" s="222"/>
      <c r="I164" s="222"/>
      <c r="J164" s="317"/>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5"/>
      <c r="AG164" s="222"/>
      <c r="AH164" s="496"/>
      <c r="AI164" s="1798"/>
      <c r="AJ164" s="2624"/>
      <c r="AK164" s="1847"/>
      <c r="AL164" s="222"/>
    </row>
    <row r="165" spans="1:38" ht="20.100000000000001" customHeight="1">
      <c r="B165" s="246"/>
      <c r="C165" s="222"/>
      <c r="D165" s="222"/>
      <c r="E165" s="222"/>
      <c r="F165" s="222"/>
      <c r="G165" s="222"/>
      <c r="H165" s="222"/>
      <c r="I165" s="222"/>
      <c r="J165" s="317"/>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5"/>
      <c r="AG165" s="222"/>
      <c r="AH165" s="222"/>
      <c r="AI165" s="1798"/>
      <c r="AJ165" s="2624"/>
      <c r="AK165" s="1847"/>
      <c r="AL165" s="222"/>
    </row>
    <row r="166" spans="1:38" ht="20.100000000000001" customHeight="1">
      <c r="B166" s="222"/>
      <c r="C166" s="222"/>
      <c r="D166" s="222"/>
      <c r="E166" s="222"/>
      <c r="F166" s="222"/>
      <c r="G166" s="222"/>
      <c r="H166" s="222"/>
      <c r="I166" s="222"/>
      <c r="J166" s="317"/>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5"/>
      <c r="AG166" s="222"/>
      <c r="AH166" s="222"/>
      <c r="AI166" s="1798"/>
      <c r="AJ166" s="2624"/>
      <c r="AK166" s="1847"/>
      <c r="AL166" s="222"/>
    </row>
    <row r="167" spans="1:38" ht="20.100000000000001" customHeight="1">
      <c r="B167" s="498"/>
      <c r="C167" s="222"/>
      <c r="D167" s="222"/>
      <c r="E167" s="222"/>
      <c r="F167" s="222"/>
      <c r="G167" s="222"/>
      <c r="H167" s="222"/>
      <c r="I167" s="222"/>
      <c r="J167" s="317"/>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5"/>
      <c r="AG167" s="222"/>
      <c r="AI167" s="455"/>
      <c r="AJ167" s="2005"/>
      <c r="AK167" s="1528"/>
      <c r="AL167" s="222"/>
    </row>
    <row r="168" spans="1:38" ht="20.100000000000001" customHeight="1">
      <c r="B168" s="222"/>
      <c r="C168" s="222"/>
      <c r="D168" s="222"/>
      <c r="E168" s="222"/>
      <c r="F168" s="222"/>
      <c r="G168" s="222"/>
      <c r="H168" s="222"/>
      <c r="I168" s="222"/>
      <c r="J168" s="317"/>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5"/>
      <c r="AG168" s="222"/>
      <c r="AI168" s="455"/>
      <c r="AJ168" s="2005"/>
      <c r="AK168" s="1528"/>
      <c r="AL168" s="222"/>
    </row>
    <row r="169" spans="1:38" ht="20.100000000000001" customHeight="1">
      <c r="B169" s="222"/>
      <c r="C169" s="222"/>
      <c r="D169" s="222"/>
      <c r="E169" s="222"/>
      <c r="F169" s="222"/>
      <c r="G169" s="222"/>
      <c r="H169" s="222"/>
      <c r="I169" s="222"/>
      <c r="J169" s="317"/>
      <c r="K169" s="222"/>
      <c r="L169" s="222"/>
      <c r="M169" s="222"/>
      <c r="N169" s="222"/>
      <c r="O169" s="222"/>
      <c r="P169" s="222"/>
      <c r="Q169" s="222"/>
      <c r="R169" s="222"/>
      <c r="S169" s="222"/>
      <c r="T169" s="222"/>
      <c r="U169" s="222"/>
      <c r="V169" s="222"/>
      <c r="W169" s="222"/>
      <c r="X169" s="222"/>
      <c r="Y169" s="222"/>
      <c r="Z169" s="222"/>
      <c r="AA169" s="222"/>
      <c r="AB169" s="222"/>
      <c r="AC169" s="222"/>
      <c r="AD169" s="222"/>
      <c r="AE169" s="222"/>
      <c r="AF169" s="305"/>
      <c r="AG169" s="222"/>
      <c r="AI169" s="455"/>
      <c r="AJ169" s="2005"/>
      <c r="AK169" s="1528"/>
      <c r="AL169" s="222"/>
    </row>
    <row r="170" spans="1:38" ht="20.100000000000001" customHeight="1">
      <c r="B170" s="455"/>
      <c r="C170" s="455"/>
      <c r="D170" s="455"/>
      <c r="E170" s="455"/>
      <c r="F170" s="455"/>
      <c r="G170" s="455"/>
      <c r="H170" s="455"/>
      <c r="I170" s="455"/>
      <c r="J170" s="2058"/>
      <c r="K170" s="455"/>
      <c r="L170" s="455"/>
      <c r="M170" s="455"/>
      <c r="N170" s="455"/>
      <c r="O170" s="455"/>
      <c r="P170" s="455"/>
      <c r="Q170" s="455"/>
      <c r="R170" s="455"/>
      <c r="S170" s="455"/>
      <c r="T170" s="455"/>
      <c r="U170" s="455"/>
      <c r="V170" s="455"/>
      <c r="W170" s="455"/>
      <c r="X170" s="455"/>
      <c r="Y170" s="455"/>
      <c r="Z170" s="455"/>
      <c r="AA170" s="455"/>
      <c r="AB170" s="455"/>
      <c r="AC170" s="455"/>
      <c r="AD170" s="455"/>
      <c r="AE170" s="455"/>
      <c r="AF170" s="1743"/>
      <c r="AG170" s="455"/>
      <c r="AI170" s="455"/>
      <c r="AJ170" s="2005"/>
      <c r="AK170" s="1528"/>
      <c r="AL170" s="222"/>
    </row>
    <row r="171" spans="1:38" ht="20.100000000000001" customHeight="1">
      <c r="B171" s="455"/>
      <c r="C171" s="455"/>
      <c r="D171" s="455"/>
      <c r="E171" s="455"/>
      <c r="F171" s="455"/>
      <c r="G171" s="455"/>
      <c r="H171" s="455"/>
      <c r="I171" s="455"/>
      <c r="J171" s="2058"/>
      <c r="K171" s="455"/>
      <c r="L171" s="455"/>
      <c r="M171" s="455"/>
      <c r="N171" s="455"/>
      <c r="O171" s="455"/>
      <c r="P171" s="455"/>
      <c r="Q171" s="455"/>
      <c r="R171" s="455"/>
      <c r="S171" s="455"/>
      <c r="T171" s="455"/>
      <c r="U171" s="455"/>
      <c r="V171" s="455"/>
      <c r="W171" s="455"/>
      <c r="X171" s="455"/>
      <c r="Y171" s="455"/>
      <c r="Z171" s="455"/>
      <c r="AA171" s="455"/>
      <c r="AB171" s="455"/>
      <c r="AC171" s="455"/>
      <c r="AD171" s="455"/>
      <c r="AE171" s="455"/>
      <c r="AF171" s="1743"/>
      <c r="AG171" s="455"/>
    </row>
    <row r="172" spans="1:38" ht="20.100000000000001" customHeight="1">
      <c r="B172" s="455"/>
      <c r="C172" s="455"/>
      <c r="D172" s="455"/>
      <c r="E172" s="455"/>
      <c r="F172" s="455"/>
      <c r="G172" s="455"/>
      <c r="H172" s="455"/>
      <c r="I172" s="455"/>
      <c r="J172" s="2058"/>
      <c r="K172" s="455"/>
      <c r="L172" s="455"/>
      <c r="M172" s="455"/>
      <c r="N172" s="455"/>
      <c r="O172" s="455"/>
      <c r="P172" s="455"/>
      <c r="Q172" s="455"/>
      <c r="R172" s="455"/>
      <c r="S172" s="455"/>
      <c r="T172" s="455"/>
      <c r="U172" s="455"/>
      <c r="V172" s="455"/>
      <c r="W172" s="455"/>
      <c r="X172" s="455"/>
      <c r="Y172" s="455"/>
      <c r="Z172" s="455"/>
      <c r="AA172" s="455"/>
      <c r="AB172" s="455"/>
      <c r="AC172" s="455"/>
      <c r="AD172" s="455"/>
      <c r="AE172" s="455"/>
      <c r="AF172" s="1743"/>
      <c r="AG172" s="455"/>
    </row>
    <row r="173" spans="1:38" ht="20.100000000000001" customHeight="1">
      <c r="B173" s="455"/>
      <c r="C173" s="455"/>
      <c r="D173" s="455"/>
      <c r="E173" s="455"/>
      <c r="F173" s="455"/>
      <c r="G173" s="455"/>
      <c r="H173" s="455"/>
      <c r="I173" s="455"/>
      <c r="J173" s="2058"/>
      <c r="K173" s="455"/>
      <c r="L173" s="455"/>
      <c r="M173" s="455"/>
      <c r="N173" s="455"/>
      <c r="O173" s="455"/>
      <c r="P173" s="455"/>
      <c r="Q173" s="455"/>
      <c r="R173" s="455"/>
      <c r="S173" s="455"/>
      <c r="T173" s="455"/>
      <c r="U173" s="455"/>
      <c r="V173" s="455"/>
      <c r="W173" s="455"/>
      <c r="X173" s="455"/>
      <c r="Y173" s="455"/>
      <c r="Z173" s="455"/>
      <c r="AA173" s="455"/>
      <c r="AB173" s="455"/>
      <c r="AC173" s="455"/>
      <c r="AD173" s="455"/>
      <c r="AE173" s="455"/>
      <c r="AF173" s="1743"/>
      <c r="AG173" s="455"/>
    </row>
    <row r="174" spans="1:38" ht="20.100000000000001" customHeight="1">
      <c r="B174" s="455"/>
      <c r="C174" s="455"/>
      <c r="D174" s="455"/>
      <c r="E174" s="455"/>
      <c r="F174" s="455"/>
      <c r="G174" s="455"/>
      <c r="H174" s="455"/>
      <c r="I174" s="455"/>
      <c r="J174" s="2058"/>
      <c r="K174" s="455"/>
      <c r="L174" s="455"/>
      <c r="M174" s="455"/>
      <c r="N174" s="455"/>
      <c r="O174" s="455"/>
      <c r="P174" s="455"/>
      <c r="Q174" s="455"/>
      <c r="R174" s="455"/>
      <c r="S174" s="455"/>
      <c r="T174" s="455"/>
      <c r="U174" s="455"/>
      <c r="V174" s="455"/>
      <c r="W174" s="455"/>
      <c r="X174" s="455"/>
      <c r="Y174" s="455"/>
      <c r="Z174" s="455"/>
      <c r="AA174" s="455"/>
      <c r="AB174" s="455"/>
      <c r="AC174" s="455"/>
      <c r="AD174" s="455"/>
      <c r="AE174" s="455"/>
      <c r="AF174" s="1743"/>
      <c r="AG174" s="455"/>
    </row>
    <row r="175" spans="1:38">
      <c r="B175" s="455"/>
      <c r="C175" s="455"/>
      <c r="D175" s="455"/>
      <c r="E175" s="455"/>
      <c r="F175" s="455"/>
      <c r="G175" s="455"/>
      <c r="H175" s="455"/>
      <c r="I175" s="455"/>
      <c r="J175" s="2058"/>
      <c r="K175" s="455"/>
      <c r="L175" s="455"/>
      <c r="M175" s="455"/>
      <c r="N175" s="455"/>
      <c r="O175" s="455"/>
      <c r="P175" s="455"/>
      <c r="Q175" s="455"/>
      <c r="R175" s="455"/>
      <c r="S175" s="455"/>
      <c r="T175" s="455"/>
      <c r="U175" s="455"/>
      <c r="V175" s="455"/>
      <c r="W175" s="455"/>
      <c r="X175" s="455"/>
      <c r="Y175" s="455"/>
      <c r="Z175" s="455"/>
      <c r="AA175" s="455"/>
      <c r="AB175" s="455"/>
      <c r="AC175" s="455"/>
      <c r="AD175" s="455"/>
      <c r="AE175" s="455"/>
      <c r="AF175" s="1743"/>
      <c r="AG175" s="455"/>
    </row>
    <row r="176" spans="1:38">
      <c r="B176" s="455"/>
      <c r="C176" s="455"/>
      <c r="D176" s="455"/>
      <c r="E176" s="455"/>
      <c r="F176" s="455"/>
      <c r="G176" s="455"/>
      <c r="H176" s="455"/>
      <c r="I176" s="455"/>
      <c r="J176" s="2058"/>
      <c r="K176" s="455"/>
      <c r="L176" s="455"/>
      <c r="M176" s="455"/>
      <c r="N176" s="455"/>
      <c r="O176" s="455"/>
      <c r="P176" s="455"/>
      <c r="Q176" s="455"/>
      <c r="R176" s="455"/>
      <c r="S176" s="455"/>
      <c r="T176" s="455"/>
      <c r="U176" s="455"/>
      <c r="V176" s="455"/>
      <c r="W176" s="455"/>
      <c r="X176" s="455"/>
      <c r="Y176" s="455"/>
      <c r="Z176" s="455"/>
      <c r="AA176" s="455"/>
      <c r="AB176" s="455"/>
      <c r="AC176" s="455"/>
      <c r="AD176" s="455"/>
      <c r="AE176" s="455"/>
      <c r="AF176" s="1743"/>
      <c r="AG176" s="455"/>
    </row>
    <row r="177" spans="2:33">
      <c r="B177" s="455"/>
      <c r="C177" s="455"/>
      <c r="D177" s="455"/>
      <c r="E177" s="455"/>
      <c r="F177" s="455"/>
      <c r="G177" s="455"/>
      <c r="H177" s="455"/>
      <c r="I177" s="455"/>
      <c r="J177" s="2058"/>
      <c r="K177" s="455"/>
      <c r="L177" s="455"/>
      <c r="M177" s="455"/>
      <c r="N177" s="455"/>
      <c r="O177" s="455"/>
      <c r="P177" s="455"/>
      <c r="Q177" s="455"/>
      <c r="R177" s="455"/>
      <c r="S177" s="455"/>
      <c r="T177" s="455"/>
      <c r="U177" s="455"/>
      <c r="V177" s="455"/>
      <c r="W177" s="455"/>
      <c r="X177" s="455"/>
      <c r="Y177" s="455"/>
      <c r="Z177" s="455"/>
      <c r="AA177" s="455"/>
      <c r="AB177" s="455"/>
      <c r="AC177" s="455"/>
      <c r="AD177" s="455"/>
      <c r="AE177" s="455"/>
      <c r="AF177" s="1743"/>
      <c r="AG177" s="455"/>
    </row>
    <row r="178" spans="2:33">
      <c r="B178" s="455"/>
      <c r="C178" s="455"/>
      <c r="D178" s="455"/>
      <c r="E178" s="455"/>
      <c r="F178" s="455"/>
      <c r="G178" s="455"/>
      <c r="H178" s="455"/>
      <c r="I178" s="455"/>
      <c r="J178" s="2058"/>
      <c r="K178" s="455"/>
      <c r="L178" s="455"/>
      <c r="M178" s="455"/>
      <c r="N178" s="455"/>
      <c r="O178" s="455"/>
      <c r="P178" s="455"/>
      <c r="Q178" s="455"/>
      <c r="R178" s="455"/>
      <c r="S178" s="455"/>
      <c r="T178" s="455"/>
      <c r="U178" s="455"/>
      <c r="V178" s="455"/>
      <c r="W178" s="455"/>
      <c r="X178" s="455"/>
      <c r="Y178" s="455"/>
      <c r="Z178" s="455"/>
      <c r="AA178" s="455"/>
      <c r="AB178" s="455"/>
      <c r="AC178" s="455"/>
      <c r="AD178" s="455"/>
      <c r="AE178" s="455"/>
      <c r="AF178" s="1743"/>
      <c r="AG178" s="455"/>
    </row>
    <row r="179" spans="2:33">
      <c r="B179" s="455"/>
      <c r="C179" s="455"/>
      <c r="D179" s="455"/>
      <c r="E179" s="455"/>
      <c r="F179" s="455"/>
      <c r="G179" s="455"/>
      <c r="H179" s="455"/>
      <c r="I179" s="455"/>
      <c r="J179" s="2058"/>
      <c r="K179" s="455"/>
      <c r="L179" s="455"/>
      <c r="M179" s="455"/>
      <c r="N179" s="455"/>
      <c r="O179" s="455"/>
      <c r="P179" s="455"/>
      <c r="Q179" s="455"/>
      <c r="R179" s="455"/>
      <c r="S179" s="455"/>
      <c r="T179" s="455"/>
      <c r="U179" s="455"/>
      <c r="V179" s="455"/>
      <c r="W179" s="455"/>
      <c r="X179" s="455"/>
      <c r="Y179" s="455"/>
      <c r="Z179" s="455"/>
      <c r="AA179" s="455"/>
      <c r="AB179" s="455"/>
      <c r="AC179" s="455"/>
      <c r="AD179" s="455"/>
      <c r="AE179" s="455"/>
      <c r="AF179" s="1743"/>
      <c r="AG179" s="455"/>
    </row>
    <row r="180" spans="2:33">
      <c r="B180" s="455"/>
      <c r="C180" s="455"/>
      <c r="D180" s="455"/>
      <c r="E180" s="455"/>
      <c r="F180" s="455"/>
      <c r="G180" s="455"/>
      <c r="H180" s="455"/>
      <c r="I180" s="455"/>
      <c r="J180" s="2058"/>
      <c r="K180" s="455"/>
      <c r="L180" s="455"/>
      <c r="M180" s="455"/>
      <c r="N180" s="455"/>
      <c r="O180" s="455"/>
      <c r="P180" s="455"/>
      <c r="Q180" s="455"/>
      <c r="R180" s="455"/>
      <c r="S180" s="455"/>
      <c r="T180" s="455"/>
      <c r="U180" s="455"/>
      <c r="V180" s="455"/>
      <c r="W180" s="455"/>
      <c r="X180" s="455"/>
      <c r="Y180" s="455"/>
      <c r="Z180" s="455"/>
      <c r="AA180" s="455"/>
      <c r="AB180" s="455"/>
      <c r="AC180" s="455"/>
      <c r="AD180" s="455"/>
      <c r="AE180" s="455"/>
      <c r="AF180" s="1743"/>
      <c r="AG180" s="455"/>
    </row>
    <row r="181" spans="2:33">
      <c r="B181" s="455"/>
      <c r="C181" s="455"/>
      <c r="D181" s="455"/>
      <c r="E181" s="455"/>
      <c r="F181" s="455"/>
      <c r="G181" s="455"/>
      <c r="H181" s="455"/>
      <c r="I181" s="455"/>
      <c r="J181" s="2058"/>
      <c r="K181" s="455"/>
      <c r="L181" s="455"/>
      <c r="M181" s="455"/>
      <c r="N181" s="455"/>
      <c r="O181" s="455"/>
      <c r="P181" s="455"/>
      <c r="Q181" s="455"/>
      <c r="R181" s="455"/>
      <c r="S181" s="455"/>
      <c r="T181" s="455"/>
      <c r="U181" s="455"/>
      <c r="V181" s="455"/>
      <c r="W181" s="455"/>
      <c r="X181" s="455"/>
      <c r="Y181" s="455"/>
      <c r="Z181" s="455"/>
      <c r="AA181" s="455"/>
      <c r="AB181" s="455"/>
      <c r="AC181" s="455"/>
      <c r="AD181" s="455"/>
      <c r="AE181" s="455"/>
      <c r="AF181" s="1743"/>
      <c r="AG181" s="455"/>
    </row>
    <row r="182" spans="2:33">
      <c r="B182" s="455"/>
      <c r="C182" s="455"/>
      <c r="D182" s="455"/>
      <c r="E182" s="455"/>
      <c r="F182" s="455"/>
      <c r="G182" s="455"/>
      <c r="H182" s="455"/>
      <c r="I182" s="455"/>
      <c r="J182" s="2058"/>
      <c r="K182" s="455"/>
      <c r="L182" s="455"/>
      <c r="M182" s="455"/>
      <c r="N182" s="455"/>
      <c r="O182" s="455"/>
      <c r="P182" s="455"/>
      <c r="Q182" s="455"/>
      <c r="R182" s="455"/>
      <c r="S182" s="455"/>
      <c r="T182" s="455"/>
      <c r="U182" s="455"/>
      <c r="V182" s="455"/>
      <c r="W182" s="455"/>
      <c r="X182" s="455"/>
      <c r="Y182" s="455"/>
      <c r="Z182" s="455"/>
      <c r="AA182" s="455"/>
      <c r="AB182" s="455"/>
      <c r="AC182" s="455"/>
      <c r="AD182" s="455"/>
      <c r="AE182" s="455"/>
      <c r="AF182" s="1743"/>
      <c r="AG182" s="455"/>
    </row>
    <row r="183" spans="2:33">
      <c r="B183" s="455"/>
      <c r="C183" s="455"/>
      <c r="D183" s="455"/>
      <c r="E183" s="455"/>
      <c r="F183" s="455"/>
      <c r="G183" s="455"/>
      <c r="H183" s="455"/>
      <c r="I183" s="455"/>
      <c r="J183" s="2058"/>
      <c r="K183" s="455"/>
      <c r="L183" s="455"/>
      <c r="M183" s="455"/>
      <c r="N183" s="455"/>
      <c r="O183" s="455"/>
      <c r="P183" s="455"/>
      <c r="Q183" s="455"/>
      <c r="R183" s="455"/>
      <c r="S183" s="455"/>
      <c r="T183" s="455"/>
      <c r="U183" s="455"/>
      <c r="V183" s="455"/>
      <c r="W183" s="455"/>
      <c r="X183" s="455"/>
      <c r="Y183" s="455"/>
      <c r="Z183" s="455"/>
      <c r="AA183" s="455"/>
      <c r="AB183" s="455"/>
      <c r="AC183" s="455"/>
      <c r="AD183" s="455"/>
      <c r="AE183" s="455"/>
      <c r="AF183" s="1743"/>
      <c r="AG183" s="455"/>
    </row>
    <row r="184" spans="2:33">
      <c r="B184" s="455"/>
      <c r="C184" s="455"/>
      <c r="D184" s="455"/>
      <c r="E184" s="455"/>
      <c r="F184" s="455"/>
      <c r="G184" s="455"/>
      <c r="H184" s="455"/>
      <c r="I184" s="455"/>
      <c r="J184" s="2058"/>
      <c r="K184" s="455"/>
      <c r="L184" s="455"/>
      <c r="M184" s="455"/>
      <c r="N184" s="455"/>
      <c r="O184" s="455"/>
      <c r="P184" s="455"/>
      <c r="Q184" s="455"/>
      <c r="R184" s="455"/>
      <c r="S184" s="455"/>
      <c r="T184" s="455"/>
      <c r="U184" s="455"/>
      <c r="V184" s="455"/>
      <c r="W184" s="455"/>
      <c r="X184" s="455"/>
      <c r="Y184" s="455"/>
      <c r="Z184" s="455"/>
      <c r="AA184" s="455"/>
      <c r="AB184" s="455"/>
      <c r="AC184" s="455"/>
      <c r="AD184" s="455"/>
      <c r="AE184" s="455"/>
      <c r="AF184" s="1743"/>
      <c r="AG184" s="455"/>
    </row>
    <row r="185" spans="2:33">
      <c r="B185" s="455"/>
      <c r="C185" s="455"/>
      <c r="D185" s="455"/>
      <c r="E185" s="455"/>
      <c r="F185" s="455"/>
      <c r="G185" s="455"/>
      <c r="H185" s="455"/>
      <c r="I185" s="455"/>
      <c r="J185" s="2058"/>
      <c r="K185" s="455"/>
      <c r="L185" s="455"/>
      <c r="M185" s="455"/>
      <c r="N185" s="455"/>
      <c r="O185" s="455"/>
      <c r="P185" s="455"/>
      <c r="Q185" s="455"/>
      <c r="R185" s="455"/>
      <c r="S185" s="455"/>
      <c r="T185" s="455"/>
      <c r="U185" s="455"/>
      <c r="V185" s="455"/>
      <c r="W185" s="455"/>
      <c r="X185" s="455"/>
      <c r="Y185" s="455"/>
      <c r="Z185" s="455"/>
      <c r="AA185" s="455"/>
      <c r="AB185" s="455"/>
      <c r="AC185" s="455"/>
      <c r="AD185" s="455"/>
      <c r="AE185" s="455"/>
      <c r="AF185" s="1743"/>
      <c r="AG185" s="455"/>
    </row>
    <row r="186" spans="2:33">
      <c r="B186" s="455"/>
      <c r="C186" s="455"/>
      <c r="D186" s="455"/>
      <c r="E186" s="455"/>
      <c r="F186" s="455"/>
      <c r="G186" s="455"/>
      <c r="H186" s="455"/>
      <c r="I186" s="455"/>
      <c r="J186" s="2058"/>
      <c r="K186" s="455"/>
      <c r="L186" s="455"/>
      <c r="M186" s="455"/>
      <c r="N186" s="455"/>
      <c r="O186" s="455"/>
      <c r="P186" s="455"/>
      <c r="Q186" s="455"/>
      <c r="R186" s="455"/>
      <c r="S186" s="455"/>
      <c r="T186" s="455"/>
      <c r="U186" s="455"/>
      <c r="V186" s="455"/>
      <c r="W186" s="455"/>
      <c r="X186" s="455"/>
      <c r="Y186" s="455"/>
      <c r="Z186" s="455"/>
      <c r="AA186" s="455"/>
      <c r="AB186" s="455"/>
      <c r="AC186" s="455"/>
      <c r="AD186" s="455"/>
      <c r="AE186" s="455"/>
      <c r="AF186" s="1743"/>
      <c r="AG186" s="455"/>
    </row>
    <row r="187" spans="2:33">
      <c r="B187" s="455"/>
      <c r="C187" s="455"/>
      <c r="D187" s="455"/>
      <c r="E187" s="455"/>
      <c r="F187" s="455"/>
      <c r="G187" s="455"/>
      <c r="H187" s="455"/>
      <c r="I187" s="455"/>
      <c r="J187" s="2058"/>
      <c r="K187" s="455"/>
      <c r="L187" s="455"/>
      <c r="M187" s="455"/>
      <c r="N187" s="455"/>
      <c r="O187" s="455"/>
      <c r="P187" s="455"/>
      <c r="Q187" s="455"/>
      <c r="R187" s="455"/>
      <c r="S187" s="455"/>
      <c r="T187" s="455"/>
      <c r="U187" s="455"/>
      <c r="V187" s="455"/>
      <c r="W187" s="455"/>
      <c r="X187" s="455"/>
      <c r="Y187" s="455"/>
      <c r="Z187" s="455"/>
      <c r="AA187" s="455"/>
      <c r="AB187" s="455"/>
      <c r="AC187" s="455"/>
      <c r="AD187" s="455"/>
      <c r="AE187" s="455"/>
      <c r="AF187" s="1743"/>
      <c r="AG187" s="455"/>
    </row>
    <row r="188" spans="2:33">
      <c r="B188" s="455"/>
      <c r="C188" s="455"/>
      <c r="D188" s="455"/>
      <c r="E188" s="455"/>
      <c r="F188" s="455"/>
      <c r="G188" s="455"/>
      <c r="H188" s="455"/>
      <c r="I188" s="455"/>
      <c r="J188" s="2058"/>
      <c r="K188" s="455"/>
      <c r="L188" s="455"/>
      <c r="M188" s="455"/>
      <c r="N188" s="455"/>
      <c r="O188" s="455"/>
      <c r="P188" s="455"/>
      <c r="Q188" s="455"/>
      <c r="R188" s="455"/>
      <c r="S188" s="455"/>
      <c r="T188" s="455"/>
      <c r="U188" s="455"/>
      <c r="V188" s="455"/>
      <c r="W188" s="455"/>
      <c r="X188" s="455"/>
      <c r="Y188" s="455"/>
      <c r="Z188" s="455"/>
      <c r="AA188" s="455"/>
      <c r="AB188" s="455"/>
      <c r="AC188" s="455"/>
      <c r="AD188" s="455"/>
      <c r="AE188" s="455"/>
      <c r="AF188" s="1743"/>
      <c r="AG188" s="455"/>
    </row>
    <row r="189" spans="2:33">
      <c r="B189" s="455"/>
      <c r="C189" s="455"/>
      <c r="D189" s="455"/>
      <c r="E189" s="455"/>
      <c r="F189" s="455"/>
      <c r="G189" s="455"/>
      <c r="H189" s="455"/>
      <c r="I189" s="455"/>
      <c r="J189" s="2058"/>
      <c r="K189" s="455"/>
      <c r="L189" s="455"/>
      <c r="M189" s="455"/>
      <c r="N189" s="455"/>
      <c r="O189" s="455"/>
      <c r="P189" s="455"/>
      <c r="Q189" s="455"/>
      <c r="R189" s="455"/>
      <c r="S189" s="455"/>
      <c r="T189" s="455"/>
      <c r="U189" s="455"/>
      <c r="V189" s="455"/>
      <c r="W189" s="455"/>
      <c r="X189" s="455"/>
      <c r="Y189" s="455"/>
      <c r="Z189" s="455"/>
      <c r="AA189" s="455"/>
      <c r="AB189" s="455"/>
      <c r="AC189" s="455"/>
      <c r="AD189" s="455"/>
      <c r="AE189" s="455"/>
      <c r="AF189" s="1743"/>
      <c r="AG189" s="455"/>
    </row>
    <row r="190" spans="2:33">
      <c r="B190" s="455"/>
      <c r="C190" s="455"/>
      <c r="D190" s="455"/>
      <c r="E190" s="455"/>
      <c r="F190" s="455"/>
      <c r="G190" s="455"/>
      <c r="H190" s="455"/>
      <c r="I190" s="455"/>
      <c r="J190" s="2058"/>
      <c r="K190" s="455"/>
      <c r="L190" s="455"/>
      <c r="M190" s="455"/>
      <c r="N190" s="455"/>
      <c r="O190" s="455"/>
      <c r="P190" s="455"/>
      <c r="Q190" s="455"/>
      <c r="R190" s="455"/>
      <c r="S190" s="455"/>
      <c r="T190" s="455"/>
      <c r="U190" s="455"/>
      <c r="V190" s="455"/>
      <c r="W190" s="455"/>
      <c r="X190" s="455"/>
      <c r="Y190" s="455"/>
      <c r="Z190" s="455"/>
      <c r="AA190" s="455"/>
      <c r="AB190" s="455"/>
      <c r="AC190" s="455"/>
      <c r="AD190" s="455"/>
      <c r="AE190" s="455"/>
      <c r="AF190" s="1743"/>
      <c r="AG190" s="455"/>
    </row>
    <row r="191" spans="2:33">
      <c r="B191" s="455"/>
      <c r="C191" s="455"/>
      <c r="D191" s="455"/>
      <c r="E191" s="455"/>
      <c r="F191" s="455"/>
      <c r="G191" s="455"/>
      <c r="H191" s="455"/>
      <c r="I191" s="455"/>
      <c r="J191" s="2058"/>
      <c r="K191" s="455"/>
      <c r="L191" s="455"/>
      <c r="M191" s="455"/>
      <c r="N191" s="455"/>
      <c r="O191" s="455"/>
      <c r="P191" s="455"/>
      <c r="Q191" s="455"/>
      <c r="R191" s="455"/>
      <c r="S191" s="455"/>
      <c r="T191" s="455"/>
      <c r="U191" s="455"/>
      <c r="V191" s="455"/>
      <c r="W191" s="455"/>
      <c r="X191" s="455"/>
      <c r="Y191" s="455"/>
      <c r="Z191" s="455"/>
      <c r="AA191" s="455"/>
      <c r="AB191" s="455"/>
      <c r="AC191" s="455"/>
      <c r="AD191" s="455"/>
      <c r="AE191" s="455"/>
      <c r="AF191" s="1743"/>
      <c r="AG191" s="455"/>
    </row>
    <row r="192" spans="2:33">
      <c r="B192" s="455"/>
      <c r="C192" s="455"/>
      <c r="D192" s="455"/>
      <c r="E192" s="455"/>
      <c r="F192" s="455"/>
      <c r="G192" s="455"/>
      <c r="H192" s="455"/>
      <c r="I192" s="455"/>
      <c r="J192" s="2058"/>
      <c r="K192" s="455"/>
      <c r="L192" s="455"/>
      <c r="M192" s="455"/>
      <c r="N192" s="455"/>
      <c r="O192" s="455"/>
      <c r="P192" s="455"/>
      <c r="Q192" s="455"/>
      <c r="R192" s="455"/>
      <c r="S192" s="455"/>
      <c r="T192" s="455"/>
      <c r="U192" s="455"/>
      <c r="V192" s="455"/>
      <c r="W192" s="455"/>
      <c r="X192" s="455"/>
      <c r="Y192" s="455"/>
      <c r="Z192" s="455"/>
      <c r="AA192" s="455"/>
      <c r="AB192" s="455"/>
      <c r="AC192" s="455"/>
      <c r="AD192" s="455"/>
      <c r="AE192" s="455"/>
      <c r="AF192" s="1743"/>
      <c r="AG192" s="455"/>
    </row>
    <row r="193" spans="2:33">
      <c r="B193" s="455"/>
      <c r="C193" s="455"/>
      <c r="D193" s="455"/>
      <c r="E193" s="455"/>
      <c r="F193" s="455"/>
      <c r="G193" s="455"/>
      <c r="H193" s="455"/>
      <c r="I193" s="455"/>
      <c r="J193" s="2058"/>
      <c r="K193" s="455"/>
      <c r="L193" s="455"/>
      <c r="M193" s="455"/>
      <c r="N193" s="455"/>
      <c r="O193" s="455"/>
      <c r="P193" s="455"/>
      <c r="Q193" s="455"/>
      <c r="R193" s="455"/>
      <c r="S193" s="455"/>
      <c r="T193" s="455"/>
      <c r="U193" s="455"/>
      <c r="V193" s="455"/>
      <c r="W193" s="455"/>
      <c r="X193" s="455"/>
      <c r="Y193" s="455"/>
      <c r="Z193" s="455"/>
      <c r="AA193" s="455"/>
      <c r="AB193" s="455"/>
      <c r="AC193" s="455"/>
      <c r="AD193" s="455"/>
      <c r="AE193" s="455"/>
      <c r="AF193" s="1743"/>
      <c r="AG193" s="455"/>
    </row>
    <row r="194" spans="2:33">
      <c r="B194" s="455"/>
      <c r="C194" s="455"/>
      <c r="D194" s="455"/>
      <c r="E194" s="455"/>
      <c r="F194" s="455"/>
      <c r="G194" s="455"/>
      <c r="H194" s="455"/>
      <c r="I194" s="455"/>
      <c r="J194" s="2058"/>
      <c r="K194" s="455"/>
      <c r="L194" s="455"/>
      <c r="M194" s="455"/>
      <c r="N194" s="455"/>
      <c r="O194" s="455"/>
      <c r="P194" s="455"/>
      <c r="Q194" s="455"/>
      <c r="R194" s="455"/>
      <c r="S194" s="455"/>
      <c r="T194" s="455"/>
      <c r="U194" s="455"/>
      <c r="V194" s="455"/>
      <c r="W194" s="455"/>
      <c r="X194" s="455"/>
      <c r="Y194" s="455"/>
      <c r="Z194" s="455"/>
      <c r="AA194" s="455"/>
      <c r="AB194" s="455"/>
      <c r="AC194" s="455"/>
      <c r="AD194" s="455"/>
      <c r="AE194" s="455"/>
      <c r="AF194" s="1743"/>
      <c r="AG194" s="455"/>
    </row>
    <row r="195" spans="2:33">
      <c r="B195" s="455"/>
      <c r="C195" s="455"/>
      <c r="D195" s="455"/>
      <c r="E195" s="455"/>
      <c r="F195" s="455"/>
      <c r="G195" s="455"/>
      <c r="H195" s="455"/>
      <c r="I195" s="455"/>
      <c r="J195" s="2058"/>
      <c r="K195" s="455"/>
      <c r="L195" s="455"/>
      <c r="M195" s="455"/>
      <c r="N195" s="455"/>
      <c r="O195" s="455"/>
      <c r="P195" s="455"/>
      <c r="Q195" s="455"/>
      <c r="R195" s="455"/>
      <c r="S195" s="455"/>
      <c r="T195" s="455"/>
      <c r="U195" s="455"/>
      <c r="V195" s="455"/>
      <c r="W195" s="455"/>
      <c r="X195" s="455"/>
      <c r="Y195" s="455"/>
      <c r="Z195" s="455"/>
      <c r="AA195" s="455"/>
      <c r="AB195" s="455"/>
      <c r="AC195" s="455"/>
      <c r="AD195" s="455"/>
      <c r="AE195" s="455"/>
      <c r="AF195" s="1743"/>
      <c r="AG195" s="455"/>
    </row>
    <row r="196" spans="2:33">
      <c r="B196" s="455"/>
      <c r="C196" s="455"/>
      <c r="D196" s="455"/>
      <c r="E196" s="455"/>
      <c r="F196" s="455"/>
      <c r="G196" s="455"/>
      <c r="H196" s="455"/>
      <c r="I196" s="455"/>
      <c r="J196" s="2058"/>
      <c r="K196" s="455"/>
      <c r="L196" s="455"/>
      <c r="M196" s="455"/>
      <c r="N196" s="455"/>
      <c r="O196" s="455"/>
      <c r="P196" s="455"/>
      <c r="Q196" s="455"/>
      <c r="R196" s="455"/>
      <c r="S196" s="455"/>
      <c r="T196" s="455"/>
      <c r="U196" s="455"/>
      <c r="V196" s="455"/>
      <c r="W196" s="455"/>
      <c r="X196" s="455"/>
      <c r="Y196" s="455"/>
      <c r="Z196" s="455"/>
      <c r="AA196" s="455"/>
      <c r="AB196" s="455"/>
      <c r="AC196" s="455"/>
      <c r="AD196" s="455"/>
      <c r="AE196" s="455"/>
      <c r="AF196" s="1743"/>
      <c r="AG196" s="455"/>
    </row>
    <row r="197" spans="2:33">
      <c r="B197" s="455"/>
      <c r="C197" s="455"/>
      <c r="D197" s="455"/>
      <c r="E197" s="455"/>
      <c r="F197" s="455"/>
      <c r="G197" s="455"/>
      <c r="H197" s="455"/>
      <c r="I197" s="455"/>
      <c r="J197" s="2058"/>
      <c r="K197" s="455"/>
      <c r="L197" s="455"/>
      <c r="M197" s="455"/>
      <c r="N197" s="455"/>
      <c r="O197" s="455"/>
      <c r="P197" s="455"/>
      <c r="Q197" s="455"/>
      <c r="R197" s="455"/>
      <c r="S197" s="455"/>
      <c r="T197" s="455"/>
      <c r="U197" s="455"/>
      <c r="V197" s="455"/>
      <c r="W197" s="455"/>
      <c r="X197" s="455"/>
      <c r="Y197" s="455"/>
      <c r="Z197" s="455"/>
      <c r="AA197" s="455"/>
      <c r="AB197" s="455"/>
      <c r="AC197" s="455"/>
      <c r="AD197" s="455"/>
      <c r="AE197" s="455"/>
      <c r="AF197" s="1743"/>
      <c r="AG197" s="455"/>
    </row>
    <row r="198" spans="2:33">
      <c r="B198" s="455"/>
      <c r="C198" s="455"/>
      <c r="D198" s="455"/>
      <c r="E198" s="455"/>
      <c r="F198" s="455"/>
      <c r="G198" s="455"/>
      <c r="H198" s="455"/>
      <c r="I198" s="455"/>
      <c r="J198" s="2058"/>
      <c r="K198" s="455"/>
      <c r="L198" s="455"/>
      <c r="M198" s="455"/>
      <c r="N198" s="455"/>
      <c r="O198" s="455"/>
      <c r="P198" s="455"/>
      <c r="Q198" s="455"/>
      <c r="R198" s="455"/>
      <c r="S198" s="455"/>
      <c r="T198" s="455"/>
      <c r="U198" s="455"/>
      <c r="V198" s="455"/>
      <c r="W198" s="455"/>
      <c r="X198" s="455"/>
      <c r="Y198" s="455"/>
      <c r="Z198" s="455"/>
      <c r="AA198" s="455"/>
      <c r="AB198" s="455"/>
      <c r="AC198" s="455"/>
      <c r="AD198" s="455"/>
      <c r="AE198" s="455"/>
      <c r="AF198" s="1743"/>
      <c r="AG198" s="455"/>
    </row>
    <row r="199" spans="2:33">
      <c r="B199" s="455"/>
      <c r="C199" s="455"/>
      <c r="D199" s="455"/>
      <c r="E199" s="455"/>
      <c r="F199" s="455"/>
      <c r="G199" s="455"/>
      <c r="H199" s="455"/>
      <c r="I199" s="455"/>
      <c r="J199" s="2058"/>
      <c r="K199" s="455"/>
      <c r="L199" s="455"/>
      <c r="M199" s="455"/>
      <c r="N199" s="455"/>
      <c r="O199" s="455"/>
      <c r="P199" s="455"/>
      <c r="Q199" s="455"/>
      <c r="R199" s="455"/>
      <c r="S199" s="455"/>
      <c r="T199" s="455"/>
      <c r="U199" s="455"/>
      <c r="V199" s="455"/>
      <c r="W199" s="455"/>
      <c r="X199" s="455"/>
      <c r="Y199" s="455"/>
      <c r="Z199" s="455"/>
      <c r="AA199" s="455"/>
      <c r="AB199" s="455"/>
      <c r="AC199" s="455"/>
      <c r="AD199" s="455"/>
      <c r="AE199" s="455"/>
      <c r="AF199" s="1743"/>
      <c r="AG199" s="455"/>
    </row>
    <row r="200" spans="2:33">
      <c r="B200" s="455"/>
      <c r="C200" s="455"/>
      <c r="D200" s="455"/>
      <c r="E200" s="455"/>
      <c r="F200" s="455"/>
      <c r="G200" s="455"/>
      <c r="H200" s="455"/>
      <c r="I200" s="455"/>
      <c r="J200" s="2058"/>
      <c r="K200" s="455"/>
      <c r="L200" s="455"/>
      <c r="M200" s="455"/>
      <c r="N200" s="455"/>
      <c r="O200" s="455"/>
      <c r="P200" s="455"/>
      <c r="Q200" s="455"/>
      <c r="R200" s="455"/>
      <c r="S200" s="455"/>
      <c r="T200" s="455"/>
      <c r="U200" s="455"/>
      <c r="V200" s="455"/>
      <c r="W200" s="455"/>
      <c r="X200" s="455"/>
      <c r="Y200" s="455"/>
      <c r="Z200" s="455"/>
      <c r="AA200" s="455"/>
      <c r="AB200" s="455"/>
      <c r="AC200" s="455"/>
      <c r="AD200" s="455"/>
      <c r="AE200" s="455"/>
      <c r="AF200" s="1743"/>
      <c r="AG200" s="455"/>
    </row>
    <row r="201" spans="2:33">
      <c r="B201" s="455"/>
      <c r="C201" s="455"/>
      <c r="D201" s="455"/>
      <c r="E201" s="455"/>
      <c r="F201" s="455"/>
      <c r="G201" s="455"/>
      <c r="H201" s="455"/>
      <c r="I201" s="455"/>
      <c r="J201" s="2058"/>
      <c r="K201" s="455"/>
      <c r="L201" s="455"/>
      <c r="M201" s="455"/>
      <c r="N201" s="455"/>
      <c r="O201" s="455"/>
      <c r="P201" s="455"/>
      <c r="Q201" s="455"/>
      <c r="R201" s="455"/>
      <c r="S201" s="455"/>
      <c r="T201" s="455"/>
      <c r="U201" s="455"/>
      <c r="V201" s="455"/>
      <c r="W201" s="455"/>
      <c r="X201" s="455"/>
      <c r="Y201" s="455"/>
      <c r="Z201" s="455"/>
      <c r="AA201" s="455"/>
      <c r="AB201" s="455"/>
      <c r="AC201" s="455"/>
      <c r="AD201" s="455"/>
      <c r="AE201" s="455"/>
      <c r="AF201" s="1743"/>
      <c r="AG201" s="455"/>
    </row>
    <row r="202" spans="2:33">
      <c r="B202" s="455"/>
      <c r="C202" s="455"/>
      <c r="D202" s="455"/>
      <c r="E202" s="455"/>
      <c r="F202" s="455"/>
      <c r="G202" s="455"/>
      <c r="H202" s="455"/>
      <c r="I202" s="455"/>
      <c r="J202" s="2058"/>
      <c r="K202" s="455"/>
      <c r="L202" s="455"/>
      <c r="M202" s="455"/>
      <c r="N202" s="455"/>
      <c r="O202" s="455"/>
      <c r="P202" s="455"/>
      <c r="Q202" s="455"/>
      <c r="R202" s="455"/>
      <c r="S202" s="455"/>
      <c r="T202" s="455"/>
      <c r="U202" s="455"/>
      <c r="V202" s="455"/>
      <c r="W202" s="455"/>
      <c r="X202" s="455"/>
      <c r="Y202" s="455"/>
      <c r="Z202" s="455"/>
      <c r="AA202" s="455"/>
      <c r="AB202" s="455"/>
      <c r="AC202" s="455"/>
      <c r="AD202" s="455"/>
      <c r="AE202" s="455"/>
      <c r="AF202" s="1743"/>
      <c r="AG202" s="455"/>
    </row>
    <row r="203" spans="2:33">
      <c r="B203" s="455"/>
      <c r="C203" s="455"/>
      <c r="D203" s="455"/>
      <c r="E203" s="455"/>
      <c r="F203" s="455"/>
      <c r="G203" s="455"/>
      <c r="H203" s="455"/>
      <c r="I203" s="455"/>
      <c r="J203" s="2058"/>
      <c r="K203" s="455"/>
      <c r="L203" s="455"/>
      <c r="M203" s="455"/>
      <c r="N203" s="455"/>
      <c r="O203" s="455"/>
      <c r="P203" s="455"/>
      <c r="Q203" s="455"/>
      <c r="R203" s="455"/>
      <c r="S203" s="455"/>
      <c r="T203" s="455"/>
      <c r="U203" s="455"/>
      <c r="V203" s="455"/>
      <c r="W203" s="455"/>
      <c r="X203" s="455"/>
      <c r="Y203" s="455"/>
      <c r="Z203" s="455"/>
      <c r="AA203" s="455"/>
      <c r="AB203" s="455"/>
      <c r="AC203" s="455"/>
      <c r="AD203" s="455"/>
      <c r="AE203" s="455"/>
      <c r="AF203" s="1743"/>
      <c r="AG203" s="455"/>
    </row>
    <row r="204" spans="2:33">
      <c r="B204" s="455"/>
      <c r="C204" s="455"/>
      <c r="D204" s="455"/>
      <c r="E204" s="455"/>
      <c r="F204" s="455"/>
      <c r="G204" s="455"/>
      <c r="H204" s="455"/>
      <c r="I204" s="455"/>
      <c r="J204" s="2058"/>
      <c r="K204" s="455"/>
      <c r="L204" s="455"/>
      <c r="M204" s="455"/>
      <c r="N204" s="455"/>
      <c r="O204" s="455"/>
      <c r="P204" s="455"/>
      <c r="Q204" s="455"/>
      <c r="R204" s="455"/>
      <c r="S204" s="455"/>
      <c r="T204" s="455"/>
      <c r="U204" s="455"/>
      <c r="V204" s="455"/>
      <c r="W204" s="455"/>
      <c r="X204" s="455"/>
      <c r="Y204" s="455"/>
      <c r="Z204" s="455"/>
      <c r="AA204" s="455"/>
      <c r="AB204" s="455"/>
      <c r="AC204" s="455"/>
      <c r="AD204" s="455"/>
      <c r="AE204" s="455"/>
      <c r="AF204" s="1743"/>
      <c r="AG204" s="455"/>
    </row>
    <row r="205" spans="2:33">
      <c r="B205" s="455"/>
      <c r="C205" s="455"/>
      <c r="D205" s="455"/>
      <c r="E205" s="455"/>
      <c r="F205" s="455"/>
      <c r="G205" s="455"/>
      <c r="H205" s="455"/>
      <c r="I205" s="455"/>
      <c r="J205" s="2058"/>
      <c r="K205" s="455"/>
      <c r="L205" s="455"/>
      <c r="M205" s="455"/>
      <c r="N205" s="455"/>
      <c r="O205" s="455"/>
      <c r="P205" s="455"/>
      <c r="Q205" s="455"/>
      <c r="R205" s="455"/>
      <c r="S205" s="455"/>
      <c r="T205" s="455"/>
      <c r="U205" s="455"/>
      <c r="V205" s="455"/>
      <c r="W205" s="455"/>
      <c r="X205" s="455"/>
      <c r="Y205" s="455"/>
      <c r="Z205" s="455"/>
      <c r="AA205" s="455"/>
      <c r="AB205" s="455"/>
      <c r="AC205" s="455"/>
      <c r="AD205" s="455"/>
      <c r="AE205" s="455"/>
      <c r="AF205" s="1743"/>
      <c r="AG205" s="455"/>
    </row>
    <row r="206" spans="2:33">
      <c r="B206" s="455"/>
      <c r="C206" s="455"/>
      <c r="D206" s="455"/>
      <c r="E206" s="455"/>
      <c r="F206" s="455"/>
      <c r="G206" s="455"/>
      <c r="H206" s="455"/>
      <c r="I206" s="455"/>
      <c r="J206" s="2058"/>
      <c r="K206" s="455"/>
      <c r="L206" s="455"/>
      <c r="M206" s="455"/>
      <c r="N206" s="455"/>
      <c r="O206" s="455"/>
      <c r="P206" s="455"/>
      <c r="Q206" s="455"/>
      <c r="R206" s="455"/>
      <c r="S206" s="455"/>
      <c r="T206" s="455"/>
      <c r="U206" s="455"/>
      <c r="V206" s="455"/>
      <c r="W206" s="455"/>
      <c r="X206" s="455"/>
      <c r="Y206" s="455"/>
      <c r="Z206" s="455"/>
      <c r="AA206" s="455"/>
      <c r="AB206" s="455"/>
      <c r="AC206" s="455"/>
      <c r="AD206" s="455"/>
      <c r="AE206" s="455"/>
      <c r="AF206" s="1743"/>
      <c r="AG206" s="455"/>
    </row>
    <row r="207" spans="2:33">
      <c r="B207" s="455"/>
      <c r="C207" s="455"/>
      <c r="D207" s="455"/>
      <c r="E207" s="455"/>
      <c r="F207" s="455"/>
      <c r="G207" s="455"/>
      <c r="H207" s="455"/>
      <c r="I207" s="455"/>
      <c r="J207" s="2058"/>
      <c r="K207" s="455"/>
      <c r="L207" s="455"/>
      <c r="M207" s="455"/>
      <c r="N207" s="455"/>
      <c r="O207" s="455"/>
      <c r="P207" s="455"/>
      <c r="Q207" s="455"/>
      <c r="R207" s="455"/>
      <c r="S207" s="455"/>
      <c r="T207" s="455"/>
      <c r="U207" s="455"/>
      <c r="V207" s="455"/>
      <c r="W207" s="455"/>
      <c r="X207" s="455"/>
      <c r="Y207" s="455"/>
      <c r="Z207" s="455"/>
      <c r="AA207" s="455"/>
      <c r="AB207" s="455"/>
      <c r="AC207" s="455"/>
      <c r="AD207" s="455"/>
      <c r="AE207" s="455"/>
      <c r="AF207" s="1743"/>
      <c r="AG207" s="455"/>
    </row>
    <row r="208" spans="2:33">
      <c r="B208" s="455"/>
      <c r="C208" s="455"/>
      <c r="D208" s="455"/>
      <c r="E208" s="455"/>
      <c r="F208" s="455"/>
      <c r="G208" s="455"/>
      <c r="H208" s="455"/>
      <c r="I208" s="455"/>
      <c r="J208" s="2058"/>
      <c r="K208" s="455"/>
      <c r="L208" s="455"/>
      <c r="M208" s="455"/>
      <c r="N208" s="455"/>
      <c r="O208" s="455"/>
      <c r="P208" s="455"/>
      <c r="Q208" s="455"/>
      <c r="R208" s="455"/>
      <c r="S208" s="455"/>
      <c r="T208" s="455"/>
      <c r="U208" s="455"/>
      <c r="V208" s="455"/>
      <c r="W208" s="455"/>
      <c r="X208" s="455"/>
      <c r="Y208" s="455"/>
      <c r="Z208" s="455"/>
      <c r="AA208" s="455"/>
      <c r="AB208" s="455"/>
      <c r="AC208" s="455"/>
      <c r="AD208" s="455"/>
      <c r="AE208" s="455"/>
      <c r="AF208" s="1743"/>
      <c r="AG208" s="455"/>
    </row>
    <row r="209" spans="2:33">
      <c r="B209" s="455"/>
      <c r="C209" s="455"/>
      <c r="D209" s="455"/>
      <c r="E209" s="455"/>
      <c r="F209" s="455"/>
      <c r="G209" s="455"/>
      <c r="H209" s="455"/>
      <c r="I209" s="455"/>
      <c r="J209" s="2058"/>
      <c r="K209" s="455"/>
      <c r="L209" s="455"/>
      <c r="M209" s="455"/>
      <c r="N209" s="455"/>
      <c r="O209" s="455"/>
      <c r="P209" s="455"/>
      <c r="Q209" s="455"/>
      <c r="R209" s="455"/>
      <c r="S209" s="455"/>
      <c r="T209" s="455"/>
      <c r="U209" s="455"/>
      <c r="V209" s="455"/>
      <c r="W209" s="455"/>
      <c r="X209" s="455"/>
      <c r="Y209" s="455"/>
      <c r="Z209" s="455"/>
      <c r="AA209" s="455"/>
      <c r="AB209" s="455"/>
      <c r="AC209" s="455"/>
      <c r="AD209" s="455"/>
      <c r="AE209" s="455"/>
      <c r="AF209" s="1743"/>
      <c r="AG209" s="455"/>
    </row>
    <row r="210" spans="2:33">
      <c r="B210" s="455"/>
      <c r="C210" s="455"/>
      <c r="D210" s="455"/>
      <c r="E210" s="455"/>
      <c r="F210" s="455"/>
      <c r="G210" s="455"/>
      <c r="H210" s="455"/>
      <c r="I210" s="455"/>
      <c r="J210" s="2058"/>
      <c r="K210" s="455"/>
      <c r="L210" s="455"/>
      <c r="M210" s="455"/>
      <c r="N210" s="455"/>
      <c r="O210" s="455"/>
      <c r="P210" s="455"/>
      <c r="Q210" s="455"/>
      <c r="R210" s="455"/>
      <c r="S210" s="455"/>
      <c r="T210" s="455"/>
      <c r="U210" s="455"/>
      <c r="V210" s="455"/>
      <c r="W210" s="455"/>
      <c r="X210" s="455"/>
      <c r="Y210" s="455"/>
      <c r="Z210" s="455"/>
      <c r="AA210" s="455"/>
      <c r="AB210" s="455"/>
      <c r="AC210" s="455"/>
      <c r="AD210" s="455"/>
      <c r="AE210" s="455"/>
      <c r="AF210" s="1743"/>
      <c r="AG210" s="455"/>
    </row>
    <row r="211" spans="2:33">
      <c r="B211" s="455"/>
      <c r="C211" s="455"/>
      <c r="D211" s="455"/>
      <c r="E211" s="455"/>
      <c r="F211" s="455"/>
      <c r="G211" s="455"/>
      <c r="H211" s="455"/>
      <c r="I211" s="455"/>
      <c r="J211" s="2058"/>
      <c r="K211" s="455"/>
      <c r="L211" s="455"/>
      <c r="M211" s="455"/>
      <c r="N211" s="455"/>
      <c r="O211" s="455"/>
      <c r="P211" s="455"/>
      <c r="Q211" s="455"/>
      <c r="R211" s="455"/>
      <c r="S211" s="455"/>
      <c r="T211" s="455"/>
      <c r="U211" s="455"/>
      <c r="V211" s="455"/>
      <c r="W211" s="455"/>
      <c r="X211" s="455"/>
      <c r="Y211" s="455"/>
      <c r="Z211" s="455"/>
      <c r="AA211" s="455"/>
      <c r="AB211" s="455"/>
      <c r="AC211" s="455"/>
      <c r="AD211" s="455"/>
      <c r="AE211" s="455"/>
      <c r="AF211" s="1743"/>
      <c r="AG211" s="455"/>
    </row>
    <row r="212" spans="2:33">
      <c r="B212" s="455"/>
      <c r="C212" s="455"/>
      <c r="D212" s="455"/>
      <c r="E212" s="455"/>
      <c r="F212" s="455"/>
      <c r="G212" s="455"/>
      <c r="H212" s="455"/>
      <c r="I212" s="455"/>
      <c r="J212" s="2058"/>
      <c r="K212" s="455"/>
      <c r="L212" s="455"/>
      <c r="M212" s="455"/>
      <c r="N212" s="455"/>
      <c r="O212" s="455"/>
      <c r="P212" s="455"/>
      <c r="Q212" s="455"/>
      <c r="R212" s="455"/>
      <c r="S212" s="455"/>
      <c r="T212" s="455"/>
      <c r="U212" s="455"/>
      <c r="V212" s="455"/>
      <c r="W212" s="455"/>
      <c r="X212" s="455"/>
      <c r="Y212" s="455"/>
      <c r="Z212" s="455"/>
      <c r="AA212" s="455"/>
      <c r="AB212" s="455"/>
      <c r="AC212" s="455"/>
      <c r="AD212" s="455"/>
      <c r="AE212" s="455"/>
      <c r="AF212" s="1743"/>
      <c r="AG212" s="455"/>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1" fitToHeight="2" orientation="landscape" useFirstPageNumber="1" r:id="rId2"/>
  <headerFooter scaleWithDoc="0" alignWithMargins="0">
    <oddFooter>&amp;C&amp;8&amp;P</oddFooter>
  </headerFooter>
  <rowBreaks count="1" manualBreakCount="1">
    <brk id="91" min="1" max="36" man="1"/>
  </rowBreaks>
  <ignoredErrors>
    <ignoredError sqref="AK83:AK84 AK128:AK129 AK115:AK116 AK118:AK126 AK19:AK45 AK86:AK98 AK100:AK113 AK59:AK69 AK79:AK81 AK47:AK57" unlockedFormula="1"/>
    <ignoredError sqref="AC24 AI22 AC82 AI82" formula="1"/>
    <ignoredError sqref="AK70:AK76 AK127 AK99"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X175"/>
  <sheetViews>
    <sheetView showGridLines="0" zoomScale="70" zoomScaleNormal="70" workbookViewId="0"/>
  </sheetViews>
  <sheetFormatPr defaultColWidth="8.88671875" defaultRowHeight="15"/>
  <cols>
    <col min="1" max="1" width="1.6640625" style="222" customWidth="1"/>
    <col min="2" max="2" width="45.44140625" style="222" customWidth="1"/>
    <col min="3" max="3" width="1.6640625" style="222" customWidth="1"/>
    <col min="4" max="4" width="12.44140625" style="222" bestFit="1" customWidth="1"/>
    <col min="5" max="5" width="1.6640625" customWidth="1"/>
    <col min="6" max="6" width="12.33203125" style="222" bestFit="1" customWidth="1"/>
    <col min="7" max="7" width="1.6640625" customWidth="1"/>
    <col min="8" max="8" width="12.21875" style="222" customWidth="1"/>
    <col min="9" max="9" width="1.6640625" customWidth="1"/>
    <col min="10" max="10" width="12" style="222" customWidth="1"/>
    <col min="11" max="11" width="1.6640625" customWidth="1"/>
    <col min="12" max="12" width="13.21875" style="222" customWidth="1"/>
    <col min="13" max="13" width="1.6640625" customWidth="1"/>
    <col min="14" max="14" width="12.77734375" style="222" bestFit="1" customWidth="1"/>
    <col min="15" max="15" width="1.6640625" customWidth="1"/>
    <col min="16" max="16" width="12" style="222" bestFit="1" customWidth="1"/>
    <col min="17" max="17" width="1.6640625" customWidth="1"/>
    <col min="18" max="18" width="12" style="222" customWidth="1"/>
    <col min="19" max="19" width="1.6640625" customWidth="1"/>
    <col min="20" max="20" width="12" style="222" customWidth="1"/>
    <col min="21" max="21" width="1.6640625" customWidth="1"/>
    <col min="22" max="22" width="12.44140625" style="222" customWidth="1"/>
    <col min="23" max="23" width="1.6640625" customWidth="1"/>
    <col min="24" max="24" width="12.44140625" style="222" customWidth="1"/>
    <col min="25" max="25" width="1.6640625" customWidth="1"/>
    <col min="26" max="26" width="11.6640625" style="222" customWidth="1"/>
    <col min="27" max="27" width="2.6640625" style="222" customWidth="1"/>
    <col min="28" max="28" width="11.6640625" style="222" customWidth="1"/>
    <col min="29" max="30" width="1.6640625" style="222" customWidth="1"/>
    <col min="31" max="31" width="12.5546875" style="222" bestFit="1" customWidth="1"/>
    <col min="32" max="32" width="1.44140625" style="222" customWidth="1"/>
    <col min="33" max="33" width="1.33203125" style="222" customWidth="1"/>
    <col min="34" max="34" width="12.5546875" style="222" bestFit="1" customWidth="1"/>
    <col min="35" max="36" width="0.88671875" style="222" customWidth="1"/>
    <col min="37" max="37" width="12.77734375" style="222" customWidth="1"/>
    <col min="38" max="38" width="0.6640625" style="222" customWidth="1"/>
    <col min="39" max="39" width="10.77734375" style="1798" customWidth="1"/>
    <col min="40" max="16384" width="8.88671875" style="222"/>
  </cols>
  <sheetData>
    <row r="1" spans="1:44">
      <c r="B1" s="1159" t="s">
        <v>1090</v>
      </c>
    </row>
    <row r="2" spans="1:44" ht="15.75">
      <c r="A2" s="496"/>
      <c r="N2" s="221"/>
    </row>
    <row r="3" spans="1:44" ht="15.75">
      <c r="A3" s="496"/>
      <c r="N3" s="221"/>
    </row>
    <row r="4" spans="1:44" ht="18">
      <c r="A4" s="496"/>
      <c r="B4" s="459" t="s">
        <v>0</v>
      </c>
      <c r="N4" s="221"/>
      <c r="AF4" s="502"/>
      <c r="AG4" s="502"/>
      <c r="AH4" s="502"/>
      <c r="AI4" s="502"/>
      <c r="AJ4" s="502"/>
      <c r="AK4" s="502"/>
      <c r="AL4" s="502"/>
      <c r="AM4" s="738" t="s">
        <v>174</v>
      </c>
    </row>
    <row r="5" spans="1:44" ht="18">
      <c r="A5" s="496"/>
      <c r="B5" s="459" t="s">
        <v>1309</v>
      </c>
      <c r="L5" s="221"/>
    </row>
    <row r="6" spans="1:44" ht="18">
      <c r="A6" s="496"/>
      <c r="B6" s="464" t="s">
        <v>152</v>
      </c>
      <c r="L6" s="223"/>
      <c r="X6" s="504"/>
    </row>
    <row r="7" spans="1:44" ht="20.25">
      <c r="A7" s="496"/>
      <c r="B7" s="2928" t="s">
        <v>1413</v>
      </c>
      <c r="L7" s="223"/>
      <c r="AM7" s="506"/>
    </row>
    <row r="8" spans="1:44" ht="18">
      <c r="A8" s="496"/>
      <c r="B8" s="459" t="s">
        <v>1441</v>
      </c>
      <c r="AJ8" s="223"/>
      <c r="AK8" s="223"/>
      <c r="AL8" s="223"/>
      <c r="AM8" s="1321"/>
    </row>
    <row r="9" spans="1:44">
      <c r="A9" s="496"/>
      <c r="L9" s="223"/>
      <c r="N9" s="223"/>
      <c r="AD9" s="223"/>
      <c r="AE9" s="223"/>
      <c r="AF9" s="223"/>
      <c r="AG9" s="223"/>
      <c r="AH9" s="223"/>
      <c r="AI9" s="223"/>
      <c r="AJ9" s="223"/>
      <c r="AK9" s="223"/>
      <c r="AL9" s="223"/>
      <c r="AM9" s="1321"/>
    </row>
    <row r="10" spans="1:44" s="455" customFormat="1" ht="19.5" customHeight="1">
      <c r="A10" s="454"/>
      <c r="E10"/>
      <c r="G10"/>
      <c r="I10"/>
      <c r="K10"/>
      <c r="L10" s="499"/>
      <c r="M10"/>
      <c r="N10" s="499"/>
      <c r="O10"/>
      <c r="Q10"/>
      <c r="S10"/>
      <c r="U10"/>
      <c r="W10"/>
      <c r="Y10"/>
      <c r="AB10" s="1455" t="s">
        <v>1297</v>
      </c>
      <c r="AD10" s="548"/>
      <c r="AE10" s="548"/>
      <c r="AF10" s="2575"/>
      <c r="AG10" s="2575"/>
      <c r="AH10" s="2576" t="s">
        <v>1558</v>
      </c>
      <c r="AI10" s="2575"/>
      <c r="AJ10" s="534"/>
      <c r="AK10" s="534"/>
      <c r="AL10" s="534"/>
      <c r="AM10" s="534"/>
    </row>
    <row r="11" spans="1:44" ht="15.75">
      <c r="A11" s="496"/>
      <c r="D11" s="1448">
        <v>2016</v>
      </c>
      <c r="F11" s="221"/>
      <c r="H11" s="221"/>
      <c r="J11" s="221"/>
      <c r="L11" s="221"/>
      <c r="N11" s="221"/>
      <c r="P11" s="221"/>
      <c r="R11" s="221"/>
      <c r="T11" s="221"/>
      <c r="V11" s="1448">
        <v>2017</v>
      </c>
      <c r="X11" s="221"/>
      <c r="Z11" s="221"/>
      <c r="AA11" s="221"/>
      <c r="AB11" s="1455" t="s">
        <v>1298</v>
      </c>
      <c r="AC11" s="221"/>
      <c r="AD11" s="221"/>
      <c r="AE11" s="412"/>
      <c r="AF11" s="412"/>
      <c r="AG11" s="412"/>
      <c r="AH11" s="412"/>
      <c r="AI11" s="412"/>
      <c r="AJ11" s="411"/>
      <c r="AK11" s="1452" t="s">
        <v>8</v>
      </c>
      <c r="AL11" s="412"/>
      <c r="AM11" s="1453" t="s">
        <v>9</v>
      </c>
      <c r="AN11" s="411"/>
      <c r="AO11" s="411"/>
      <c r="AP11" s="411"/>
      <c r="AQ11" s="411"/>
      <c r="AR11" s="411"/>
    </row>
    <row r="12" spans="1:44" ht="15.75">
      <c r="A12" s="496"/>
      <c r="D12" s="1435" t="s">
        <v>128</v>
      </c>
      <c r="F12" s="1435" t="s">
        <v>129</v>
      </c>
      <c r="H12" s="1435" t="s">
        <v>130</v>
      </c>
      <c r="J12" s="1435" t="s">
        <v>131</v>
      </c>
      <c r="L12" s="1435" t="s">
        <v>132</v>
      </c>
      <c r="N12" s="1435" t="s">
        <v>133</v>
      </c>
      <c r="P12" s="1435" t="s">
        <v>134</v>
      </c>
      <c r="R12" s="1435" t="s">
        <v>135</v>
      </c>
      <c r="T12" s="1435" t="s">
        <v>136</v>
      </c>
      <c r="V12" s="1435" t="s">
        <v>153</v>
      </c>
      <c r="X12" s="1435" t="s">
        <v>138</v>
      </c>
      <c r="Z12" s="1435" t="s">
        <v>139</v>
      </c>
      <c r="AA12" s="1435"/>
      <c r="AB12" s="2007" t="s">
        <v>1299</v>
      </c>
      <c r="AC12" s="221"/>
      <c r="AD12" s="221"/>
      <c r="AE12" s="1448">
        <v>2017</v>
      </c>
      <c r="AF12" s="221" t="s">
        <v>15</v>
      </c>
      <c r="AG12" s="411"/>
      <c r="AH12" s="1448">
        <v>2016</v>
      </c>
      <c r="AI12" s="1434"/>
      <c r="AJ12" s="411"/>
      <c r="AK12" s="1458" t="s">
        <v>12</v>
      </c>
      <c r="AL12" s="411"/>
      <c r="AM12" s="1458" t="s">
        <v>13</v>
      </c>
      <c r="AN12" s="411"/>
      <c r="AO12" s="411"/>
      <c r="AP12" s="411"/>
      <c r="AQ12" s="411"/>
      <c r="AR12" s="411"/>
    </row>
    <row r="13" spans="1:44" ht="5.25" customHeight="1">
      <c r="A13" s="496"/>
      <c r="D13" s="235"/>
      <c r="F13" s="235"/>
      <c r="H13" s="235"/>
      <c r="J13" s="235"/>
      <c r="L13" s="235"/>
      <c r="N13" s="507"/>
      <c r="P13" s="235"/>
      <c r="R13" s="235"/>
      <c r="T13" s="235"/>
      <c r="V13" s="235"/>
      <c r="X13" s="235"/>
      <c r="Z13" s="235"/>
      <c r="AA13" s="229"/>
      <c r="AB13" s="229"/>
      <c r="AE13" s="235"/>
      <c r="AH13" s="235"/>
      <c r="AI13" s="229"/>
      <c r="AJ13" s="508"/>
    </row>
    <row r="14" spans="1:44" ht="15" customHeight="1">
      <c r="A14" s="223"/>
      <c r="B14" s="374" t="s">
        <v>1384</v>
      </c>
      <c r="C14" s="223"/>
      <c r="D14" s="335">
        <v>3607.1</v>
      </c>
      <c r="F14" s="293">
        <v>3870.6</v>
      </c>
      <c r="H14" s="293">
        <v>4768.1000000000004</v>
      </c>
      <c r="J14" s="293">
        <v>5296.3</v>
      </c>
      <c r="L14" s="293">
        <f>+J123</f>
        <v>5554.9</v>
      </c>
      <c r="N14" s="293">
        <f>+L123</f>
        <v>5577.7</v>
      </c>
      <c r="P14" s="293">
        <f t="shared" ref="P14:R14" si="0">+N123</f>
        <v>4365.8</v>
      </c>
      <c r="R14" s="293">
        <f t="shared" si="0"/>
        <v>4562.2</v>
      </c>
      <c r="T14" s="293">
        <f>+R123</f>
        <v>2999.8</v>
      </c>
      <c r="V14" s="293">
        <f>+T123</f>
        <v>4181.3</v>
      </c>
      <c r="X14" s="293"/>
      <c r="Z14" s="293"/>
      <c r="AA14" s="293"/>
      <c r="AB14" s="293">
        <v>0</v>
      </c>
      <c r="AC14" s="293"/>
      <c r="AD14" s="294"/>
      <c r="AE14" s="293">
        <v>3607.1</v>
      </c>
      <c r="AF14" s="293"/>
      <c r="AG14" s="294"/>
      <c r="AH14" s="293">
        <v>2661.8</v>
      </c>
      <c r="AI14" s="509"/>
      <c r="AJ14" s="422"/>
      <c r="AK14" s="382">
        <f>AE14-AH14</f>
        <v>945.29999999999973</v>
      </c>
      <c r="AL14" s="510"/>
      <c r="AM14" s="511">
        <f>(AE14-AH14)/AH14</f>
        <v>0.3551356225110826</v>
      </c>
      <c r="AN14" s="504"/>
      <c r="AO14" s="504"/>
      <c r="AP14" s="504"/>
      <c r="AQ14" s="504"/>
      <c r="AR14" s="504"/>
    </row>
    <row r="15" spans="1:44" ht="15" customHeight="1">
      <c r="A15" s="223"/>
      <c r="B15" s="223"/>
      <c r="C15" s="223"/>
      <c r="P15" s="293"/>
      <c r="AB15" s="260"/>
      <c r="AD15" s="414"/>
      <c r="AG15" s="414"/>
      <c r="AI15" s="512"/>
      <c r="AJ15" s="229"/>
      <c r="AM15" s="1847"/>
    </row>
    <row r="16" spans="1:44" ht="15" customHeight="1">
      <c r="A16" s="223"/>
      <c r="B16" s="221" t="s">
        <v>14</v>
      </c>
      <c r="C16" s="223"/>
      <c r="D16" s="260"/>
      <c r="F16" s="260"/>
      <c r="H16" s="260"/>
      <c r="J16" s="260"/>
      <c r="L16" s="260"/>
      <c r="N16" s="260"/>
      <c r="P16" s="260"/>
      <c r="R16" s="260"/>
      <c r="T16" s="260"/>
      <c r="V16" s="260"/>
      <c r="X16" s="260"/>
      <c r="Z16" s="260"/>
      <c r="AA16" s="260"/>
      <c r="AB16" s="260"/>
      <c r="AC16" s="260"/>
      <c r="AD16" s="249"/>
      <c r="AE16" s="260"/>
      <c r="AF16" s="260"/>
      <c r="AG16" s="249"/>
      <c r="AH16" s="260"/>
      <c r="AI16" s="513"/>
      <c r="AJ16" s="248"/>
      <c r="AK16" s="260"/>
      <c r="AM16" s="1847"/>
    </row>
    <row r="17" spans="1:39" ht="15" customHeight="1">
      <c r="A17" s="223"/>
      <c r="B17" s="488" t="s">
        <v>1206</v>
      </c>
      <c r="C17" s="223"/>
      <c r="D17" s="260"/>
      <c r="F17" s="260"/>
      <c r="H17" s="260"/>
      <c r="J17" s="260"/>
      <c r="L17" s="260"/>
      <c r="N17" s="260"/>
      <c r="P17" s="260"/>
      <c r="R17" s="260"/>
      <c r="T17" s="260"/>
      <c r="V17" s="260"/>
      <c r="X17" s="260"/>
      <c r="Z17" s="260"/>
      <c r="AA17" s="260"/>
      <c r="AB17" s="260"/>
      <c r="AC17" s="260"/>
      <c r="AD17" s="249"/>
      <c r="AE17" s="260"/>
      <c r="AF17" s="260"/>
      <c r="AG17" s="249"/>
      <c r="AH17" s="260"/>
      <c r="AI17" s="513"/>
      <c r="AJ17" s="248"/>
      <c r="AK17" s="260"/>
      <c r="AM17" s="1847"/>
    </row>
    <row r="18" spans="1:39" s="411" customFormat="1" ht="15" customHeight="1">
      <c r="A18" s="221"/>
      <c r="B18" s="2286" t="s">
        <v>1211</v>
      </c>
      <c r="C18" s="221"/>
      <c r="D18" s="2925">
        <f>'Exhibit G state'!D18</f>
        <v>1.3</v>
      </c>
      <c r="E18" s="2925"/>
      <c r="F18" s="2925">
        <f>'Exhibit G state'!F18</f>
        <v>0</v>
      </c>
      <c r="G18" s="2925"/>
      <c r="H18" s="2925">
        <f>'Exhibit G state'!H18</f>
        <v>420.2</v>
      </c>
      <c r="I18"/>
      <c r="J18" s="2925">
        <f>'Exhibit G state'!J18</f>
        <v>0</v>
      </c>
      <c r="K18"/>
      <c r="L18" s="2925">
        <f>'Exhibit G state'!L18</f>
        <v>0</v>
      </c>
      <c r="M18"/>
      <c r="N18" s="2925">
        <f>'Exhibit G state'!N18</f>
        <v>108.4</v>
      </c>
      <c r="O18"/>
      <c r="P18" s="2925">
        <f>'Exhibit G state'!P18</f>
        <v>4.5999999999999996</v>
      </c>
      <c r="Q18"/>
      <c r="R18" s="2925">
        <f>'Exhibit G state'!R18</f>
        <v>10.7</v>
      </c>
      <c r="S18"/>
      <c r="T18" s="2925">
        <f>'Exhibit G state'!T18</f>
        <v>107.1</v>
      </c>
      <c r="U18"/>
      <c r="V18" s="2925">
        <f>'Exhibit G state'!V18</f>
        <v>2243.6</v>
      </c>
      <c r="W18"/>
      <c r="X18" s="3111"/>
      <c r="Y18"/>
      <c r="Z18" s="2738"/>
      <c r="AA18" s="2738"/>
      <c r="AB18" s="3111">
        <v>0</v>
      </c>
      <c r="AC18" s="293"/>
      <c r="AD18" s="294"/>
      <c r="AE18" s="3111">
        <f>ROUND(SUM(D18:AB18),1)</f>
        <v>2895.9</v>
      </c>
      <c r="AF18" s="1146"/>
      <c r="AG18" s="2602"/>
      <c r="AH18" s="1299">
        <f>'Exhibit G state'!AF18</f>
        <v>3328.3</v>
      </c>
      <c r="AI18" s="2578"/>
      <c r="AJ18" s="1823"/>
      <c r="AK18" s="1146">
        <f>ROUND(SUM(+AE18-AH18),1)</f>
        <v>-432.4</v>
      </c>
      <c r="AL18" s="247"/>
      <c r="AM18" s="2679">
        <f>ROUND(IF(AH18=0,1,AK18/ABS(AH18)),3)</f>
        <v>-0.13</v>
      </c>
    </row>
    <row r="19" spans="1:39" s="411" customFormat="1" ht="6" customHeight="1">
      <c r="A19" s="221"/>
      <c r="B19" s="2286"/>
      <c r="C19" s="221"/>
      <c r="D19" s="2577"/>
      <c r="E19"/>
      <c r="F19" s="2577"/>
      <c r="G19"/>
      <c r="H19" s="2577"/>
      <c r="I19"/>
      <c r="J19" s="2577"/>
      <c r="K19"/>
      <c r="L19" s="2577"/>
      <c r="M19"/>
      <c r="N19" s="2577"/>
      <c r="O19"/>
      <c r="P19" s="2577"/>
      <c r="Q19"/>
      <c r="R19" s="2577"/>
      <c r="S19"/>
      <c r="T19" s="2577"/>
      <c r="U19"/>
      <c r="V19" s="2577"/>
      <c r="W19"/>
      <c r="X19" s="293"/>
      <c r="Y19"/>
      <c r="Z19" s="293"/>
      <c r="AA19" s="293"/>
      <c r="AB19" s="1802"/>
      <c r="AC19" s="293"/>
      <c r="AD19" s="294"/>
      <c r="AE19" s="1225"/>
      <c r="AF19" s="1225"/>
      <c r="AG19" s="2304"/>
      <c r="AH19" s="1227"/>
      <c r="AI19" s="2305"/>
      <c r="AJ19" s="1889"/>
      <c r="AK19" s="1225"/>
      <c r="AL19" s="247"/>
      <c r="AM19" s="1780"/>
    </row>
    <row r="20" spans="1:39" ht="15" customHeight="1">
      <c r="A20" s="223"/>
      <c r="B20" s="2286" t="s">
        <v>1276</v>
      </c>
      <c r="C20" s="223"/>
      <c r="D20" s="260"/>
      <c r="F20" s="260"/>
      <c r="H20" s="260"/>
      <c r="J20" s="260"/>
      <c r="L20" s="260"/>
      <c r="N20" s="260"/>
      <c r="P20" s="260"/>
      <c r="R20" s="260"/>
      <c r="T20" s="260"/>
      <c r="V20" s="260"/>
      <c r="X20" s="260"/>
      <c r="Z20" s="260"/>
      <c r="AA20" s="260"/>
      <c r="AB20" s="260"/>
      <c r="AC20" s="260"/>
      <c r="AD20" s="249"/>
      <c r="AE20" s="1802"/>
      <c r="AF20" s="1802"/>
      <c r="AG20" s="258"/>
      <c r="AH20" s="1802"/>
      <c r="AI20" s="520"/>
      <c r="AJ20" s="272"/>
      <c r="AK20" s="1802"/>
      <c r="AL20" s="411"/>
      <c r="AM20" s="511"/>
    </row>
    <row r="21" spans="1:39" ht="15" customHeight="1">
      <c r="A21" s="223"/>
      <c r="B21" s="2032" t="s">
        <v>1226</v>
      </c>
      <c r="C21" s="223"/>
      <c r="D21" s="1146">
        <f>'Exhibit G state'!D22</f>
        <v>90.9</v>
      </c>
      <c r="E21" s="2925"/>
      <c r="F21" s="2925">
        <f>'Exhibit G state'!F22</f>
        <v>65.8</v>
      </c>
      <c r="G21" s="2925"/>
      <c r="H21" s="2925">
        <f>'Exhibit G state'!H22</f>
        <v>89.5</v>
      </c>
      <c r="J21" s="3111">
        <f>'Exhibit G state'!J22</f>
        <v>69.3</v>
      </c>
      <c r="L21" s="3111">
        <f>'Exhibit G state'!L22</f>
        <v>65.8</v>
      </c>
      <c r="N21" s="3111">
        <f>'Exhibit G state'!N22</f>
        <v>92.3</v>
      </c>
      <c r="P21" s="3111">
        <f>'Exhibit G state'!P22</f>
        <v>69.7</v>
      </c>
      <c r="R21" s="3111">
        <f>'Exhibit G state'!R22</f>
        <v>69.099999999999994</v>
      </c>
      <c r="T21" s="3111">
        <f>'Exhibit G state'!T22</f>
        <v>96.2</v>
      </c>
      <c r="V21" s="3111">
        <f>'Exhibit G state'!V22</f>
        <v>74.2</v>
      </c>
      <c r="X21" s="3111"/>
      <c r="Z21" s="2738"/>
      <c r="AA21" s="2738"/>
      <c r="AB21" s="3111">
        <v>0</v>
      </c>
      <c r="AC21" s="260"/>
      <c r="AD21" s="249"/>
      <c r="AE21" s="260">
        <f>ROUND(SUM(D21:AB21),1)</f>
        <v>782.8</v>
      </c>
      <c r="AF21" s="260"/>
      <c r="AG21" s="249"/>
      <c r="AH21" s="1299">
        <f>'Exhibit G state'!AF22</f>
        <v>754.6</v>
      </c>
      <c r="AI21" s="513"/>
      <c r="AJ21" s="248"/>
      <c r="AK21" s="1146">
        <f t="shared" ref="AK21:AK28" si="1">ROUND(SUM(+AE21-AH21),1)</f>
        <v>28.2</v>
      </c>
      <c r="AL21" s="247"/>
      <c r="AM21" s="1780">
        <f t="shared" ref="AM21:AM28" si="2">ROUND(IF(AH21=0,0,AK21/ABS(AH21)),3)</f>
        <v>3.6999999999999998E-2</v>
      </c>
    </row>
    <row r="22" spans="1:39" ht="15" customHeight="1">
      <c r="A22" s="223"/>
      <c r="B22" s="2032" t="s">
        <v>1227</v>
      </c>
      <c r="C22" s="223"/>
      <c r="D22" s="1146">
        <f>'Exhibit G state'!D23</f>
        <v>0.7</v>
      </c>
      <c r="E22" s="2925"/>
      <c r="F22" s="2925">
        <f>'Exhibit G state'!F23</f>
        <v>0</v>
      </c>
      <c r="G22" s="2925"/>
      <c r="H22" s="2925">
        <f>'Exhibit G state'!H23</f>
        <v>13.4</v>
      </c>
      <c r="J22" s="3111">
        <f>'Exhibit G state'!J23</f>
        <v>4.5</v>
      </c>
      <c r="L22" s="3111">
        <f>'Exhibit G state'!L23</f>
        <v>4.4000000000000004</v>
      </c>
      <c r="N22" s="3111">
        <f>'Exhibit G state'!N23</f>
        <v>5.4</v>
      </c>
      <c r="P22" s="3111">
        <f>'Exhibit G state'!P23</f>
        <v>3.7</v>
      </c>
      <c r="R22" s="3111">
        <f>'Exhibit G state'!R23</f>
        <v>3.8</v>
      </c>
      <c r="T22" s="3111">
        <f>'Exhibit G state'!T23</f>
        <v>4</v>
      </c>
      <c r="V22" s="3111">
        <f>'Exhibit G state'!V23</f>
        <v>3.4</v>
      </c>
      <c r="X22" s="3111"/>
      <c r="Z22" s="2738"/>
      <c r="AA22" s="2738"/>
      <c r="AB22" s="3111">
        <v>0</v>
      </c>
      <c r="AC22" s="260"/>
      <c r="AD22" s="249"/>
      <c r="AE22" s="260">
        <f t="shared" ref="AE22:AE27" si="3">ROUND(SUM(D22:AB22),1)</f>
        <v>43.3</v>
      </c>
      <c r="AF22" s="260"/>
      <c r="AG22" s="249"/>
      <c r="AH22" s="1299">
        <f>'Exhibit G state'!AF23</f>
        <v>39.299999999999997</v>
      </c>
      <c r="AI22" s="513"/>
      <c r="AJ22" s="248"/>
      <c r="AK22" s="1146">
        <f t="shared" si="1"/>
        <v>4</v>
      </c>
      <c r="AL22" s="247"/>
      <c r="AM22" s="1780">
        <f t="shared" si="2"/>
        <v>0.10199999999999999</v>
      </c>
    </row>
    <row r="23" spans="1:39" ht="15" customHeight="1">
      <c r="A23" s="223"/>
      <c r="B23" s="2032" t="s">
        <v>1228</v>
      </c>
      <c r="C23" s="223"/>
      <c r="D23" s="1146">
        <f>'Exhibit G state'!D24</f>
        <v>69.900000000000006</v>
      </c>
      <c r="E23" s="2925"/>
      <c r="F23" s="2925">
        <f>'Exhibit G state'!F24</f>
        <v>70.5</v>
      </c>
      <c r="G23" s="2925"/>
      <c r="H23" s="2925">
        <f>'Exhibit G state'!H24</f>
        <v>86.9</v>
      </c>
      <c r="J23" s="3111">
        <f>'Exhibit G state'!J24</f>
        <v>74.599999999999994</v>
      </c>
      <c r="L23" s="3111">
        <f>'Exhibit G state'!L24</f>
        <v>85.6</v>
      </c>
      <c r="N23" s="3111">
        <f>'Exhibit G state'!N24</f>
        <v>75.599999999999994</v>
      </c>
      <c r="P23" s="3111">
        <f>'Exhibit G state'!P24</f>
        <v>72.599999999999994</v>
      </c>
      <c r="R23" s="3111">
        <f>'Exhibit G state'!R24</f>
        <v>78.599999999999994</v>
      </c>
      <c r="T23" s="3111">
        <f>'Exhibit G state'!T24</f>
        <v>72.2</v>
      </c>
      <c r="V23" s="3111">
        <f>'Exhibit G state'!V24</f>
        <v>72.8</v>
      </c>
      <c r="X23" s="3111"/>
      <c r="Z23" s="2738"/>
      <c r="AA23" s="2738"/>
      <c r="AB23" s="3111">
        <v>0</v>
      </c>
      <c r="AC23" s="260"/>
      <c r="AD23" s="249"/>
      <c r="AE23" s="260">
        <f t="shared" si="3"/>
        <v>759.3</v>
      </c>
      <c r="AF23" s="260"/>
      <c r="AG23" s="249"/>
      <c r="AH23" s="1299">
        <f>'Exhibit G state'!AF24</f>
        <v>798.3</v>
      </c>
      <c r="AI23" s="513"/>
      <c r="AJ23" s="248"/>
      <c r="AK23" s="1146">
        <f t="shared" si="1"/>
        <v>-39</v>
      </c>
      <c r="AL23" s="247"/>
      <c r="AM23" s="1780">
        <f t="shared" si="2"/>
        <v>-4.9000000000000002E-2</v>
      </c>
    </row>
    <row r="24" spans="1:39" ht="15" customHeight="1">
      <c r="A24" s="223"/>
      <c r="B24" s="1243" t="s">
        <v>1406</v>
      </c>
      <c r="C24" s="223"/>
      <c r="D24" s="2925">
        <f>'Exhibit G state'!D25</f>
        <v>0</v>
      </c>
      <c r="E24" s="2925"/>
      <c r="F24" s="2925">
        <f>'Exhibit G state'!F25</f>
        <v>0</v>
      </c>
      <c r="G24" s="2925"/>
      <c r="H24" s="2925">
        <f>'Exhibit G state'!H25</f>
        <v>0.1</v>
      </c>
      <c r="J24" s="3111">
        <f>'Exhibit G state'!J25</f>
        <v>0</v>
      </c>
      <c r="L24" s="3111">
        <f>'Exhibit G state'!L25</f>
        <v>0</v>
      </c>
      <c r="N24" s="3111">
        <f>'Exhibit G state'!N25</f>
        <v>0.1</v>
      </c>
      <c r="P24" s="3111">
        <f>'Exhibit G state'!P25</f>
        <v>0.1</v>
      </c>
      <c r="R24" s="3111">
        <f>'Exhibit G state'!R25</f>
        <v>0</v>
      </c>
      <c r="T24" s="3111">
        <f>'Exhibit G state'!T25</f>
        <v>0.1</v>
      </c>
      <c r="V24" s="3111">
        <f>'Exhibit G state'!V25</f>
        <v>0</v>
      </c>
      <c r="X24" s="3111"/>
      <c r="Z24" s="2738"/>
      <c r="AA24" s="2738"/>
      <c r="AB24" s="3111">
        <v>0</v>
      </c>
      <c r="AC24" s="260"/>
      <c r="AD24" s="249"/>
      <c r="AE24" s="260">
        <f t="shared" si="3"/>
        <v>0.4</v>
      </c>
      <c r="AF24" s="260"/>
      <c r="AG24" s="249"/>
      <c r="AH24" s="1299">
        <v>0</v>
      </c>
      <c r="AI24" s="513"/>
      <c r="AJ24" s="248"/>
      <c r="AK24" s="2925">
        <f t="shared" ref="AK24" si="4">ROUND(SUM(+AE24-AH24),1)</f>
        <v>0.4</v>
      </c>
      <c r="AL24" s="247"/>
      <c r="AM24" s="2679">
        <f>ROUND(IF(AH24=0,1,AK24/ABS(AH24)),3)</f>
        <v>1</v>
      </c>
    </row>
    <row r="25" spans="1:39" ht="15" customHeight="1">
      <c r="A25" s="223"/>
      <c r="B25" s="2032" t="s">
        <v>1229</v>
      </c>
      <c r="C25" s="223"/>
      <c r="D25" s="1146">
        <f>'Exhibit G state'!D26</f>
        <v>8.1999999999999993</v>
      </c>
      <c r="E25" s="2925"/>
      <c r="F25" s="2925">
        <f>'Exhibit G state'!F26</f>
        <v>7.9</v>
      </c>
      <c r="G25" s="2925"/>
      <c r="H25" s="2925">
        <f>'Exhibit G state'!H26</f>
        <v>9.1999999999999993</v>
      </c>
      <c r="J25" s="3111">
        <f>'Exhibit G state'!J26</f>
        <v>10.1</v>
      </c>
      <c r="L25" s="3111">
        <f>'Exhibit G state'!L26</f>
        <v>10.5</v>
      </c>
      <c r="N25" s="3111">
        <f>'Exhibit G state'!N26</f>
        <v>9.5</v>
      </c>
      <c r="P25" s="3111">
        <f>'Exhibit G state'!P26</f>
        <v>9.4</v>
      </c>
      <c r="R25" s="3111">
        <f>'Exhibit G state'!R26</f>
        <v>9.6</v>
      </c>
      <c r="T25" s="3111">
        <f>'Exhibit G state'!T26</f>
        <v>8.9</v>
      </c>
      <c r="V25" s="3111">
        <f>'Exhibit G state'!V26</f>
        <v>9</v>
      </c>
      <c r="X25" s="3111"/>
      <c r="Z25" s="2738"/>
      <c r="AA25" s="2738"/>
      <c r="AB25" s="3111">
        <v>0</v>
      </c>
      <c r="AC25" s="260"/>
      <c r="AD25" s="249"/>
      <c r="AE25" s="260">
        <f t="shared" si="3"/>
        <v>92.3</v>
      </c>
      <c r="AF25" s="260"/>
      <c r="AG25" s="249"/>
      <c r="AH25" s="1299">
        <f>'Exhibit G state'!AF26</f>
        <v>87.5</v>
      </c>
      <c r="AI25" s="513"/>
      <c r="AJ25" s="248"/>
      <c r="AK25" s="1146">
        <f t="shared" si="1"/>
        <v>4.8</v>
      </c>
      <c r="AL25" s="247"/>
      <c r="AM25" s="1780">
        <f t="shared" si="2"/>
        <v>5.5E-2</v>
      </c>
    </row>
    <row r="26" spans="1:39" ht="15" customHeight="1">
      <c r="A26" s="223"/>
      <c r="B26" s="2032" t="s">
        <v>1230</v>
      </c>
      <c r="C26" s="223"/>
      <c r="D26" s="1146">
        <f>'Exhibit G state'!D27</f>
        <v>0</v>
      </c>
      <c r="E26" s="2925"/>
      <c r="F26" s="2925">
        <f>'Exhibit G state'!F27</f>
        <v>0</v>
      </c>
      <c r="G26" s="2925"/>
      <c r="H26" s="2925">
        <f>'Exhibit G state'!H27</f>
        <v>0</v>
      </c>
      <c r="J26" s="3111">
        <f>'Exhibit G state'!J27</f>
        <v>0</v>
      </c>
      <c r="L26" s="3111">
        <f>'Exhibit G state'!L27</f>
        <v>0</v>
      </c>
      <c r="N26" s="3111">
        <f>'Exhibit G state'!N27</f>
        <v>0</v>
      </c>
      <c r="P26" s="3111">
        <f>'Exhibit G state'!P27</f>
        <v>0</v>
      </c>
      <c r="R26" s="3111">
        <f>'Exhibit G state'!R27</f>
        <v>0</v>
      </c>
      <c r="T26" s="260">
        <f>'Exhibit G state'!T27</f>
        <v>0</v>
      </c>
      <c r="V26" s="260">
        <f>'Exhibit G state'!V27</f>
        <v>0</v>
      </c>
      <c r="X26" s="3111"/>
      <c r="Z26" s="2738"/>
      <c r="AA26" s="2738"/>
      <c r="AB26" s="3111">
        <v>0</v>
      </c>
      <c r="AC26" s="260"/>
      <c r="AD26" s="249"/>
      <c r="AE26" s="260">
        <f t="shared" si="3"/>
        <v>0</v>
      </c>
      <c r="AF26" s="260"/>
      <c r="AG26" s="249"/>
      <c r="AH26" s="2045">
        <f>'Exhibit G state'!AF27</f>
        <v>0</v>
      </c>
      <c r="AI26" s="513"/>
      <c r="AJ26" s="248"/>
      <c r="AK26" s="1146">
        <f t="shared" si="1"/>
        <v>0</v>
      </c>
      <c r="AL26" s="247"/>
      <c r="AM26" s="1780">
        <f t="shared" si="2"/>
        <v>0</v>
      </c>
    </row>
    <row r="27" spans="1:39" ht="15" customHeight="1">
      <c r="A27" s="223"/>
      <c r="B27" s="2032" t="s">
        <v>1231</v>
      </c>
      <c r="C27" s="223"/>
      <c r="D27" s="1146">
        <f>'Exhibit G state'!D28</f>
        <v>0</v>
      </c>
      <c r="E27" s="2925"/>
      <c r="F27" s="2925">
        <f>'Exhibit G state'!F28</f>
        <v>0</v>
      </c>
      <c r="G27" s="2925"/>
      <c r="H27" s="2925">
        <f>'Exhibit G state'!H28</f>
        <v>0</v>
      </c>
      <c r="J27" s="3111">
        <f>'Exhibit G state'!J28</f>
        <v>0</v>
      </c>
      <c r="L27" s="3111">
        <f>'Exhibit G state'!L28</f>
        <v>0</v>
      </c>
      <c r="N27" s="3111">
        <f>'Exhibit G state'!N28</f>
        <v>0</v>
      </c>
      <c r="P27" s="3111">
        <f>'Exhibit G state'!P28</f>
        <v>1.7</v>
      </c>
      <c r="R27" s="3111">
        <f>'Exhibit G state'!R28</f>
        <v>0.2</v>
      </c>
      <c r="T27" s="260">
        <f>'Exhibit G state'!T28</f>
        <v>0.3</v>
      </c>
      <c r="V27" s="260">
        <f>'Exhibit G state'!V28</f>
        <v>-0.2</v>
      </c>
      <c r="X27" s="3111"/>
      <c r="Z27" s="2738"/>
      <c r="AA27" s="2738"/>
      <c r="AB27" s="3111">
        <v>0</v>
      </c>
      <c r="AC27" s="260"/>
      <c r="AD27" s="249"/>
      <c r="AE27" s="260">
        <f t="shared" si="3"/>
        <v>2</v>
      </c>
      <c r="AF27" s="260"/>
      <c r="AG27" s="249"/>
      <c r="AH27" s="2045">
        <f>'Exhibit G state'!AF28</f>
        <v>0</v>
      </c>
      <c r="AI27" s="513"/>
      <c r="AJ27" s="248"/>
      <c r="AK27" s="1146">
        <f t="shared" si="1"/>
        <v>2</v>
      </c>
      <c r="AL27" s="247"/>
      <c r="AM27" s="2679">
        <f>ROUND(IF(AH27=0,1,AK27/ABS(AH27)),3)</f>
        <v>1</v>
      </c>
    </row>
    <row r="28" spans="1:39" ht="15" customHeight="1">
      <c r="A28" s="223"/>
      <c r="B28" s="2034" t="s">
        <v>1232</v>
      </c>
      <c r="C28" s="223"/>
      <c r="D28" s="1146">
        <f>'Exhibit G state'!D29</f>
        <v>15.7</v>
      </c>
      <c r="E28" s="2925"/>
      <c r="F28" s="2925">
        <f>'Exhibit G state'!F29</f>
        <v>0.6</v>
      </c>
      <c r="G28" s="2925"/>
      <c r="H28" s="2925">
        <f>'Exhibit G state'!H29</f>
        <v>0.6</v>
      </c>
      <c r="J28" s="3111">
        <f>'Exhibit G state'!J29</f>
        <v>15.7</v>
      </c>
      <c r="L28" s="3111">
        <f>'Exhibit G state'!L29</f>
        <v>0.5</v>
      </c>
      <c r="N28" s="3111">
        <f>'Exhibit G state'!N29</f>
        <v>0.6</v>
      </c>
      <c r="P28" s="3111">
        <f>'Exhibit G state'!P29</f>
        <v>14.5</v>
      </c>
      <c r="R28" s="3111">
        <f>'Exhibit G state'!R29</f>
        <v>0.3</v>
      </c>
      <c r="T28" s="3111">
        <f>'Exhibit G state'!T29</f>
        <v>0.8</v>
      </c>
      <c r="V28" s="3111">
        <f>'Exhibit G state'!V29</f>
        <v>14</v>
      </c>
      <c r="X28" s="3111"/>
      <c r="Z28" s="2738"/>
      <c r="AA28" s="2738"/>
      <c r="AB28" s="3111">
        <v>0</v>
      </c>
      <c r="AC28" s="260"/>
      <c r="AD28" s="249"/>
      <c r="AE28" s="260">
        <f>ROUND(SUM(D28:AB28),1)</f>
        <v>63.3</v>
      </c>
      <c r="AF28" s="260"/>
      <c r="AG28" s="249"/>
      <c r="AH28" s="2045">
        <f>'Exhibit G state'!AF29</f>
        <v>71.7</v>
      </c>
      <c r="AI28" s="513"/>
      <c r="AJ28" s="248"/>
      <c r="AK28" s="1146">
        <f t="shared" si="1"/>
        <v>-8.4</v>
      </c>
      <c r="AL28" s="247"/>
      <c r="AM28" s="1780">
        <f t="shared" si="2"/>
        <v>-0.11700000000000001</v>
      </c>
    </row>
    <row r="29" spans="1:39" s="411" customFormat="1" ht="15" customHeight="1">
      <c r="A29" s="221"/>
      <c r="B29" s="2033" t="s">
        <v>1368</v>
      </c>
      <c r="C29" s="221"/>
      <c r="D29" s="255">
        <f>ROUND(SUM(D21:D28),1)</f>
        <v>185.4</v>
      </c>
      <c r="E29"/>
      <c r="F29" s="255">
        <f t="shared" ref="F29:AB29" si="5">ROUND(SUM(F21:F28),1)</f>
        <v>144.80000000000001</v>
      </c>
      <c r="G29"/>
      <c r="H29" s="255">
        <f t="shared" si="5"/>
        <v>199.7</v>
      </c>
      <c r="I29"/>
      <c r="J29" s="255">
        <f t="shared" si="5"/>
        <v>174.2</v>
      </c>
      <c r="K29"/>
      <c r="L29" s="255">
        <f t="shared" ref="L29:N29" si="6">ROUND(SUM(L21:L28),1)</f>
        <v>166.8</v>
      </c>
      <c r="M29"/>
      <c r="N29" s="255">
        <f t="shared" si="6"/>
        <v>183.5</v>
      </c>
      <c r="O29"/>
      <c r="P29" s="255">
        <f t="shared" ref="P29" si="7">ROUND(SUM(P21:P28),1)</f>
        <v>171.7</v>
      </c>
      <c r="Q29"/>
      <c r="R29" s="255">
        <f t="shared" si="5"/>
        <v>161.6</v>
      </c>
      <c r="S29"/>
      <c r="T29" s="255">
        <f>ROUND(SUM(T21:T28),1)</f>
        <v>182.5</v>
      </c>
      <c r="U29"/>
      <c r="V29" s="255">
        <f>ROUND(SUM(V21:V28),1)</f>
        <v>173.2</v>
      </c>
      <c r="W29"/>
      <c r="X29" s="255">
        <f t="shared" si="5"/>
        <v>0</v>
      </c>
      <c r="Y29"/>
      <c r="Z29" s="255">
        <f t="shared" si="5"/>
        <v>0</v>
      </c>
      <c r="AA29" s="2926"/>
      <c r="AB29" s="255">
        <f t="shared" si="5"/>
        <v>0</v>
      </c>
      <c r="AC29" s="1802"/>
      <c r="AD29" s="258"/>
      <c r="AE29" s="255">
        <f>ROUND(SUM(AE21:AE28),1)</f>
        <v>1743.4</v>
      </c>
      <c r="AF29" s="1802"/>
      <c r="AG29" s="258"/>
      <c r="AH29" s="255">
        <f>ROUND(SUM(AH21:AH28),1)</f>
        <v>1751.4</v>
      </c>
      <c r="AI29" s="520"/>
      <c r="AJ29" s="272"/>
      <c r="AK29" s="255">
        <f>ROUND(SUM(AK21:AK28),1)</f>
        <v>-8</v>
      </c>
      <c r="AM29" s="2626">
        <f>ROUND(SUM(+AK29/AH29),3)</f>
        <v>-5.0000000000000001E-3</v>
      </c>
    </row>
    <row r="30" spans="1:39" ht="15" customHeight="1">
      <c r="A30" s="223"/>
      <c r="B30" s="2286" t="s">
        <v>1277</v>
      </c>
      <c r="C30" s="223"/>
      <c r="D30" s="260"/>
      <c r="F30" s="260"/>
      <c r="H30" s="260"/>
      <c r="J30" s="260"/>
      <c r="L30" s="260"/>
      <c r="N30" s="260"/>
      <c r="P30" s="260"/>
      <c r="R30" s="260"/>
      <c r="T30" s="260"/>
      <c r="V30" s="260"/>
      <c r="X30" s="260"/>
      <c r="Z30" s="260"/>
      <c r="AA30" s="260"/>
      <c r="AB30" s="260"/>
      <c r="AC30" s="260"/>
      <c r="AD30" s="249"/>
      <c r="AE30" s="260"/>
      <c r="AF30" s="260"/>
      <c r="AG30" s="249"/>
      <c r="AH30" s="260"/>
      <c r="AI30" s="513"/>
      <c r="AJ30" s="248"/>
      <c r="AK30" s="1146"/>
      <c r="AM30" s="1847"/>
    </row>
    <row r="31" spans="1:39" ht="15" customHeight="1">
      <c r="A31" s="223"/>
      <c r="B31" s="2032" t="s">
        <v>1234</v>
      </c>
      <c r="C31" s="223"/>
      <c r="D31" s="260">
        <f>'Exhibit G state'!D32</f>
        <v>31.9</v>
      </c>
      <c r="E31" s="260"/>
      <c r="F31" s="260">
        <f>'Exhibit G state'!F32</f>
        <v>23.5</v>
      </c>
      <c r="G31" s="260"/>
      <c r="H31" s="260">
        <f>'Exhibit G state'!H32</f>
        <v>114</v>
      </c>
      <c r="J31" s="260">
        <f>'Exhibit G state'!J32</f>
        <v>10.8</v>
      </c>
      <c r="L31" s="260">
        <f>'Exhibit G state'!L32</f>
        <v>20</v>
      </c>
      <c r="N31" s="260">
        <f>'Exhibit G state'!N32</f>
        <v>138.1</v>
      </c>
      <c r="P31" s="260">
        <f>'Exhibit G state'!P32</f>
        <v>34.299999999999997</v>
      </c>
      <c r="R31" s="260">
        <f>'Exhibit G state'!R32</f>
        <v>8.4</v>
      </c>
      <c r="T31" s="260">
        <f>'Exhibit G state'!T32</f>
        <v>140.19999999999999</v>
      </c>
      <c r="V31" s="260">
        <f>'Exhibit G state'!V32</f>
        <v>36.799999999999997</v>
      </c>
      <c r="X31" s="260"/>
      <c r="Z31" s="260"/>
      <c r="AA31" s="260"/>
      <c r="AB31" s="260">
        <v>0</v>
      </c>
      <c r="AC31" s="260"/>
      <c r="AD31" s="249"/>
      <c r="AE31" s="260">
        <f>ROUND(SUM(D31:AB31),1)</f>
        <v>558</v>
      </c>
      <c r="AF31" s="260"/>
      <c r="AG31" s="249"/>
      <c r="AH31" s="2045">
        <f>'Exhibit G state'!AF32</f>
        <v>515.5</v>
      </c>
      <c r="AI31" s="513"/>
      <c r="AJ31" s="248"/>
      <c r="AK31" s="1146">
        <f>ROUND(SUM(+AE31-AH31),1)</f>
        <v>42.5</v>
      </c>
      <c r="AL31" s="247"/>
      <c r="AM31" s="1780">
        <f>ROUND(IF(AH31=0,0,AK31/ABS(AH31)),3)</f>
        <v>8.2000000000000003E-2</v>
      </c>
    </row>
    <row r="32" spans="1:39" ht="15" customHeight="1">
      <c r="A32" s="223"/>
      <c r="B32" s="2032" t="s">
        <v>1235</v>
      </c>
      <c r="C32" s="223"/>
      <c r="D32" s="260">
        <f>'Exhibit G state'!D33</f>
        <v>2.2999999999999998</v>
      </c>
      <c r="E32" s="260"/>
      <c r="F32" s="260">
        <f>'Exhibit G state'!F33</f>
        <v>0.1</v>
      </c>
      <c r="G32" s="260"/>
      <c r="H32" s="260">
        <f>'Exhibit G state'!H33</f>
        <v>29.2</v>
      </c>
      <c r="J32" s="260">
        <f>'Exhibit G state'!J33</f>
        <v>3.7</v>
      </c>
      <c r="L32" s="260">
        <f>'Exhibit G state'!L33</f>
        <v>0.3</v>
      </c>
      <c r="N32" s="260">
        <f>'Exhibit G state'!N33</f>
        <v>31.9</v>
      </c>
      <c r="P32" s="260">
        <f>'Exhibit G state'!P33</f>
        <v>0.1</v>
      </c>
      <c r="R32" s="260">
        <f>'Exhibit G state'!R33</f>
        <v>-0.3</v>
      </c>
      <c r="T32" s="260">
        <f>'Exhibit G state'!T33</f>
        <v>33.6</v>
      </c>
      <c r="V32" s="260">
        <f>'Exhibit G state'!V33</f>
        <v>20.7</v>
      </c>
      <c r="X32" s="260"/>
      <c r="Z32" s="260"/>
      <c r="AA32" s="260"/>
      <c r="AB32" s="260">
        <v>0</v>
      </c>
      <c r="AC32" s="260"/>
      <c r="AD32" s="249"/>
      <c r="AE32" s="260">
        <f>ROUND(SUM(D32:AB32),1)</f>
        <v>121.6</v>
      </c>
      <c r="AF32" s="260"/>
      <c r="AG32" s="249"/>
      <c r="AH32" s="2045">
        <f>'Exhibit G state'!AF33</f>
        <v>104.2</v>
      </c>
      <c r="AI32" s="513"/>
      <c r="AJ32" s="248"/>
      <c r="AK32" s="1146">
        <f>ROUND(SUM(+AE32-AH32),1)</f>
        <v>17.399999999999999</v>
      </c>
      <c r="AL32" s="247"/>
      <c r="AM32" s="1780">
        <f>ROUND(IF(AH32=0,0,AK32/ABS(AH32)),3)</f>
        <v>0.16700000000000001</v>
      </c>
    </row>
    <row r="33" spans="1:39" ht="15" customHeight="1">
      <c r="A33" s="223"/>
      <c r="B33" s="2032" t="s">
        <v>1236</v>
      </c>
      <c r="C33" s="223"/>
      <c r="D33" s="260">
        <f>'Exhibit G state'!D34</f>
        <v>1.5</v>
      </c>
      <c r="E33" s="260"/>
      <c r="F33" s="260">
        <f>'Exhibit G state'!F34</f>
        <v>0.2</v>
      </c>
      <c r="G33" s="260"/>
      <c r="H33" s="260">
        <f>'Exhibit G state'!H34</f>
        <v>40.299999999999997</v>
      </c>
      <c r="J33" s="260">
        <f>'Exhibit G state'!J34</f>
        <v>0.8</v>
      </c>
      <c r="L33" s="260">
        <f>'Exhibit G state'!L34</f>
        <v>1.1000000000000001</v>
      </c>
      <c r="N33" s="260">
        <f>'Exhibit G state'!N34</f>
        <v>34.6</v>
      </c>
      <c r="P33" s="260">
        <f>'Exhibit G state'!P34</f>
        <v>1.9</v>
      </c>
      <c r="R33" s="260">
        <f>'Exhibit G state'!R34</f>
        <v>-0.1</v>
      </c>
      <c r="T33" s="260">
        <f>'Exhibit G state'!T34</f>
        <v>38.299999999999997</v>
      </c>
      <c r="V33" s="260">
        <f>'Exhibit G state'!V34</f>
        <v>0.1</v>
      </c>
      <c r="X33" s="260"/>
      <c r="Z33" s="260"/>
      <c r="AA33" s="260"/>
      <c r="AB33" s="260">
        <v>0</v>
      </c>
      <c r="AC33" s="260"/>
      <c r="AD33" s="249"/>
      <c r="AE33" s="260">
        <f>ROUND(SUM(D33:AB33),1)</f>
        <v>118.7</v>
      </c>
      <c r="AF33" s="260"/>
      <c r="AG33" s="249"/>
      <c r="AH33" s="2045">
        <f>'Exhibit G state'!AF34</f>
        <v>102.7</v>
      </c>
      <c r="AI33" s="513"/>
      <c r="AJ33" s="248"/>
      <c r="AK33" s="1146">
        <f>ROUND(SUM(+AE33-AH33),1)</f>
        <v>16</v>
      </c>
      <c r="AL33" s="247"/>
      <c r="AM33" s="2734">
        <f>ROUND(IF(AH33=0,0,AK33/ABS(AH33)),3)</f>
        <v>0.156</v>
      </c>
    </row>
    <row r="34" spans="1:39" ht="15" customHeight="1">
      <c r="A34" s="223"/>
      <c r="B34" s="2032" t="s">
        <v>1237</v>
      </c>
      <c r="C34" s="223"/>
      <c r="D34" s="260">
        <f>'Exhibit G state'!D35</f>
        <v>-1.7</v>
      </c>
      <c r="E34" s="260"/>
      <c r="F34" s="260">
        <f>'Exhibit G state'!F35</f>
        <v>-3.4</v>
      </c>
      <c r="G34" s="260"/>
      <c r="H34" s="260">
        <f>'Exhibit G state'!H35</f>
        <v>-0.3</v>
      </c>
      <c r="J34" s="260">
        <f>'Exhibit G state'!J35</f>
        <v>0</v>
      </c>
      <c r="L34" s="260">
        <f>'Exhibit G state'!L35</f>
        <v>7.5</v>
      </c>
      <c r="N34" s="260">
        <f>'Exhibit G state'!N35</f>
        <v>-1.5</v>
      </c>
      <c r="P34" s="260">
        <f>'Exhibit G state'!P35</f>
        <v>53.4</v>
      </c>
      <c r="R34" s="260">
        <f>'Exhibit G state'!R35</f>
        <v>-2.9</v>
      </c>
      <c r="T34" s="260">
        <f>'Exhibit G state'!T35</f>
        <v>13.4</v>
      </c>
      <c r="V34" s="260">
        <f>'Exhibit G state'!V35</f>
        <v>-9.4</v>
      </c>
      <c r="X34" s="260"/>
      <c r="Z34" s="260"/>
      <c r="AA34" s="248"/>
      <c r="AB34" s="248">
        <v>0</v>
      </c>
      <c r="AC34" s="3278"/>
      <c r="AD34" s="249"/>
      <c r="AE34" s="260">
        <f>ROUND(SUM(D34:AB34),1)</f>
        <v>55.1</v>
      </c>
      <c r="AF34" s="260"/>
      <c r="AG34" s="249"/>
      <c r="AH34" s="2045">
        <f>'Exhibit G state'!AF35</f>
        <v>14.7</v>
      </c>
      <c r="AI34" s="513"/>
      <c r="AJ34" s="248"/>
      <c r="AK34" s="1146">
        <f>ROUND(SUM(+AE34-AH34),1)</f>
        <v>40.4</v>
      </c>
      <c r="AL34" s="247"/>
      <c r="AM34" s="1780">
        <f>ROUND(IF(AH34=0,0,AK34/ABS(AH34)),3)</f>
        <v>2.7480000000000002</v>
      </c>
    </row>
    <row r="35" spans="1:39" ht="15" customHeight="1">
      <c r="A35" s="223"/>
      <c r="B35" s="2032" t="s">
        <v>1238</v>
      </c>
      <c r="C35" s="223"/>
      <c r="D35" s="260">
        <f>'Exhibit G state'!D36</f>
        <v>39.299999999999997</v>
      </c>
      <c r="E35" s="260"/>
      <c r="F35" s="260">
        <f>'Exhibit G state'!F36</f>
        <v>34.700000000000003</v>
      </c>
      <c r="G35" s="260"/>
      <c r="H35" s="260">
        <f>'Exhibit G state'!H36</f>
        <v>41.5</v>
      </c>
      <c r="J35" s="260">
        <f>'Exhibit G state'!J36</f>
        <v>52.5</v>
      </c>
      <c r="L35" s="260">
        <f>'Exhibit G state'!L36</f>
        <v>41.5</v>
      </c>
      <c r="N35" s="260">
        <f>'Exhibit G state'!N36</f>
        <v>43.8</v>
      </c>
      <c r="P35" s="260">
        <f>'Exhibit G state'!P36</f>
        <v>44</v>
      </c>
      <c r="R35" s="260">
        <f>'Exhibit G state'!R36</f>
        <v>41.9</v>
      </c>
      <c r="T35" s="260">
        <f>'Exhibit G state'!T36</f>
        <v>44.5</v>
      </c>
      <c r="V35" s="260">
        <f>'Exhibit G state'!V36</f>
        <v>39.9</v>
      </c>
      <c r="X35" s="260"/>
      <c r="Z35" s="260"/>
      <c r="AA35" s="248"/>
      <c r="AB35" s="248">
        <v>0</v>
      </c>
      <c r="AC35" s="3278"/>
      <c r="AD35" s="249"/>
      <c r="AE35" s="260">
        <f>ROUND(SUM(D35:AB35),1)</f>
        <v>423.6</v>
      </c>
      <c r="AF35" s="260"/>
      <c r="AG35" s="249"/>
      <c r="AH35" s="2045">
        <f>'Exhibit G state'!AF36</f>
        <v>421.3</v>
      </c>
      <c r="AI35" s="513"/>
      <c r="AJ35" s="248"/>
      <c r="AK35" s="1146">
        <f>ROUND(SUM(+AE35-AH35),1)</f>
        <v>2.2999999999999998</v>
      </c>
      <c r="AL35" s="247"/>
      <c r="AM35" s="1780">
        <f>ROUND(IF(AH35=0,0,AK35/ABS(AH35)),3)</f>
        <v>5.0000000000000001E-3</v>
      </c>
    </row>
    <row r="36" spans="1:39" s="411" customFormat="1" ht="15" customHeight="1">
      <c r="A36" s="221"/>
      <c r="B36" s="2033" t="s">
        <v>1369</v>
      </c>
      <c r="C36" s="221"/>
      <c r="D36" s="255">
        <f>ROUND(SUM(D31:D35),1)</f>
        <v>73.3</v>
      </c>
      <c r="E36"/>
      <c r="F36" s="255">
        <f t="shared" ref="F36:Z36" si="8">ROUND(SUM(F31:F35),1)</f>
        <v>55.1</v>
      </c>
      <c r="G36"/>
      <c r="H36" s="255">
        <f t="shared" si="8"/>
        <v>224.7</v>
      </c>
      <c r="I36"/>
      <c r="J36" s="255">
        <f t="shared" si="8"/>
        <v>67.8</v>
      </c>
      <c r="K36"/>
      <c r="L36" s="255">
        <f t="shared" ref="L36:N36" si="9">ROUND(SUM(L31:L35),1)</f>
        <v>70.400000000000006</v>
      </c>
      <c r="M36"/>
      <c r="N36" s="255">
        <f t="shared" si="9"/>
        <v>246.9</v>
      </c>
      <c r="O36"/>
      <c r="P36" s="255">
        <f t="shared" ref="P36" si="10">ROUND(SUM(P31:P35),1)</f>
        <v>133.69999999999999</v>
      </c>
      <c r="Q36"/>
      <c r="R36" s="255">
        <f t="shared" si="8"/>
        <v>47</v>
      </c>
      <c r="S36"/>
      <c r="T36" s="255">
        <f>ROUND(SUM(T31:T35),1)</f>
        <v>270</v>
      </c>
      <c r="U36"/>
      <c r="V36" s="255">
        <f>ROUND(SUM(V31:V35),1)</f>
        <v>88.1</v>
      </c>
      <c r="W36"/>
      <c r="X36" s="255">
        <f t="shared" si="8"/>
        <v>0</v>
      </c>
      <c r="Y36"/>
      <c r="Z36" s="255">
        <f t="shared" si="8"/>
        <v>0</v>
      </c>
      <c r="AA36" s="2926"/>
      <c r="AB36" s="255">
        <f t="shared" ref="AB36" si="11">ROUND(SUM(AB31:AB35),1)</f>
        <v>0</v>
      </c>
      <c r="AC36" s="3279"/>
      <c r="AD36" s="258"/>
      <c r="AE36" s="255">
        <f>ROUND(SUM(AE31:AE35),1)</f>
        <v>1277</v>
      </c>
      <c r="AF36" s="1802"/>
      <c r="AG36" s="258"/>
      <c r="AH36" s="255">
        <f>ROUND(SUM(AH31:AH35),1)</f>
        <v>1158.4000000000001</v>
      </c>
      <c r="AI36" s="520"/>
      <c r="AJ36" s="272"/>
      <c r="AK36" s="255">
        <f>ROUND(SUM(AK31:AK35),1)</f>
        <v>118.6</v>
      </c>
      <c r="AM36" s="526">
        <f>ROUND(SUM(+AK36/AH36),3)</f>
        <v>0.10199999999999999</v>
      </c>
    </row>
    <row r="37" spans="1:39" ht="15" customHeight="1">
      <c r="A37" s="223"/>
      <c r="B37" s="2286" t="s">
        <v>1278</v>
      </c>
      <c r="C37" s="223"/>
      <c r="D37" s="260"/>
      <c r="F37" s="260"/>
      <c r="H37" s="260"/>
      <c r="J37" s="260"/>
      <c r="L37" s="260"/>
      <c r="N37" s="260"/>
      <c r="P37" s="260"/>
      <c r="R37" s="260"/>
      <c r="T37" s="260"/>
      <c r="V37" s="260"/>
      <c r="X37" s="260"/>
      <c r="Z37" s="260"/>
      <c r="AA37" s="248"/>
      <c r="AB37" s="260"/>
      <c r="AC37" s="3278"/>
      <c r="AD37" s="249"/>
      <c r="AE37" s="260"/>
      <c r="AF37" s="260"/>
      <c r="AG37" s="249"/>
      <c r="AH37" s="260"/>
      <c r="AI37" s="513"/>
      <c r="AJ37" s="248"/>
      <c r="AK37" s="1146"/>
      <c r="AM37" s="1847"/>
    </row>
    <row r="38" spans="1:39" ht="15" customHeight="1">
      <c r="A38" s="223"/>
      <c r="B38" s="2034" t="s">
        <v>1246</v>
      </c>
      <c r="C38" s="223"/>
      <c r="D38" s="260">
        <f>'Exhibit G state'!D39</f>
        <v>116.6</v>
      </c>
      <c r="E38" s="260"/>
      <c r="F38" s="260">
        <f>'Exhibit G state'!F39</f>
        <v>94</v>
      </c>
      <c r="G38" s="260"/>
      <c r="H38" s="260">
        <f>'Exhibit G state'!H39</f>
        <v>100.6</v>
      </c>
      <c r="J38" s="260">
        <f>'Exhibit G state'!J39</f>
        <v>85.2</v>
      </c>
      <c r="L38" s="260">
        <f>'Exhibit G state'!L39</f>
        <v>107.8</v>
      </c>
      <c r="N38" s="260">
        <f>'Exhibit G state'!N39</f>
        <v>104.7</v>
      </c>
      <c r="P38" s="260">
        <f>'Exhibit G state'!P39</f>
        <v>111.7</v>
      </c>
      <c r="R38" s="260">
        <f>'Exhibit G state'!R39</f>
        <v>97.2</v>
      </c>
      <c r="T38" s="260">
        <f>'Exhibit G state'!T39</f>
        <v>106.5</v>
      </c>
      <c r="V38" s="260">
        <f>'Exhibit G state'!V39</f>
        <v>180.8</v>
      </c>
      <c r="X38" s="260"/>
      <c r="Z38" s="260"/>
      <c r="AA38" s="260"/>
      <c r="AB38" s="260">
        <v>0</v>
      </c>
      <c r="AC38" s="260"/>
      <c r="AD38" s="249"/>
      <c r="AE38" s="260">
        <f>ROUND(SUM(D38:AB38),1)</f>
        <v>1105.0999999999999</v>
      </c>
      <c r="AF38" s="260"/>
      <c r="AG38" s="249"/>
      <c r="AH38" s="2045">
        <f>'Exhibit G state'!AF39</f>
        <v>1036.3</v>
      </c>
      <c r="AI38" s="513"/>
      <c r="AJ38" s="248"/>
      <c r="AK38" s="1146">
        <f>ROUND(SUM(+AE38-AH38),1)</f>
        <v>68.8</v>
      </c>
      <c r="AL38" s="247"/>
      <c r="AM38" s="1780">
        <f>ROUND(IF(AH38=0,0,AK38/ABS(AH38)),3)</f>
        <v>6.6000000000000003E-2</v>
      </c>
    </row>
    <row r="39" spans="1:39" s="411" customFormat="1" ht="15" customHeight="1">
      <c r="A39" s="221"/>
      <c r="B39" s="2033" t="s">
        <v>1370</v>
      </c>
      <c r="C39" s="221"/>
      <c r="D39" s="482">
        <f>ROUND(SUM(D38:D38),1)</f>
        <v>116.6</v>
      </c>
      <c r="E39"/>
      <c r="F39" s="482">
        <f t="shared" ref="F39:X39" si="12">ROUND(SUM(F38:F38),1)</f>
        <v>94</v>
      </c>
      <c r="G39"/>
      <c r="H39" s="482">
        <f t="shared" si="12"/>
        <v>100.6</v>
      </c>
      <c r="I39"/>
      <c r="J39" s="482">
        <f t="shared" si="12"/>
        <v>85.2</v>
      </c>
      <c r="K39"/>
      <c r="L39" s="482">
        <f t="shared" ref="L39:N39" si="13">ROUND(SUM(L38:L38),1)</f>
        <v>107.8</v>
      </c>
      <c r="M39"/>
      <c r="N39" s="482">
        <f t="shared" si="13"/>
        <v>104.7</v>
      </c>
      <c r="O39"/>
      <c r="P39" s="482">
        <f t="shared" ref="P39" si="14">ROUND(SUM(P38:P38),1)</f>
        <v>111.7</v>
      </c>
      <c r="Q39"/>
      <c r="R39" s="482">
        <f t="shared" si="12"/>
        <v>97.2</v>
      </c>
      <c r="S39"/>
      <c r="T39" s="482">
        <f>ROUND(SUM(T38:T38),1)</f>
        <v>106.5</v>
      </c>
      <c r="U39"/>
      <c r="V39" s="482">
        <f>ROUND(SUM(V38:V38),1)</f>
        <v>180.8</v>
      </c>
      <c r="W39"/>
      <c r="X39" s="482">
        <f t="shared" si="12"/>
        <v>0</v>
      </c>
      <c r="Y39"/>
      <c r="Z39" s="482">
        <f>ROUND(SUM(Z38:Z38),1)</f>
        <v>0</v>
      </c>
      <c r="AA39" s="2926"/>
      <c r="AB39" s="482">
        <f>ROUND(SUM(AB38:AB38),1)</f>
        <v>0</v>
      </c>
      <c r="AC39" s="1802"/>
      <c r="AD39" s="258"/>
      <c r="AE39" s="482">
        <f>ROUND(SUM(AE38:AE38),1)</f>
        <v>1105.0999999999999</v>
      </c>
      <c r="AF39" s="1802"/>
      <c r="AG39" s="258"/>
      <c r="AH39" s="482">
        <f>ROUND(SUM(AH38:AH38),1)</f>
        <v>1036.3</v>
      </c>
      <c r="AI39" s="520"/>
      <c r="AJ39" s="272"/>
      <c r="AK39" s="482">
        <f>ROUND(SUM(AK38:AK38),1)</f>
        <v>68.8</v>
      </c>
      <c r="AM39" s="2016">
        <f>ROUND(SUM(+AK39/AH39),3)</f>
        <v>6.6000000000000003E-2</v>
      </c>
    </row>
    <row r="40" spans="1:39" ht="15" customHeight="1">
      <c r="A40" s="223"/>
      <c r="B40" s="2047"/>
      <c r="C40" s="223"/>
      <c r="D40" s="248"/>
      <c r="F40" s="248"/>
      <c r="H40" s="248"/>
      <c r="J40" s="248"/>
      <c r="L40" s="248"/>
      <c r="N40" s="248"/>
      <c r="P40" s="248"/>
      <c r="R40" s="248"/>
      <c r="T40" s="248"/>
      <c r="V40" s="248"/>
      <c r="X40" s="248"/>
      <c r="Z40" s="248"/>
      <c r="AA40" s="248"/>
      <c r="AB40" s="248"/>
      <c r="AC40" s="260"/>
      <c r="AD40" s="249"/>
      <c r="AE40" s="248"/>
      <c r="AF40" s="260"/>
      <c r="AG40" s="249"/>
      <c r="AH40" s="248"/>
      <c r="AI40" s="513"/>
      <c r="AJ40" s="248"/>
      <c r="AK40" s="1823"/>
      <c r="AL40" s="229"/>
      <c r="AM40" s="1241"/>
    </row>
    <row r="41" spans="1:39" ht="15" customHeight="1">
      <c r="A41" s="223"/>
      <c r="B41" s="2033" t="s">
        <v>1371</v>
      </c>
      <c r="C41" s="223"/>
      <c r="D41" s="2255">
        <f>ROUND(SUM(D18+D29+D36+D39),1)</f>
        <v>376.6</v>
      </c>
      <c r="F41" s="2255">
        <f t="shared" ref="F41:X41" si="15">ROUND(SUM(F18+F29+F36+F39),1)</f>
        <v>293.89999999999998</v>
      </c>
      <c r="H41" s="2255">
        <f t="shared" si="15"/>
        <v>945.2</v>
      </c>
      <c r="J41" s="2255">
        <f t="shared" si="15"/>
        <v>327.2</v>
      </c>
      <c r="L41" s="2255">
        <f t="shared" ref="L41:N41" si="16">ROUND(SUM(L18+L29+L36+L39),1)</f>
        <v>345</v>
      </c>
      <c r="N41" s="2255">
        <f t="shared" si="16"/>
        <v>643.5</v>
      </c>
      <c r="P41" s="2255">
        <f t="shared" ref="P41" si="17">ROUND(SUM(P18+P29+P36+P39),1)</f>
        <v>421.7</v>
      </c>
      <c r="R41" s="2255">
        <f t="shared" si="15"/>
        <v>316.5</v>
      </c>
      <c r="T41" s="2255">
        <f>ROUND(SUM(T18+T29+T36+T39),1)</f>
        <v>666.1</v>
      </c>
      <c r="V41" s="2255">
        <f>ROUND(SUM(V18+V29+V36+V39),1)</f>
        <v>2685.7</v>
      </c>
      <c r="X41" s="2255">
        <f t="shared" si="15"/>
        <v>0</v>
      </c>
      <c r="Z41" s="270">
        <f>ROUND(SUM(Z18+Z29+Z36+Z39),1)</f>
        <v>0</v>
      </c>
      <c r="AA41" s="2926"/>
      <c r="AB41" s="270">
        <f>ROUND(SUM(AB18+AB29+AB36+AB39),1)</f>
        <v>0</v>
      </c>
      <c r="AC41" s="260"/>
      <c r="AD41" s="249"/>
      <c r="AE41" s="270">
        <f>ROUND(SUM(AE18+AE29+AE36+AE39),1)</f>
        <v>7021.4</v>
      </c>
      <c r="AF41" s="260"/>
      <c r="AG41" s="249"/>
      <c r="AH41" s="270">
        <f>ROUND(SUM(AH18+AH29+AH36+AH39),1)</f>
        <v>7274.4</v>
      </c>
      <c r="AI41" s="513"/>
      <c r="AJ41" s="248"/>
      <c r="AK41" s="270">
        <f>ROUND(SUM(AK18+AK29+AK36+AK39),1)</f>
        <v>-253</v>
      </c>
      <c r="AM41" s="523">
        <f>ROUND(SUM(+AK41/AH41),3)</f>
        <v>-3.5000000000000003E-2</v>
      </c>
    </row>
    <row r="42" spans="1:39" ht="15" customHeight="1">
      <c r="A42" s="223"/>
      <c r="B42" s="223"/>
      <c r="C42" s="223"/>
      <c r="D42" s="1299"/>
      <c r="F42" s="1299"/>
      <c r="H42" s="1299"/>
      <c r="J42" s="1299"/>
      <c r="L42" s="1299"/>
      <c r="N42" s="1299"/>
      <c r="P42" s="1299"/>
      <c r="R42" s="273"/>
      <c r="T42" s="273"/>
      <c r="V42" s="273"/>
      <c r="X42" s="273"/>
      <c r="Z42" s="516"/>
      <c r="AA42" s="516"/>
      <c r="AB42" s="516"/>
      <c r="AC42" s="260"/>
      <c r="AD42" s="249"/>
      <c r="AE42" s="260"/>
      <c r="AF42" s="260"/>
      <c r="AG42" s="249"/>
      <c r="AH42" s="514"/>
      <c r="AI42" s="517"/>
      <c r="AJ42" s="248"/>
      <c r="AK42" s="1146"/>
      <c r="AL42" s="247"/>
      <c r="AM42" s="1847"/>
    </row>
    <row r="43" spans="1:39" ht="15" customHeight="1">
      <c r="A43" s="223"/>
      <c r="B43" s="488" t="s">
        <v>1157</v>
      </c>
      <c r="C43" s="223"/>
      <c r="D43" s="1299"/>
      <c r="F43" s="1299"/>
      <c r="H43" s="1299"/>
      <c r="J43" s="1299"/>
      <c r="L43" s="1299"/>
      <c r="N43" s="1299"/>
      <c r="P43" s="1299"/>
      <c r="R43" s="273"/>
      <c r="T43" s="273"/>
      <c r="V43" s="273"/>
      <c r="X43" s="273"/>
      <c r="Z43" s="516"/>
      <c r="AA43" s="516"/>
      <c r="AB43" s="516"/>
      <c r="AC43" s="260"/>
      <c r="AD43" s="249"/>
      <c r="AE43" s="260"/>
      <c r="AF43" s="260"/>
      <c r="AG43" s="249"/>
      <c r="AH43" s="514"/>
      <c r="AI43" s="517"/>
      <c r="AJ43" s="248"/>
      <c r="AK43" s="1146"/>
      <c r="AL43" s="247"/>
      <c r="AM43" s="1847"/>
    </row>
    <row r="44" spans="1:39" ht="15" customHeight="1">
      <c r="A44" s="223"/>
      <c r="B44" s="1748" t="s">
        <v>1269</v>
      </c>
      <c r="C44" s="223"/>
      <c r="D44" s="1299"/>
      <c r="F44" s="1299"/>
      <c r="H44" s="1299"/>
      <c r="J44" s="1299"/>
      <c r="L44" s="1299"/>
      <c r="N44" s="1299"/>
      <c r="P44" s="1299"/>
      <c r="R44" s="273"/>
      <c r="T44" s="273"/>
      <c r="V44" s="273"/>
      <c r="X44" s="273"/>
      <c r="Z44" s="516"/>
      <c r="AA44" s="516"/>
      <c r="AB44" s="516"/>
      <c r="AC44" s="260"/>
      <c r="AD44" s="249"/>
      <c r="AE44" s="260"/>
      <c r="AF44" s="260"/>
      <c r="AG44" s="249"/>
      <c r="AH44" s="514"/>
      <c r="AI44" s="517"/>
      <c r="AJ44" s="248"/>
      <c r="AK44" s="1146"/>
      <c r="AL44" s="247"/>
      <c r="AM44" s="1847"/>
    </row>
    <row r="45" spans="1:39" ht="15" customHeight="1">
      <c r="A45" s="223"/>
      <c r="B45" s="1748" t="s">
        <v>1174</v>
      </c>
      <c r="C45" s="223"/>
      <c r="D45" s="1299">
        <f>'Exhibit G state'!D46+'Exhibit G Federal'!D20</f>
        <v>0.9</v>
      </c>
      <c r="E45" s="1299"/>
      <c r="F45" s="1299">
        <f>'Exhibit G state'!F46+'Exhibit G Federal'!F20</f>
        <v>-0.1</v>
      </c>
      <c r="G45" s="1299"/>
      <c r="H45" s="1299">
        <f>'Exhibit G state'!H46+'Exhibit G Federal'!H20</f>
        <v>1.8</v>
      </c>
      <c r="J45" s="1299">
        <f>'Exhibit G state'!J46+'Exhibit G Federal'!J20</f>
        <v>0.9</v>
      </c>
      <c r="L45" s="1299">
        <f>'Exhibit G state'!L46+'Exhibit G Federal'!L20</f>
        <v>0</v>
      </c>
      <c r="N45" s="1299">
        <f>'Exhibit G state'!N46+'Exhibit G Federal'!N20</f>
        <v>1.8</v>
      </c>
      <c r="P45" s="1299">
        <f>'Exhibit G state'!P46+'Exhibit G Federal'!P20</f>
        <v>0.7</v>
      </c>
      <c r="R45" s="1299">
        <f>'Exhibit G state'!R46+'Exhibit G Federal'!R20</f>
        <v>1.1000000000000001</v>
      </c>
      <c r="T45" s="1299">
        <f>'Exhibit G state'!T46+'Exhibit G Federal'!T20</f>
        <v>0.7</v>
      </c>
      <c r="V45" s="1299">
        <f>'Exhibit G state'!V46+'Exhibit G Federal'!V20</f>
        <v>0.7</v>
      </c>
      <c r="X45" s="2045"/>
      <c r="Z45" s="2045"/>
      <c r="AA45" s="2045"/>
      <c r="AB45" s="2045">
        <v>0</v>
      </c>
      <c r="AC45" s="260"/>
      <c r="AD45" s="249"/>
      <c r="AE45" s="260">
        <f>ROUND(SUM(D45:AB45),1)</f>
        <v>8.5</v>
      </c>
      <c r="AF45" s="260"/>
      <c r="AG45" s="249"/>
      <c r="AH45" s="514">
        <f>+'Exhibit G state'!AF46+'Exhibit G Federal'!AF20</f>
        <v>8.9</v>
      </c>
      <c r="AI45" s="517"/>
      <c r="AJ45" s="248"/>
      <c r="AK45" s="1146">
        <f>ROUND(SUM(+AE45-AH45),1)</f>
        <v>-0.4</v>
      </c>
      <c r="AL45" s="247"/>
      <c r="AM45" s="1780">
        <f>ROUND(IF(AH45=0,0,AK45/ABS(AH45)),3)</f>
        <v>-4.4999999999999998E-2</v>
      </c>
    </row>
    <row r="46" spans="1:39" ht="15" customHeight="1">
      <c r="A46" s="223"/>
      <c r="B46" s="1748" t="s">
        <v>1270</v>
      </c>
      <c r="C46" s="223"/>
      <c r="D46" s="1314"/>
      <c r="F46" s="1314"/>
      <c r="H46" s="1314"/>
      <c r="J46" s="1299"/>
      <c r="L46" s="1299"/>
      <c r="N46" s="1299"/>
      <c r="P46" s="1299"/>
      <c r="R46" s="1299"/>
      <c r="T46" s="1299"/>
      <c r="V46" s="1299"/>
      <c r="X46" s="2045"/>
      <c r="Z46" s="2045"/>
      <c r="AA46" s="2045"/>
      <c r="AB46" s="2045"/>
      <c r="AC46" s="260"/>
      <c r="AD46" s="249"/>
      <c r="AE46" s="260"/>
      <c r="AF46" s="260"/>
      <c r="AG46" s="249"/>
      <c r="AH46" s="514"/>
      <c r="AI46" s="517"/>
      <c r="AJ46" s="248"/>
      <c r="AK46" s="1146"/>
      <c r="AL46" s="247"/>
      <c r="AM46" s="1847"/>
    </row>
    <row r="47" spans="1:39" ht="15" customHeight="1">
      <c r="A47" s="223"/>
      <c r="B47" s="1748" t="s">
        <v>1176</v>
      </c>
      <c r="C47" s="223"/>
      <c r="D47" s="1314">
        <f>'Exhibit G state'!D48+'Exhibit G Federal'!D22</f>
        <v>32.4</v>
      </c>
      <c r="E47" s="1314"/>
      <c r="F47" s="1314">
        <f>'Exhibit G state'!F48+'Exhibit G Federal'!F22</f>
        <v>59.5</v>
      </c>
      <c r="G47" s="1314"/>
      <c r="H47" s="1314">
        <f>'Exhibit G state'!H48+'Exhibit G Federal'!H22</f>
        <v>113.39999999999999</v>
      </c>
      <c r="J47" s="1299">
        <f>'Exhibit G state'!J48+'Exhibit G Federal'!J22</f>
        <v>8.6999999999999993</v>
      </c>
      <c r="L47" s="1299">
        <f>'Exhibit G state'!L48+'Exhibit G Federal'!L22</f>
        <v>38.599999999999994</v>
      </c>
      <c r="N47" s="1299">
        <f>'Exhibit G state'!N48+'Exhibit G Federal'!N22</f>
        <v>114.1</v>
      </c>
      <c r="P47" s="1299">
        <f>'Exhibit G state'!P48+'Exhibit G Federal'!P22</f>
        <v>9.1</v>
      </c>
      <c r="R47" s="1299">
        <f>'Exhibit G state'!R48+'Exhibit G Federal'!R22</f>
        <v>37.5</v>
      </c>
      <c r="T47" s="1299">
        <f>'Exhibit G state'!T48+'Exhibit G Federal'!T22</f>
        <v>102.3</v>
      </c>
      <c r="V47" s="1299">
        <f>'Exhibit G state'!V48+'Exhibit G Federal'!V22</f>
        <v>18.200000000000003</v>
      </c>
      <c r="X47" s="2045"/>
      <c r="Z47" s="2045"/>
      <c r="AA47" s="2045"/>
      <c r="AB47" s="2045">
        <v>0</v>
      </c>
      <c r="AC47" s="260"/>
      <c r="AD47" s="249"/>
      <c r="AE47" s="260">
        <f>ROUND(SUM(D47:AB47),1)</f>
        <v>533.79999999999995</v>
      </c>
      <c r="AF47" s="260"/>
      <c r="AG47" s="249"/>
      <c r="AH47" s="514">
        <f>+'Exhibit G state'!AF48+'Exhibit G Federal'!AF22</f>
        <v>679</v>
      </c>
      <c r="AI47" s="517"/>
      <c r="AJ47" s="248"/>
      <c r="AK47" s="1146">
        <f>ROUND(SUM(+AE47-AH47),1)</f>
        <v>-145.19999999999999</v>
      </c>
      <c r="AL47" s="247"/>
      <c r="AM47" s="1780">
        <f>ROUND(IF(AH47=0,0,AK47/ABS(AH47)),3)</f>
        <v>-0.214</v>
      </c>
    </row>
    <row r="48" spans="1:39" ht="15" customHeight="1">
      <c r="A48" s="223"/>
      <c r="B48" s="1748" t="s">
        <v>1177</v>
      </c>
      <c r="C48" s="223"/>
      <c r="D48" s="1314">
        <f>'Exhibit G state'!D49+'Exhibit G Federal'!D23</f>
        <v>416.5</v>
      </c>
      <c r="E48" s="1314"/>
      <c r="F48" s="1314">
        <f>'Exhibit G state'!F49+'Exhibit G Federal'!F23</f>
        <v>479.9</v>
      </c>
      <c r="G48" s="1314"/>
      <c r="H48" s="1314">
        <f>'Exhibit G state'!H49+'Exhibit G Federal'!H23</f>
        <v>485.5</v>
      </c>
      <c r="J48" s="1299">
        <f>'Exhibit G state'!J49+'Exhibit G Federal'!J23</f>
        <v>468.7</v>
      </c>
      <c r="L48" s="1299">
        <f>'Exhibit G state'!L49+'Exhibit G Federal'!L23</f>
        <v>441.5</v>
      </c>
      <c r="N48" s="1299">
        <f>'Exhibit G state'!N49+'Exhibit G Federal'!N23</f>
        <v>449.2</v>
      </c>
      <c r="P48" s="1299">
        <f>'Exhibit G state'!P49+'Exhibit G Federal'!P23</f>
        <v>465.1</v>
      </c>
      <c r="R48" s="1299">
        <f>'Exhibit G state'!R49+'Exhibit G Federal'!R23</f>
        <v>434.9</v>
      </c>
      <c r="T48" s="1299">
        <f>'Exhibit G state'!T49+'Exhibit G Federal'!T23</f>
        <v>493.1</v>
      </c>
      <c r="V48" s="1299">
        <f>'Exhibit G state'!V49+'Exhibit G Federal'!V23</f>
        <v>458</v>
      </c>
      <c r="X48" s="2045"/>
      <c r="Z48" s="2045"/>
      <c r="AA48" s="2045"/>
      <c r="AB48" s="2045">
        <v>0</v>
      </c>
      <c r="AC48" s="260"/>
      <c r="AD48" s="249"/>
      <c r="AE48" s="260">
        <f t="shared" ref="AE48:AE50" si="18">ROUND(SUM(D48:AB48),1)</f>
        <v>4592.3999999999996</v>
      </c>
      <c r="AF48" s="260"/>
      <c r="AG48" s="249"/>
      <c r="AH48" s="514">
        <f>+'Exhibit G state'!AF49+'Exhibit G Federal'!AF23</f>
        <v>4273</v>
      </c>
      <c r="AI48" s="517"/>
      <c r="AJ48" s="248"/>
      <c r="AK48" s="1146">
        <f>ROUND(SUM(+AE48-AH48),1)</f>
        <v>319.39999999999998</v>
      </c>
      <c r="AL48" s="247"/>
      <c r="AM48" s="1780">
        <f>ROUND(IF(AH48=0,0,AK48/ABS(AH48)),3)</f>
        <v>7.4999999999999997E-2</v>
      </c>
    </row>
    <row r="49" spans="1:39" ht="15" customHeight="1">
      <c r="A49" s="223"/>
      <c r="B49" s="1748" t="s">
        <v>1178</v>
      </c>
      <c r="C49" s="223"/>
      <c r="D49" s="1314">
        <f>'Exhibit G state'!D50+'Exhibit G Federal'!D24</f>
        <v>5.7</v>
      </c>
      <c r="E49" s="1314"/>
      <c r="F49" s="1314">
        <f>'Exhibit G state'!F50+'Exhibit G Federal'!F24</f>
        <v>0.2</v>
      </c>
      <c r="G49" s="1314"/>
      <c r="H49" s="1314">
        <f>'Exhibit G state'!H50+'Exhibit G Federal'!H24</f>
        <v>-0.1</v>
      </c>
      <c r="J49" s="1299">
        <f>'Exhibit G state'!J50+'Exhibit G Federal'!J24</f>
        <v>0</v>
      </c>
      <c r="L49" s="1299">
        <f>'Exhibit G state'!L50+'Exhibit G Federal'!L24</f>
        <v>0.7</v>
      </c>
      <c r="N49" s="1299">
        <f>'Exhibit G state'!N50+'Exhibit G Federal'!N24</f>
        <v>44.4</v>
      </c>
      <c r="P49" s="1299">
        <f>'Exhibit G state'!P50+'Exhibit G Federal'!P24</f>
        <v>-0.1</v>
      </c>
      <c r="R49" s="1299">
        <f>'Exhibit G state'!R50+'Exhibit G Federal'!R24</f>
        <v>-14</v>
      </c>
      <c r="T49" s="1314">
        <f>'Exhibit G state'!T50+'Exhibit G Federal'!T24</f>
        <v>-2.2000000000000002</v>
      </c>
      <c r="V49" s="1314">
        <f>'Exhibit G state'!V50+'Exhibit G Federal'!V24</f>
        <v>-0.1</v>
      </c>
      <c r="X49" s="2045"/>
      <c r="Z49" s="2045"/>
      <c r="AA49" s="2045"/>
      <c r="AB49" s="2045">
        <v>0</v>
      </c>
      <c r="AC49" s="260"/>
      <c r="AD49" s="249"/>
      <c r="AE49" s="260">
        <f t="shared" si="18"/>
        <v>34.5</v>
      </c>
      <c r="AF49" s="260"/>
      <c r="AG49" s="249"/>
      <c r="AH49" s="514">
        <f>+'Exhibit G state'!AF50+'Exhibit G Federal'!AF24</f>
        <v>26.6</v>
      </c>
      <c r="AI49" s="517"/>
      <c r="AJ49" s="248"/>
      <c r="AK49" s="1146">
        <f>ROUND(SUM(+AE49-AH49),1)</f>
        <v>7.9</v>
      </c>
      <c r="AL49" s="247"/>
      <c r="AM49" s="1780">
        <f>ROUND(IF(AH49=0,0,AK49/ABS(AH49)),3)</f>
        <v>0.29699999999999999</v>
      </c>
    </row>
    <row r="50" spans="1:39" ht="15" customHeight="1">
      <c r="A50" s="223"/>
      <c r="B50" s="1748" t="s">
        <v>1179</v>
      </c>
      <c r="C50" s="223"/>
      <c r="D50" s="1314">
        <f>'Exhibit G state'!D51+'Exhibit G Federal'!D25</f>
        <v>20.399999999999999</v>
      </c>
      <c r="E50" s="1314"/>
      <c r="F50" s="1314">
        <f>'Exhibit G state'!F51+'Exhibit G Federal'!F25</f>
        <v>18.899999999999999</v>
      </c>
      <c r="G50" s="1314"/>
      <c r="H50" s="1314">
        <f>'Exhibit G state'!H51+'Exhibit G Federal'!H25</f>
        <v>19.3</v>
      </c>
      <c r="J50" s="1299">
        <f>'Exhibit G state'!J51+'Exhibit G Federal'!J25</f>
        <v>19.8</v>
      </c>
      <c r="L50" s="1299">
        <f>'Exhibit G state'!L51+'Exhibit G Federal'!L25</f>
        <v>19.100000000000001</v>
      </c>
      <c r="N50" s="1299">
        <f>'Exhibit G state'!N51+'Exhibit G Federal'!N25</f>
        <v>19.7</v>
      </c>
      <c r="P50" s="1299">
        <f>'Exhibit G state'!P51+'Exhibit G Federal'!P25</f>
        <v>19.100000000000001</v>
      </c>
      <c r="R50" s="1299">
        <f>'Exhibit G state'!R51+'Exhibit G Federal'!R25</f>
        <v>18.5</v>
      </c>
      <c r="T50" s="1299">
        <f>'Exhibit G state'!T51+'Exhibit G Federal'!T25</f>
        <v>10.1</v>
      </c>
      <c r="V50" s="1299">
        <f>'Exhibit G state'!V51+'Exhibit G Federal'!V25</f>
        <v>9</v>
      </c>
      <c r="X50" s="2045"/>
      <c r="Z50" s="2045"/>
      <c r="AA50" s="2045"/>
      <c r="AB50" s="2045">
        <v>0</v>
      </c>
      <c r="AC50" s="260"/>
      <c r="AD50" s="249"/>
      <c r="AE50" s="260">
        <f t="shared" si="18"/>
        <v>173.9</v>
      </c>
      <c r="AF50" s="260"/>
      <c r="AG50" s="249"/>
      <c r="AH50" s="514">
        <f>+'Exhibit G state'!AF51+'Exhibit G Federal'!AF25</f>
        <v>185.3</v>
      </c>
      <c r="AI50" s="517"/>
      <c r="AJ50" s="248"/>
      <c r="AK50" s="1146">
        <f>ROUND(SUM(+AE50-AH50),1)</f>
        <v>-11.4</v>
      </c>
      <c r="AL50" s="247"/>
      <c r="AM50" s="1780">
        <f>ROUND(IF(AH50=0,0,AK50/ABS(AH50)),3)</f>
        <v>-6.2E-2</v>
      </c>
    </row>
    <row r="51" spans="1:39" ht="15" customHeight="1">
      <c r="A51" s="223"/>
      <c r="B51" s="1748" t="s">
        <v>1274</v>
      </c>
      <c r="C51" s="223"/>
      <c r="D51" s="1314"/>
      <c r="F51" s="1314"/>
      <c r="H51" s="1314"/>
      <c r="J51" s="1299"/>
      <c r="L51" s="1299"/>
      <c r="N51" s="1299"/>
      <c r="P51" s="1299"/>
      <c r="R51" s="1299"/>
      <c r="T51" s="1299"/>
      <c r="V51" s="1299"/>
      <c r="X51" s="2045"/>
      <c r="Z51" s="2045"/>
      <c r="AA51" s="2045"/>
      <c r="AB51" s="2045"/>
      <c r="AC51" s="260"/>
      <c r="AD51" s="249"/>
      <c r="AE51" s="260"/>
      <c r="AF51" s="260"/>
      <c r="AG51" s="249"/>
      <c r="AH51" s="514"/>
      <c r="AI51" s="517"/>
      <c r="AJ51" s="248"/>
      <c r="AK51" s="1146"/>
      <c r="AL51" s="247"/>
      <c r="AM51" s="1847"/>
    </row>
    <row r="52" spans="1:39" ht="15" customHeight="1">
      <c r="A52" s="223"/>
      <c r="B52" s="1748" t="s">
        <v>1395</v>
      </c>
      <c r="C52" s="223"/>
      <c r="D52" s="1314">
        <f>'Exhibit G state'!D53</f>
        <v>0</v>
      </c>
      <c r="E52" s="1314"/>
      <c r="F52" s="1314">
        <f>'Exhibit G state'!F53</f>
        <v>0.9</v>
      </c>
      <c r="G52" s="1314"/>
      <c r="H52" s="1314">
        <f>'Exhibit G state'!H53</f>
        <v>1</v>
      </c>
      <c r="J52" s="1299">
        <f>'Exhibit G state'!J53</f>
        <v>0.1</v>
      </c>
      <c r="L52" s="1299">
        <f>'Exhibit G state'!L53</f>
        <v>0</v>
      </c>
      <c r="N52" s="1299">
        <f>'Exhibit G state'!N53</f>
        <v>0</v>
      </c>
      <c r="P52" s="1299">
        <f>'Exhibit G state'!P53</f>
        <v>0.1</v>
      </c>
      <c r="R52" s="1299">
        <f>'Exhibit G state'!R53</f>
        <v>0.1</v>
      </c>
      <c r="T52" s="1299">
        <f>'Exhibit G state'!T53</f>
        <v>0</v>
      </c>
      <c r="V52" s="1299">
        <f>'Exhibit G state'!V53</f>
        <v>0</v>
      </c>
      <c r="X52" s="2045"/>
      <c r="Z52" s="2045"/>
      <c r="AA52" s="2045"/>
      <c r="AB52" s="2045">
        <v>0</v>
      </c>
      <c r="AC52" s="260"/>
      <c r="AD52" s="249"/>
      <c r="AE52" s="260">
        <f>ROUND(SUM(D52:AB52),1)</f>
        <v>2.2000000000000002</v>
      </c>
      <c r="AF52" s="260"/>
      <c r="AG52" s="249"/>
      <c r="AH52" s="514">
        <f>+'Exhibit G state'!AF53</f>
        <v>2.1</v>
      </c>
      <c r="AI52" s="517"/>
      <c r="AJ52" s="248"/>
      <c r="AK52" s="2925">
        <f>ROUND(SUM(+AE52-AH52),1)</f>
        <v>0.1</v>
      </c>
      <c r="AL52" s="247"/>
      <c r="AM52" s="2679">
        <f>ROUND(IF(AH52=0,1,AK52/ABS(AH52)),3)</f>
        <v>4.8000000000000001E-2</v>
      </c>
    </row>
    <row r="53" spans="1:39" ht="15" customHeight="1">
      <c r="A53" s="223"/>
      <c r="B53" s="1748" t="s">
        <v>1180</v>
      </c>
      <c r="C53" s="223"/>
      <c r="D53" s="1314">
        <f>'Exhibit G state'!D54+'Exhibit G Federal'!D27</f>
        <v>47.7</v>
      </c>
      <c r="E53" s="1314"/>
      <c r="F53" s="1314">
        <f>'Exhibit G state'!F54+'Exhibit G Federal'!F27</f>
        <v>39</v>
      </c>
      <c r="G53" s="1314"/>
      <c r="H53" s="1314">
        <f>'Exhibit G state'!H54+'Exhibit G Federal'!H27</f>
        <v>71.400000000000006</v>
      </c>
      <c r="J53" s="1314">
        <f>'Exhibit G state'!J54+'Exhibit G Federal'!J27</f>
        <v>34.6</v>
      </c>
      <c r="L53" s="1314">
        <f>'Exhibit G state'!L54+'Exhibit G Federal'!L27</f>
        <v>58.2</v>
      </c>
      <c r="N53" s="1314">
        <f>'Exhibit G state'!N54+'Exhibit G Federal'!N27</f>
        <v>69.8</v>
      </c>
      <c r="P53" s="1314">
        <f>'Exhibit G state'!P54+'Exhibit G Federal'!P27</f>
        <v>52.8</v>
      </c>
      <c r="R53" s="1314">
        <f>'Exhibit G state'!R54+'Exhibit G Federal'!R27</f>
        <v>62.6</v>
      </c>
      <c r="T53" s="1299">
        <f>'Exhibit G state'!T54+'Exhibit G Federal'!T27</f>
        <v>75.099999999999994</v>
      </c>
      <c r="V53" s="1299">
        <f>'Exhibit G state'!V54+'Exhibit G Federal'!V27</f>
        <v>42.3</v>
      </c>
      <c r="X53" s="2045"/>
      <c r="Z53" s="2045"/>
      <c r="AA53" s="2045"/>
      <c r="AB53" s="2045">
        <v>0</v>
      </c>
      <c r="AC53" s="260"/>
      <c r="AD53" s="249"/>
      <c r="AE53" s="260">
        <f t="shared" ref="AE53:AE58" si="19">ROUND(SUM(D53:AB53),1)</f>
        <v>553.5</v>
      </c>
      <c r="AF53" s="260"/>
      <c r="AG53" s="249"/>
      <c r="AH53" s="514">
        <f>+'Exhibit G state'!AF54+'Exhibit G Federal'!AF27</f>
        <v>889.9</v>
      </c>
      <c r="AI53" s="517"/>
      <c r="AJ53" s="248"/>
      <c r="AK53" s="1146">
        <f t="shared" ref="AK53:AK58" si="20">ROUND(SUM(+AE53-AH53),1)</f>
        <v>-336.4</v>
      </c>
      <c r="AL53" s="247"/>
      <c r="AM53" s="1780">
        <f t="shared" ref="AM53:AM58" si="21">ROUND(IF(AH53=0,0,AK53/ABS(AH53)),3)</f>
        <v>-0.378</v>
      </c>
    </row>
    <row r="54" spans="1:39" ht="15" customHeight="1">
      <c r="A54" s="223"/>
      <c r="B54" s="1748" t="s">
        <v>1181</v>
      </c>
      <c r="C54" s="223"/>
      <c r="D54" s="1314">
        <f>'Exhibit G state'!D55+'Exhibit G Federal'!D28</f>
        <v>5.4</v>
      </c>
      <c r="E54" s="1314"/>
      <c r="F54" s="1314">
        <f>'Exhibit G state'!F55+'Exhibit G Federal'!F28</f>
        <v>4.2</v>
      </c>
      <c r="G54" s="1314"/>
      <c r="H54" s="1314">
        <f>'Exhibit G state'!H55+'Exhibit G Federal'!H28</f>
        <v>4.5</v>
      </c>
      <c r="J54" s="1314">
        <f>'Exhibit G state'!J55+'Exhibit G Federal'!J28</f>
        <v>4.5</v>
      </c>
      <c r="L54" s="1314">
        <f>'Exhibit G state'!L55+'Exhibit G Federal'!L28</f>
        <v>4.8</v>
      </c>
      <c r="N54" s="1314">
        <f>'Exhibit G state'!N55+'Exhibit G Federal'!N28</f>
        <v>4.7</v>
      </c>
      <c r="P54" s="1314">
        <f>'Exhibit G state'!P55+'Exhibit G Federal'!P28</f>
        <v>5.6</v>
      </c>
      <c r="R54" s="1314">
        <f>'Exhibit G state'!R55+'Exhibit G Federal'!R28</f>
        <v>4.8</v>
      </c>
      <c r="T54" s="1299">
        <f>'Exhibit G state'!T55+'Exhibit G Federal'!T28</f>
        <v>5.2</v>
      </c>
      <c r="V54" s="1299">
        <f>'Exhibit G state'!V55+'Exhibit G Federal'!V28</f>
        <v>4.4000000000000004</v>
      </c>
      <c r="X54" s="2045"/>
      <c r="Z54" s="2045"/>
      <c r="AA54" s="2045"/>
      <c r="AB54" s="2045">
        <v>0</v>
      </c>
      <c r="AC54" s="260"/>
      <c r="AD54" s="249"/>
      <c r="AE54" s="260">
        <f t="shared" si="19"/>
        <v>48.1</v>
      </c>
      <c r="AF54" s="260"/>
      <c r="AG54" s="249"/>
      <c r="AH54" s="514">
        <f>+'Exhibit G state'!AF55+'Exhibit G Federal'!AF28</f>
        <v>46</v>
      </c>
      <c r="AI54" s="517"/>
      <c r="AJ54" s="248"/>
      <c r="AK54" s="1146">
        <f t="shared" si="20"/>
        <v>2.1</v>
      </c>
      <c r="AL54" s="247"/>
      <c r="AM54" s="1780">
        <f t="shared" si="21"/>
        <v>4.5999999999999999E-2</v>
      </c>
    </row>
    <row r="55" spans="1:39" ht="15" customHeight="1">
      <c r="A55" s="223"/>
      <c r="B55" s="1748" t="s">
        <v>1182</v>
      </c>
      <c r="C55" s="223"/>
      <c r="D55" s="1314">
        <f>'Exhibit G state'!D56+'Exhibit G Federal'!D29</f>
        <v>0</v>
      </c>
      <c r="E55" s="1314"/>
      <c r="F55" s="1314">
        <f>'Exhibit G state'!F56+'Exhibit G Federal'!F29</f>
        <v>2</v>
      </c>
      <c r="G55" s="1314"/>
      <c r="H55" s="1314">
        <f>'Exhibit G state'!H56+'Exhibit G Federal'!H29</f>
        <v>0.3</v>
      </c>
      <c r="J55" s="1314">
        <f>'Exhibit G state'!J56+'Exhibit G Federal'!J29</f>
        <v>0.3</v>
      </c>
      <c r="L55" s="1314">
        <f>'Exhibit G state'!L56+'Exhibit G Federal'!L29</f>
        <v>1.8</v>
      </c>
      <c r="N55" s="1314">
        <f>'Exhibit G state'!N56+'Exhibit G Federal'!N29</f>
        <v>0</v>
      </c>
      <c r="P55" s="1314">
        <f>'Exhibit G state'!P56+'Exhibit G Federal'!P29</f>
        <v>0.6</v>
      </c>
      <c r="R55" s="1314">
        <f>'Exhibit G state'!R56+'Exhibit G Federal'!R29</f>
        <v>0.3</v>
      </c>
      <c r="T55" s="1299">
        <f>'Exhibit G state'!T56+'Exhibit G Federal'!T29</f>
        <v>1.3</v>
      </c>
      <c r="V55" s="1299">
        <f>'Exhibit G state'!V56+'Exhibit G Federal'!V29</f>
        <v>0.3</v>
      </c>
      <c r="X55" s="2045"/>
      <c r="Z55" s="2045"/>
      <c r="AA55" s="2045"/>
      <c r="AB55" s="2045">
        <v>0</v>
      </c>
      <c r="AC55" s="260"/>
      <c r="AD55" s="249"/>
      <c r="AE55" s="260">
        <f t="shared" si="19"/>
        <v>6.9</v>
      </c>
      <c r="AF55" s="260"/>
      <c r="AG55" s="249"/>
      <c r="AH55" s="514">
        <f>+'Exhibit G state'!AF56+'Exhibit G Federal'!AF29</f>
        <v>7.2</v>
      </c>
      <c r="AI55" s="517"/>
      <c r="AJ55" s="248"/>
      <c r="AK55" s="1146">
        <f t="shared" si="20"/>
        <v>-0.3</v>
      </c>
      <c r="AL55" s="247"/>
      <c r="AM55" s="1780">
        <f t="shared" si="21"/>
        <v>-4.2000000000000003E-2</v>
      </c>
    </row>
    <row r="56" spans="1:39" ht="15" customHeight="1">
      <c r="A56" s="223"/>
      <c r="B56" s="1748" t="s">
        <v>1183</v>
      </c>
      <c r="C56" s="223"/>
      <c r="D56" s="1314">
        <f>'Exhibit G state'!D57+'Exhibit G Federal'!D30</f>
        <v>39.9</v>
      </c>
      <c r="E56" s="1314"/>
      <c r="F56" s="1314">
        <f>'Exhibit G state'!F57+'Exhibit G Federal'!F30</f>
        <v>42.1</v>
      </c>
      <c r="G56" s="1314"/>
      <c r="H56" s="1314">
        <f>'Exhibit G state'!H57+'Exhibit G Federal'!H30</f>
        <v>42.6</v>
      </c>
      <c r="J56" s="1314">
        <f>'Exhibit G state'!J57+'Exhibit G Federal'!J30</f>
        <v>46.6</v>
      </c>
      <c r="L56" s="1314">
        <f>'Exhibit G state'!L57+'Exhibit G Federal'!L30</f>
        <v>36.6</v>
      </c>
      <c r="N56" s="1314">
        <f>'Exhibit G state'!N57+'Exhibit G Federal'!N30</f>
        <v>41.6</v>
      </c>
      <c r="P56" s="1314">
        <f>'Exhibit G state'!P57+'Exhibit G Federal'!P30</f>
        <v>39.200000000000003</v>
      </c>
      <c r="R56" s="1314">
        <f>'Exhibit G state'!R57+'Exhibit G Federal'!R30</f>
        <v>37.4</v>
      </c>
      <c r="T56" s="1299">
        <f>'Exhibit G state'!T57+'Exhibit G Federal'!T30</f>
        <v>44.1</v>
      </c>
      <c r="V56" s="1299">
        <f>'Exhibit G state'!V57+'Exhibit G Federal'!V30</f>
        <v>30.4</v>
      </c>
      <c r="X56" s="2045"/>
      <c r="Z56" s="2045"/>
      <c r="AA56" s="2045"/>
      <c r="AB56" s="2045">
        <v>0</v>
      </c>
      <c r="AC56" s="260"/>
      <c r="AD56" s="249"/>
      <c r="AE56" s="260">
        <f t="shared" si="19"/>
        <v>400.5</v>
      </c>
      <c r="AF56" s="260"/>
      <c r="AG56" s="249"/>
      <c r="AH56" s="514">
        <f>+'Exhibit G state'!AF57+'Exhibit G Federal'!AF30</f>
        <v>406</v>
      </c>
      <c r="AI56" s="517"/>
      <c r="AJ56" s="248"/>
      <c r="AK56" s="1146">
        <f t="shared" si="20"/>
        <v>-5.5</v>
      </c>
      <c r="AL56" s="247"/>
      <c r="AM56" s="1780">
        <f t="shared" si="21"/>
        <v>-1.4E-2</v>
      </c>
    </row>
    <row r="57" spans="1:39" ht="15" customHeight="1">
      <c r="A57" s="223"/>
      <c r="B57" s="1748" t="s">
        <v>1184</v>
      </c>
      <c r="C57" s="223"/>
      <c r="D57" s="1314">
        <f>'Exhibit G state'!D58+'Exhibit G Federal'!D31</f>
        <v>39.200000000000003</v>
      </c>
      <c r="E57" s="1314"/>
      <c r="F57" s="1314">
        <f>'Exhibit G state'!F58+'Exhibit G Federal'!F31</f>
        <v>39.6</v>
      </c>
      <c r="G57" s="1314"/>
      <c r="H57" s="1314">
        <f>'Exhibit G state'!H58+'Exhibit G Federal'!H31</f>
        <v>47.3</v>
      </c>
      <c r="J57" s="1314">
        <f>'Exhibit G state'!J58+'Exhibit G Federal'!J31</f>
        <v>38.799999999999997</v>
      </c>
      <c r="L57" s="1314">
        <f>'Exhibit G state'!L58+'Exhibit G Federal'!L31</f>
        <v>69</v>
      </c>
      <c r="N57" s="1314">
        <f>'Exhibit G state'!N58+'Exhibit G Federal'!N31</f>
        <v>96</v>
      </c>
      <c r="P57" s="1314">
        <f>'Exhibit G state'!P58+'Exhibit G Federal'!P31</f>
        <v>65.7</v>
      </c>
      <c r="R57" s="1314">
        <f>'Exhibit G state'!R58+'Exhibit G Federal'!R31</f>
        <v>65.7</v>
      </c>
      <c r="T57" s="1299">
        <f>'Exhibit G state'!T58+'Exhibit G Federal'!T31</f>
        <v>59.2</v>
      </c>
      <c r="V57" s="1299">
        <f>'Exhibit G state'!V58+'Exhibit G Federal'!V31</f>
        <v>63.1</v>
      </c>
      <c r="X57" s="2045"/>
      <c r="Z57" s="2045"/>
      <c r="AA57" s="2045"/>
      <c r="AB57" s="2045">
        <v>0</v>
      </c>
      <c r="AC57" s="260"/>
      <c r="AD57" s="249"/>
      <c r="AE57" s="260">
        <f t="shared" si="19"/>
        <v>583.6</v>
      </c>
      <c r="AF57" s="260"/>
      <c r="AG57" s="249"/>
      <c r="AH57" s="514">
        <f>+'Exhibit G state'!AF58+'Exhibit G Federal'!AF31</f>
        <v>213</v>
      </c>
      <c r="AI57" s="517"/>
      <c r="AJ57" s="248"/>
      <c r="AK57" s="1146">
        <f t="shared" si="20"/>
        <v>370.6</v>
      </c>
      <c r="AL57" s="247"/>
      <c r="AM57" s="1780">
        <f t="shared" si="21"/>
        <v>1.74</v>
      </c>
    </row>
    <row r="58" spans="1:39" ht="15" customHeight="1">
      <c r="A58" s="223"/>
      <c r="B58" s="1748" t="s">
        <v>1158</v>
      </c>
      <c r="C58" s="223"/>
      <c r="D58" s="1314">
        <f>'Exhibit G state'!D59+'Exhibit G Federal'!D32</f>
        <v>5.1000000000000005</v>
      </c>
      <c r="E58" s="1314"/>
      <c r="F58" s="1314">
        <f>'Exhibit G state'!F59+'Exhibit G Federal'!F32</f>
        <v>25</v>
      </c>
      <c r="G58" s="1314"/>
      <c r="H58" s="1314">
        <f>'Exhibit G state'!H59+'Exhibit G Federal'!H32</f>
        <v>11.1</v>
      </c>
      <c r="J58" s="1314">
        <f>'Exhibit G state'!J59+'Exhibit G Federal'!J32</f>
        <v>12.399999999999999</v>
      </c>
      <c r="L58" s="1314">
        <f>'Exhibit G state'!L59+'Exhibit G Federal'!L32</f>
        <v>15.799999999999999</v>
      </c>
      <c r="N58" s="1314">
        <f>'Exhibit G state'!N59+'Exhibit G Federal'!N32</f>
        <v>5.4</v>
      </c>
      <c r="P58" s="1314">
        <f>'Exhibit G state'!P59+'Exhibit G Federal'!P32</f>
        <v>14.5</v>
      </c>
      <c r="R58" s="1314">
        <f>'Exhibit G state'!R59+'Exhibit G Federal'!R32</f>
        <v>12.4</v>
      </c>
      <c r="T58" s="1299">
        <f>'Exhibit G state'!T59+'Exhibit G Federal'!T32</f>
        <v>9.6999999999999993</v>
      </c>
      <c r="V58" s="1299">
        <f>'Exhibit G state'!V59+'Exhibit G Federal'!V32</f>
        <v>8.5</v>
      </c>
      <c r="X58" s="2045"/>
      <c r="Z58" s="2045"/>
      <c r="AA58" s="2045"/>
      <c r="AB58" s="2045">
        <v>0</v>
      </c>
      <c r="AC58" s="260"/>
      <c r="AD58" s="249"/>
      <c r="AE58" s="260">
        <f t="shared" si="19"/>
        <v>119.9</v>
      </c>
      <c r="AF58" s="260"/>
      <c r="AG58" s="249"/>
      <c r="AH58" s="514">
        <f>+'Exhibit G state'!AF59+'Exhibit G Federal'!AF32</f>
        <v>437.7</v>
      </c>
      <c r="AI58" s="517"/>
      <c r="AJ58" s="248"/>
      <c r="AK58" s="1146">
        <f t="shared" si="20"/>
        <v>-317.8</v>
      </c>
      <c r="AL58" s="247"/>
      <c r="AM58" s="2734">
        <f t="shared" si="21"/>
        <v>-0.72599999999999998</v>
      </c>
    </row>
    <row r="59" spans="1:39" ht="15" customHeight="1">
      <c r="A59" s="223"/>
      <c r="B59" s="1748" t="s">
        <v>1271</v>
      </c>
      <c r="C59" s="223"/>
      <c r="D59" s="1314"/>
      <c r="F59" s="1314"/>
      <c r="H59" s="1314"/>
      <c r="J59" s="1299"/>
      <c r="L59" s="1299"/>
      <c r="N59" s="1299"/>
      <c r="P59" s="1299"/>
      <c r="R59" s="1299"/>
      <c r="T59" s="1299"/>
      <c r="V59" s="1299"/>
      <c r="X59" s="2045"/>
      <c r="Z59" s="2045"/>
      <c r="AA59" s="2045"/>
      <c r="AB59" s="2045"/>
      <c r="AC59" s="260"/>
      <c r="AD59" s="249"/>
      <c r="AE59" s="1146"/>
      <c r="AF59" s="260"/>
      <c r="AG59" s="249"/>
      <c r="AH59" s="514"/>
      <c r="AI59" s="517"/>
      <c r="AJ59" s="248"/>
      <c r="AK59" s="1146"/>
      <c r="AL59" s="247"/>
      <c r="AM59" s="1847"/>
    </row>
    <row r="60" spans="1:39" ht="15" customHeight="1">
      <c r="A60" s="223"/>
      <c r="B60" s="1748" t="s">
        <v>1185</v>
      </c>
      <c r="C60" s="223"/>
      <c r="D60" s="1314">
        <f>'Exhibit G state'!D61</f>
        <v>15.3</v>
      </c>
      <c r="E60" s="1314"/>
      <c r="F60" s="1314">
        <f>'Exhibit G state'!F61</f>
        <v>0</v>
      </c>
      <c r="G60" s="1314"/>
      <c r="H60" s="1314">
        <f>'Exhibit G state'!H61</f>
        <v>34.4</v>
      </c>
      <c r="J60" s="1314">
        <f>'Exhibit G state'!J61</f>
        <v>15.6</v>
      </c>
      <c r="L60" s="1314">
        <f>'Exhibit G state'!L61</f>
        <v>0</v>
      </c>
      <c r="N60" s="1314">
        <f>'Exhibit G state'!N61</f>
        <v>37</v>
      </c>
      <c r="P60" s="1314">
        <f>'Exhibit G state'!P61</f>
        <v>16.3</v>
      </c>
      <c r="R60" s="1314">
        <f>'Exhibit G state'!R61</f>
        <v>0</v>
      </c>
      <c r="T60" s="1299">
        <f>'Exhibit G state'!T61</f>
        <v>39.700000000000003</v>
      </c>
      <c r="V60" s="1299">
        <f>'Exhibit G state'!V61</f>
        <v>16</v>
      </c>
      <c r="X60" s="2045"/>
      <c r="Z60" s="2045"/>
      <c r="AA60" s="2045"/>
      <c r="AB60" s="2045">
        <v>0</v>
      </c>
      <c r="AC60" s="260"/>
      <c r="AD60" s="249"/>
      <c r="AE60" s="1146">
        <f>ROUND(SUM(D60:AB60),1)</f>
        <v>174.3</v>
      </c>
      <c r="AF60" s="260"/>
      <c r="AG60" s="249"/>
      <c r="AH60" s="514">
        <f>+'Exhibit G state'!AF61</f>
        <v>203.6</v>
      </c>
      <c r="AI60" s="517"/>
      <c r="AJ60" s="248"/>
      <c r="AK60" s="1146">
        <f>ROUND(SUM(+AE60-AH60),1)</f>
        <v>-29.3</v>
      </c>
      <c r="AL60" s="247"/>
      <c r="AM60" s="2734">
        <f>ROUND(IF(AH60=0,0,AK60/ABS(AH60)),3)</f>
        <v>-0.14399999999999999</v>
      </c>
    </row>
    <row r="61" spans="1:39" ht="15" customHeight="1">
      <c r="A61" s="223"/>
      <c r="B61" s="1748" t="s">
        <v>1186</v>
      </c>
      <c r="C61" s="223"/>
      <c r="D61" s="1314">
        <f>'Exhibit G state'!D62</f>
        <v>188.8</v>
      </c>
      <c r="E61" s="1314"/>
      <c r="F61" s="1314">
        <f>'Exhibit G state'!F62</f>
        <v>202.5</v>
      </c>
      <c r="G61" s="1314"/>
      <c r="H61" s="1314">
        <f>'Exhibit G state'!H62</f>
        <v>244.8</v>
      </c>
      <c r="J61" s="1314">
        <f>'Exhibit G state'!J62</f>
        <v>200.9</v>
      </c>
      <c r="L61" s="1314">
        <f>'Exhibit G state'!L62</f>
        <v>228</v>
      </c>
      <c r="N61" s="1314">
        <f>'Exhibit G state'!N62</f>
        <v>175.1</v>
      </c>
      <c r="P61" s="1314">
        <f>'Exhibit G state'!P62</f>
        <v>174.8</v>
      </c>
      <c r="R61" s="1314">
        <f>'Exhibit G state'!R62</f>
        <v>217.8</v>
      </c>
      <c r="T61" s="1299">
        <f>'Exhibit G state'!T62</f>
        <v>183</v>
      </c>
      <c r="V61" s="1299">
        <f>'Exhibit G state'!V62</f>
        <v>181.6</v>
      </c>
      <c r="X61" s="2045"/>
      <c r="Z61" s="2045"/>
      <c r="AA61" s="2045"/>
      <c r="AB61" s="2045">
        <v>0</v>
      </c>
      <c r="AC61" s="260"/>
      <c r="AD61" s="249"/>
      <c r="AE61" s="2925">
        <f t="shared" ref="AE61:AE63" si="22">ROUND(SUM(D61:AB61),1)</f>
        <v>1997.3</v>
      </c>
      <c r="AF61" s="260"/>
      <c r="AG61" s="249"/>
      <c r="AH61" s="514">
        <f>+'Exhibit G state'!AF62</f>
        <v>2100.9</v>
      </c>
      <c r="AI61" s="517"/>
      <c r="AJ61" s="248"/>
      <c r="AK61" s="1146">
        <f>ROUND(SUM(+AE61-AH61),1)</f>
        <v>-103.6</v>
      </c>
      <c r="AL61" s="247"/>
      <c r="AM61" s="1780">
        <f>ROUND(IF(AH61=0,0,AK61/ABS(AH61)),3)</f>
        <v>-4.9000000000000002E-2</v>
      </c>
    </row>
    <row r="62" spans="1:39" ht="15" customHeight="1">
      <c r="A62" s="223"/>
      <c r="B62" s="1748" t="s">
        <v>1187</v>
      </c>
      <c r="C62" s="223"/>
      <c r="D62" s="1314">
        <f>'Exhibit G state'!D63</f>
        <v>78.400000000000006</v>
      </c>
      <c r="E62" s="1314"/>
      <c r="F62" s="1314">
        <f>'Exhibit G state'!F63</f>
        <v>77.400000000000006</v>
      </c>
      <c r="G62" s="1314"/>
      <c r="H62" s="1314">
        <f>'Exhibit G state'!H63</f>
        <v>90.8</v>
      </c>
      <c r="J62" s="1314">
        <f>'Exhibit G state'!J63</f>
        <v>76.599999999999994</v>
      </c>
      <c r="L62" s="1314">
        <f>'Exhibit G state'!L63</f>
        <v>93.1</v>
      </c>
      <c r="N62" s="1314">
        <f>'Exhibit G state'!N63</f>
        <v>74.099999999999994</v>
      </c>
      <c r="P62" s="1314">
        <f>'Exhibit G state'!P63</f>
        <v>71.8</v>
      </c>
      <c r="R62" s="1314">
        <f>'Exhibit G state'!R63</f>
        <v>87.7</v>
      </c>
      <c r="T62" s="1299">
        <f>'Exhibit G state'!T63</f>
        <v>62.9</v>
      </c>
      <c r="V62" s="1299">
        <f>'Exhibit G state'!V63</f>
        <v>75.3</v>
      </c>
      <c r="X62" s="2045"/>
      <c r="Z62" s="2045"/>
      <c r="AA62" s="2045"/>
      <c r="AB62" s="2045">
        <v>0</v>
      </c>
      <c r="AC62" s="260"/>
      <c r="AD62" s="249"/>
      <c r="AE62" s="2925">
        <f t="shared" si="22"/>
        <v>788.1</v>
      </c>
      <c r="AF62" s="260"/>
      <c r="AG62" s="249"/>
      <c r="AH62" s="514">
        <f>+'Exhibit G state'!AF63</f>
        <v>791.3</v>
      </c>
      <c r="AI62" s="517"/>
      <c r="AJ62" s="248"/>
      <c r="AK62" s="1146">
        <f>ROUND(SUM(+AE62-AH62),1)</f>
        <v>-3.2</v>
      </c>
      <c r="AL62" s="247"/>
      <c r="AM62" s="1780">
        <f>ROUND(IF(AH62=0,0,AK62/ABS(AH62)),3)</f>
        <v>-4.0000000000000001E-3</v>
      </c>
    </row>
    <row r="63" spans="1:39" ht="15" customHeight="1">
      <c r="A63" s="223"/>
      <c r="B63" s="1748" t="s">
        <v>1159</v>
      </c>
      <c r="C63" s="223"/>
      <c r="D63" s="1314">
        <f>'Exhibit G state'!D64+'Exhibit G Federal'!D33</f>
        <v>2.8000000000000003</v>
      </c>
      <c r="E63" s="1314"/>
      <c r="F63" s="1314">
        <f>'Exhibit G state'!F64+'Exhibit G Federal'!F33</f>
        <v>5.2</v>
      </c>
      <c r="G63" s="1314"/>
      <c r="H63" s="1314">
        <f>'Exhibit G state'!H64+'Exhibit G Federal'!H33</f>
        <v>3.9000000000000004</v>
      </c>
      <c r="J63" s="1314">
        <f>'Exhibit G state'!J64+'Exhibit G Federal'!J33</f>
        <v>4.3999999999999995</v>
      </c>
      <c r="L63" s="1314">
        <f>'Exhibit G state'!L64+'Exhibit G Federal'!L33</f>
        <v>5.0999999999999996</v>
      </c>
      <c r="N63" s="1314">
        <f>'Exhibit G state'!N64+'Exhibit G Federal'!N33</f>
        <v>4.2</v>
      </c>
      <c r="P63" s="1314">
        <f>'Exhibit G state'!P64+'Exhibit G Federal'!P33</f>
        <v>4.2</v>
      </c>
      <c r="R63" s="1314">
        <f>'Exhibit G state'!R64+'Exhibit G Federal'!R33</f>
        <v>4.9000000000000004</v>
      </c>
      <c r="T63" s="1299">
        <f>'Exhibit G state'!T64+'Exhibit G Federal'!T33</f>
        <v>4.3</v>
      </c>
      <c r="V63" s="1299">
        <f>'Exhibit G state'!V64+'Exhibit G Federal'!V33</f>
        <v>5.4</v>
      </c>
      <c r="X63" s="2045"/>
      <c r="Z63" s="2045"/>
      <c r="AA63" s="2045"/>
      <c r="AB63" s="2045">
        <v>0</v>
      </c>
      <c r="AC63" s="260"/>
      <c r="AD63" s="249"/>
      <c r="AE63" s="2925">
        <f t="shared" si="22"/>
        <v>44.4</v>
      </c>
      <c r="AF63" s="260"/>
      <c r="AG63" s="249"/>
      <c r="AH63" s="514">
        <f>+'Exhibit G state'!AF64+'Exhibit G Federal'!AF33</f>
        <v>30.5</v>
      </c>
      <c r="AI63" s="517"/>
      <c r="AJ63" s="248"/>
      <c r="AK63" s="1146">
        <f>ROUND(SUM(+AE63-AH63),1)</f>
        <v>13.9</v>
      </c>
      <c r="AL63" s="247"/>
      <c r="AM63" s="1780">
        <f>ROUND(IF(AH63=0,0,AK63/ABS(AH63)),3)</f>
        <v>0.45600000000000002</v>
      </c>
    </row>
    <row r="64" spans="1:39" ht="15" customHeight="1">
      <c r="A64" s="223"/>
      <c r="B64" s="1748" t="s">
        <v>1272</v>
      </c>
      <c r="C64" s="223"/>
      <c r="D64" s="1314"/>
      <c r="F64" s="1314"/>
      <c r="H64" s="1314"/>
      <c r="J64" s="1299"/>
      <c r="L64" s="1299"/>
      <c r="N64" s="1299"/>
      <c r="P64" s="1299"/>
      <c r="R64" s="1299"/>
      <c r="T64" s="1299"/>
      <c r="V64" s="1299"/>
      <c r="X64" s="2045"/>
      <c r="Z64" s="2045"/>
      <c r="AA64" s="2045"/>
      <c r="AB64" s="2045"/>
      <c r="AC64" s="260"/>
      <c r="AD64" s="249"/>
      <c r="AE64" s="1146"/>
      <c r="AF64" s="260"/>
      <c r="AG64" s="249"/>
      <c r="AH64" s="514"/>
      <c r="AI64" s="517"/>
      <c r="AJ64" s="248"/>
      <c r="AK64" s="1146"/>
      <c r="AL64" s="247"/>
      <c r="AM64" s="1847"/>
    </row>
    <row r="65" spans="1:39" ht="15" customHeight="1">
      <c r="A65" s="223"/>
      <c r="B65" s="1748" t="s">
        <v>1188</v>
      </c>
      <c r="C65" s="223"/>
      <c r="D65" s="1314">
        <f>'Exhibit G state'!D66+'Exhibit G Federal'!D35</f>
        <v>0</v>
      </c>
      <c r="E65" s="1314"/>
      <c r="F65" s="1314">
        <f>'Exhibit G state'!F66+'Exhibit G Federal'!F35</f>
        <v>0</v>
      </c>
      <c r="G65" s="1314"/>
      <c r="H65" s="1314">
        <f>'Exhibit G state'!H66+'Exhibit G Federal'!H35</f>
        <v>0</v>
      </c>
      <c r="J65" s="1314">
        <f>'Exhibit G state'!J66+'Exhibit G Federal'!J35</f>
        <v>0</v>
      </c>
      <c r="L65" s="1314">
        <f>'Exhibit G state'!L66+'Exhibit G Federal'!L35</f>
        <v>0</v>
      </c>
      <c r="N65" s="1314">
        <f>'Exhibit G state'!N66+'Exhibit G Federal'!N35</f>
        <v>0</v>
      </c>
      <c r="P65" s="1314">
        <f>'Exhibit G state'!P66+'Exhibit G Federal'!P35</f>
        <v>0</v>
      </c>
      <c r="R65" s="1314">
        <f>'Exhibit G state'!R66+'Exhibit G Federal'!R35</f>
        <v>0</v>
      </c>
      <c r="T65" s="1299">
        <f>'Exhibit G state'!T66+'Exhibit G Federal'!T35</f>
        <v>0</v>
      </c>
      <c r="V65" s="1299">
        <f>'Exhibit G state'!V66+'Exhibit G Federal'!V35</f>
        <v>0</v>
      </c>
      <c r="X65" s="2045"/>
      <c r="Z65" s="2045"/>
      <c r="AA65" s="2045"/>
      <c r="AB65" s="2045">
        <v>0</v>
      </c>
      <c r="AC65" s="260"/>
      <c r="AD65" s="249"/>
      <c r="AE65" s="1146">
        <f>ROUND(SUM(D65:AB65),1)</f>
        <v>0</v>
      </c>
      <c r="AF65" s="260"/>
      <c r="AG65" s="249"/>
      <c r="AH65" s="514">
        <f>+'Exhibit G state'!AF66+'Exhibit G Federal'!AF35</f>
        <v>0</v>
      </c>
      <c r="AI65" s="517"/>
      <c r="AJ65" s="248"/>
      <c r="AK65" s="1146">
        <f t="shared" ref="AK65:AK70" si="23">ROUND(SUM(+AE65-AH65),1)</f>
        <v>0</v>
      </c>
      <c r="AL65" s="247"/>
      <c r="AM65" s="2679">
        <f>ROUND(IF(AH65=0,0,AK65/ABS(AH65)),3)</f>
        <v>0</v>
      </c>
    </row>
    <row r="66" spans="1:39" ht="15" customHeight="1">
      <c r="A66" s="223"/>
      <c r="B66" s="1748" t="s">
        <v>1189</v>
      </c>
      <c r="C66" s="223"/>
      <c r="D66" s="1314">
        <f>'Exhibit G state'!D67+'Exhibit G Federal'!D36</f>
        <v>0</v>
      </c>
      <c r="E66" s="1314"/>
      <c r="F66" s="1314">
        <f>'Exhibit G state'!F67+'Exhibit G Federal'!F36</f>
        <v>0</v>
      </c>
      <c r="G66" s="1314"/>
      <c r="H66" s="1314">
        <f>'Exhibit G state'!H67+'Exhibit G Federal'!H36</f>
        <v>22.6</v>
      </c>
      <c r="J66" s="1314">
        <f>'Exhibit G state'!J67+'Exhibit G Federal'!J36</f>
        <v>-2.2000000000000002</v>
      </c>
      <c r="L66" s="1314">
        <f>'Exhibit G state'!L67+'Exhibit G Federal'!L36</f>
        <v>0</v>
      </c>
      <c r="N66" s="1314">
        <f>'Exhibit G state'!N67+'Exhibit G Federal'!N36</f>
        <v>0</v>
      </c>
      <c r="P66" s="1314">
        <f>'Exhibit G state'!P67+'Exhibit G Federal'!P36</f>
        <v>0</v>
      </c>
      <c r="R66" s="1314">
        <f>'Exhibit G state'!R67+'Exhibit G Federal'!R36</f>
        <v>0</v>
      </c>
      <c r="T66" s="1299">
        <f>'Exhibit G state'!T67+'Exhibit G Federal'!T36</f>
        <v>0</v>
      </c>
      <c r="V66" s="1299">
        <f>'Exhibit G state'!V67+'Exhibit G Federal'!V36</f>
        <v>0</v>
      </c>
      <c r="X66" s="2045"/>
      <c r="Z66" s="2045"/>
      <c r="AA66" s="2045"/>
      <c r="AB66" s="2045">
        <v>0</v>
      </c>
      <c r="AC66" s="260"/>
      <c r="AD66" s="249"/>
      <c r="AE66" s="2925">
        <f t="shared" ref="AE66:AE70" si="24">ROUND(SUM(D66:AB66),1)</f>
        <v>20.399999999999999</v>
      </c>
      <c r="AF66" s="260"/>
      <c r="AG66" s="249"/>
      <c r="AH66" s="514">
        <f>+'Exhibit G state'!AF67+'Exhibit G Federal'!AF36</f>
        <v>20.399999999999999</v>
      </c>
      <c r="AI66" s="517"/>
      <c r="AJ66" s="248"/>
      <c r="AK66" s="1146">
        <f t="shared" si="23"/>
        <v>0</v>
      </c>
      <c r="AL66" s="247"/>
      <c r="AM66" s="2679">
        <f>ROUND(IF(AH66=0,1,AK66/ABS(AH66)),3)</f>
        <v>0</v>
      </c>
    </row>
    <row r="67" spans="1:39" ht="15" customHeight="1">
      <c r="A67" s="223"/>
      <c r="B67" s="1748" t="s">
        <v>1190</v>
      </c>
      <c r="C67" s="223"/>
      <c r="D67" s="1314">
        <f>'Exhibit G state'!D68+'Exhibit G Federal'!D37</f>
        <v>7.2</v>
      </c>
      <c r="E67" s="1314"/>
      <c r="F67" s="1314">
        <f>'Exhibit G state'!F68+'Exhibit G Federal'!F37</f>
        <v>0</v>
      </c>
      <c r="G67" s="1314"/>
      <c r="H67" s="1314">
        <f>'Exhibit G state'!H68+'Exhibit G Federal'!H37</f>
        <v>0</v>
      </c>
      <c r="J67" s="1314">
        <f>'Exhibit G state'!J68+'Exhibit G Federal'!J37</f>
        <v>0</v>
      </c>
      <c r="L67" s="1314">
        <f>'Exhibit G state'!L68+'Exhibit G Federal'!L37</f>
        <v>0</v>
      </c>
      <c r="N67" s="1314">
        <f>'Exhibit G state'!N68+'Exhibit G Federal'!N37</f>
        <v>0</v>
      </c>
      <c r="P67" s="1314">
        <f>'Exhibit G state'!P68+'Exhibit G Federal'!P37</f>
        <v>0</v>
      </c>
      <c r="R67" s="1314">
        <f>'Exhibit G state'!R68+'Exhibit G Federal'!R37</f>
        <v>0</v>
      </c>
      <c r="T67" s="1299">
        <f>'Exhibit G state'!T68+'Exhibit G Federal'!T37</f>
        <v>0</v>
      </c>
      <c r="V67" s="1299">
        <f>'Exhibit G state'!V68+'Exhibit G Federal'!V37</f>
        <v>0</v>
      </c>
      <c r="X67" s="2045"/>
      <c r="Z67" s="2045"/>
      <c r="AA67" s="2045"/>
      <c r="AB67" s="2045">
        <v>0</v>
      </c>
      <c r="AC67" s="260"/>
      <c r="AD67" s="249"/>
      <c r="AE67" s="2925">
        <f t="shared" si="24"/>
        <v>7.2</v>
      </c>
      <c r="AF67" s="260"/>
      <c r="AG67" s="249"/>
      <c r="AH67" s="514">
        <f>+'Exhibit G state'!AF68+'Exhibit G Federal'!AF37</f>
        <v>7.2</v>
      </c>
      <c r="AI67" s="517"/>
      <c r="AJ67" s="248"/>
      <c r="AK67" s="1146">
        <f t="shared" si="23"/>
        <v>0</v>
      </c>
      <c r="AL67" s="247"/>
      <c r="AM67" s="2650">
        <f t="shared" ref="AM67:AM70" si="25">ROUND(IF(AH67=0,0,AK67/ABS(AH67)),3)</f>
        <v>0</v>
      </c>
    </row>
    <row r="68" spans="1:39" ht="15" customHeight="1">
      <c r="A68" s="223"/>
      <c r="B68" s="1748" t="s">
        <v>1191</v>
      </c>
      <c r="C68" s="223"/>
      <c r="D68" s="1314">
        <f>'Exhibit G state'!D69+'Exhibit G Federal'!D38</f>
        <v>0.9</v>
      </c>
      <c r="E68" s="1314"/>
      <c r="F68" s="1314">
        <f>'Exhibit G state'!F69+'Exhibit G Federal'!F38</f>
        <v>0</v>
      </c>
      <c r="G68" s="1314"/>
      <c r="H68" s="1314">
        <f>'Exhibit G state'!H69+'Exhibit G Federal'!H38</f>
        <v>0</v>
      </c>
      <c r="J68" s="1314">
        <f>'Exhibit G state'!J69+'Exhibit G Federal'!J38</f>
        <v>0.2</v>
      </c>
      <c r="L68" s="1314">
        <f>'Exhibit G state'!L69+'Exhibit G Federal'!L38</f>
        <v>0.5</v>
      </c>
      <c r="N68" s="1314">
        <f>'Exhibit G state'!N69+'Exhibit G Federal'!N38</f>
        <v>0</v>
      </c>
      <c r="P68" s="1314">
        <f>'Exhibit G state'!P69+'Exhibit G Federal'!P38</f>
        <v>0.2</v>
      </c>
      <c r="R68" s="1314">
        <f>'Exhibit G state'!R69+'Exhibit G Federal'!R38</f>
        <v>0.1</v>
      </c>
      <c r="T68" s="1299">
        <f>'Exhibit G state'!T69+'Exhibit G Federal'!T38</f>
        <v>26.7</v>
      </c>
      <c r="V68" s="1299">
        <f>'Exhibit G state'!V69+'Exhibit G Federal'!V38</f>
        <v>16.600000000000001</v>
      </c>
      <c r="X68" s="2045"/>
      <c r="Z68" s="2045"/>
      <c r="AA68" s="2045"/>
      <c r="AB68" s="2045">
        <v>0</v>
      </c>
      <c r="AC68" s="260"/>
      <c r="AD68" s="249"/>
      <c r="AE68" s="2925">
        <f t="shared" si="24"/>
        <v>45.2</v>
      </c>
      <c r="AF68" s="260"/>
      <c r="AG68" s="249"/>
      <c r="AH68" s="514">
        <f>+'Exhibit G state'!AF69+'Exhibit G Federal'!AF38</f>
        <v>6.7</v>
      </c>
      <c r="AI68" s="517"/>
      <c r="AJ68" s="248"/>
      <c r="AK68" s="1146">
        <f t="shared" si="23"/>
        <v>38.5</v>
      </c>
      <c r="AL68" s="247"/>
      <c r="AM68" s="1780">
        <f t="shared" si="25"/>
        <v>5.7460000000000004</v>
      </c>
    </row>
    <row r="69" spans="1:39" ht="15" customHeight="1">
      <c r="A69" s="223"/>
      <c r="B69" s="1748" t="s">
        <v>1170</v>
      </c>
      <c r="C69" s="223"/>
      <c r="D69" s="1314">
        <f>'Exhibit G state'!D70+'Exhibit G Federal'!D39</f>
        <v>58.4</v>
      </c>
      <c r="E69" s="1314"/>
      <c r="F69" s="1314">
        <f>'Exhibit G state'!F70+'Exhibit G Federal'!F39</f>
        <v>7.2</v>
      </c>
      <c r="G69" s="1314"/>
      <c r="H69" s="1314">
        <f>'Exhibit G state'!H70+'Exhibit G Federal'!H39</f>
        <v>37.299999999999997</v>
      </c>
      <c r="J69" s="1314">
        <f>'Exhibit G state'!J70+'Exhibit G Federal'!J39</f>
        <v>4.7</v>
      </c>
      <c r="L69" s="1314">
        <f>'Exhibit G state'!L70+'Exhibit G Federal'!L39</f>
        <v>4.0999999999999996</v>
      </c>
      <c r="N69" s="1314">
        <f>'Exhibit G state'!N70+'Exhibit G Federal'!N39</f>
        <v>7.1</v>
      </c>
      <c r="P69" s="1314">
        <f>'Exhibit G state'!P70+'Exhibit G Federal'!P39</f>
        <v>4.2</v>
      </c>
      <c r="R69" s="1314">
        <f>'Exhibit G state'!R70+'Exhibit G Federal'!R39</f>
        <v>3.6</v>
      </c>
      <c r="T69" s="1299">
        <f>'Exhibit G state'!T70+'Exhibit G Federal'!T39</f>
        <v>7</v>
      </c>
      <c r="V69" s="1299">
        <f>'Exhibit G state'!V70+'Exhibit G Federal'!V39</f>
        <v>4.5999999999999996</v>
      </c>
      <c r="X69" s="2045"/>
      <c r="Z69" s="2045"/>
      <c r="AA69" s="2045"/>
      <c r="AB69" s="2045">
        <v>0</v>
      </c>
      <c r="AC69" s="260"/>
      <c r="AD69" s="249"/>
      <c r="AE69" s="2925">
        <f t="shared" si="24"/>
        <v>138.19999999999999</v>
      </c>
      <c r="AF69" s="260"/>
      <c r="AG69" s="249"/>
      <c r="AH69" s="514">
        <f>+'Exhibit G state'!AF70+'Exhibit G Federal'!AF39</f>
        <v>94.4</v>
      </c>
      <c r="AI69" s="517"/>
      <c r="AJ69" s="248"/>
      <c r="AK69" s="1146">
        <f t="shared" si="23"/>
        <v>43.8</v>
      </c>
      <c r="AL69" s="247"/>
      <c r="AM69" s="1780">
        <f t="shared" si="25"/>
        <v>0.46400000000000002</v>
      </c>
    </row>
    <row r="70" spans="1:39" ht="15" customHeight="1">
      <c r="A70" s="223"/>
      <c r="B70" s="1748" t="s">
        <v>1171</v>
      </c>
      <c r="C70" s="223"/>
      <c r="D70" s="1314">
        <f>'Exhibit G state'!D71+'Exhibit G Federal'!D40</f>
        <v>55.3</v>
      </c>
      <c r="E70" s="1314"/>
      <c r="F70" s="1314">
        <f>'Exhibit G state'!F71+'Exhibit G Federal'!F40</f>
        <v>31.1</v>
      </c>
      <c r="G70" s="1314"/>
      <c r="H70" s="1314">
        <f>'Exhibit G state'!H71+'Exhibit G Federal'!H40</f>
        <v>21.3</v>
      </c>
      <c r="J70" s="1314">
        <f>'Exhibit G state'!J71+'Exhibit G Federal'!J40</f>
        <v>2.2000000000000002</v>
      </c>
      <c r="L70" s="1314">
        <f>'Exhibit G state'!L71+'Exhibit G Federal'!L40</f>
        <v>46.8</v>
      </c>
      <c r="N70" s="1314">
        <f>'Exhibit G state'!N71+'Exhibit G Federal'!N40</f>
        <v>1.2</v>
      </c>
      <c r="P70" s="1314">
        <f>'Exhibit G state'!P71+'Exhibit G Federal'!P40</f>
        <v>34.4</v>
      </c>
      <c r="R70" s="1314">
        <f>'Exhibit G state'!R71+'Exhibit G Federal'!R40</f>
        <v>49.7</v>
      </c>
      <c r="T70" s="1299">
        <f>'Exhibit G state'!T71+'Exhibit G Federal'!T40</f>
        <v>30.9</v>
      </c>
      <c r="V70" s="1299">
        <f>'Exhibit G state'!V71+'Exhibit G Federal'!V40</f>
        <v>47.1</v>
      </c>
      <c r="X70" s="2045"/>
      <c r="Z70" s="2045"/>
      <c r="AA70" s="2045"/>
      <c r="AB70" s="2045">
        <v>0</v>
      </c>
      <c r="AC70" s="260"/>
      <c r="AD70" s="249"/>
      <c r="AE70" s="2925">
        <f t="shared" si="24"/>
        <v>320</v>
      </c>
      <c r="AF70" s="260"/>
      <c r="AG70" s="249"/>
      <c r="AH70" s="514">
        <f>+'Exhibit G state'!AF71+'Exhibit G Federal'!AF40</f>
        <v>209</v>
      </c>
      <c r="AI70" s="517"/>
      <c r="AJ70" s="248"/>
      <c r="AK70" s="1146">
        <f t="shared" si="23"/>
        <v>111</v>
      </c>
      <c r="AL70" s="247"/>
      <c r="AM70" s="2650">
        <f t="shared" si="25"/>
        <v>0.53100000000000003</v>
      </c>
    </row>
    <row r="71" spans="1:39" ht="15" customHeight="1">
      <c r="A71" s="223"/>
      <c r="B71" s="1748" t="s">
        <v>1273</v>
      </c>
      <c r="C71" s="223"/>
      <c r="D71" s="1314"/>
      <c r="E71" s="1314"/>
      <c r="F71" s="1314"/>
      <c r="H71" s="1314"/>
      <c r="J71" s="1299"/>
      <c r="L71" s="1299"/>
      <c r="N71" s="1299"/>
      <c r="P71" s="1299"/>
      <c r="R71" s="1299"/>
      <c r="T71" s="1299"/>
      <c r="V71" s="1299"/>
      <c r="X71" s="2045"/>
      <c r="Z71" s="2045"/>
      <c r="AA71" s="2045"/>
      <c r="AB71" s="2045"/>
      <c r="AC71" s="260"/>
      <c r="AD71" s="249"/>
      <c r="AE71" s="1146"/>
      <c r="AF71" s="260"/>
      <c r="AG71" s="249"/>
      <c r="AH71" s="514"/>
      <c r="AI71" s="517"/>
      <c r="AJ71" s="248"/>
      <c r="AK71" s="1146"/>
      <c r="AL71" s="247"/>
      <c r="AM71" s="1847"/>
    </row>
    <row r="72" spans="1:39" ht="15" customHeight="1">
      <c r="A72" s="223"/>
      <c r="B72" s="1748" t="s">
        <v>1192</v>
      </c>
      <c r="C72" s="223"/>
      <c r="D72" s="1314">
        <f>'Exhibit G state'!D73+'Exhibit G Federal'!D42</f>
        <v>0.4</v>
      </c>
      <c r="E72" s="1314"/>
      <c r="F72" s="1314">
        <f>'Exhibit G state'!F73+'Exhibit G Federal'!F42</f>
        <v>29.1</v>
      </c>
      <c r="G72" s="1314"/>
      <c r="H72" s="1314">
        <f>'Exhibit G state'!H73+'Exhibit G Federal'!H42</f>
        <v>9.6999999999999993</v>
      </c>
      <c r="J72" s="1314">
        <f>'Exhibit G state'!J73+'Exhibit G Federal'!J42</f>
        <v>20.2</v>
      </c>
      <c r="L72" s="1314">
        <f>'Exhibit G state'!L73+'Exhibit G Federal'!L42</f>
        <v>9.6999999999999993</v>
      </c>
      <c r="N72" s="1314">
        <f>'Exhibit G state'!N73+'Exhibit G Federal'!N42</f>
        <v>8.5</v>
      </c>
      <c r="P72" s="1314">
        <f>'Exhibit G state'!P73+'Exhibit G Federal'!P42</f>
        <v>8.4</v>
      </c>
      <c r="R72" s="1314">
        <f>'Exhibit G state'!R73+'Exhibit G Federal'!R42</f>
        <v>8.6</v>
      </c>
      <c r="T72" s="1299">
        <f>'Exhibit G state'!T73+'Exhibit G Federal'!T42</f>
        <v>20.7</v>
      </c>
      <c r="V72" s="1299">
        <f>'Exhibit G state'!V73+'Exhibit G Federal'!V42</f>
        <v>5.5</v>
      </c>
      <c r="X72" s="2045"/>
      <c r="Z72" s="2045"/>
      <c r="AA72" s="2045"/>
      <c r="AB72" s="2045">
        <v>0</v>
      </c>
      <c r="AC72" s="260"/>
      <c r="AD72" s="249"/>
      <c r="AE72" s="1751">
        <f>ROUND(SUM(D72:AB72),1)</f>
        <v>120.8</v>
      </c>
      <c r="AF72" s="260"/>
      <c r="AG72" s="249"/>
      <c r="AH72" s="514">
        <f>+'Exhibit G state'!AF73+'Exhibit G Federal'!AF42</f>
        <v>84.8</v>
      </c>
      <c r="AI72" s="517"/>
      <c r="AJ72" s="248"/>
      <c r="AK72" s="1146">
        <f t="shared" ref="AK72:AK82" si="26">ROUND(SUM(+AE72-AH72),1)</f>
        <v>36</v>
      </c>
      <c r="AL72" s="247"/>
      <c r="AM72" s="1780">
        <f t="shared" ref="AM72:AM77" si="27">ROUND(IF(AH72=0,0,AK72/ABS(AH72)),3)</f>
        <v>0.42499999999999999</v>
      </c>
    </row>
    <row r="73" spans="1:39" ht="15" customHeight="1">
      <c r="A73" s="223"/>
      <c r="B73" s="1748" t="s">
        <v>1193</v>
      </c>
      <c r="C73" s="223"/>
      <c r="D73" s="1314">
        <f>'Exhibit G state'!D74+'Exhibit G Federal'!D43</f>
        <v>0.2</v>
      </c>
      <c r="E73" s="1314"/>
      <c r="F73" s="1314">
        <f>'Exhibit G state'!F74+'Exhibit G Federal'!F43</f>
        <v>0.2</v>
      </c>
      <c r="G73" s="1314"/>
      <c r="H73" s="1314">
        <f>'Exhibit G state'!H74+'Exhibit G Federal'!H43</f>
        <v>0.2</v>
      </c>
      <c r="J73" s="1314">
        <f>'Exhibit G state'!J74+'Exhibit G Federal'!J43</f>
        <v>0.1</v>
      </c>
      <c r="L73" s="1314">
        <f>'Exhibit G state'!L74+'Exhibit G Federal'!L43</f>
        <v>0.3</v>
      </c>
      <c r="N73" s="1314">
        <f>'Exhibit G state'!N74+'Exhibit G Federal'!N43</f>
        <v>2.7</v>
      </c>
      <c r="P73" s="1314">
        <f>'Exhibit G state'!P74+'Exhibit G Federal'!P43</f>
        <v>0</v>
      </c>
      <c r="R73" s="1314">
        <f>'Exhibit G state'!R74+'Exhibit G Federal'!R43</f>
        <v>0.3</v>
      </c>
      <c r="T73" s="1299">
        <f>'Exhibit G state'!T74+'Exhibit G Federal'!T43</f>
        <v>0.4</v>
      </c>
      <c r="V73" s="1299">
        <f>'Exhibit G state'!V74+'Exhibit G Federal'!V43</f>
        <v>0.1</v>
      </c>
      <c r="X73" s="2045"/>
      <c r="Z73" s="2045"/>
      <c r="AA73" s="2045"/>
      <c r="AB73" s="2045">
        <v>0</v>
      </c>
      <c r="AC73" s="260"/>
      <c r="AD73" s="249"/>
      <c r="AE73" s="1751">
        <f t="shared" ref="AE73:AE80" si="28">ROUND(SUM(D73:AB73),1)</f>
        <v>4.5</v>
      </c>
      <c r="AF73" s="260"/>
      <c r="AG73" s="249"/>
      <c r="AH73" s="514">
        <f>+'Exhibit G state'!AF74+'Exhibit G Federal'!AF43</f>
        <v>7.5</v>
      </c>
      <c r="AI73" s="517"/>
      <c r="AJ73" s="248"/>
      <c r="AK73" s="1146">
        <f t="shared" si="26"/>
        <v>-3</v>
      </c>
      <c r="AL73" s="247"/>
      <c r="AM73" s="1780">
        <f t="shared" si="27"/>
        <v>-0.4</v>
      </c>
    </row>
    <row r="74" spans="1:39" ht="15" customHeight="1">
      <c r="A74" s="223"/>
      <c r="B74" s="1748" t="s">
        <v>1194</v>
      </c>
      <c r="C74" s="223"/>
      <c r="D74" s="1314">
        <f>'Exhibit G state'!D75+'Exhibit G Federal'!D44</f>
        <v>0.9</v>
      </c>
      <c r="E74" s="1314"/>
      <c r="F74" s="1314">
        <f>'Exhibit G state'!F75+'Exhibit G Federal'!F44</f>
        <v>1</v>
      </c>
      <c r="G74" s="1314"/>
      <c r="H74" s="1314">
        <f>'Exhibit G state'!H75+'Exhibit G Federal'!H44</f>
        <v>3.1</v>
      </c>
      <c r="J74" s="1314">
        <f>'Exhibit G state'!J75+'Exhibit G Federal'!J44</f>
        <v>0.8</v>
      </c>
      <c r="L74" s="1314">
        <f>'Exhibit G state'!L75+'Exhibit G Federal'!L44</f>
        <v>0.7</v>
      </c>
      <c r="N74" s="1314">
        <f>'Exhibit G state'!N75+'Exhibit G Federal'!N44</f>
        <v>0.8</v>
      </c>
      <c r="P74" s="1314">
        <f>'Exhibit G state'!P75+'Exhibit G Federal'!P44</f>
        <v>1.3</v>
      </c>
      <c r="R74" s="1314">
        <f>'Exhibit G state'!R75+'Exhibit G Federal'!R44</f>
        <v>0.4</v>
      </c>
      <c r="T74" s="1299">
        <f>'Exhibit G state'!T75+'Exhibit G Federal'!T44</f>
        <v>0.1</v>
      </c>
      <c r="V74" s="1299">
        <f>'Exhibit G state'!V75+'Exhibit G Federal'!V44</f>
        <v>0.7</v>
      </c>
      <c r="X74" s="2045"/>
      <c r="Z74" s="2045"/>
      <c r="AA74" s="2045"/>
      <c r="AB74" s="2045">
        <v>0</v>
      </c>
      <c r="AC74" s="260"/>
      <c r="AD74" s="249"/>
      <c r="AE74" s="1751">
        <f t="shared" si="28"/>
        <v>9.8000000000000007</v>
      </c>
      <c r="AF74" s="260"/>
      <c r="AG74" s="249"/>
      <c r="AH74" s="514">
        <f>+'Exhibit G state'!AF75+'Exhibit G Federal'!AF44</f>
        <v>3.5</v>
      </c>
      <c r="AI74" s="517"/>
      <c r="AJ74" s="248"/>
      <c r="AK74" s="1146">
        <f t="shared" si="26"/>
        <v>6.3</v>
      </c>
      <c r="AL74" s="247"/>
      <c r="AM74" s="1780">
        <f t="shared" si="27"/>
        <v>1.8</v>
      </c>
    </row>
    <row r="75" spans="1:39" ht="15" customHeight="1">
      <c r="A75" s="223"/>
      <c r="B75" s="1748" t="s">
        <v>1195</v>
      </c>
      <c r="C75" s="223"/>
      <c r="D75" s="1314">
        <f>'Exhibit G state'!D76+'Exhibit G Federal'!D45</f>
        <v>0</v>
      </c>
      <c r="E75" s="1314"/>
      <c r="F75" s="1314">
        <f>'Exhibit G state'!F76+'Exhibit G Federal'!F45</f>
        <v>5</v>
      </c>
      <c r="G75" s="1314"/>
      <c r="H75" s="1314">
        <f>'Exhibit G state'!H76+'Exhibit G Federal'!H45</f>
        <v>0</v>
      </c>
      <c r="J75" s="1314">
        <f>'Exhibit G state'!J76+'Exhibit G Federal'!J45</f>
        <v>0</v>
      </c>
      <c r="L75" s="1314">
        <f>'Exhibit G state'!L76+'Exhibit G Federal'!L45</f>
        <v>0</v>
      </c>
      <c r="N75" s="1314">
        <f>'Exhibit G state'!N76+'Exhibit G Federal'!N45</f>
        <v>0</v>
      </c>
      <c r="P75" s="1314">
        <f>'Exhibit G state'!P76+'Exhibit G Federal'!P45</f>
        <v>0.1</v>
      </c>
      <c r="R75" s="1314">
        <f>'Exhibit G state'!R76+'Exhibit G Federal'!R45</f>
        <v>0</v>
      </c>
      <c r="T75" s="1299">
        <f>'Exhibit G state'!T76+'Exhibit G Federal'!T45</f>
        <v>0</v>
      </c>
      <c r="V75" s="1299">
        <f>'Exhibit G state'!V76+'Exhibit G Federal'!V45</f>
        <v>0</v>
      </c>
      <c r="X75" s="2045"/>
      <c r="Z75" s="2045"/>
      <c r="AA75" s="2045"/>
      <c r="AB75" s="2045">
        <v>0</v>
      </c>
      <c r="AC75" s="260"/>
      <c r="AD75" s="249"/>
      <c r="AE75" s="1751">
        <f t="shared" si="28"/>
        <v>5.0999999999999996</v>
      </c>
      <c r="AF75" s="260"/>
      <c r="AG75" s="249"/>
      <c r="AH75" s="514">
        <f>+'Exhibit G state'!AF76+'Exhibit G Federal'!AF45</f>
        <v>4</v>
      </c>
      <c r="AI75" s="517"/>
      <c r="AJ75" s="248"/>
      <c r="AK75" s="1146">
        <f t="shared" si="26"/>
        <v>1.1000000000000001</v>
      </c>
      <c r="AL75" s="247"/>
      <c r="AM75" s="2679">
        <f t="shared" si="27"/>
        <v>0.27500000000000002</v>
      </c>
    </row>
    <row r="76" spans="1:39" ht="15" customHeight="1">
      <c r="A76" s="223"/>
      <c r="B76" s="1748" t="s">
        <v>1196</v>
      </c>
      <c r="C76" s="223"/>
      <c r="D76" s="1314">
        <f>'Exhibit G state'!D77+'Exhibit G Federal'!D46</f>
        <v>145.80000000000001</v>
      </c>
      <c r="E76" s="1314"/>
      <c r="F76" s="1314">
        <f>'Exhibit G state'!F77+'Exhibit G Federal'!F46</f>
        <v>189.7</v>
      </c>
      <c r="G76" s="1314"/>
      <c r="H76" s="1314">
        <f>'Exhibit G state'!H77+'Exhibit G Federal'!H46</f>
        <v>91.8</v>
      </c>
      <c r="J76" s="1314">
        <f>'Exhibit G state'!J77+'Exhibit G Federal'!J46</f>
        <v>120.5</v>
      </c>
      <c r="L76" s="1314">
        <f>'Exhibit G state'!L77+'Exhibit G Federal'!L46</f>
        <v>200.6</v>
      </c>
      <c r="N76" s="1314">
        <f>'Exhibit G state'!N77+'Exhibit G Federal'!N46</f>
        <v>234.3</v>
      </c>
      <c r="P76" s="1314">
        <f>'Exhibit G state'!P77+'Exhibit G Federal'!P46</f>
        <v>131.6</v>
      </c>
      <c r="R76" s="1314">
        <f>'Exhibit G state'!R77+'Exhibit G Federal'!R46</f>
        <v>94</v>
      </c>
      <c r="T76" s="1299">
        <f>'Exhibit G state'!T77+'Exhibit G Federal'!T46</f>
        <v>249</v>
      </c>
      <c r="V76" s="1299">
        <f>'Exhibit G state'!V77+'Exhibit G Federal'!V46</f>
        <v>2.2000000000000002</v>
      </c>
      <c r="X76" s="2045"/>
      <c r="Z76" s="2045"/>
      <c r="AA76" s="2045"/>
      <c r="AB76" s="2045">
        <v>0</v>
      </c>
      <c r="AC76" s="260"/>
      <c r="AD76" s="249"/>
      <c r="AE76" s="1751">
        <f t="shared" si="28"/>
        <v>1459.5</v>
      </c>
      <c r="AF76" s="260"/>
      <c r="AG76" s="249"/>
      <c r="AH76" s="514">
        <f>+'Exhibit G state'!AF77+'Exhibit G Federal'!AF46</f>
        <v>755.1</v>
      </c>
      <c r="AI76" s="517"/>
      <c r="AJ76" s="248"/>
      <c r="AK76" s="1146">
        <f t="shared" si="26"/>
        <v>704.4</v>
      </c>
      <c r="AL76" s="247"/>
      <c r="AM76" s="2713">
        <f t="shared" si="27"/>
        <v>0.93300000000000005</v>
      </c>
    </row>
    <row r="77" spans="1:39" ht="15" customHeight="1">
      <c r="A77" s="223"/>
      <c r="B77" s="1748" t="s">
        <v>1197</v>
      </c>
      <c r="C77" s="223"/>
      <c r="D77" s="1314">
        <f>'Exhibit G state'!D78+'Exhibit G Federal'!D47</f>
        <v>11</v>
      </c>
      <c r="E77" s="1314"/>
      <c r="F77" s="1314">
        <f>'Exhibit G state'!F78+'Exhibit G Federal'!F47</f>
        <v>12.7</v>
      </c>
      <c r="G77" s="1314"/>
      <c r="H77" s="1314">
        <f>'Exhibit G state'!H78+'Exhibit G Federal'!H47</f>
        <v>10</v>
      </c>
      <c r="J77" s="1314">
        <f>'Exhibit G state'!J78+'Exhibit G Federal'!J47</f>
        <v>22.4</v>
      </c>
      <c r="L77" s="1314">
        <f>'Exhibit G state'!L78+'Exhibit G Federal'!L47</f>
        <v>10.1</v>
      </c>
      <c r="N77" s="1314">
        <f>'Exhibit G state'!N78+'Exhibit G Federal'!N47</f>
        <v>14.5</v>
      </c>
      <c r="P77" s="1314">
        <f>'Exhibit G state'!P78+'Exhibit G Federal'!P47</f>
        <v>11.200000000000001</v>
      </c>
      <c r="R77" s="1314">
        <f>'Exhibit G state'!R78+'Exhibit G Federal'!R47</f>
        <v>12.3</v>
      </c>
      <c r="T77" s="1299">
        <f>'Exhibit G state'!T78+'Exhibit G Federal'!T47</f>
        <v>12.4</v>
      </c>
      <c r="V77" s="1299">
        <f>'Exhibit G state'!V78+'Exhibit G Federal'!V47</f>
        <v>13.1</v>
      </c>
      <c r="X77" s="2045"/>
      <c r="Z77" s="2045"/>
      <c r="AA77" s="2045"/>
      <c r="AB77" s="2045">
        <v>0</v>
      </c>
      <c r="AC77" s="260"/>
      <c r="AD77" s="249"/>
      <c r="AE77" s="1751">
        <f t="shared" si="28"/>
        <v>129.69999999999999</v>
      </c>
      <c r="AF77" s="260"/>
      <c r="AG77" s="249"/>
      <c r="AH77" s="514">
        <f>+'Exhibit G state'!AF78+'Exhibit G Federal'!AF47</f>
        <v>121.39999999999999</v>
      </c>
      <c r="AI77" s="517"/>
      <c r="AJ77" s="248"/>
      <c r="AK77" s="1146">
        <f t="shared" si="26"/>
        <v>8.3000000000000007</v>
      </c>
      <c r="AL77" s="247"/>
      <c r="AM77" s="1780">
        <f t="shared" si="27"/>
        <v>6.8000000000000005E-2</v>
      </c>
    </row>
    <row r="78" spans="1:39" ht="15" customHeight="1">
      <c r="A78" s="223"/>
      <c r="B78" s="1748" t="s">
        <v>1198</v>
      </c>
      <c r="C78" s="223"/>
      <c r="D78" s="1314">
        <f>'Exhibit G state'!D79+'Exhibit G Federal'!D48</f>
        <v>-1.2</v>
      </c>
      <c r="E78" s="1314"/>
      <c r="F78" s="1314">
        <f>'Exhibit G state'!F79+'Exhibit G Federal'!F48</f>
        <v>11</v>
      </c>
      <c r="G78" s="1314"/>
      <c r="H78" s="1314">
        <f>'Exhibit G state'!H79+'Exhibit G Federal'!H48</f>
        <v>62.9</v>
      </c>
      <c r="J78" s="1314">
        <f>'Exhibit G state'!J79+'Exhibit G Federal'!J48</f>
        <v>29.4</v>
      </c>
      <c r="L78" s="1314">
        <f>'Exhibit G state'!L79+'Exhibit G Federal'!L48</f>
        <v>0.3</v>
      </c>
      <c r="N78" s="1314">
        <f>'Exhibit G state'!N79+'Exhibit G Federal'!N48</f>
        <v>0.5</v>
      </c>
      <c r="P78" s="1314">
        <f>'Exhibit G state'!P79+'Exhibit G Federal'!P48</f>
        <v>9.1</v>
      </c>
      <c r="R78" s="1314">
        <f>'Exhibit G state'!R79+'Exhibit G Federal'!R48</f>
        <v>0.5</v>
      </c>
      <c r="T78" s="1299">
        <f>'Exhibit G state'!T79+'Exhibit G Federal'!T48</f>
        <v>0.9</v>
      </c>
      <c r="V78" s="1299">
        <f>'Exhibit G state'!V79+'Exhibit G Federal'!V48</f>
        <v>7.8</v>
      </c>
      <c r="X78" s="2045"/>
      <c r="Z78" s="2045"/>
      <c r="AA78" s="2045"/>
      <c r="AB78" s="2045">
        <v>0</v>
      </c>
      <c r="AC78" s="260"/>
      <c r="AD78" s="249"/>
      <c r="AE78" s="1751">
        <f t="shared" si="28"/>
        <v>121.2</v>
      </c>
      <c r="AF78" s="260"/>
      <c r="AG78" s="249"/>
      <c r="AH78" s="514">
        <f>+'Exhibit G state'!AF79+'Exhibit G Federal'!AF48</f>
        <v>39.300000000000004</v>
      </c>
      <c r="AI78" s="517"/>
      <c r="AJ78" s="248"/>
      <c r="AK78" s="1146">
        <f t="shared" si="26"/>
        <v>81.900000000000006</v>
      </c>
      <c r="AL78" s="247"/>
      <c r="AM78" s="2650">
        <f>ROUND(IF(AH78=0,1,AK78/ABS(AH78)),3)</f>
        <v>2.0840000000000001</v>
      </c>
    </row>
    <row r="79" spans="1:39" ht="15" customHeight="1">
      <c r="A79" s="223"/>
      <c r="B79" s="1748" t="s">
        <v>1199</v>
      </c>
      <c r="C79" s="223"/>
      <c r="D79" s="1314">
        <f>'Exhibit G state'!D80+'Exhibit G Federal'!D49</f>
        <v>8.1999999999999993</v>
      </c>
      <c r="E79" s="1314"/>
      <c r="F79" s="1314">
        <f>'Exhibit G state'!F80+'Exhibit G Federal'!F49</f>
        <v>6.9</v>
      </c>
      <c r="G79" s="1314"/>
      <c r="H79" s="1314">
        <f>'Exhibit G state'!H80+'Exhibit G Federal'!H49</f>
        <v>6.2</v>
      </c>
      <c r="J79" s="1314">
        <f>'Exhibit G state'!J80+'Exhibit G Federal'!J49</f>
        <v>7.4</v>
      </c>
      <c r="L79" s="1314">
        <f>'Exhibit G state'!L80+'Exhibit G Federal'!L49</f>
        <v>6.4</v>
      </c>
      <c r="N79" s="1314">
        <f>'Exhibit G state'!N80+'Exhibit G Federal'!N49</f>
        <v>6.4</v>
      </c>
      <c r="P79" s="1314">
        <f>'Exhibit G state'!P80+'Exhibit G Federal'!P49</f>
        <v>7.9</v>
      </c>
      <c r="R79" s="1314">
        <f>'Exhibit G state'!R80+'Exhibit G Federal'!R49</f>
        <v>6</v>
      </c>
      <c r="T79" s="1299">
        <f>'Exhibit G state'!T80+'Exhibit G Federal'!T49</f>
        <v>39.4</v>
      </c>
      <c r="V79" s="1299">
        <f>'Exhibit G state'!V80+'Exhibit G Federal'!V49</f>
        <v>2.5</v>
      </c>
      <c r="X79" s="2045"/>
      <c r="Z79" s="2045"/>
      <c r="AA79" s="2045"/>
      <c r="AB79" s="2045">
        <v>0</v>
      </c>
      <c r="AC79" s="260"/>
      <c r="AD79" s="249"/>
      <c r="AE79" s="1751">
        <f t="shared" si="28"/>
        <v>97.3</v>
      </c>
      <c r="AF79" s="260"/>
      <c r="AG79" s="249"/>
      <c r="AH79" s="514">
        <f>+'Exhibit G state'!AF80+'Exhibit G Federal'!AF49</f>
        <v>57.9</v>
      </c>
      <c r="AI79" s="517"/>
      <c r="AJ79" s="248"/>
      <c r="AK79" s="1146">
        <f t="shared" si="26"/>
        <v>39.4</v>
      </c>
      <c r="AL79" s="247"/>
      <c r="AM79" s="1780">
        <f>ROUND(IF(AH79=0,0,AK79/ABS(AH79)),3)</f>
        <v>0.68</v>
      </c>
    </row>
    <row r="80" spans="1:39" ht="15" customHeight="1">
      <c r="A80" s="223"/>
      <c r="B80" s="1748" t="s">
        <v>1200</v>
      </c>
      <c r="C80" s="223"/>
      <c r="D80" s="1314">
        <f>'Exhibit G state'!D81+'Exhibit G Federal'!D50</f>
        <v>50.300000000000004</v>
      </c>
      <c r="E80" s="1314"/>
      <c r="F80" s="1314">
        <f>'Exhibit G state'!F81+'Exhibit G Federal'!F50</f>
        <v>26</v>
      </c>
      <c r="G80" s="1314"/>
      <c r="H80" s="1314">
        <f>'Exhibit G state'!H81+'Exhibit G Federal'!H50</f>
        <v>48</v>
      </c>
      <c r="J80" s="1314">
        <f>'Exhibit G state'!J81+'Exhibit G Federal'!J50</f>
        <v>38.799999999999997</v>
      </c>
      <c r="L80" s="1314">
        <f>'Exhibit G state'!L81+'Exhibit G Federal'!L50</f>
        <v>35.700000000000003</v>
      </c>
      <c r="N80" s="1314">
        <f>'Exhibit G state'!N81+'Exhibit G Federal'!N50</f>
        <v>44.699999999999996</v>
      </c>
      <c r="P80" s="1314">
        <f>'Exhibit G state'!P81+'Exhibit G Federal'!P50</f>
        <v>50</v>
      </c>
      <c r="R80" s="1314">
        <f>'Exhibit G state'!R81+'Exhibit G Federal'!R50</f>
        <v>34</v>
      </c>
      <c r="T80" s="1299">
        <f>'Exhibit G state'!T81+'Exhibit G Federal'!T50</f>
        <v>19.899999999999999</v>
      </c>
      <c r="V80" s="1299">
        <f>'Exhibit G state'!V81+'Exhibit G Federal'!V50</f>
        <v>35</v>
      </c>
      <c r="X80" s="2045"/>
      <c r="Z80" s="2045"/>
      <c r="AA80" s="2045"/>
      <c r="AB80" s="2045">
        <v>0</v>
      </c>
      <c r="AC80" s="260"/>
      <c r="AD80" s="249"/>
      <c r="AE80" s="1751">
        <f t="shared" si="28"/>
        <v>382.4</v>
      </c>
      <c r="AF80" s="260"/>
      <c r="AG80" s="249"/>
      <c r="AH80" s="514">
        <f>+'Exhibit G state'!AF81+'Exhibit G Federal'!AF50</f>
        <v>36</v>
      </c>
      <c r="AI80" s="517"/>
      <c r="AJ80" s="248"/>
      <c r="AK80" s="1146">
        <f t="shared" si="26"/>
        <v>346.4</v>
      </c>
      <c r="AL80" s="247"/>
      <c r="AM80" s="2734">
        <f>ROUND(IF(AH80=0,0,AK80/ABS(AH80)),3)</f>
        <v>9.6219999999999999</v>
      </c>
    </row>
    <row r="81" spans="1:46" ht="15" customHeight="1">
      <c r="A81" s="223"/>
      <c r="B81" s="1748" t="s">
        <v>1172</v>
      </c>
      <c r="C81" s="223"/>
      <c r="D81" s="1314">
        <f>'Exhibit G state'!D82+'Exhibit G Federal'!D51</f>
        <v>0.7</v>
      </c>
      <c r="E81" s="1314"/>
      <c r="F81" s="1314">
        <f>'Exhibit G state'!F82+'Exhibit G Federal'!F51</f>
        <v>1.4</v>
      </c>
      <c r="G81" s="1314"/>
      <c r="H81" s="1314">
        <f>'Exhibit G state'!H82+'Exhibit G Federal'!H51</f>
        <v>1.5</v>
      </c>
      <c r="J81" s="1314">
        <f>'Exhibit G state'!J82+'Exhibit G Federal'!J51</f>
        <v>1.3</v>
      </c>
      <c r="L81" s="1314">
        <f>'Exhibit G state'!L82+'Exhibit G Federal'!L51</f>
        <v>1.3</v>
      </c>
      <c r="N81" s="1314">
        <f>'Exhibit G state'!N82+'Exhibit G Federal'!N51</f>
        <v>1.3</v>
      </c>
      <c r="P81" s="1314">
        <f>'Exhibit G state'!P82+'Exhibit G Federal'!P51</f>
        <v>8.6</v>
      </c>
      <c r="R81" s="1314">
        <f>'Exhibit G state'!R82+'Exhibit G Federal'!R51</f>
        <v>0.79999999999999993</v>
      </c>
      <c r="T81" s="1299">
        <f>'Exhibit G state'!T82+'Exhibit G Federal'!T51</f>
        <v>0.7</v>
      </c>
      <c r="V81" s="1299">
        <f>'Exhibit G state'!V82+'Exhibit G Federal'!V51</f>
        <v>4.2</v>
      </c>
      <c r="X81" s="2045"/>
      <c r="Z81" s="2045"/>
      <c r="AA81" s="2045"/>
      <c r="AB81" s="2045">
        <v>0</v>
      </c>
      <c r="AC81" s="260"/>
      <c r="AD81" s="249"/>
      <c r="AE81" s="260">
        <f>ROUND(SUM(D81:AB81),1)</f>
        <v>21.8</v>
      </c>
      <c r="AF81" s="260"/>
      <c r="AG81" s="249"/>
      <c r="AH81" s="514">
        <f>+'Exhibit G state'!AF82+'Exhibit G Federal'!AF51</f>
        <v>15.5</v>
      </c>
      <c r="AI81" s="517"/>
      <c r="AJ81" s="248"/>
      <c r="AK81" s="1146">
        <f t="shared" si="26"/>
        <v>6.3</v>
      </c>
      <c r="AL81" s="247"/>
      <c r="AM81" s="1780">
        <f>ROUND(IF(AH81=0,0,AK81/ABS(AH81)),3)</f>
        <v>0.40600000000000003</v>
      </c>
    </row>
    <row r="82" spans="1:46" ht="15" customHeight="1">
      <c r="A82" s="223"/>
      <c r="B82" s="1748" t="s">
        <v>1173</v>
      </c>
      <c r="C82" s="223"/>
      <c r="D82" s="1314">
        <f>'Exhibit G state'!D83+'Exhibit G Federal'!D52</f>
        <v>54.7</v>
      </c>
      <c r="E82" s="1314"/>
      <c r="F82" s="1314">
        <f>'Exhibit G state'!F83+'Exhibit G Federal'!F52</f>
        <v>45.5</v>
      </c>
      <c r="G82" s="1314"/>
      <c r="H82" s="1314">
        <f>'Exhibit G state'!H83+'Exhibit G Federal'!H52</f>
        <v>60.7</v>
      </c>
      <c r="J82" s="1314">
        <f>'Exhibit G state'!J83+'Exhibit G Federal'!J52</f>
        <v>48.7</v>
      </c>
      <c r="L82" s="1314">
        <f>'Exhibit G state'!L83+'Exhibit G Federal'!L52</f>
        <v>177.7</v>
      </c>
      <c r="N82" s="1314">
        <f>'Exhibit G state'!N83+'Exhibit G Federal'!N52</f>
        <v>418.7</v>
      </c>
      <c r="P82" s="1314">
        <f>'Exhibit G state'!P83+'Exhibit G Federal'!P52</f>
        <v>164.5</v>
      </c>
      <c r="R82" s="1314">
        <f>'Exhibit G state'!R83+'Exhibit G Federal'!R52</f>
        <v>67.3</v>
      </c>
      <c r="T82" s="1299">
        <f>'Exhibit G state'!T83+'Exhibit G Federal'!T52</f>
        <v>55.1</v>
      </c>
      <c r="V82" s="1299">
        <f>'Exhibit G state'!V83+'Exhibit G Federal'!V52</f>
        <v>275.39999999999998</v>
      </c>
      <c r="X82" s="2045"/>
      <c r="Z82" s="2045"/>
      <c r="AA82" s="2045"/>
      <c r="AB82" s="2045">
        <v>0</v>
      </c>
      <c r="AC82" s="260"/>
      <c r="AD82" s="249"/>
      <c r="AE82" s="260">
        <f>ROUND(SUM(D82:AB82),1)</f>
        <v>1368.3</v>
      </c>
      <c r="AF82" s="260"/>
      <c r="AG82" s="249"/>
      <c r="AH82" s="514">
        <f>+'Exhibit G state'!AF83+'Exhibit G Federal'!AF52</f>
        <v>1715</v>
      </c>
      <c r="AI82" s="517"/>
      <c r="AJ82" s="248"/>
      <c r="AK82" s="1146">
        <f t="shared" si="26"/>
        <v>-346.7</v>
      </c>
      <c r="AL82" s="247"/>
      <c r="AM82" s="1780">
        <f>ROUND(IF(AH82=0,0,AK82/ABS(AH82)),3)</f>
        <v>-0.20200000000000001</v>
      </c>
    </row>
    <row r="83" spans="1:46" s="411" customFormat="1" ht="15" customHeight="1">
      <c r="A83" s="221"/>
      <c r="B83" s="587" t="s">
        <v>1367</v>
      </c>
      <c r="C83" s="221"/>
      <c r="D83" s="482">
        <f>ROUND(SUM(D45:D82),1)</f>
        <v>1291.3</v>
      </c>
      <c r="E83"/>
      <c r="F83" s="482">
        <f t="shared" ref="F83:X83" si="29">ROUND(SUM(F45:F82),1)</f>
        <v>1363.1</v>
      </c>
      <c r="G83"/>
      <c r="H83" s="482">
        <f t="shared" si="29"/>
        <v>1547.3</v>
      </c>
      <c r="I83"/>
      <c r="J83" s="482">
        <f t="shared" si="29"/>
        <v>1227.4000000000001</v>
      </c>
      <c r="K83"/>
      <c r="L83" s="482">
        <f t="shared" ref="L83:N83" si="30">ROUND(SUM(L45:L82),1)</f>
        <v>1506.5</v>
      </c>
      <c r="M83"/>
      <c r="N83" s="482">
        <f t="shared" si="30"/>
        <v>1877.8</v>
      </c>
      <c r="O83"/>
      <c r="P83" s="482">
        <f t="shared" ref="P83" si="31">ROUND(SUM(P45:P82),1)</f>
        <v>1371</v>
      </c>
      <c r="Q83"/>
      <c r="R83" s="482">
        <f t="shared" si="29"/>
        <v>1249.3</v>
      </c>
      <c r="S83"/>
      <c r="T83" s="482">
        <f>ROUND(SUM(T45:T82),1)</f>
        <v>1551.7</v>
      </c>
      <c r="U83"/>
      <c r="V83" s="482">
        <f>ROUND(SUM(V45:V82),1)</f>
        <v>1327.9</v>
      </c>
      <c r="W83"/>
      <c r="X83" s="482">
        <f t="shared" si="29"/>
        <v>0</v>
      </c>
      <c r="Y83"/>
      <c r="Z83" s="482">
        <f>ROUND(SUM(Z45:Z82),1)</f>
        <v>0</v>
      </c>
      <c r="AA83" s="2926"/>
      <c r="AB83" s="482">
        <f>ROUND(SUM(AB45:AB82),1)</f>
        <v>0</v>
      </c>
      <c r="AC83" s="1802"/>
      <c r="AD83" s="258"/>
      <c r="AE83" s="482">
        <f>ROUND(SUM(AE45:AE82),1)</f>
        <v>14313.3</v>
      </c>
      <c r="AF83" s="1802"/>
      <c r="AG83" s="258"/>
      <c r="AH83" s="482">
        <f>ROUND(SUM(AH45:AH82),1)</f>
        <v>13478.7</v>
      </c>
      <c r="AI83" s="520"/>
      <c r="AJ83" s="272"/>
      <c r="AK83" s="482">
        <f>ROUND(SUM(AK45:AK82),1)</f>
        <v>834.6</v>
      </c>
      <c r="AL83" s="1001"/>
      <c r="AM83" s="2016">
        <f>ROUND(SUM(+AK83/AH83),3)</f>
        <v>6.2E-2</v>
      </c>
    </row>
    <row r="84" spans="1:46" ht="15" customHeight="1">
      <c r="A84" s="223"/>
      <c r="B84" s="1638"/>
      <c r="C84" s="223"/>
      <c r="D84" s="1146"/>
      <c r="F84" s="260"/>
      <c r="H84" s="260"/>
      <c r="J84" s="260"/>
      <c r="L84" s="260"/>
      <c r="N84" s="260"/>
      <c r="P84" s="260"/>
      <c r="R84" s="273"/>
      <c r="T84" s="273"/>
      <c r="V84" s="273"/>
      <c r="X84" s="273"/>
      <c r="Z84" s="516"/>
      <c r="AA84" s="516"/>
      <c r="AB84" s="516"/>
      <c r="AC84" s="260"/>
      <c r="AD84" s="249"/>
      <c r="AE84" s="260"/>
      <c r="AF84" s="260"/>
      <c r="AG84" s="249"/>
      <c r="AH84" s="260"/>
      <c r="AI84" s="513"/>
      <c r="AJ84" s="248"/>
      <c r="AK84" s="1146"/>
      <c r="AL84" s="247"/>
      <c r="AM84" s="1847"/>
    </row>
    <row r="85" spans="1:46" ht="15" customHeight="1">
      <c r="A85" s="223"/>
      <c r="B85" s="518" t="s">
        <v>154</v>
      </c>
      <c r="C85" s="223"/>
      <c r="D85" s="1299">
        <f>+'Exhibit G state'!D86+'Exhibit G Federal'!D55</f>
        <v>3149.5</v>
      </c>
      <c r="E85" s="1299"/>
      <c r="F85" s="1299">
        <f>+'Exhibit G state'!F86+'Exhibit G Federal'!F55</f>
        <v>4040.9</v>
      </c>
      <c r="G85" s="1299"/>
      <c r="H85" s="1299">
        <f>+'Exhibit G state'!H86+'Exhibit G Federal'!H55</f>
        <v>4981</v>
      </c>
      <c r="J85" s="1299">
        <f>+'Exhibit G state'!J86+'Exhibit G Federal'!J55</f>
        <v>3491.2000000000003</v>
      </c>
      <c r="L85" s="1299">
        <f>+'Exhibit G state'!L86+'Exhibit G Federal'!L55</f>
        <v>3940.8</v>
      </c>
      <c r="N85" s="1299">
        <f>+'Exhibit G state'!N86+'Exhibit G Federal'!N55</f>
        <v>5019.3999999999996</v>
      </c>
      <c r="P85" s="1299">
        <f>+'Exhibit G state'!P86+'Exhibit G Federal'!P55</f>
        <v>3393.9</v>
      </c>
      <c r="R85" s="1299">
        <f>+'Exhibit G state'!R86+'Exhibit G Federal'!R55</f>
        <v>4005.9</v>
      </c>
      <c r="T85" s="1299">
        <f>+'Exhibit G state'!T86+'Exhibit G Federal'!T55</f>
        <v>5612</v>
      </c>
      <c r="V85" s="1299">
        <f>+'Exhibit G state'!V86+'Exhibit G Federal'!V55</f>
        <v>3933.8</v>
      </c>
      <c r="X85" s="2045"/>
      <c r="Z85" s="2045"/>
      <c r="AA85" s="2045"/>
      <c r="AB85" s="2045">
        <v>0</v>
      </c>
      <c r="AC85" s="260"/>
      <c r="AD85" s="249"/>
      <c r="AE85" s="260">
        <f>ROUND(SUM(D85:AB85),1)</f>
        <v>41568.400000000001</v>
      </c>
      <c r="AF85" s="260"/>
      <c r="AG85" s="249"/>
      <c r="AH85" s="514">
        <f>'Exhibit G state'!AF86+'Exhibit G Federal'!AF55</f>
        <v>39573.4</v>
      </c>
      <c r="AI85" s="513"/>
      <c r="AJ85" s="248"/>
      <c r="AK85" s="1823">
        <f>ROUND(SUM(+AE85-AH85),1)</f>
        <v>1995</v>
      </c>
      <c r="AL85" s="987"/>
      <c r="AM85" s="1780">
        <f>ROUND(IF(AH85=0,0,AK85/ABS(AH85)),3)</f>
        <v>0.05</v>
      </c>
    </row>
    <row r="86" spans="1:46" ht="15" customHeight="1">
      <c r="A86" s="223"/>
      <c r="B86" s="223"/>
      <c r="C86" s="223"/>
      <c r="D86" s="287"/>
      <c r="F86" s="287"/>
      <c r="H86" s="287"/>
      <c r="J86" s="287"/>
      <c r="L86" s="287"/>
      <c r="N86" s="287"/>
      <c r="P86" s="287"/>
      <c r="R86" s="287"/>
      <c r="T86" s="287"/>
      <c r="V86" s="287"/>
      <c r="X86" s="287"/>
      <c r="Z86" s="287"/>
      <c r="AA86" s="248"/>
      <c r="AB86" s="287"/>
      <c r="AC86" s="260"/>
      <c r="AD86" s="249"/>
      <c r="AE86" s="287"/>
      <c r="AF86" s="260"/>
      <c r="AG86" s="249"/>
      <c r="AH86" s="287"/>
      <c r="AI86" s="513"/>
      <c r="AJ86" s="248"/>
      <c r="AK86" s="2622"/>
      <c r="AM86" s="2627"/>
    </row>
    <row r="87" spans="1:46" ht="15" customHeight="1">
      <c r="A87" s="223"/>
      <c r="B87" s="221" t="s">
        <v>155</v>
      </c>
      <c r="C87" s="223"/>
      <c r="D87" s="1802">
        <f>ROUND(SUM(D85+D83+D41),1)</f>
        <v>4817.3999999999996</v>
      </c>
      <c r="F87" s="1802">
        <f t="shared" ref="F87:X87" si="32">ROUND(SUM(F85+F83+F41),1)</f>
        <v>5697.9</v>
      </c>
      <c r="H87" s="1802">
        <f t="shared" si="32"/>
        <v>7473.5</v>
      </c>
      <c r="J87" s="1802">
        <f t="shared" si="32"/>
        <v>5045.8</v>
      </c>
      <c r="L87" s="1802">
        <f t="shared" ref="L87:N87" si="33">ROUND(SUM(L85+L83+L41),1)</f>
        <v>5792.3</v>
      </c>
      <c r="N87" s="1802">
        <f t="shared" si="33"/>
        <v>7540.7</v>
      </c>
      <c r="P87" s="1802">
        <f t="shared" ref="P87" si="34">ROUND(SUM(P85+P83+P41),1)</f>
        <v>5186.6000000000004</v>
      </c>
      <c r="R87" s="1802">
        <f t="shared" si="32"/>
        <v>5571.7</v>
      </c>
      <c r="T87" s="1802">
        <f>ROUND(SUM(T85+T83+T41),1)</f>
        <v>7829.8</v>
      </c>
      <c r="V87" s="1802">
        <f>ROUND(SUM(V85+V83+V41),1)</f>
        <v>7947.4</v>
      </c>
      <c r="X87" s="1802">
        <f t="shared" si="32"/>
        <v>0</v>
      </c>
      <c r="Z87" s="1802">
        <f>ROUND(SUM(Z85+Z83+Z41),1)</f>
        <v>0</v>
      </c>
      <c r="AA87" s="1802"/>
      <c r="AB87" s="1802">
        <f>ROUND(SUM(AB85+AB83+AB41),1)</f>
        <v>0</v>
      </c>
      <c r="AC87" s="256"/>
      <c r="AD87" s="258"/>
      <c r="AE87" s="1802">
        <f>ROUND(SUM(AE85+AE83+AE41),1)</f>
        <v>62903.1</v>
      </c>
      <c r="AF87" s="256"/>
      <c r="AG87" s="258"/>
      <c r="AH87" s="1802">
        <f>ROUND(SUM(AH85+AH83+AH41),1)</f>
        <v>60326.5</v>
      </c>
      <c r="AI87" s="520"/>
      <c r="AJ87" s="272"/>
      <c r="AK87" s="270">
        <f>ROUND(SUM(AK85+AK83+AK41),1)</f>
        <v>2576.6</v>
      </c>
      <c r="AL87" s="522"/>
      <c r="AM87" s="1850">
        <f>ROUND(SUM(+AK87/AH87),3)</f>
        <v>4.2999999999999997E-2</v>
      </c>
    </row>
    <row r="88" spans="1:46" ht="15" customHeight="1">
      <c r="A88" s="223"/>
      <c r="B88" s="223"/>
      <c r="C88" s="223"/>
      <c r="D88" s="287"/>
      <c r="F88" s="287"/>
      <c r="H88" s="287"/>
      <c r="J88" s="287"/>
      <c r="L88" s="287"/>
      <c r="N88" s="287"/>
      <c r="P88" s="287"/>
      <c r="R88" s="287"/>
      <c r="T88" s="287"/>
      <c r="V88" s="287"/>
      <c r="X88" s="287"/>
      <c r="Z88" s="287"/>
      <c r="AA88" s="248"/>
      <c r="AB88" s="287"/>
      <c r="AC88" s="260"/>
      <c r="AD88" s="249"/>
      <c r="AE88" s="287"/>
      <c r="AF88" s="260"/>
      <c r="AG88" s="249"/>
      <c r="AH88" s="287"/>
      <c r="AI88" s="513"/>
      <c r="AJ88" s="248"/>
      <c r="AK88" s="1146"/>
      <c r="AM88" s="1847"/>
    </row>
    <row r="89" spans="1:46" ht="15" customHeight="1">
      <c r="A89" s="223"/>
      <c r="B89" s="374" t="s">
        <v>23</v>
      </c>
      <c r="C89" s="223"/>
      <c r="D89" s="260"/>
      <c r="F89" s="260"/>
      <c r="H89" s="260"/>
      <c r="J89" s="260"/>
      <c r="L89" s="260"/>
      <c r="N89" s="260"/>
      <c r="P89" s="260"/>
      <c r="R89" s="260"/>
      <c r="T89" s="260"/>
      <c r="V89" s="260"/>
      <c r="X89" s="260"/>
      <c r="Z89" s="260"/>
      <c r="AA89" s="260"/>
      <c r="AB89" s="260"/>
      <c r="AC89" s="260"/>
      <c r="AD89" s="249"/>
      <c r="AE89" s="260"/>
      <c r="AF89" s="1562"/>
      <c r="AG89" s="1559"/>
      <c r="AH89" s="260"/>
      <c r="AI89" s="513"/>
      <c r="AJ89" s="248"/>
      <c r="AK89" s="1146"/>
      <c r="AM89" s="1847"/>
    </row>
    <row r="90" spans="1:46" ht="15" customHeight="1">
      <c r="A90" s="223"/>
      <c r="B90" s="1321" t="s">
        <v>156</v>
      </c>
      <c r="C90" s="223"/>
      <c r="D90" s="260"/>
      <c r="F90" s="273"/>
      <c r="H90" s="317"/>
      <c r="J90" s="317"/>
      <c r="L90" s="317"/>
      <c r="N90" s="317"/>
      <c r="P90" s="317"/>
      <c r="R90" s="273"/>
      <c r="T90" s="273"/>
      <c r="V90" s="273"/>
      <c r="X90" s="260"/>
      <c r="Z90" s="516"/>
      <c r="AA90" s="516"/>
      <c r="AB90" s="516"/>
      <c r="AC90" s="260"/>
      <c r="AD90" s="249"/>
      <c r="AE90" s="260"/>
      <c r="AF90" s="260"/>
      <c r="AG90" s="249"/>
      <c r="AH90" s="317"/>
      <c r="AI90" s="513"/>
      <c r="AJ90" s="248"/>
      <c r="AK90" s="1146"/>
      <c r="AM90" s="1241"/>
    </row>
    <row r="91" spans="1:46" ht="15" customHeight="1">
      <c r="A91" s="223"/>
      <c r="B91" s="380" t="s">
        <v>25</v>
      </c>
      <c r="C91" s="223"/>
      <c r="D91" s="1299">
        <f>+'Exhibit G state'!D92+'Exhibit G Federal'!D61</f>
        <v>269.79999999999995</v>
      </c>
      <c r="E91" s="1299"/>
      <c r="F91" s="1299">
        <f>+'Exhibit G state'!F92+'Exhibit G Federal'!F61</f>
        <v>282.89999999999998</v>
      </c>
      <c r="G91" s="1299"/>
      <c r="H91" s="1299">
        <f>+'Exhibit G state'!H92+'Exhibit G Federal'!H61</f>
        <v>1018.1</v>
      </c>
      <c r="J91" s="1299">
        <f>+'Exhibit G state'!J92+'Exhibit G Federal'!J61</f>
        <v>167.5</v>
      </c>
      <c r="L91" s="1299">
        <f>+'Exhibit G state'!L92+'Exhibit G Federal'!L61</f>
        <v>192.9</v>
      </c>
      <c r="N91" s="1299">
        <f>+'Exhibit G state'!N92+'Exhibit G Federal'!N61</f>
        <v>2388.4</v>
      </c>
      <c r="P91" s="1299">
        <f>+'Exhibit G state'!P92+'Exhibit G Federal'!P61</f>
        <v>494.70000000000005</v>
      </c>
      <c r="R91" s="1299">
        <f>+'Exhibit G state'!R92+'Exhibit G Federal'!R61</f>
        <v>332.7</v>
      </c>
      <c r="T91" s="1299">
        <f>+'Exhibit G state'!T92+'Exhibit G Federal'!T61</f>
        <v>432.5</v>
      </c>
      <c r="V91" s="1299">
        <f>+'Exhibit G state'!V92+'Exhibit G Federal'!V61</f>
        <v>2575.9</v>
      </c>
      <c r="X91" s="2045"/>
      <c r="Z91" s="2045"/>
      <c r="AA91" s="2045"/>
      <c r="AB91" s="2045">
        <v>0</v>
      </c>
      <c r="AC91" s="260"/>
      <c r="AD91" s="249"/>
      <c r="AE91" s="260">
        <f>ROUND(SUM(D91:AB91),1)</f>
        <v>8155.4</v>
      </c>
      <c r="AF91" s="260"/>
      <c r="AG91" s="249"/>
      <c r="AH91" s="261">
        <f>'Exhibit G state'!AF92+'Exhibit G Federal'!AF61</f>
        <v>9202.7999999999993</v>
      </c>
      <c r="AI91" s="513"/>
      <c r="AJ91" s="248"/>
      <c r="AK91" s="1146">
        <f>ROUND(SUM(+AE91-AH91),1)</f>
        <v>-1047.4000000000001</v>
      </c>
      <c r="AL91" s="987"/>
      <c r="AM91" s="1780">
        <f>ROUND(IF(AH91=0,0,AK91/ABS(AH91)),3)</f>
        <v>-0.114</v>
      </c>
      <c r="AS91" s="340"/>
      <c r="AT91" s="473"/>
    </row>
    <row r="92" spans="1:46" ht="15" customHeight="1">
      <c r="A92" s="223"/>
      <c r="B92" s="380" t="s">
        <v>26</v>
      </c>
      <c r="C92" s="223"/>
      <c r="D92" s="1299">
        <f>+'Exhibit G state'!D93+'Exhibit G Federal'!D62</f>
        <v>0.6</v>
      </c>
      <c r="E92" s="1299"/>
      <c r="F92" s="1299">
        <f>+'Exhibit G state'!F93+'Exhibit G Federal'!F62</f>
        <v>0</v>
      </c>
      <c r="G92" s="1299"/>
      <c r="H92" s="1299">
        <f>+'Exhibit G state'!H93+'Exhibit G Federal'!H62</f>
        <v>0.89999999999999991</v>
      </c>
      <c r="J92" s="1299">
        <f>+'Exhibit G state'!J93+'Exhibit G Federal'!J62</f>
        <v>0.4</v>
      </c>
      <c r="L92" s="1299">
        <f>+'Exhibit G state'!L93+'Exhibit G Federal'!L62</f>
        <v>1.1000000000000001</v>
      </c>
      <c r="N92" s="1299">
        <f>+'Exhibit G state'!N93+'Exhibit G Federal'!N62</f>
        <v>0.5</v>
      </c>
      <c r="P92" s="1299">
        <f>+'Exhibit G state'!P93+'Exhibit G Federal'!P62</f>
        <v>0.1</v>
      </c>
      <c r="R92" s="1299">
        <f>+'Exhibit G state'!R93+'Exhibit G Federal'!R62</f>
        <v>0.4</v>
      </c>
      <c r="T92" s="1299">
        <f>+'Exhibit G state'!T93+'Exhibit G Federal'!T62</f>
        <v>1.4000000000000001</v>
      </c>
      <c r="V92" s="1299">
        <f>+'Exhibit G state'!V93+'Exhibit G Federal'!V62</f>
        <v>0.6</v>
      </c>
      <c r="X92" s="2045"/>
      <c r="Z92" s="2045"/>
      <c r="AA92" s="2045"/>
      <c r="AB92" s="2045">
        <v>0</v>
      </c>
      <c r="AC92" s="260"/>
      <c r="AD92" s="249"/>
      <c r="AE92" s="260">
        <f t="shared" ref="AE92:AE93" si="35">ROUND(SUM(D92:AB92),1)</f>
        <v>6</v>
      </c>
      <c r="AF92" s="260"/>
      <c r="AG92" s="249"/>
      <c r="AH92" s="261">
        <f>'Exhibit G state'!AF93+'Exhibit G Federal'!AF62</f>
        <v>7</v>
      </c>
      <c r="AI92" s="513"/>
      <c r="AJ92" s="248"/>
      <c r="AK92" s="1146">
        <f>ROUND(SUM(+AE92-AH92),1)</f>
        <v>-1</v>
      </c>
      <c r="AL92" s="987"/>
      <c r="AM92" s="1780">
        <f>ROUND(IF(AH92=0,0,AK92/ABS(AH92)),3)</f>
        <v>-0.14299999999999999</v>
      </c>
      <c r="AS92" s="473"/>
      <c r="AT92" s="473"/>
    </row>
    <row r="93" spans="1:46" ht="15" customHeight="1">
      <c r="A93" s="223"/>
      <c r="B93" s="380" t="s">
        <v>27</v>
      </c>
      <c r="C93" s="223"/>
      <c r="D93" s="1299">
        <f>+'Exhibit G state'!D94+'Exhibit G Federal'!D63</f>
        <v>10.5</v>
      </c>
      <c r="E93" s="1299"/>
      <c r="F93" s="1299">
        <f>+'Exhibit G state'!F94+'Exhibit G Federal'!F63</f>
        <v>21.2</v>
      </c>
      <c r="G93" s="1299"/>
      <c r="H93" s="1299">
        <f>+'Exhibit G state'!H94+'Exhibit G Federal'!H63</f>
        <v>32.400000000000006</v>
      </c>
      <c r="J93" s="1299">
        <f>+'Exhibit G state'!J94+'Exhibit G Federal'!J63</f>
        <v>19.399999999999999</v>
      </c>
      <c r="L93" s="1299">
        <f>+'Exhibit G state'!L94+'Exhibit G Federal'!L63</f>
        <v>37.1</v>
      </c>
      <c r="N93" s="1299">
        <f>+'Exhibit G state'!N94+'Exhibit G Federal'!N63</f>
        <v>5.2</v>
      </c>
      <c r="P93" s="1299">
        <f>+'Exhibit G state'!P94+'Exhibit G Federal'!P63</f>
        <v>22.9</v>
      </c>
      <c r="R93" s="1299">
        <f>+'Exhibit G state'!R94+'Exhibit G Federal'!R63</f>
        <v>10.1</v>
      </c>
      <c r="T93" s="1299">
        <f>+'Exhibit G state'!T94+'Exhibit G Federal'!T63</f>
        <v>14.1</v>
      </c>
      <c r="V93" s="1299">
        <f>+'Exhibit G state'!V94+'Exhibit G Federal'!V63</f>
        <v>20.3</v>
      </c>
      <c r="X93" s="2045"/>
      <c r="Z93" s="2045"/>
      <c r="AA93" s="2045"/>
      <c r="AB93" s="2045">
        <v>0</v>
      </c>
      <c r="AC93" s="260"/>
      <c r="AD93" s="249"/>
      <c r="AE93" s="260">
        <f t="shared" si="35"/>
        <v>193.2</v>
      </c>
      <c r="AF93" s="260"/>
      <c r="AG93" s="249"/>
      <c r="AH93" s="261">
        <f>'Exhibit G state'!AF94+'Exhibit G Federal'!AF63</f>
        <v>189.6</v>
      </c>
      <c r="AI93" s="513"/>
      <c r="AJ93" s="248"/>
      <c r="AK93" s="1146">
        <f>ROUND(SUM(+AE93-AH93),1)</f>
        <v>3.6</v>
      </c>
      <c r="AL93" s="987"/>
      <c r="AM93" s="1780">
        <f>ROUND(IF(AH93=0,0,AK93/ABS(AH93)),3)</f>
        <v>1.9E-2</v>
      </c>
      <c r="AS93" s="473"/>
      <c r="AT93" s="473"/>
    </row>
    <row r="94" spans="1:46" ht="15" customHeight="1">
      <c r="A94" s="223"/>
      <c r="B94" s="380" t="s">
        <v>28</v>
      </c>
      <c r="C94" s="223"/>
      <c r="D94" s="248"/>
      <c r="F94" s="248"/>
      <c r="H94" s="248"/>
      <c r="J94" s="1299"/>
      <c r="L94" s="1299"/>
      <c r="N94" s="1299"/>
      <c r="P94" s="1299"/>
      <c r="R94" s="1299"/>
      <c r="T94" s="1824"/>
      <c r="V94" s="1824"/>
      <c r="X94" s="2045"/>
      <c r="Z94" s="2045"/>
      <c r="AA94" s="2045"/>
      <c r="AB94" s="2045"/>
      <c r="AC94" s="260"/>
      <c r="AD94" s="249"/>
      <c r="AE94" s="260"/>
      <c r="AF94" s="260"/>
      <c r="AG94" s="249"/>
      <c r="AH94" s="261"/>
      <c r="AI94" s="513"/>
      <c r="AJ94" s="248"/>
      <c r="AK94" s="1146" t="s">
        <v>15</v>
      </c>
      <c r="AL94" s="1240" t="s">
        <v>15</v>
      </c>
      <c r="AM94" s="1241" t="s">
        <v>15</v>
      </c>
      <c r="AS94" s="340"/>
      <c r="AT94" s="340"/>
    </row>
    <row r="95" spans="1:46" ht="15" customHeight="1">
      <c r="A95" s="223"/>
      <c r="B95" s="1639" t="s">
        <v>29</v>
      </c>
      <c r="C95" s="223"/>
      <c r="D95" s="1299">
        <f>+'Exhibit G state'!D96+'Exhibit G Federal'!D65</f>
        <v>2579</v>
      </c>
      <c r="E95" s="1299"/>
      <c r="F95" s="1299">
        <f>+'Exhibit G state'!F96+'Exhibit G Federal'!F65</f>
        <v>3124.7</v>
      </c>
      <c r="G95" s="1299"/>
      <c r="H95" s="1299">
        <f>+'Exhibit G state'!H96+'Exhibit G Federal'!H65</f>
        <v>3433.8</v>
      </c>
      <c r="J95" s="1299">
        <f>+'Exhibit G state'!J96+'Exhibit G Federal'!J65</f>
        <v>3197.3999999999996</v>
      </c>
      <c r="L95" s="1299">
        <f>+'Exhibit G state'!L96+'Exhibit G Federal'!L65</f>
        <v>3433.7999999999997</v>
      </c>
      <c r="N95" s="1299">
        <f>+'Exhibit G state'!N96+'Exhibit G Federal'!N65</f>
        <v>2552</v>
      </c>
      <c r="P95" s="1299">
        <f>+'Exhibit G state'!P96+'Exhibit G Federal'!P65</f>
        <v>2733.8</v>
      </c>
      <c r="R95" s="1299">
        <f>+'Exhibit G state'!R96+'Exhibit G Federal'!R65</f>
        <v>3959.9</v>
      </c>
      <c r="T95" s="1299">
        <f>+'Exhibit G state'!T96+'Exhibit G Federal'!T65</f>
        <v>3191.7999999999997</v>
      </c>
      <c r="V95" s="1299">
        <f>+'Exhibit G state'!V96+'Exhibit G Federal'!V65</f>
        <v>3284.3</v>
      </c>
      <c r="X95" s="2045"/>
      <c r="Z95" s="2045"/>
      <c r="AA95" s="2045"/>
      <c r="AB95" s="2045">
        <v>0</v>
      </c>
      <c r="AC95" s="260"/>
      <c r="AD95" s="249"/>
      <c r="AE95" s="260">
        <f>ROUND(SUM(D95:AB95),1)</f>
        <v>31490.5</v>
      </c>
      <c r="AF95" s="260"/>
      <c r="AG95" s="249"/>
      <c r="AH95" s="261">
        <f>'Exhibit G state'!AF96+'Exhibit G Federal'!AF65</f>
        <v>29857.4</v>
      </c>
      <c r="AI95" s="513"/>
      <c r="AJ95" s="248"/>
      <c r="AK95" s="1146">
        <f t="shared" ref="AK95:AK100" si="36">ROUND(SUM(+AE95-AH95),1)</f>
        <v>1633.1</v>
      </c>
      <c r="AL95" s="987"/>
      <c r="AM95" s="1780">
        <f t="shared" ref="AM95:AM100" si="37">ROUND(IF(AH95=0,0,AK95/ABS(AH95)),3)</f>
        <v>5.5E-2</v>
      </c>
      <c r="AS95" s="340"/>
      <c r="AT95" s="340"/>
    </row>
    <row r="96" spans="1:46" ht="15" customHeight="1">
      <c r="A96" s="223"/>
      <c r="B96" s="380" t="s">
        <v>30</v>
      </c>
      <c r="C96" s="223"/>
      <c r="D96" s="1299">
        <f>+'Exhibit G state'!D97+'Exhibit G Federal'!D66</f>
        <v>570</v>
      </c>
      <c r="E96" s="1299"/>
      <c r="F96" s="1299">
        <f>+'Exhibit G state'!F97+'Exhibit G Federal'!F66</f>
        <v>452.20000000000005</v>
      </c>
      <c r="G96" s="1299"/>
      <c r="H96" s="1299">
        <f>+'Exhibit G state'!H97+'Exhibit G Federal'!H66</f>
        <v>578.6</v>
      </c>
      <c r="J96" s="1299">
        <f>+'Exhibit G state'!J97+'Exhibit G Federal'!J66</f>
        <v>652.1</v>
      </c>
      <c r="L96" s="1299">
        <f>+'Exhibit G state'!L97+'Exhibit G Federal'!L66</f>
        <v>527.29999999999995</v>
      </c>
      <c r="N96" s="1299">
        <f>+'Exhibit G state'!N97+'Exhibit G Federal'!N66</f>
        <v>676.5</v>
      </c>
      <c r="P96" s="1299">
        <f>+'Exhibit G state'!P97+'Exhibit G Federal'!P66</f>
        <v>601.5</v>
      </c>
      <c r="R96" s="1299">
        <f>+'Exhibit G state'!R97+'Exhibit G Federal'!R66</f>
        <v>504.2</v>
      </c>
      <c r="T96" s="1299">
        <f>+'Exhibit G state'!T97+'Exhibit G Federal'!T66</f>
        <v>872.7</v>
      </c>
      <c r="V96" s="1299">
        <f>+'Exhibit G state'!V97+'Exhibit G Federal'!V66</f>
        <v>575.70000000000005</v>
      </c>
      <c r="X96" s="2045"/>
      <c r="Z96" s="2045"/>
      <c r="AA96" s="2045"/>
      <c r="AB96" s="2045">
        <v>0</v>
      </c>
      <c r="AC96" s="260"/>
      <c r="AD96" s="249"/>
      <c r="AE96" s="260">
        <f t="shared" ref="AE96:AE99" si="38">ROUND(SUM(D96:AB96),1)</f>
        <v>6010.8</v>
      </c>
      <c r="AF96" s="260"/>
      <c r="AG96" s="249"/>
      <c r="AH96" s="261">
        <f>'Exhibit G state'!AF97+'Exhibit G Federal'!AF66</f>
        <v>4467.8</v>
      </c>
      <c r="AI96" s="513"/>
      <c r="AJ96" s="248"/>
      <c r="AK96" s="1146">
        <f t="shared" si="36"/>
        <v>1543</v>
      </c>
      <c r="AL96" s="987"/>
      <c r="AM96" s="1780">
        <f t="shared" si="37"/>
        <v>0.34499999999999997</v>
      </c>
      <c r="AS96" s="340"/>
      <c r="AT96" s="340"/>
    </row>
    <row r="97" spans="1:47" ht="15" customHeight="1">
      <c r="A97" s="223"/>
      <c r="B97" s="380" t="s">
        <v>31</v>
      </c>
      <c r="C97" s="223"/>
      <c r="D97" s="1299">
        <f>+'Exhibit G state'!D98+'Exhibit G Federal'!D67</f>
        <v>85</v>
      </c>
      <c r="E97" s="1299"/>
      <c r="F97" s="1299">
        <f>+'Exhibit G state'!F98+'Exhibit G Federal'!F67</f>
        <v>141.1</v>
      </c>
      <c r="G97" s="1299"/>
      <c r="H97" s="1299">
        <f>+'Exhibit G state'!H98+'Exhibit G Federal'!H67</f>
        <v>99</v>
      </c>
      <c r="J97" s="1299">
        <f>+'Exhibit G state'!J98+'Exhibit G Federal'!J67</f>
        <v>119.60000000000001</v>
      </c>
      <c r="L97" s="1299">
        <f>+'Exhibit G state'!L98+'Exhibit G Federal'!L67</f>
        <v>200</v>
      </c>
      <c r="N97" s="1299">
        <f>+'Exhibit G state'!N98+'Exhibit G Federal'!N67</f>
        <v>109.2</v>
      </c>
      <c r="P97" s="1299">
        <f>+'Exhibit G state'!P98+'Exhibit G Federal'!P67</f>
        <v>86.1</v>
      </c>
      <c r="R97" s="1299">
        <f>+'Exhibit G state'!R98+'Exhibit G Federal'!R67</f>
        <v>158</v>
      </c>
      <c r="T97" s="1299">
        <f>+'Exhibit G state'!T98+'Exhibit G Federal'!T67</f>
        <v>176.70000000000002</v>
      </c>
      <c r="V97" s="1299">
        <f>+'Exhibit G state'!V98+'Exhibit G Federal'!V67</f>
        <v>148.5</v>
      </c>
      <c r="X97" s="2045"/>
      <c r="Z97" s="2045"/>
      <c r="AA97" s="2045"/>
      <c r="AB97" s="2045">
        <v>0</v>
      </c>
      <c r="AC97" s="260"/>
      <c r="AD97" s="249"/>
      <c r="AE97" s="260">
        <f t="shared" si="38"/>
        <v>1323.2</v>
      </c>
      <c r="AF97" s="260"/>
      <c r="AG97" s="249"/>
      <c r="AH97" s="261">
        <f>'Exhibit G state'!AF98+'Exhibit G Federal'!AF67</f>
        <v>1572.3</v>
      </c>
      <c r="AI97" s="513"/>
      <c r="AJ97" s="248"/>
      <c r="AK97" s="1146">
        <f t="shared" si="36"/>
        <v>-249.1</v>
      </c>
      <c r="AL97" s="987"/>
      <c r="AM97" s="1780">
        <f t="shared" si="37"/>
        <v>-0.158</v>
      </c>
      <c r="AS97" s="340"/>
      <c r="AT97" s="340"/>
    </row>
    <row r="98" spans="1:47" ht="15" customHeight="1">
      <c r="A98" s="223"/>
      <c r="B98" s="380" t="s">
        <v>32</v>
      </c>
      <c r="C98" s="223"/>
      <c r="D98" s="1299">
        <f>+'Exhibit G state'!D99+'Exhibit G Federal'!D68</f>
        <v>247.20000000000002</v>
      </c>
      <c r="E98" s="1299"/>
      <c r="F98" s="1299">
        <f>+'Exhibit G state'!F99+'Exhibit G Federal'!F68</f>
        <v>283.2</v>
      </c>
      <c r="G98" s="1299"/>
      <c r="H98" s="1299">
        <f>+'Exhibit G state'!H99+'Exhibit G Federal'!H68</f>
        <v>327.39999999999998</v>
      </c>
      <c r="J98" s="1299">
        <f>+'Exhibit G state'!J99+'Exhibit G Federal'!J68</f>
        <v>272.90000000000003</v>
      </c>
      <c r="L98" s="1299">
        <f>+'Exhibit G state'!L99+'Exhibit G Federal'!L68</f>
        <v>341.6</v>
      </c>
      <c r="N98" s="1299">
        <f>+'Exhibit G state'!N99+'Exhibit G Federal'!N68</f>
        <v>978.5</v>
      </c>
      <c r="P98" s="1299">
        <f>+'Exhibit G state'!P99+'Exhibit G Federal'!P68</f>
        <v>270.5</v>
      </c>
      <c r="R98" s="1299">
        <f>+'Exhibit G state'!R99+'Exhibit G Federal'!R68</f>
        <v>258.29999999999995</v>
      </c>
      <c r="T98" s="1299">
        <f>+'Exhibit G state'!T99+'Exhibit G Federal'!T68</f>
        <v>390.90000000000003</v>
      </c>
      <c r="V98" s="1299">
        <f>+'Exhibit G state'!V99+'Exhibit G Federal'!V68</f>
        <v>182.5</v>
      </c>
      <c r="X98" s="2045"/>
      <c r="Z98" s="2045"/>
      <c r="AA98" s="2045"/>
      <c r="AB98" s="2045">
        <v>0</v>
      </c>
      <c r="AC98" s="260"/>
      <c r="AD98" s="249"/>
      <c r="AE98" s="260">
        <f t="shared" si="38"/>
        <v>3553</v>
      </c>
      <c r="AF98" s="260"/>
      <c r="AG98" s="249"/>
      <c r="AH98" s="261">
        <f>'Exhibit G state'!AF99+'Exhibit G Federal'!AF68</f>
        <v>3831</v>
      </c>
      <c r="AI98" s="513"/>
      <c r="AJ98" s="248"/>
      <c r="AK98" s="1146">
        <f t="shared" si="36"/>
        <v>-278</v>
      </c>
      <c r="AL98" s="987"/>
      <c r="AM98" s="1780">
        <f t="shared" si="37"/>
        <v>-7.2999999999999995E-2</v>
      </c>
      <c r="AS98" s="340"/>
      <c r="AT98" s="340"/>
    </row>
    <row r="99" spans="1:47" ht="15" customHeight="1">
      <c r="A99" s="223"/>
      <c r="B99" s="380" t="s">
        <v>33</v>
      </c>
      <c r="C99" s="223"/>
      <c r="D99" s="1299">
        <f>+'Exhibit G state'!D100+'Exhibit G Federal'!D69</f>
        <v>0.1</v>
      </c>
      <c r="E99" s="1299"/>
      <c r="F99" s="1299">
        <f>+'Exhibit G state'!F100+'Exhibit G Federal'!F69</f>
        <v>1.2</v>
      </c>
      <c r="G99" s="1299"/>
      <c r="H99" s="1299">
        <f>+'Exhibit G state'!H100+'Exhibit G Federal'!H69</f>
        <v>4.7</v>
      </c>
      <c r="J99" s="1299">
        <f>+'Exhibit G state'!J100+'Exhibit G Federal'!J69</f>
        <v>1.7</v>
      </c>
      <c r="L99" s="1299">
        <f>+'Exhibit G state'!L100+'Exhibit G Federal'!L69</f>
        <v>3.8</v>
      </c>
      <c r="N99" s="1299">
        <f>+'Exhibit G state'!N100+'Exhibit G Federal'!N69</f>
        <v>3.4</v>
      </c>
      <c r="P99" s="1299">
        <f>+'Exhibit G state'!P100+'Exhibit G Federal'!P69</f>
        <v>1</v>
      </c>
      <c r="R99" s="1299">
        <f>+'Exhibit G state'!R100+'Exhibit G Federal'!R69</f>
        <v>39.4</v>
      </c>
      <c r="T99" s="1299">
        <f>+'Exhibit G state'!T100+'Exhibit G Federal'!T69</f>
        <v>2.5</v>
      </c>
      <c r="V99" s="1299">
        <f>+'Exhibit G state'!V100+'Exhibit G Federal'!V69</f>
        <v>1.7000000000000002</v>
      </c>
      <c r="X99" s="2045"/>
      <c r="Z99" s="2045"/>
      <c r="AA99" s="2045"/>
      <c r="AB99" s="2045">
        <v>0</v>
      </c>
      <c r="AC99" s="260"/>
      <c r="AD99" s="249"/>
      <c r="AE99" s="260">
        <f t="shared" si="38"/>
        <v>59.5</v>
      </c>
      <c r="AF99" s="260"/>
      <c r="AG99" s="249"/>
      <c r="AH99" s="261">
        <f>'Exhibit G state'!AF100+'Exhibit G Federal'!AF69</f>
        <v>93.8</v>
      </c>
      <c r="AI99" s="513"/>
      <c r="AJ99" s="248"/>
      <c r="AK99" s="1146">
        <f t="shared" si="36"/>
        <v>-34.299999999999997</v>
      </c>
      <c r="AL99" s="987"/>
      <c r="AM99" s="1780">
        <f t="shared" si="37"/>
        <v>-0.36599999999999999</v>
      </c>
      <c r="AS99" s="473"/>
      <c r="AT99" s="473"/>
    </row>
    <row r="100" spans="1:47" ht="15" customHeight="1">
      <c r="A100" s="223"/>
      <c r="B100" s="380" t="s">
        <v>34</v>
      </c>
      <c r="C100" s="223"/>
      <c r="D100" s="1299">
        <f>+'Exhibit G state'!D101+'Exhibit G Federal'!D70</f>
        <v>198.2</v>
      </c>
      <c r="E100" s="1299"/>
      <c r="F100" s="1299">
        <f>+'Exhibit G state'!F101+'Exhibit G Federal'!F70</f>
        <v>461.40000000000003</v>
      </c>
      <c r="G100" s="1299"/>
      <c r="H100" s="1299">
        <f>+'Exhibit G state'!H101+'Exhibit G Federal'!H70</f>
        <v>522.1</v>
      </c>
      <c r="J100" s="1299">
        <f>+'Exhibit G state'!J101+'Exhibit G Federal'!J70</f>
        <v>310.40000000000003</v>
      </c>
      <c r="L100" s="1299">
        <f>+'Exhibit G state'!L101+'Exhibit G Federal'!L70</f>
        <v>472.6</v>
      </c>
      <c r="N100" s="1299">
        <f>+'Exhibit G state'!N101+'Exhibit G Federal'!N70</f>
        <v>432.9</v>
      </c>
      <c r="P100" s="1299">
        <f>+'Exhibit G state'!P101+'Exhibit G Federal'!P70</f>
        <v>379.7000000000001</v>
      </c>
      <c r="R100" s="1299">
        <f>+'Exhibit G state'!R101+'Exhibit G Federal'!R70</f>
        <v>603.1</v>
      </c>
      <c r="T100" s="1299">
        <f>+'Exhibit G state'!T101+'Exhibit G Federal'!T70</f>
        <v>879.69999999999993</v>
      </c>
      <c r="V100" s="1299">
        <f>+'Exhibit G state'!V101+'Exhibit G Federal'!V70</f>
        <v>210.5</v>
      </c>
      <c r="X100" s="2045"/>
      <c r="Z100" s="2045"/>
      <c r="AA100" s="2045"/>
      <c r="AB100" s="2045">
        <v>0</v>
      </c>
      <c r="AC100" s="260"/>
      <c r="AD100" s="249"/>
      <c r="AE100" s="248">
        <f>ROUND(SUM(D100:AB100),1)</f>
        <v>4470.6000000000004</v>
      </c>
      <c r="AF100" s="260"/>
      <c r="AG100" s="249"/>
      <c r="AH100" s="261">
        <f>'Exhibit G state'!AF101+'Exhibit G Federal'!AF70</f>
        <v>4179</v>
      </c>
      <c r="AI100" s="513"/>
      <c r="AJ100" s="248"/>
      <c r="AK100" s="1823">
        <f t="shared" si="36"/>
        <v>291.60000000000002</v>
      </c>
      <c r="AL100" s="987"/>
      <c r="AM100" s="2682">
        <f t="shared" si="37"/>
        <v>7.0000000000000007E-2</v>
      </c>
      <c r="AN100" s="2732"/>
      <c r="AS100" s="316"/>
      <c r="AT100" s="316"/>
      <c r="AU100" s="229"/>
    </row>
    <row r="101" spans="1:47" ht="15" customHeight="1">
      <c r="A101" s="223"/>
      <c r="B101" s="221" t="s">
        <v>1318</v>
      </c>
      <c r="C101" s="223"/>
      <c r="D101" s="255">
        <f>ROUND(SUM(D91:D100),1)</f>
        <v>3960.4</v>
      </c>
      <c r="F101" s="255">
        <f t="shared" ref="F101:X101" si="39">ROUND(SUM(F91:F100),1)</f>
        <v>4767.8999999999996</v>
      </c>
      <c r="H101" s="255">
        <f t="shared" si="39"/>
        <v>6017</v>
      </c>
      <c r="J101" s="255">
        <f t="shared" si="39"/>
        <v>4741.3999999999996</v>
      </c>
      <c r="L101" s="255">
        <f t="shared" ref="L101:N101" si="40">ROUND(SUM(L91:L100),1)</f>
        <v>5210.2</v>
      </c>
      <c r="N101" s="255">
        <f t="shared" si="40"/>
        <v>7146.6</v>
      </c>
      <c r="P101" s="255">
        <f t="shared" ref="P101" si="41">ROUND(SUM(P91:P100),1)</f>
        <v>4590.3</v>
      </c>
      <c r="R101" s="255">
        <f t="shared" si="39"/>
        <v>5866.1</v>
      </c>
      <c r="T101" s="255">
        <f>ROUND(SUM(T91:T100),1)</f>
        <v>5962.3</v>
      </c>
      <c r="V101" s="255">
        <f>ROUND(SUM(V91:V100),1)</f>
        <v>7000</v>
      </c>
      <c r="X101" s="255">
        <f t="shared" si="39"/>
        <v>0</v>
      </c>
      <c r="Z101" s="255">
        <f>ROUND(SUM(Z91:Z100),1)</f>
        <v>0</v>
      </c>
      <c r="AA101" s="2926"/>
      <c r="AB101" s="255">
        <f>ROUND(SUM(AB91:AB100),1)</f>
        <v>0</v>
      </c>
      <c r="AC101" s="256"/>
      <c r="AD101" s="258"/>
      <c r="AE101" s="255">
        <f>ROUND(SUM(AE91:AE100),1)</f>
        <v>55262.2</v>
      </c>
      <c r="AF101" s="256"/>
      <c r="AG101" s="258"/>
      <c r="AH101" s="525">
        <f>ROUND(SUM(AH91:AH100),1)</f>
        <v>53400.7</v>
      </c>
      <c r="AI101" s="520"/>
      <c r="AJ101" s="272"/>
      <c r="AK101" s="255">
        <f>ROUND(SUM(AK91:AK100),1)</f>
        <v>1861.5</v>
      </c>
      <c r="AL101" s="367"/>
      <c r="AM101" s="1850">
        <f>ROUND(SUM(+AK101/AH101),3)</f>
        <v>3.5000000000000003E-2</v>
      </c>
      <c r="AS101" s="229"/>
      <c r="AT101" s="316"/>
      <c r="AU101" s="229"/>
    </row>
    <row r="102" spans="1:47" ht="15" customHeight="1">
      <c r="A102" s="223"/>
      <c r="B102" s="223" t="s">
        <v>175</v>
      </c>
      <c r="C102" s="223"/>
      <c r="D102" s="260"/>
      <c r="F102" s="260"/>
      <c r="H102" s="260"/>
      <c r="J102" s="260"/>
      <c r="L102" s="260"/>
      <c r="N102" s="260"/>
      <c r="P102" s="260"/>
      <c r="R102" s="260"/>
      <c r="T102" s="260"/>
      <c r="V102" s="260"/>
      <c r="X102" s="260"/>
      <c r="Z102" s="317"/>
      <c r="AA102" s="317"/>
      <c r="AB102" s="317"/>
      <c r="AC102" s="260"/>
      <c r="AD102" s="249"/>
      <c r="AE102" s="260"/>
      <c r="AF102" s="260"/>
      <c r="AG102" s="249"/>
      <c r="AH102" s="260"/>
      <c r="AI102" s="513"/>
      <c r="AJ102" s="248"/>
      <c r="AK102" s="1146"/>
      <c r="AM102" s="1847"/>
      <c r="AT102" s="340"/>
    </row>
    <row r="103" spans="1:47" ht="15" customHeight="1">
      <c r="A103" s="223"/>
      <c r="B103" s="223" t="s">
        <v>158</v>
      </c>
      <c r="C103" s="223"/>
      <c r="D103" s="1299">
        <f>+'Exhibit G state'!D104+'Exhibit G Federal'!D73</f>
        <v>599.9</v>
      </c>
      <c r="E103" s="1299"/>
      <c r="F103" s="1299">
        <f>+'Exhibit G state'!F104+'Exhibit G Federal'!F73</f>
        <v>572.40000000000009</v>
      </c>
      <c r="G103" s="1299"/>
      <c r="H103" s="1299">
        <f>+'Exhibit G state'!H104+'Exhibit G Federal'!H73</f>
        <v>776.8</v>
      </c>
      <c r="J103" s="1299">
        <f>+'Exhibit G state'!J104+'Exhibit G Federal'!J73</f>
        <v>568.79999999999995</v>
      </c>
      <c r="L103" s="1299">
        <f>+'Exhibit G state'!L104+'Exhibit G Federal'!L73</f>
        <v>603.80000000000007</v>
      </c>
      <c r="N103" s="1299">
        <f>+'Exhibit G state'!N104+'Exhibit G Federal'!N73</f>
        <v>681</v>
      </c>
      <c r="P103" s="1299">
        <f>+'Exhibit G state'!P104+'Exhibit G Federal'!P73</f>
        <v>576.80000000000007</v>
      </c>
      <c r="R103" s="1299">
        <f>+'Exhibit G state'!R104+'Exhibit G Federal'!R73</f>
        <v>783.1</v>
      </c>
      <c r="T103" s="1299">
        <f>+'Exhibit G state'!T104+'Exhibit G Federal'!T73</f>
        <v>590.99999999999966</v>
      </c>
      <c r="V103" s="1299">
        <f>+'Exhibit G state'!V104+'Exhibit G Federal'!V73</f>
        <v>607.59999999999991</v>
      </c>
      <c r="X103" s="2045"/>
      <c r="Z103" s="2045"/>
      <c r="AA103" s="2045"/>
      <c r="AB103" s="2045">
        <v>0</v>
      </c>
      <c r="AC103" s="260"/>
      <c r="AD103" s="249"/>
      <c r="AE103" s="260">
        <f>ROUND(SUM(D103:AB103),1)</f>
        <v>6361.2</v>
      </c>
      <c r="AF103" s="260"/>
      <c r="AG103" s="249"/>
      <c r="AH103" s="260">
        <f>'Exhibit G state'!AF104+'Exhibit G Federal'!AF73</f>
        <v>6293.5</v>
      </c>
      <c r="AI103" s="513"/>
      <c r="AJ103" s="248"/>
      <c r="AK103" s="1146">
        <f>ROUND(SUM(+AE103-AH103),1)</f>
        <v>67.7</v>
      </c>
      <c r="AL103" s="247"/>
      <c r="AM103" s="1780">
        <f>ROUND(IF(AH103=0,0,AK103/ABS(AH103)),3)</f>
        <v>1.0999999999999999E-2</v>
      </c>
    </row>
    <row r="104" spans="1:47" ht="15" customHeight="1">
      <c r="A104" s="223"/>
      <c r="B104" s="223" t="s">
        <v>176</v>
      </c>
      <c r="C104" s="223"/>
      <c r="D104" s="1299">
        <f>+'Exhibit G state'!D105+'Exhibit G Federal'!D74</f>
        <v>260.10000000000002</v>
      </c>
      <c r="E104" s="1299"/>
      <c r="F104" s="1299">
        <f>+'Exhibit G state'!F105+'Exhibit G Federal'!F74</f>
        <v>386.2</v>
      </c>
      <c r="G104" s="1299"/>
      <c r="H104" s="1299">
        <f>+'Exhibit G state'!H105+'Exhibit G Federal'!H74</f>
        <v>439.7</v>
      </c>
      <c r="J104" s="1299">
        <f>+'Exhibit G state'!J105+'Exhibit G Federal'!J74</f>
        <v>298.20000000000005</v>
      </c>
      <c r="L104" s="1299">
        <f>+'Exhibit G state'!L105+'Exhibit G Federal'!L74</f>
        <v>477.1</v>
      </c>
      <c r="N104" s="1299">
        <f>+'Exhibit G state'!N105+'Exhibit G Federal'!N74</f>
        <v>481.59999999999997</v>
      </c>
      <c r="P104" s="1299">
        <f>+'Exhibit G state'!P105+'Exhibit G Federal'!P74</f>
        <v>382.09999999999997</v>
      </c>
      <c r="R104" s="1299">
        <f>+'Exhibit G state'!R105+'Exhibit G Federal'!R74</f>
        <v>399.1</v>
      </c>
      <c r="T104" s="1299">
        <f>+'Exhibit G state'!T105+'Exhibit G Federal'!T74</f>
        <v>399.9</v>
      </c>
      <c r="V104" s="1299">
        <f>+'Exhibit G state'!V105+'Exhibit G Federal'!V74</f>
        <v>412</v>
      </c>
      <c r="X104" s="2045"/>
      <c r="Z104" s="2045"/>
      <c r="AA104" s="2045"/>
      <c r="AB104" s="2045">
        <v>0</v>
      </c>
      <c r="AC104" s="260"/>
      <c r="AD104" s="249"/>
      <c r="AE104" s="260">
        <f t="shared" ref="AE104:AE105" si="42">ROUND(SUM(D104:AB104),1)</f>
        <v>3936</v>
      </c>
      <c r="AF104" s="260"/>
      <c r="AG104" s="249"/>
      <c r="AH104" s="260">
        <f>'Exhibit G state'!AF105+'Exhibit G Federal'!AF74</f>
        <v>3828.3</v>
      </c>
      <c r="AI104" s="513"/>
      <c r="AJ104" s="248"/>
      <c r="AK104" s="1146">
        <f>ROUND(SUM(+AE104-AH104),1)</f>
        <v>107.7</v>
      </c>
      <c r="AL104" s="247"/>
      <c r="AM104" s="1780">
        <f>ROUND(IF(AH104=0,0,AK104/ABS(AH104)),3)</f>
        <v>2.8000000000000001E-2</v>
      </c>
    </row>
    <row r="105" spans="1:47" ht="15" customHeight="1">
      <c r="A105" s="223"/>
      <c r="B105" s="223" t="s">
        <v>177</v>
      </c>
      <c r="C105" s="223"/>
      <c r="D105" s="1299">
        <f>+'Exhibit G state'!D106+'Exhibit G Federal'!D75</f>
        <v>189.5</v>
      </c>
      <c r="E105" s="1299"/>
      <c r="F105" s="1299">
        <f>+'Exhibit G state'!F106+'Exhibit G Federal'!F75</f>
        <v>272.7</v>
      </c>
      <c r="G105" s="1299"/>
      <c r="H105" s="1299">
        <f>+'Exhibit G state'!H106+'Exhibit G Federal'!H75</f>
        <v>117.8</v>
      </c>
      <c r="J105" s="1299">
        <f>+'Exhibit G state'!J106+'Exhibit G Federal'!J75</f>
        <v>27.099999999999998</v>
      </c>
      <c r="L105" s="1299">
        <f>+'Exhibit G state'!L106+'Exhibit G Federal'!L75</f>
        <v>103.6</v>
      </c>
      <c r="N105" s="1299">
        <f>+'Exhibit G state'!N106+'Exhibit G Federal'!N75</f>
        <v>453.40000000000003</v>
      </c>
      <c r="P105" s="1299">
        <f>+'Exhibit G state'!P106+'Exhibit G Federal'!P75</f>
        <v>28.599999999999998</v>
      </c>
      <c r="R105" s="1299">
        <f>+'Exhibit G state'!R106+'Exhibit G Federal'!R75</f>
        <v>520.80000000000007</v>
      </c>
      <c r="T105" s="1299">
        <f>+'Exhibit G state'!T106+'Exhibit G Federal'!T75</f>
        <v>142.60000000000002</v>
      </c>
      <c r="V105" s="1299">
        <f>+'Exhibit G state'!V106+'Exhibit G Federal'!V75</f>
        <v>113.8</v>
      </c>
      <c r="X105" s="2045"/>
      <c r="Z105" s="2045"/>
      <c r="AA105" s="2045"/>
      <c r="AB105" s="2045">
        <v>0</v>
      </c>
      <c r="AC105" s="260"/>
      <c r="AD105" s="249"/>
      <c r="AE105" s="260">
        <f t="shared" si="42"/>
        <v>1969.9</v>
      </c>
      <c r="AF105" s="260"/>
      <c r="AG105" s="249"/>
      <c r="AH105" s="260">
        <f>'Exhibit G state'!AF106+'Exhibit G Federal'!AF75</f>
        <v>1714.1</v>
      </c>
      <c r="AI105" s="513"/>
      <c r="AJ105" s="248"/>
      <c r="AK105" s="1146">
        <f>ROUND(SUM(+AE105-AH105),1)</f>
        <v>255.8</v>
      </c>
      <c r="AL105" s="247"/>
      <c r="AM105" s="1780">
        <f>ROUND(IF(AH105=0,0,AK105/ABS(AH105)),3)</f>
        <v>0.14899999999999999</v>
      </c>
    </row>
    <row r="106" spans="1:47" ht="15" customHeight="1">
      <c r="A106" s="223"/>
      <c r="B106" s="223" t="s">
        <v>178</v>
      </c>
      <c r="C106" s="223"/>
      <c r="D106" s="1299">
        <f>+'Exhibit G state'!D107+'Exhibit G Federal'!D76</f>
        <v>0.1</v>
      </c>
      <c r="E106" s="1299"/>
      <c r="F106" s="1299">
        <f>+'Exhibit G state'!F107+'Exhibit G Federal'!F76</f>
        <v>0.1</v>
      </c>
      <c r="G106" s="1299"/>
      <c r="H106" s="1299">
        <f>+'Exhibit G state'!H107+'Exhibit G Federal'!H76</f>
        <v>0.2</v>
      </c>
      <c r="J106" s="1299">
        <f>+'Exhibit G state'!J107+'Exhibit G Federal'!J76</f>
        <v>0.2</v>
      </c>
      <c r="L106" s="1299">
        <f>+'Exhibit G state'!L107+'Exhibit G Federal'!L76</f>
        <v>0.2</v>
      </c>
      <c r="N106" s="1299">
        <f>+'Exhibit G state'!N107+'Exhibit G Federal'!N76</f>
        <v>1.6</v>
      </c>
      <c r="P106" s="1299">
        <f>+'Exhibit G state'!P107+'Exhibit G Federal'!P76</f>
        <v>0</v>
      </c>
      <c r="R106" s="1299">
        <f>+'Exhibit G state'!R107+'Exhibit G Federal'!R76</f>
        <v>0.1</v>
      </c>
      <c r="T106" s="1299">
        <f>+'Exhibit G state'!T107+'Exhibit G Federal'!T76</f>
        <v>0.2</v>
      </c>
      <c r="V106" s="1299">
        <f>+'Exhibit G state'!V107+'Exhibit G Federal'!V76</f>
        <v>0</v>
      </c>
      <c r="X106" s="2045"/>
      <c r="Z106" s="2045"/>
      <c r="AA106" s="2045"/>
      <c r="AB106" s="2045">
        <v>0</v>
      </c>
      <c r="AC106" s="260"/>
      <c r="AD106" s="249"/>
      <c r="AE106" s="260">
        <f>ROUND(SUM(D106:AB106),1)</f>
        <v>2.7</v>
      </c>
      <c r="AF106" s="260"/>
      <c r="AG106" s="249"/>
      <c r="AH106" s="260">
        <f>'Exhibit G state'!AF107+'Exhibit G Federal'!AF76</f>
        <v>1.3</v>
      </c>
      <c r="AI106" s="513"/>
      <c r="AJ106" s="248"/>
      <c r="AK106" s="1823">
        <f>ROUND(SUM(+AE106-AH106),1)</f>
        <v>1.4</v>
      </c>
      <c r="AL106" s="987"/>
      <c r="AM106" s="2679">
        <f>ROUND(IF(AH106=0,1,AK106/ABS(AH106)),3)</f>
        <v>1.077</v>
      </c>
    </row>
    <row r="107" spans="1:47" ht="15" customHeight="1">
      <c r="A107" s="223"/>
      <c r="B107" s="223"/>
      <c r="C107" s="223"/>
      <c r="D107" s="287"/>
      <c r="F107" s="287"/>
      <c r="H107" s="287"/>
      <c r="J107" s="287"/>
      <c r="L107" s="287"/>
      <c r="N107" s="287"/>
      <c r="P107" s="287"/>
      <c r="R107" s="287"/>
      <c r="T107" s="287"/>
      <c r="V107" s="287"/>
      <c r="X107" s="287"/>
      <c r="Z107" s="287"/>
      <c r="AA107" s="248"/>
      <c r="AB107" s="287"/>
      <c r="AC107" s="260"/>
      <c r="AD107" s="249"/>
      <c r="AE107" s="287"/>
      <c r="AF107" s="260"/>
      <c r="AG107" s="249"/>
      <c r="AH107" s="287"/>
      <c r="AI107" s="513"/>
      <c r="AJ107" s="248"/>
      <c r="AK107" s="2622"/>
      <c r="AM107" s="2627"/>
    </row>
    <row r="108" spans="1:47" ht="15" customHeight="1">
      <c r="A108" s="223"/>
      <c r="B108" s="221" t="s">
        <v>161</v>
      </c>
      <c r="C108" s="223"/>
      <c r="D108" s="256">
        <f>ROUND(SUM(D101:D106),1)</f>
        <v>5010</v>
      </c>
      <c r="F108" s="1802">
        <f t="shared" ref="F108:X108" si="43">ROUND(SUM(F101:F106),1)</f>
        <v>5999.3</v>
      </c>
      <c r="H108" s="1802">
        <f t="shared" si="43"/>
        <v>7351.5</v>
      </c>
      <c r="J108" s="1802">
        <f t="shared" si="43"/>
        <v>5635.7</v>
      </c>
      <c r="L108" s="1802">
        <f t="shared" ref="L108:N108" si="44">ROUND(SUM(L101:L106),1)</f>
        <v>6394.9</v>
      </c>
      <c r="N108" s="1802">
        <f t="shared" si="44"/>
        <v>8764.2000000000007</v>
      </c>
      <c r="P108" s="1802">
        <f t="shared" ref="P108" si="45">ROUND(SUM(P101:P106),1)</f>
        <v>5577.8</v>
      </c>
      <c r="R108" s="1802">
        <f t="shared" si="43"/>
        <v>7569.2</v>
      </c>
      <c r="T108" s="1802">
        <f>ROUND(SUM(T101:T106),1)</f>
        <v>7096</v>
      </c>
      <c r="V108" s="1802">
        <f>ROUND(SUM(V101:V106),1)</f>
        <v>8133.4</v>
      </c>
      <c r="X108" s="1802">
        <f t="shared" si="43"/>
        <v>0</v>
      </c>
      <c r="Z108" s="256">
        <f>ROUND(SUM(Z101:Z106),1)</f>
        <v>0</v>
      </c>
      <c r="AA108" s="1802"/>
      <c r="AB108" s="1802">
        <f>ROUND(SUM(AB101:AB106),1)</f>
        <v>0</v>
      </c>
      <c r="AC108" s="256"/>
      <c r="AD108" s="258"/>
      <c r="AE108" s="256">
        <f>ROUND(SUM(AE101:AE106),1)</f>
        <v>67532</v>
      </c>
      <c r="AF108" s="256"/>
      <c r="AG108" s="258"/>
      <c r="AH108" s="256">
        <f>ROUND(SUM(AH101:AH106),1)</f>
        <v>65237.9</v>
      </c>
      <c r="AI108" s="520"/>
      <c r="AJ108" s="272"/>
      <c r="AK108" s="270">
        <f>ROUND(SUM(AK101:AK106),1)</f>
        <v>2294.1</v>
      </c>
      <c r="AL108" s="412"/>
      <c r="AM108" s="1850">
        <f>ROUND(SUM(+AK108/AH108),3)</f>
        <v>3.5000000000000003E-2</v>
      </c>
    </row>
    <row r="109" spans="1:47" ht="15" customHeight="1">
      <c r="A109" s="223"/>
      <c r="B109" s="223"/>
      <c r="C109" s="223"/>
      <c r="D109" s="287"/>
      <c r="F109" s="287"/>
      <c r="H109" s="287"/>
      <c r="J109" s="287"/>
      <c r="L109" s="287"/>
      <c r="N109" s="287"/>
      <c r="P109" s="287"/>
      <c r="R109" s="287"/>
      <c r="T109" s="287"/>
      <c r="V109" s="287"/>
      <c r="X109" s="287"/>
      <c r="Z109" s="287"/>
      <c r="AA109" s="248"/>
      <c r="AB109" s="287"/>
      <c r="AC109" s="260"/>
      <c r="AD109" s="249"/>
      <c r="AE109" s="287"/>
      <c r="AF109" s="260"/>
      <c r="AG109" s="249"/>
      <c r="AH109" s="287"/>
      <c r="AI109" s="513"/>
      <c r="AJ109" s="248"/>
      <c r="AK109" s="1146"/>
      <c r="AM109" s="1847"/>
    </row>
    <row r="110" spans="1:47" ht="15" customHeight="1">
      <c r="A110" s="223"/>
      <c r="B110" s="221" t="s">
        <v>162</v>
      </c>
      <c r="C110" s="223"/>
      <c r="D110" s="260"/>
      <c r="F110" s="260"/>
      <c r="H110" s="260"/>
      <c r="J110" s="260"/>
      <c r="L110" s="260"/>
      <c r="N110" s="260"/>
      <c r="P110" s="260"/>
      <c r="R110" s="260"/>
      <c r="T110" s="260"/>
      <c r="V110" s="260"/>
      <c r="X110" s="260"/>
      <c r="Z110" s="260"/>
      <c r="AA110" s="260"/>
      <c r="AB110" s="260"/>
      <c r="AC110" s="260"/>
      <c r="AD110" s="249"/>
      <c r="AE110" s="260" t="s">
        <v>163</v>
      </c>
      <c r="AF110" s="1560"/>
      <c r="AG110" s="1561"/>
      <c r="AH110" s="260"/>
      <c r="AI110" s="527"/>
      <c r="AJ110" s="528"/>
      <c r="AK110" s="1146"/>
      <c r="AM110" s="1847"/>
    </row>
    <row r="111" spans="1:47" ht="15" customHeight="1">
      <c r="A111" s="223"/>
      <c r="B111" s="221" t="s">
        <v>45</v>
      </c>
      <c r="C111" s="223"/>
      <c r="D111" s="256">
        <f>ROUND(SUM(D87-D108),1)</f>
        <v>-192.6</v>
      </c>
      <c r="F111" s="1802">
        <f>ROUND(SUM(F87-F108),1)</f>
        <v>-301.39999999999998</v>
      </c>
      <c r="G111" s="1802">
        <f>ROUND(SUM(G87-G108),1)</f>
        <v>0</v>
      </c>
      <c r="H111" s="1802">
        <f>ROUND(SUM(H87-H108),1)</f>
        <v>122</v>
      </c>
      <c r="J111" s="1802">
        <f>ROUND(SUM(J87-J108),1)</f>
        <v>-589.9</v>
      </c>
      <c r="L111" s="1802">
        <f>ROUND(SUM(L87-L108),1)</f>
        <v>-602.6</v>
      </c>
      <c r="N111" s="1802">
        <f>ROUND(SUM(N87-N108),1)</f>
        <v>-1223.5</v>
      </c>
      <c r="P111" s="1802">
        <f>ROUND(SUM(P87-P108),1)</f>
        <v>-391.2</v>
      </c>
      <c r="R111" s="1802">
        <f>ROUND(SUM(R87-R108),1)</f>
        <v>-1997.5</v>
      </c>
      <c r="T111" s="1802">
        <f>ROUND(SUM(T87-T108),1)</f>
        <v>733.8</v>
      </c>
      <c r="V111" s="1802">
        <f>ROUND(SUM(V87-V108),1)</f>
        <v>-186</v>
      </c>
      <c r="X111" s="1802">
        <f>ROUND(SUM(X87-X108),1)</f>
        <v>0</v>
      </c>
      <c r="Z111" s="256">
        <f>ROUND(SUM(Z87-Z108),1)</f>
        <v>0</v>
      </c>
      <c r="AA111" s="1802"/>
      <c r="AB111" s="1802">
        <f>ROUND(SUM(AB87-AB108),1)</f>
        <v>0</v>
      </c>
      <c r="AC111" s="256"/>
      <c r="AD111" s="258"/>
      <c r="AE111" s="256">
        <f>ROUND(SUM(AE87-AE108),1)</f>
        <v>-4628.8999999999996</v>
      </c>
      <c r="AF111" s="256"/>
      <c r="AG111" s="258"/>
      <c r="AH111" s="256">
        <f>ROUND(SUM(AH87-AH108),1)</f>
        <v>-4911.3999999999996</v>
      </c>
      <c r="AI111" s="520"/>
      <c r="AJ111" s="272"/>
      <c r="AK111" s="1656">
        <f>ROUND(SUM(AK87-AK108),1)</f>
        <v>282.5</v>
      </c>
      <c r="AL111" s="411"/>
      <c r="AM111" s="1850">
        <f>ROUND(SUM(+AK111/ABS(AH111)),3)</f>
        <v>5.8000000000000003E-2</v>
      </c>
    </row>
    <row r="112" spans="1:47" ht="15" customHeight="1">
      <c r="A112" s="223"/>
      <c r="B112" s="223"/>
      <c r="C112" s="223"/>
      <c r="D112" s="287"/>
      <c r="F112" s="287"/>
      <c r="H112" s="287"/>
      <c r="J112" s="287"/>
      <c r="L112" s="287"/>
      <c r="N112" s="287"/>
      <c r="P112" s="287"/>
      <c r="R112" s="287"/>
      <c r="T112" s="287"/>
      <c r="V112" s="287"/>
      <c r="X112" s="287"/>
      <c r="Z112" s="287"/>
      <c r="AA112" s="248"/>
      <c r="AB112" s="287"/>
      <c r="AC112" s="260"/>
      <c r="AD112" s="249"/>
      <c r="AE112" s="287"/>
      <c r="AF112" s="260"/>
      <c r="AG112" s="249"/>
      <c r="AH112" s="287"/>
      <c r="AI112" s="513"/>
      <c r="AJ112" s="248"/>
      <c r="AK112" s="1146"/>
      <c r="AM112" s="1847"/>
    </row>
    <row r="113" spans="1:50" ht="15" customHeight="1">
      <c r="A113" s="223"/>
      <c r="B113" s="221" t="s">
        <v>46</v>
      </c>
      <c r="C113" s="223"/>
      <c r="D113" s="260"/>
      <c r="F113" s="260"/>
      <c r="H113" s="260"/>
      <c r="J113" s="260"/>
      <c r="L113" s="260"/>
      <c r="N113" s="260"/>
      <c r="P113" s="260"/>
      <c r="R113" s="260"/>
      <c r="T113" s="260"/>
      <c r="V113" s="260"/>
      <c r="X113" s="260"/>
      <c r="Z113" s="260"/>
      <c r="AA113" s="260"/>
      <c r="AB113" s="260"/>
      <c r="AC113" s="260"/>
      <c r="AD113" s="249"/>
      <c r="AE113" s="260"/>
      <c r="AF113" s="260"/>
      <c r="AG113" s="249"/>
      <c r="AH113" s="260"/>
      <c r="AI113" s="513"/>
      <c r="AJ113" s="248"/>
      <c r="AK113" s="1146"/>
      <c r="AM113" s="1847"/>
    </row>
    <row r="114" spans="1:50" ht="15" customHeight="1">
      <c r="A114" s="223"/>
      <c r="B114" s="223" t="s">
        <v>179</v>
      </c>
      <c r="C114" s="223"/>
      <c r="D114" s="1299">
        <f>'Exhibit G state'!D115+'Exhibit G Federal'!D84</f>
        <v>560</v>
      </c>
      <c r="E114" s="1299"/>
      <c r="F114" s="1299">
        <f>'Exhibit G state'!F115+'Exhibit G Federal'!F84</f>
        <v>1365.6</v>
      </c>
      <c r="G114" s="1299"/>
      <c r="H114" s="1299">
        <f>'Exhibit G state'!H115+'Exhibit G Federal'!H84</f>
        <v>755</v>
      </c>
      <c r="J114" s="1299">
        <f>'Exhibit G state'!J115+'Exhibit G Federal'!J84</f>
        <v>996.8</v>
      </c>
      <c r="L114" s="1299">
        <f>'Exhibit G state'!L115+'Exhibit G Federal'!L84</f>
        <v>708</v>
      </c>
      <c r="N114" s="1299">
        <f>'Exhibit G state'!N115+'Exhibit G Federal'!N84</f>
        <v>218.6</v>
      </c>
      <c r="P114" s="1299">
        <f>'Exhibit G state'!P115+'Exhibit G Federal'!P84</f>
        <v>677.4</v>
      </c>
      <c r="R114" s="1299">
        <f>'Exhibit G state'!R115+'Exhibit G Federal'!R84</f>
        <v>633.4</v>
      </c>
      <c r="T114" s="1299">
        <f>'Exhibit G state'!T115+'Exhibit G Federal'!T84</f>
        <v>655.6</v>
      </c>
      <c r="V114" s="1299">
        <f>'Exhibit G state'!V115+'Exhibit G Federal'!V84</f>
        <v>372.5</v>
      </c>
      <c r="X114" s="273"/>
      <c r="Z114" s="1317" t="s">
        <v>15</v>
      </c>
      <c r="AA114" s="1317"/>
      <c r="AB114" s="1317">
        <v>-393</v>
      </c>
      <c r="AC114" s="260"/>
      <c r="AD114" s="249"/>
      <c r="AE114" s="260">
        <f>ROUND(SUM(D114:AB114),1)</f>
        <v>6549.9</v>
      </c>
      <c r="AF114" s="260"/>
      <c r="AG114" s="249"/>
      <c r="AH114" s="260">
        <v>7497.7</v>
      </c>
      <c r="AI114" s="513"/>
      <c r="AJ114" s="248"/>
      <c r="AK114" s="1823">
        <f>ROUND(SUM(+AE114-AH114),1)</f>
        <v>-947.8</v>
      </c>
      <c r="AL114" s="987"/>
      <c r="AM114" s="1780">
        <f>ROUND(IF(AH114=0,0,AK114/ABS(AH114)),3)</f>
        <v>-0.126</v>
      </c>
    </row>
    <row r="115" spans="1:50" ht="15" customHeight="1">
      <c r="A115" s="223"/>
      <c r="B115" s="223" t="s">
        <v>180</v>
      </c>
      <c r="C115" s="223"/>
      <c r="D115" s="1299">
        <f>'Exhibit G state'!D116+'Exhibit G Federal'!D85</f>
        <v>-103.9</v>
      </c>
      <c r="E115" s="1299"/>
      <c r="F115" s="1299">
        <f>'Exhibit G state'!F116+'Exhibit G Federal'!F85</f>
        <v>-166.70000000000002</v>
      </c>
      <c r="G115" s="1299"/>
      <c r="H115" s="1299">
        <f>'Exhibit G state'!H116+'Exhibit G Federal'!H85</f>
        <v>-348.79999999999995</v>
      </c>
      <c r="J115" s="1299">
        <f>'Exhibit G state'!J116+'Exhibit G Federal'!J85</f>
        <v>-148.30000000000001</v>
      </c>
      <c r="L115" s="1299">
        <f>'Exhibit G state'!L116+'Exhibit G Federal'!L85</f>
        <v>-82.6</v>
      </c>
      <c r="N115" s="1299">
        <f>'Exhibit G state'!N116+'Exhibit G Federal'!N85</f>
        <v>-207</v>
      </c>
      <c r="P115" s="1299">
        <f>'Exhibit G state'!P116+'Exhibit G Federal'!P85</f>
        <v>-89.8</v>
      </c>
      <c r="R115" s="1299">
        <f>'Exhibit G state'!R116+'Exhibit G Federal'!R85</f>
        <v>-198.3</v>
      </c>
      <c r="T115" s="1299">
        <f>'Exhibit G state'!T116+'Exhibit G Federal'!T85</f>
        <v>-207.89999999999998</v>
      </c>
      <c r="V115" s="1299">
        <f>'Exhibit G state'!V116+'Exhibit G Federal'!V85</f>
        <v>-246.6</v>
      </c>
      <c r="X115" s="273"/>
      <c r="Z115" s="1317" t="s">
        <v>15</v>
      </c>
      <c r="AA115" s="1317"/>
      <c r="AB115" s="1317">
        <v>393</v>
      </c>
      <c r="AC115" s="260"/>
      <c r="AD115" s="249"/>
      <c r="AE115" s="260">
        <f>ROUND(SUM(D115:AB115),1)</f>
        <v>-1406.9</v>
      </c>
      <c r="AF115" s="260"/>
      <c r="AG115" s="249"/>
      <c r="AH115" s="317">
        <v>-1853.8</v>
      </c>
      <c r="AI115" s="513"/>
      <c r="AJ115" s="248"/>
      <c r="AK115" s="1823">
        <f>ROUND(SUM(+AE115-AH115)*-1,1)</f>
        <v>-446.9</v>
      </c>
      <c r="AL115" s="987"/>
      <c r="AM115" s="1780">
        <f>ROUND(IF(AH115=0,0,AK115/ABS(AH115)),3)</f>
        <v>-0.24099999999999999</v>
      </c>
    </row>
    <row r="116" spans="1:50" ht="15" customHeight="1">
      <c r="A116" s="223"/>
      <c r="B116" s="223"/>
      <c r="C116" s="223"/>
      <c r="D116" s="287"/>
      <c r="F116" s="287"/>
      <c r="H116" s="287"/>
      <c r="J116" s="287"/>
      <c r="L116" s="287"/>
      <c r="N116" s="287"/>
      <c r="P116" s="287"/>
      <c r="R116" s="287"/>
      <c r="T116" s="287"/>
      <c r="V116" s="287"/>
      <c r="X116" s="287"/>
      <c r="Z116" s="287"/>
      <c r="AA116" s="248"/>
      <c r="AB116" s="287"/>
      <c r="AC116" s="260"/>
      <c r="AD116" s="249"/>
      <c r="AE116" s="287"/>
      <c r="AF116" s="260"/>
      <c r="AG116" s="249"/>
      <c r="AH116" s="287"/>
      <c r="AI116" s="513"/>
      <c r="AJ116" s="248"/>
      <c r="AK116" s="2622"/>
      <c r="AM116" s="2627"/>
    </row>
    <row r="117" spans="1:50" ht="15" customHeight="1">
      <c r="A117" s="223"/>
      <c r="B117" s="221" t="s">
        <v>1319</v>
      </c>
      <c r="C117" s="223"/>
      <c r="D117" s="256">
        <f>ROUND(SUM(D114:D115),1)</f>
        <v>456.1</v>
      </c>
      <c r="F117" s="256">
        <f>ROUND(SUM(F114:F115),1)</f>
        <v>1198.9000000000001</v>
      </c>
      <c r="H117" s="256">
        <f>ROUND(SUM(H114:H115),1)</f>
        <v>406.2</v>
      </c>
      <c r="J117" s="1802">
        <f>ROUND(SUM(J114:J115),1)</f>
        <v>848.5</v>
      </c>
      <c r="L117" s="1802">
        <f>ROUND(SUM(L114:L115),1)</f>
        <v>625.4</v>
      </c>
      <c r="N117" s="1802">
        <f>ROUND(SUM(N114:N115),1)</f>
        <v>11.6</v>
      </c>
      <c r="P117" s="256">
        <f>ROUND(SUM(P114:P115),1)</f>
        <v>587.6</v>
      </c>
      <c r="R117" s="256">
        <f>ROUND(SUM(R114:R115),1)</f>
        <v>435.1</v>
      </c>
      <c r="T117" s="256">
        <f>ROUND(SUM(T114:T115),1)</f>
        <v>447.7</v>
      </c>
      <c r="V117" s="1802">
        <f>ROUND(SUM(V114:V115),1)</f>
        <v>125.9</v>
      </c>
      <c r="X117" s="256">
        <f>ROUND(SUM(X114:X115),1)</f>
        <v>0</v>
      </c>
      <c r="Z117" s="256">
        <f>ROUND(SUM(Z114:Z115),1)</f>
        <v>0</v>
      </c>
      <c r="AA117" s="1802"/>
      <c r="AB117" s="1802">
        <f>ROUND(SUM(AB114:AB115),1)</f>
        <v>0</v>
      </c>
      <c r="AC117" s="256"/>
      <c r="AD117" s="258"/>
      <c r="AE117" s="256">
        <f>ROUND(SUM(AE114:AE115),1)</f>
        <v>5143</v>
      </c>
      <c r="AF117" s="256"/>
      <c r="AG117" s="258"/>
      <c r="AH117" s="256">
        <f>ROUND(SUM(AH114:AH115),1)</f>
        <v>5643.9</v>
      </c>
      <c r="AI117" s="520"/>
      <c r="AJ117" s="272"/>
      <c r="AK117" s="270">
        <f>ROUND(SUM(AE117-AH117),1)</f>
        <v>-500.9</v>
      </c>
      <c r="AL117" s="367"/>
      <c r="AM117" s="1850">
        <f>ROUND(SUM(+AK117/AH117),3)</f>
        <v>-8.8999999999999996E-2</v>
      </c>
    </row>
    <row r="118" spans="1:50" ht="15" customHeight="1">
      <c r="A118" s="223"/>
      <c r="B118" s="223"/>
      <c r="C118" s="223"/>
      <c r="D118" s="287"/>
      <c r="F118" s="287"/>
      <c r="H118" s="287"/>
      <c r="J118" s="287"/>
      <c r="L118" s="287"/>
      <c r="N118" s="287"/>
      <c r="P118" s="287"/>
      <c r="R118" s="287"/>
      <c r="T118" s="287"/>
      <c r="V118" s="287"/>
      <c r="X118" s="287"/>
      <c r="Z118" s="287"/>
      <c r="AA118" s="248"/>
      <c r="AB118" s="287"/>
      <c r="AC118" s="260"/>
      <c r="AD118" s="249"/>
      <c r="AE118" s="287"/>
      <c r="AF118" s="260"/>
      <c r="AG118" s="249"/>
      <c r="AH118" s="287"/>
      <c r="AI118" s="513"/>
      <c r="AJ118" s="248"/>
      <c r="AK118" s="1146"/>
      <c r="AM118" s="1847"/>
    </row>
    <row r="119" spans="1:50" ht="15" customHeight="1">
      <c r="A119" s="223"/>
      <c r="B119" s="221" t="s">
        <v>171</v>
      </c>
      <c r="C119" s="223"/>
      <c r="D119" s="260"/>
      <c r="F119" s="260"/>
      <c r="H119" s="260"/>
      <c r="J119" s="260"/>
      <c r="L119" s="260"/>
      <c r="N119" s="260"/>
      <c r="P119" s="260"/>
      <c r="R119" s="260"/>
      <c r="T119" s="260"/>
      <c r="V119" s="260"/>
      <c r="X119" s="260"/>
      <c r="Z119" s="260"/>
      <c r="AA119" s="260"/>
      <c r="AB119" s="260"/>
      <c r="AC119" s="260"/>
      <c r="AD119" s="249"/>
      <c r="AE119" s="260"/>
      <c r="AF119" s="260"/>
      <c r="AG119" s="249"/>
      <c r="AH119" s="260"/>
      <c r="AI119" s="513"/>
      <c r="AJ119" s="248"/>
      <c r="AK119" s="1146"/>
      <c r="AM119" s="1847"/>
    </row>
    <row r="120" spans="1:50" ht="15" customHeight="1">
      <c r="A120" s="223"/>
      <c r="B120" s="221" t="s">
        <v>172</v>
      </c>
      <c r="C120" s="223"/>
      <c r="D120" s="260"/>
      <c r="F120" s="260"/>
      <c r="H120" s="260"/>
      <c r="J120" s="260"/>
      <c r="L120" s="260"/>
      <c r="N120" s="260"/>
      <c r="P120" s="260"/>
      <c r="R120" s="260"/>
      <c r="T120" s="260"/>
      <c r="V120" s="260"/>
      <c r="X120" s="260"/>
      <c r="Z120" s="260"/>
      <c r="AA120" s="260"/>
      <c r="AB120" s="260"/>
      <c r="AC120" s="260"/>
      <c r="AD120" s="249"/>
      <c r="AE120" s="260"/>
      <c r="AF120" s="260"/>
      <c r="AG120" s="249"/>
      <c r="AH120" s="260"/>
      <c r="AI120" s="513"/>
      <c r="AJ120" s="248"/>
      <c r="AK120" s="1146"/>
      <c r="AM120" s="1847"/>
    </row>
    <row r="121" spans="1:50" ht="15" customHeight="1">
      <c r="A121" s="223"/>
      <c r="B121" s="221" t="s">
        <v>1320</v>
      </c>
      <c r="C121" s="223"/>
      <c r="D121" s="256">
        <f>ROUND(SUM(D111+D117),1)</f>
        <v>263.5</v>
      </c>
      <c r="F121" s="256">
        <f>ROUND(SUM(F111+F117),1)</f>
        <v>897.5</v>
      </c>
      <c r="H121" s="256">
        <f>ROUND(SUM(H111+H117),1)</f>
        <v>528.20000000000005</v>
      </c>
      <c r="J121" s="1802">
        <f>ROUND(SUM(J111+J117),1)</f>
        <v>258.60000000000002</v>
      </c>
      <c r="L121" s="1802">
        <f>ROUND(SUM(L111+L117),1)</f>
        <v>22.8</v>
      </c>
      <c r="N121" s="1802">
        <f>ROUND(SUM(N111+N117),1)</f>
        <v>-1211.9000000000001</v>
      </c>
      <c r="P121" s="256">
        <f>ROUND(SUM(P111+P117),1)</f>
        <v>196.4</v>
      </c>
      <c r="R121" s="256">
        <f>ROUND(SUM(R111+R117),1)</f>
        <v>-1562.4</v>
      </c>
      <c r="T121" s="256">
        <f>ROUND(SUM(T111+T117),1)</f>
        <v>1181.5</v>
      </c>
      <c r="V121" s="1802">
        <f>ROUND(SUM(V111+V117),1)</f>
        <v>-60.1</v>
      </c>
      <c r="X121" s="256">
        <f>ROUND(SUM(X111+X117),1)</f>
        <v>0</v>
      </c>
      <c r="Z121" s="256">
        <f>ROUND(SUM(Z111+Z117),1)</f>
        <v>0</v>
      </c>
      <c r="AA121" s="1802"/>
      <c r="AB121" s="1802">
        <f>ROUND(SUM(AB111+AB117),1)</f>
        <v>0</v>
      </c>
      <c r="AC121" s="256"/>
      <c r="AD121" s="258"/>
      <c r="AE121" s="256">
        <f>ROUND(SUM(AE111+AE117),1)</f>
        <v>514.1</v>
      </c>
      <c r="AF121" s="256"/>
      <c r="AG121" s="258"/>
      <c r="AH121" s="256">
        <f>ROUND(SUM(AH111+AH117),1)</f>
        <v>732.5</v>
      </c>
      <c r="AI121" s="520"/>
      <c r="AJ121" s="272"/>
      <c r="AK121" s="270">
        <f>ROUND(SUM(AE121-AH121),1)</f>
        <v>-218.4</v>
      </c>
      <c r="AL121" s="411"/>
      <c r="AM121" s="1850">
        <f>ROUND(SUM(AK121/ABS(AH121)),3)</f>
        <v>-0.29799999999999999</v>
      </c>
    </row>
    <row r="122" spans="1:50" ht="15" customHeight="1">
      <c r="A122" s="223"/>
      <c r="B122" s="223"/>
      <c r="C122" s="223"/>
      <c r="D122" s="235"/>
      <c r="F122" s="235"/>
      <c r="H122" s="235"/>
      <c r="J122" s="235"/>
      <c r="L122" s="235"/>
      <c r="N122" s="235"/>
      <c r="P122" s="235"/>
      <c r="R122" s="235"/>
      <c r="T122" s="235"/>
      <c r="V122" s="235"/>
      <c r="X122" s="235"/>
      <c r="Z122" s="235"/>
      <c r="AA122" s="229"/>
      <c r="AB122" s="235"/>
      <c r="AD122" s="414"/>
      <c r="AE122" s="235"/>
      <c r="AG122" s="414"/>
      <c r="AH122" s="235"/>
      <c r="AI122" s="512"/>
      <c r="AJ122" s="229"/>
      <c r="AK122" s="1798"/>
      <c r="AM122" s="1847"/>
    </row>
    <row r="123" spans="1:50" ht="15" customHeight="1" thickBot="1">
      <c r="A123" s="223"/>
      <c r="B123" s="221" t="s">
        <v>1321</v>
      </c>
      <c r="C123" s="223"/>
      <c r="D123" s="293">
        <f>ROUND(SUM(D14+D121),1)</f>
        <v>3870.6</v>
      </c>
      <c r="F123" s="293">
        <f>ROUND(SUM(F14+F121),1)</f>
        <v>4768.1000000000004</v>
      </c>
      <c r="H123" s="293">
        <f>ROUND(SUM(H14+H121),1)</f>
        <v>5296.3</v>
      </c>
      <c r="J123" s="293">
        <f>ROUND(SUM(J14+J121),1)</f>
        <v>5554.9</v>
      </c>
      <c r="L123" s="293">
        <f>ROUND(SUM(L14+L121),1)</f>
        <v>5577.7</v>
      </c>
      <c r="N123" s="293">
        <f>ROUND(SUM(N14+N121),1)</f>
        <v>4365.8</v>
      </c>
      <c r="P123" s="293">
        <f>ROUND(SUM(P14+P121),1)</f>
        <v>4562.2</v>
      </c>
      <c r="R123" s="293">
        <f>ROUND(SUM(R14+R121),1)</f>
        <v>2999.8</v>
      </c>
      <c r="T123" s="293">
        <f>ROUND(SUM(T14+T121),1)</f>
        <v>4181.3</v>
      </c>
      <c r="V123" s="293">
        <f>ROUND(SUM(V14+V121),1)</f>
        <v>4121.2</v>
      </c>
      <c r="X123" s="293">
        <f>ROUND(SUM(X14+X121),1)</f>
        <v>0</v>
      </c>
      <c r="Z123" s="293">
        <f>ROUND(SUM(Z14+Z121),1)</f>
        <v>0</v>
      </c>
      <c r="AA123" s="293"/>
      <c r="AB123" s="3272">
        <f>ROUND(SUM(AB14+AB121),1)</f>
        <v>0</v>
      </c>
      <c r="AC123" s="293"/>
      <c r="AD123" s="294"/>
      <c r="AE123" s="293">
        <f>ROUND(SUM(AE14+AE121),1)</f>
        <v>4121.2</v>
      </c>
      <c r="AF123" s="293"/>
      <c r="AG123" s="294"/>
      <c r="AH123" s="501">
        <f>ROUND(SUM(AH14+AH121),1)</f>
        <v>3394.3</v>
      </c>
      <c r="AI123" s="509"/>
      <c r="AJ123" s="422"/>
      <c r="AK123" s="501">
        <f>ROUND(SUM(AE123-AH123),1)</f>
        <v>726.9</v>
      </c>
      <c r="AL123" s="383"/>
      <c r="AM123" s="529">
        <f>ROUND(SUM(+AK123/AH123),3)</f>
        <v>0.214</v>
      </c>
      <c r="AN123" s="504"/>
      <c r="AO123" s="504"/>
      <c r="AP123" s="504"/>
      <c r="AQ123" s="504"/>
      <c r="AR123" s="504"/>
      <c r="AS123" s="504"/>
      <c r="AT123" s="504"/>
      <c r="AU123" s="504"/>
      <c r="AV123" s="504"/>
      <c r="AW123" s="504"/>
      <c r="AX123" s="504"/>
    </row>
    <row r="124" spans="1:50" ht="15" customHeight="1" thickTop="1">
      <c r="A124" s="223"/>
      <c r="B124" s="223"/>
      <c r="C124" s="223"/>
      <c r="D124" s="530"/>
      <c r="F124" s="530"/>
      <c r="H124" s="530"/>
      <c r="J124" s="530"/>
      <c r="L124" s="530"/>
      <c r="N124" s="530"/>
      <c r="P124" s="530"/>
      <c r="R124" s="530"/>
      <c r="T124" s="530"/>
      <c r="V124" s="530"/>
      <c r="X124" s="530"/>
      <c r="Z124" s="530"/>
      <c r="AA124" s="531"/>
      <c r="AB124" s="531"/>
      <c r="AC124" s="504"/>
      <c r="AD124" s="504"/>
      <c r="AE124" s="530"/>
      <c r="AF124" s="504"/>
      <c r="AG124" s="504"/>
      <c r="AH124" s="531"/>
      <c r="AI124" s="531"/>
      <c r="AJ124" s="504"/>
      <c r="AK124" s="2623"/>
      <c r="AL124" s="504"/>
      <c r="AM124" s="1847"/>
      <c r="AN124" s="504"/>
      <c r="AO124" s="504"/>
      <c r="AP124" s="504"/>
      <c r="AQ124" s="504"/>
      <c r="AR124" s="504"/>
      <c r="AS124" s="504"/>
      <c r="AT124" s="504"/>
      <c r="AU124" s="504"/>
      <c r="AV124" s="504"/>
      <c r="AW124" s="504"/>
      <c r="AX124" s="504"/>
    </row>
    <row r="125" spans="1:50" ht="15" customHeight="1">
      <c r="A125" s="223"/>
      <c r="B125" s="1798" t="s">
        <v>1489</v>
      </c>
      <c r="C125" s="223"/>
      <c r="D125" s="531"/>
      <c r="F125" s="531"/>
      <c r="H125" s="531"/>
      <c r="J125" s="531"/>
      <c r="L125" s="531"/>
      <c r="N125" s="531"/>
      <c r="P125" s="531"/>
      <c r="R125" s="531"/>
      <c r="T125" s="531"/>
      <c r="V125" s="531"/>
      <c r="X125" s="531"/>
      <c r="Z125" s="531"/>
      <c r="AA125" s="531"/>
      <c r="AB125" s="531"/>
      <c r="AC125" s="531"/>
      <c r="AD125" s="531"/>
      <c r="AE125" s="531"/>
      <c r="AF125" s="531"/>
      <c r="AG125" s="531"/>
      <c r="AH125" s="531"/>
      <c r="AI125" s="531"/>
      <c r="AJ125" s="504"/>
      <c r="AK125" s="2623"/>
      <c r="AL125" s="504"/>
      <c r="AM125" s="1847"/>
      <c r="AN125" s="504"/>
      <c r="AO125" s="504"/>
      <c r="AP125" s="504"/>
      <c r="AQ125" s="504"/>
      <c r="AR125" s="504"/>
      <c r="AS125" s="504"/>
      <c r="AT125" s="504"/>
      <c r="AU125" s="504"/>
      <c r="AV125" s="504"/>
      <c r="AW125" s="504"/>
      <c r="AX125" s="504"/>
    </row>
    <row r="126" spans="1:50" ht="15" customHeight="1">
      <c r="A126" s="496"/>
      <c r="D126" s="504"/>
      <c r="F126" s="504"/>
      <c r="H126" s="504"/>
      <c r="J126" s="504"/>
      <c r="L126" s="504"/>
      <c r="N126" s="504"/>
      <c r="P126" s="504"/>
      <c r="R126" s="504"/>
      <c r="T126" s="504"/>
      <c r="V126" s="504"/>
      <c r="X126" s="504"/>
      <c r="Z126" s="504"/>
      <c r="AA126" s="504"/>
      <c r="AB126" s="504"/>
      <c r="AC126" s="504"/>
      <c r="AD126" s="504"/>
      <c r="AE126" s="504"/>
      <c r="AF126" s="504"/>
      <c r="AG126" s="504"/>
      <c r="AH126" s="504"/>
      <c r="AI126" s="504"/>
      <c r="AJ126" s="504"/>
      <c r="AK126" s="2623"/>
      <c r="AL126" s="504"/>
      <c r="AM126" s="1847"/>
      <c r="AN126" s="504"/>
      <c r="AO126" s="504"/>
      <c r="AP126" s="504"/>
      <c r="AQ126" s="504"/>
      <c r="AR126" s="504"/>
      <c r="AS126" s="504"/>
      <c r="AT126" s="504"/>
      <c r="AU126" s="504"/>
      <c r="AV126" s="504"/>
      <c r="AW126" s="504"/>
      <c r="AX126" s="504"/>
    </row>
    <row r="127" spans="1:50" ht="15" customHeight="1">
      <c r="D127" s="504"/>
      <c r="F127" s="504"/>
      <c r="H127" s="504"/>
      <c r="J127" s="504"/>
      <c r="L127" s="504"/>
      <c r="N127" s="504"/>
      <c r="P127" s="504"/>
      <c r="R127" s="504"/>
      <c r="T127" s="504"/>
      <c r="V127" s="504"/>
      <c r="X127" s="504"/>
      <c r="Z127" s="504"/>
      <c r="AA127" s="504"/>
      <c r="AB127" s="504"/>
      <c r="AC127" s="504"/>
      <c r="AD127" s="504"/>
      <c r="AE127" s="504"/>
      <c r="AF127" s="504"/>
      <c r="AG127" s="504"/>
      <c r="AH127" s="504"/>
      <c r="AI127" s="504"/>
      <c r="AJ127" s="504"/>
      <c r="AK127" s="2623"/>
      <c r="AL127" s="504"/>
      <c r="AM127" s="1847"/>
      <c r="AN127" s="504"/>
      <c r="AO127" s="504"/>
      <c r="AP127" s="504"/>
      <c r="AQ127" s="504"/>
      <c r="AR127" s="504"/>
      <c r="AS127" s="504"/>
      <c r="AT127" s="504"/>
      <c r="AU127" s="504"/>
      <c r="AV127" s="504"/>
      <c r="AW127" s="504"/>
      <c r="AX127" s="504"/>
    </row>
    <row r="128" spans="1:50" ht="15" customHeight="1">
      <c r="AK128" s="1798"/>
      <c r="AM128" s="1847"/>
    </row>
    <row r="129" spans="37:39" ht="15" customHeight="1">
      <c r="AK129" s="1798"/>
      <c r="AM129" s="1847"/>
    </row>
    <row r="130" spans="37:39" ht="15" customHeight="1">
      <c r="AK130" s="1798"/>
      <c r="AM130" s="1847"/>
    </row>
    <row r="131" spans="37:39" ht="15" customHeight="1">
      <c r="AK131" s="1798"/>
      <c r="AM131" s="1847"/>
    </row>
    <row r="132" spans="37:39" ht="15" customHeight="1">
      <c r="AK132" s="1798"/>
      <c r="AM132" s="1847"/>
    </row>
    <row r="133" spans="37:39" ht="15" customHeight="1">
      <c r="AK133" s="1798"/>
      <c r="AM133" s="1847"/>
    </row>
    <row r="134" spans="37:39" ht="15" customHeight="1">
      <c r="AK134" s="1798"/>
      <c r="AM134" s="1847"/>
    </row>
    <row r="135" spans="37:39" ht="15" customHeight="1">
      <c r="AK135" s="1798"/>
      <c r="AM135" s="1847"/>
    </row>
    <row r="136" spans="37:39" ht="15" customHeight="1">
      <c r="AK136" s="1798"/>
      <c r="AM136" s="1847"/>
    </row>
    <row r="137" spans="37:39" ht="15" customHeight="1">
      <c r="AK137" s="1798"/>
      <c r="AM137" s="1847"/>
    </row>
    <row r="138" spans="37:39" ht="15" customHeight="1">
      <c r="AK138" s="1798"/>
      <c r="AM138" s="1847"/>
    </row>
    <row r="139" spans="37:39" ht="15" customHeight="1">
      <c r="AK139" s="1798"/>
      <c r="AM139" s="1847"/>
    </row>
    <row r="140" spans="37:39" ht="15" customHeight="1">
      <c r="AK140" s="1798"/>
      <c r="AM140" s="1847"/>
    </row>
    <row r="141" spans="37:39" ht="15" customHeight="1">
      <c r="AK141" s="1798"/>
      <c r="AM141" s="1847"/>
    </row>
    <row r="142" spans="37:39" ht="15" customHeight="1">
      <c r="AK142" s="1798"/>
      <c r="AM142" s="1847"/>
    </row>
    <row r="143" spans="37:39" ht="15" customHeight="1">
      <c r="AK143" s="1798"/>
      <c r="AM143" s="1847"/>
    </row>
    <row r="144" spans="37:39" ht="15" customHeight="1">
      <c r="AK144" s="1798"/>
      <c r="AM144" s="1847"/>
    </row>
    <row r="145" spans="37:39" ht="15" customHeight="1">
      <c r="AK145" s="1798"/>
      <c r="AM145" s="1847"/>
    </row>
    <row r="146" spans="37:39" ht="15" customHeight="1">
      <c r="AK146" s="1798"/>
      <c r="AM146" s="1847"/>
    </row>
    <row r="147" spans="37:39" ht="15" customHeight="1">
      <c r="AK147" s="1798"/>
      <c r="AM147" s="1847"/>
    </row>
    <row r="148" spans="37:39" ht="15" customHeight="1">
      <c r="AK148" s="1798"/>
      <c r="AM148" s="1847"/>
    </row>
    <row r="149" spans="37:39" ht="15" customHeight="1">
      <c r="AK149" s="1798"/>
      <c r="AM149" s="1847"/>
    </row>
    <row r="150" spans="37:39" ht="15" customHeight="1">
      <c r="AK150" s="1798"/>
      <c r="AM150" s="1847"/>
    </row>
    <row r="151" spans="37:39" ht="15" customHeight="1">
      <c r="AK151" s="1798"/>
      <c r="AM151" s="1847"/>
    </row>
    <row r="152" spans="37:39" ht="15" customHeight="1">
      <c r="AK152" s="1798"/>
      <c r="AM152" s="1847"/>
    </row>
    <row r="153" spans="37:39" ht="15" customHeight="1">
      <c r="AK153" s="1798"/>
      <c r="AM153" s="1847"/>
    </row>
    <row r="154" spans="37:39" ht="15" customHeight="1">
      <c r="AK154" s="1798"/>
      <c r="AM154" s="1847"/>
    </row>
    <row r="155" spans="37:39" ht="15" customHeight="1">
      <c r="AK155" s="1798"/>
      <c r="AM155" s="1847"/>
    </row>
    <row r="156" spans="37:39" ht="15" customHeight="1">
      <c r="AK156" s="1798"/>
      <c r="AM156" s="1847"/>
    </row>
    <row r="157" spans="37:39" ht="15" customHeight="1">
      <c r="AK157" s="1798"/>
      <c r="AM157" s="1847"/>
    </row>
    <row r="158" spans="37:39" ht="15" customHeight="1">
      <c r="AK158" s="1798"/>
      <c r="AM158" s="1847"/>
    </row>
    <row r="159" spans="37:39" ht="15" customHeight="1">
      <c r="AK159" s="1798"/>
      <c r="AM159" s="1847"/>
    </row>
    <row r="160" spans="37:39" ht="15" customHeight="1">
      <c r="AK160" s="1798"/>
      <c r="AM160" s="1847"/>
    </row>
    <row r="161" spans="37:39" ht="15" customHeight="1">
      <c r="AK161" s="1798"/>
      <c r="AM161" s="1847"/>
    </row>
    <row r="162" spans="37:39" ht="15" customHeight="1">
      <c r="AK162" s="1798"/>
      <c r="AM162" s="1847"/>
    </row>
    <row r="163" spans="37:39" ht="15" customHeight="1">
      <c r="AK163" s="1798"/>
      <c r="AM163" s="1847"/>
    </row>
    <row r="164" spans="37:39" ht="15" customHeight="1">
      <c r="AK164" s="1798"/>
      <c r="AM164" s="1847"/>
    </row>
    <row r="165" spans="37:39" ht="15" customHeight="1">
      <c r="AK165" s="1798"/>
      <c r="AM165" s="1847"/>
    </row>
    <row r="166" spans="37:39" ht="15" customHeight="1">
      <c r="AK166" s="1798"/>
      <c r="AM166" s="1847"/>
    </row>
    <row r="167" spans="37:39" ht="15" customHeight="1">
      <c r="AK167" s="1798"/>
      <c r="AM167" s="1847"/>
    </row>
    <row r="168" spans="37:39" ht="15" customHeight="1">
      <c r="AK168" s="1798"/>
      <c r="AM168" s="1847"/>
    </row>
    <row r="169" spans="37:39" ht="15" customHeight="1">
      <c r="AK169" s="1798"/>
      <c r="AM169" s="1847"/>
    </row>
    <row r="170" spans="37:39" ht="15" customHeight="1"/>
    <row r="171" spans="37:39" ht="15" customHeight="1"/>
    <row r="172" spans="37:39" ht="15" customHeight="1"/>
    <row r="173" spans="37:39" ht="15" customHeight="1"/>
    <row r="174" spans="37:39" ht="15" customHeight="1"/>
    <row r="175" spans="37:39"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36" firstPageNumber="23" orientation="landscape" useFirstPageNumber="1" r:id="rId2"/>
  <headerFooter scaleWithDoc="0" alignWithMargins="0">
    <oddFooter>&amp;C&amp;8&amp;P</oddFooter>
  </headerFooter>
  <rowBreaks count="1" manualBreakCount="1">
    <brk id="81" min="1" max="38" man="1"/>
  </rowBreaks>
  <ignoredErrors>
    <ignoredError sqref="AM109:AM110 AM118:AM120 AM122 AM124 AM53:AM64 AM25:AM26 AM79:AM86 AM88:AM99 AM102:AM105 AM112:AM116 AM20:AM23 AM107 AM67:AM74 AM28:AM51" unlockedFormula="1"/>
    <ignoredError sqref="AM76:AM78" formula="1" unlockedFormula="1"/>
    <ignoredError sqref="AK24:AM24 AM66 AM2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88671875" defaultRowHeight="11.25"/>
  <cols>
    <col min="1" max="1" width="35.21875" style="2" customWidth="1"/>
    <col min="2" max="2" width="9.33203125" style="2" customWidth="1"/>
    <col min="3" max="3" width="5.5546875" style="2" customWidth="1"/>
    <col min="4" max="4" width="12.6640625" style="1155" bestFit="1" customWidth="1"/>
    <col min="5" max="5" width="1.6640625" style="2" customWidth="1"/>
    <col min="6" max="6" width="13.44140625" style="2" customWidth="1"/>
    <col min="7" max="7" width="2.109375" style="2" customWidth="1"/>
    <col min="8" max="8" width="12.6640625" style="1155" bestFit="1" customWidth="1"/>
    <col min="9" max="9" width="1.88671875" style="2" customWidth="1"/>
    <col min="10" max="10" width="13.6640625" style="2" customWidth="1"/>
    <col min="11" max="11" width="1.88671875" style="2" customWidth="1"/>
    <col min="12" max="12" width="11.6640625" style="1155" customWidth="1"/>
    <col min="13" max="13" width="2" style="2" customWidth="1"/>
    <col min="14" max="14" width="13.6640625" style="2" customWidth="1"/>
    <col min="15" max="15" width="1.88671875" style="2" customWidth="1"/>
    <col min="16" max="16" width="13" style="2" customWidth="1"/>
    <col min="17" max="17" width="1.6640625" style="2" customWidth="1"/>
    <col min="18" max="18" width="13.21875" style="2" customWidth="1"/>
    <col min="19" max="21" width="1.109375" style="2" customWidth="1"/>
    <col min="22" max="22" width="12.6640625" style="1155" bestFit="1" customWidth="1"/>
    <col min="23" max="23" width="1.88671875" style="2" customWidth="1"/>
    <col min="24" max="24" width="13.6640625" style="2" customWidth="1"/>
    <col min="25" max="25" width="1.109375" style="2" customWidth="1"/>
    <col min="26" max="27" width="1.33203125" style="2" customWidth="1"/>
    <col min="28" max="28" width="12.109375" style="1155" customWidth="1"/>
    <col min="29" max="29" width="1.6640625" style="2" customWidth="1"/>
    <col min="30" max="30" width="13.6640625" style="136" customWidth="1"/>
    <col min="31" max="31" width="1" style="136" customWidth="1"/>
    <col min="32" max="32" width="1" style="2" customWidth="1"/>
    <col min="33" max="33" width="13.109375" style="2" bestFit="1" customWidth="1"/>
    <col min="34" max="34" width="1.6640625" style="2" customWidth="1"/>
    <col min="35" max="35" width="12.77734375" style="141" customWidth="1"/>
    <col min="36" max="36" width="19.109375" style="2" customWidth="1"/>
    <col min="37" max="16384" width="8.88671875" style="2"/>
  </cols>
  <sheetData>
    <row r="1" spans="1:38" ht="15">
      <c r="A1" s="1159" t="s">
        <v>1090</v>
      </c>
    </row>
    <row r="2" spans="1:38" ht="15">
      <c r="A2" s="1159"/>
    </row>
    <row r="3" spans="1:38" ht="20.25">
      <c r="A3" s="2284" t="s">
        <v>0</v>
      </c>
      <c r="B3" s="2285"/>
      <c r="C3" s="2285"/>
      <c r="D3" s="2285"/>
      <c r="E3" s="2285"/>
      <c r="F3" s="2285"/>
      <c r="G3" s="2285"/>
      <c r="H3" s="2285"/>
      <c r="I3" s="2285"/>
      <c r="J3" s="2285"/>
      <c r="K3" s="2285"/>
      <c r="L3" s="2285"/>
      <c r="M3" s="2285"/>
      <c r="N3" s="2285"/>
      <c r="O3" s="2285"/>
      <c r="P3" s="2285"/>
      <c r="Q3" s="2285"/>
      <c r="R3" s="2285"/>
      <c r="S3" s="2285"/>
      <c r="T3" s="2285"/>
      <c r="U3" s="2285"/>
      <c r="V3" s="2285"/>
      <c r="W3" s="2285"/>
      <c r="X3" s="2285"/>
      <c r="Y3" s="2285"/>
      <c r="Z3" s="2285"/>
      <c r="AA3" s="2285"/>
      <c r="AB3" s="2285"/>
      <c r="AC3" s="2285"/>
      <c r="AD3" s="2285"/>
      <c r="AE3" s="2285"/>
      <c r="AF3" s="2285"/>
      <c r="AG3" s="2285"/>
      <c r="AH3" s="2285"/>
      <c r="AI3" s="9" t="s">
        <v>2</v>
      </c>
      <c r="AJ3" s="1"/>
    </row>
    <row r="4" spans="1:38" ht="20.25">
      <c r="A4" s="3481" t="s">
        <v>1</v>
      </c>
      <c r="B4" s="3482"/>
      <c r="C4" s="3482"/>
      <c r="D4" s="3482"/>
      <c r="E4" s="3482"/>
      <c r="F4" s="3482"/>
      <c r="G4" s="3482"/>
      <c r="H4" s="3482"/>
      <c r="I4" s="3482"/>
      <c r="J4" s="3482"/>
      <c r="K4" s="3482"/>
      <c r="L4" s="3482"/>
      <c r="M4" s="3482"/>
      <c r="N4" s="3482"/>
      <c r="O4" s="3482"/>
      <c r="P4" s="3482"/>
      <c r="Q4" s="3482"/>
      <c r="R4" s="3482"/>
      <c r="S4" s="3482"/>
      <c r="T4" s="3482"/>
      <c r="U4" s="3482"/>
      <c r="V4" s="3482"/>
      <c r="W4" s="3482"/>
      <c r="X4" s="3482"/>
      <c r="Y4" s="3482"/>
      <c r="Z4" s="3482"/>
      <c r="AA4" s="3482"/>
      <c r="AB4" s="3482"/>
      <c r="AC4" s="3482"/>
      <c r="AD4" s="3482"/>
      <c r="AE4" s="3482"/>
      <c r="AF4" s="3482"/>
      <c r="AG4" s="3482"/>
      <c r="AH4" s="3482"/>
      <c r="AI4" s="3482"/>
      <c r="AJ4" s="1"/>
    </row>
    <row r="5" spans="1:38" ht="20.25">
      <c r="A5" s="3481" t="s">
        <v>986</v>
      </c>
      <c r="B5" s="3483"/>
      <c r="C5" s="3483"/>
      <c r="D5" s="3483"/>
      <c r="E5" s="3483"/>
      <c r="F5" s="3483"/>
      <c r="G5" s="3483"/>
      <c r="H5" s="3483"/>
      <c r="I5" s="3483"/>
      <c r="J5" s="3483"/>
      <c r="K5" s="3483"/>
      <c r="L5" s="3483"/>
      <c r="M5" s="3483"/>
      <c r="N5" s="3483"/>
      <c r="O5" s="3483"/>
      <c r="P5" s="3483"/>
      <c r="Q5" s="3483"/>
      <c r="R5" s="3483"/>
      <c r="S5" s="3483"/>
      <c r="T5" s="3483"/>
      <c r="U5" s="3483"/>
      <c r="V5" s="3483"/>
      <c r="W5" s="3483"/>
      <c r="X5" s="3483"/>
      <c r="Y5" s="3483"/>
      <c r="Z5" s="3483"/>
      <c r="AA5" s="3483"/>
      <c r="AB5" s="3483"/>
      <c r="AC5" s="3483"/>
      <c r="AD5" s="3483"/>
      <c r="AE5" s="3482"/>
      <c r="AF5" s="3482"/>
      <c r="AG5" s="3482"/>
      <c r="AH5" s="3482"/>
      <c r="AI5" s="3482"/>
      <c r="AJ5" s="1"/>
    </row>
    <row r="6" spans="1:38" ht="18" customHeight="1">
      <c r="A6" s="3481" t="s">
        <v>979</v>
      </c>
      <c r="B6" s="3482"/>
      <c r="C6" s="3482"/>
      <c r="D6" s="3482"/>
      <c r="E6" s="3482"/>
      <c r="F6" s="3482"/>
      <c r="G6" s="3482"/>
      <c r="H6" s="3482"/>
      <c r="I6" s="3482"/>
      <c r="J6" s="3482"/>
      <c r="K6" s="3482"/>
      <c r="L6" s="3482"/>
      <c r="M6" s="3482"/>
      <c r="N6" s="3482"/>
      <c r="O6" s="3482"/>
      <c r="P6" s="3482"/>
      <c r="Q6" s="3482"/>
      <c r="R6" s="3482"/>
      <c r="S6" s="3482"/>
      <c r="T6" s="3482"/>
      <c r="U6" s="3482"/>
      <c r="V6" s="3482"/>
      <c r="W6" s="3482"/>
      <c r="X6" s="3482"/>
      <c r="Y6" s="3482"/>
      <c r="Z6" s="3482"/>
      <c r="AA6" s="3482"/>
      <c r="AB6" s="3482"/>
      <c r="AC6" s="3482"/>
      <c r="AD6" s="3482"/>
      <c r="AE6" s="3482"/>
      <c r="AF6" s="3482"/>
      <c r="AG6" s="3482"/>
      <c r="AH6" s="3482"/>
      <c r="AI6" s="3482"/>
      <c r="AJ6" s="1"/>
    </row>
    <row r="7" spans="1:38" ht="15.75">
      <c r="A7" s="3"/>
      <c r="B7" s="3"/>
      <c r="C7" s="3"/>
      <c r="D7" s="1151"/>
      <c r="E7" s="3"/>
      <c r="F7" s="4"/>
      <c r="G7" s="3"/>
      <c r="H7" s="1156"/>
      <c r="I7" s="5"/>
      <c r="J7" s="6"/>
      <c r="K7" s="5"/>
      <c r="L7" s="1156"/>
      <c r="M7" s="3"/>
      <c r="N7" s="6"/>
      <c r="O7" s="5"/>
      <c r="P7" s="5"/>
      <c r="Q7" s="5"/>
      <c r="R7" s="6"/>
      <c r="S7" s="3"/>
      <c r="T7" s="3"/>
      <c r="U7" s="3"/>
      <c r="V7" s="1151"/>
      <c r="W7" s="3"/>
      <c r="X7" s="3"/>
      <c r="Y7" s="3"/>
      <c r="Z7" s="3"/>
      <c r="AA7" s="3"/>
      <c r="AB7" s="1151"/>
      <c r="AC7" s="3"/>
      <c r="AD7" s="7"/>
      <c r="AE7" s="7"/>
      <c r="AF7" s="8"/>
      <c r="AG7" s="8"/>
      <c r="AJ7" s="1"/>
      <c r="AK7" s="1"/>
      <c r="AL7" s="1"/>
    </row>
    <row r="8" spans="1:38" ht="15.95" customHeight="1">
      <c r="A8" s="5"/>
      <c r="B8" s="3"/>
      <c r="C8" s="3"/>
      <c r="D8" s="1156"/>
      <c r="E8" s="3"/>
      <c r="F8" s="4"/>
      <c r="G8" s="3"/>
      <c r="H8" s="1156"/>
      <c r="I8" s="5"/>
      <c r="J8" s="6"/>
      <c r="K8" s="5"/>
      <c r="L8" s="1156"/>
      <c r="M8" s="3"/>
      <c r="N8" s="6"/>
      <c r="O8" s="5"/>
      <c r="P8" s="5"/>
      <c r="Q8" s="5"/>
      <c r="R8" s="6"/>
      <c r="S8" s="3"/>
      <c r="T8" s="3"/>
      <c r="U8" s="3"/>
      <c r="V8" s="1151"/>
      <c r="W8" s="3"/>
      <c r="X8" s="3"/>
      <c r="Y8" s="3"/>
      <c r="Z8" s="3"/>
      <c r="AA8" s="3"/>
      <c r="AB8" s="1151"/>
      <c r="AC8" s="3"/>
      <c r="AD8" s="10"/>
      <c r="AE8" s="10"/>
      <c r="AF8" s="11"/>
      <c r="AG8" s="11"/>
      <c r="AI8" s="1"/>
      <c r="AJ8" s="1"/>
      <c r="AK8" s="1"/>
      <c r="AL8" s="1"/>
    </row>
    <row r="9" spans="1:38" ht="15.95"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59"/>
      <c r="AJ9" s="1"/>
      <c r="AK9" s="1"/>
      <c r="AL9" s="1"/>
    </row>
    <row r="10" spans="1:38" ht="15.95"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484" t="s">
        <v>1306</v>
      </c>
      <c r="W10" s="3485"/>
      <c r="X10" s="3485"/>
      <c r="Y10" s="3485"/>
      <c r="Z10" s="3485"/>
      <c r="AA10" s="3485"/>
      <c r="AB10" s="3485"/>
      <c r="AC10" s="3485"/>
      <c r="AD10" s="3485"/>
      <c r="AE10" s="3485"/>
      <c r="AF10" s="3485"/>
      <c r="AG10" s="3485"/>
      <c r="AH10" s="3485"/>
      <c r="AI10" s="3485"/>
      <c r="AJ10" s="19"/>
      <c r="AK10" s="1"/>
      <c r="AL10" s="1"/>
    </row>
    <row r="11" spans="1:38" ht="15.95" customHeight="1">
      <c r="A11" s="15"/>
      <c r="B11" s="15"/>
      <c r="C11" s="15"/>
      <c r="D11" s="20" t="s">
        <v>7</v>
      </c>
      <c r="E11" s="20"/>
      <c r="F11" s="21" t="s">
        <v>1551</v>
      </c>
      <c r="G11" s="11"/>
      <c r="H11" s="20" t="s">
        <v>7</v>
      </c>
      <c r="I11" s="20"/>
      <c r="J11" s="22" t="str">
        <f>F11</f>
        <v>10 MOS. ENDED</v>
      </c>
      <c r="K11" s="11"/>
      <c r="L11" s="20" t="s">
        <v>7</v>
      </c>
      <c r="M11" s="20"/>
      <c r="N11" s="22" t="str">
        <f>F11</f>
        <v>10 MOS. ENDED</v>
      </c>
      <c r="O11" s="11"/>
      <c r="P11" s="20" t="s">
        <v>7</v>
      </c>
      <c r="Q11" s="20"/>
      <c r="R11" s="22" t="str">
        <f>J11</f>
        <v>10 MOS. ENDED</v>
      </c>
      <c r="S11" s="11"/>
      <c r="T11" s="11"/>
      <c r="U11" s="1160"/>
      <c r="V11" s="20" t="s">
        <v>7</v>
      </c>
      <c r="W11" s="20"/>
      <c r="X11" s="20" t="str">
        <f>F11</f>
        <v>10 MOS. ENDED</v>
      </c>
      <c r="Y11" s="20"/>
      <c r="Z11" s="20"/>
      <c r="AA11" s="20"/>
      <c r="AB11" s="20" t="s">
        <v>7</v>
      </c>
      <c r="AC11" s="20"/>
      <c r="AD11" s="24" t="str">
        <f>F11</f>
        <v>10 MOS. ENDED</v>
      </c>
      <c r="AE11" s="24"/>
      <c r="AF11" s="20"/>
      <c r="AG11" s="20" t="s">
        <v>8</v>
      </c>
      <c r="AH11" s="1161"/>
      <c r="AI11" s="20" t="s">
        <v>9</v>
      </c>
      <c r="AJ11" s="1"/>
      <c r="AK11" s="1"/>
      <c r="AL11" s="1"/>
    </row>
    <row r="12" spans="1:38" ht="15.95" customHeight="1">
      <c r="A12" s="15"/>
      <c r="B12" s="15"/>
      <c r="C12" s="15"/>
      <c r="D12" s="25" t="s">
        <v>1550</v>
      </c>
      <c r="E12" s="11"/>
      <c r="F12" s="1766" t="s">
        <v>1552</v>
      </c>
      <c r="G12" s="11"/>
      <c r="H12" s="26" t="str">
        <f>D12</f>
        <v>JAN. 2017</v>
      </c>
      <c r="I12" s="11"/>
      <c r="J12" s="27" t="str">
        <f>F12</f>
        <v>JAN. 31, 2017</v>
      </c>
      <c r="K12" s="11"/>
      <c r="L12" s="26" t="str">
        <f>D12</f>
        <v>JAN. 2017</v>
      </c>
      <c r="M12" s="11"/>
      <c r="N12" s="27" t="str">
        <f>F12</f>
        <v>JAN. 31, 2017</v>
      </c>
      <c r="O12" s="11"/>
      <c r="P12" s="26" t="str">
        <f>D12</f>
        <v>JAN. 2017</v>
      </c>
      <c r="Q12" s="11"/>
      <c r="R12" s="27" t="str">
        <f>J12</f>
        <v>JAN. 31, 2017</v>
      </c>
      <c r="S12" s="11"/>
      <c r="T12" s="11"/>
      <c r="U12" s="1162"/>
      <c r="V12" s="26" t="str">
        <f>D12</f>
        <v>JAN. 2017</v>
      </c>
      <c r="W12" s="11"/>
      <c r="X12" s="26" t="str">
        <f>F12</f>
        <v>JAN. 31, 2017</v>
      </c>
      <c r="Y12" s="11"/>
      <c r="Z12" s="11"/>
      <c r="AA12" s="11"/>
      <c r="AB12" s="25" t="s">
        <v>1553</v>
      </c>
      <c r="AC12" s="11"/>
      <c r="AD12" s="25" t="s">
        <v>1554</v>
      </c>
      <c r="AE12" s="28"/>
      <c r="AF12" s="28"/>
      <c r="AG12" s="26" t="s">
        <v>12</v>
      </c>
      <c r="AH12" s="1159"/>
      <c r="AI12" s="25" t="s">
        <v>13</v>
      </c>
      <c r="AJ12" s="19"/>
      <c r="AK12" s="1"/>
      <c r="AL12" s="1"/>
    </row>
    <row r="13" spans="1:38" ht="15.95" customHeight="1">
      <c r="A13" s="14" t="s">
        <v>14</v>
      </c>
      <c r="B13" s="15"/>
      <c r="C13" s="15"/>
      <c r="D13" s="1152" t="s">
        <v>15</v>
      </c>
      <c r="E13" s="15"/>
      <c r="F13" s="30"/>
      <c r="G13" s="15"/>
      <c r="H13" s="1152" t="s">
        <v>15</v>
      </c>
      <c r="I13" s="15"/>
      <c r="J13" s="30"/>
      <c r="K13" s="15"/>
      <c r="L13" s="1152" t="s">
        <v>15</v>
      </c>
      <c r="M13" s="15"/>
      <c r="N13" s="30"/>
      <c r="O13" s="15"/>
      <c r="P13" s="1108" t="s">
        <v>15</v>
      </c>
      <c r="Q13" s="1109"/>
      <c r="R13" s="1110"/>
      <c r="S13" s="31"/>
      <c r="T13" s="31"/>
      <c r="U13" s="29"/>
      <c r="V13" s="1152"/>
      <c r="W13" s="15"/>
      <c r="X13" s="29"/>
      <c r="Y13" s="31"/>
      <c r="Z13" s="32"/>
      <c r="AA13" s="29"/>
      <c r="AB13" s="1152"/>
      <c r="AC13" s="15"/>
      <c r="AD13" s="33"/>
      <c r="AE13" s="33"/>
      <c r="AF13" s="34"/>
      <c r="AG13" s="29"/>
      <c r="AI13" s="19"/>
      <c r="AJ13" s="19"/>
      <c r="AK13" s="1"/>
      <c r="AL13" s="1"/>
    </row>
    <row r="14" spans="1:38" ht="18" customHeight="1">
      <c r="A14" s="15" t="s">
        <v>16</v>
      </c>
      <c r="B14" s="1795">
        <v>-4</v>
      </c>
      <c r="C14" s="15"/>
      <c r="D14" s="2548">
        <f>+'Exhibit F'!V28</f>
        <v>3452.6</v>
      </c>
      <c r="E14" s="37" t="s">
        <v>15</v>
      </c>
      <c r="F14" s="1184">
        <f>+'Exhibit F'!AC28</f>
        <v>27458.799999999999</v>
      </c>
      <c r="G14" s="37"/>
      <c r="H14" s="2548">
        <f>'Exhibit G'!V18</f>
        <v>2243.6</v>
      </c>
      <c r="I14" s="38"/>
      <c r="J14" s="1184">
        <f>'Exhibit G'!AE18</f>
        <v>2895.9</v>
      </c>
      <c r="K14" s="37"/>
      <c r="L14" s="2659">
        <f>+'Exhibit H'!T16</f>
        <v>1898.7000000000007</v>
      </c>
      <c r="M14" s="1184"/>
      <c r="N14" s="1184">
        <f>+'Exhibit H'!AA16</f>
        <v>10118.200000000001</v>
      </c>
      <c r="O14" s="1184"/>
      <c r="P14" s="1245">
        <v>0</v>
      </c>
      <c r="Q14" s="1246"/>
      <c r="R14" s="1245">
        <v>0</v>
      </c>
      <c r="S14" s="1398"/>
      <c r="T14" s="1398"/>
      <c r="U14" s="1399"/>
      <c r="V14" s="2548">
        <f t="shared" ref="V14:V19" si="0">ROUND(SUM(D14)+SUM(H14)+SUM(L14)+SUM(P14),1)</f>
        <v>7594.9</v>
      </c>
      <c r="W14" s="1397" t="s">
        <v>15</v>
      </c>
      <c r="X14" s="1397">
        <f t="shared" ref="X14:X19" si="1">ROUND(SUM(F14)+SUM(J14)+SUM(N14)+SUM(R14),1)</f>
        <v>40472.9</v>
      </c>
      <c r="Y14" s="39"/>
      <c r="Z14" s="41"/>
      <c r="AA14" s="40"/>
      <c r="AB14" s="1176">
        <v>7221.2</v>
      </c>
      <c r="AC14" s="37"/>
      <c r="AD14" s="2663">
        <f>ROUND(+'Exhibit F'!AF28+'Exhibit G'!AH18+'Exhibit H'!AD16,1)</f>
        <v>41241.699999999997</v>
      </c>
      <c r="AE14" s="42"/>
      <c r="AF14" s="43"/>
      <c r="AG14" s="37">
        <f t="shared" ref="AG14:AG19" si="2">ROUND(SUM(X14-AD14),1)</f>
        <v>-768.8</v>
      </c>
      <c r="AH14" s="44"/>
      <c r="AI14" s="45">
        <f t="shared" ref="AI14:AI19" si="3">ROUND(SUM((+X14-AD14)/ABS(AD14)),3)</f>
        <v>-1.9E-2</v>
      </c>
      <c r="AJ14" s="1764"/>
      <c r="AK14" s="1"/>
      <c r="AL14" s="1"/>
    </row>
    <row r="15" spans="1:38" ht="18" customHeight="1">
      <c r="A15" s="15" t="s">
        <v>17</v>
      </c>
      <c r="B15" s="46" t="s">
        <v>15</v>
      </c>
      <c r="C15" s="15"/>
      <c r="D15" s="1113">
        <f>+'Exhibit F'!V37</f>
        <v>594.79999999999995</v>
      </c>
      <c r="E15" s="47"/>
      <c r="F15" s="48">
        <f>+'Exhibit F'!AC37</f>
        <v>5982.1</v>
      </c>
      <c r="G15" s="47"/>
      <c r="H15" s="1113">
        <f>'Exhibit G'!V29</f>
        <v>173.2</v>
      </c>
      <c r="I15" s="47"/>
      <c r="J15" s="48">
        <f>+'Exhibit G'!AE29</f>
        <v>1743.4</v>
      </c>
      <c r="K15" s="47"/>
      <c r="L15" s="2658">
        <f>'Exhibit H'!T20</f>
        <v>535</v>
      </c>
      <c r="M15" s="48"/>
      <c r="N15" s="48">
        <f>+'Exhibit H'!AA20</f>
        <v>5440.3</v>
      </c>
      <c r="O15" s="48"/>
      <c r="P15" s="2658">
        <f>' Exhbit I '!W23</f>
        <v>50.3</v>
      </c>
      <c r="Q15" s="1112"/>
      <c r="R15" s="1111">
        <f>+' Exhbit I '!AF23</f>
        <v>533.20000000000005</v>
      </c>
      <c r="S15" s="50"/>
      <c r="T15" s="50"/>
      <c r="U15" s="51"/>
      <c r="V15" s="1112">
        <f t="shared" si="0"/>
        <v>1353.3</v>
      </c>
      <c r="W15" s="47" t="s">
        <v>15</v>
      </c>
      <c r="X15" s="47">
        <f t="shared" si="1"/>
        <v>13699</v>
      </c>
      <c r="Y15" s="50"/>
      <c r="Z15" s="52"/>
      <c r="AA15" s="51"/>
      <c r="AB15" s="1122">
        <v>1275.4000000000001</v>
      </c>
      <c r="AC15" s="53"/>
      <c r="AD15" s="33">
        <f>ROUND(+' Exhbit I '!AI23+'Exhibit G'!AH29+'Exhibit H'!AD20+'Exhibit F'!AF37,1)</f>
        <v>13236.2</v>
      </c>
      <c r="AE15" s="54"/>
      <c r="AF15" s="55"/>
      <c r="AG15" s="47">
        <f t="shared" si="2"/>
        <v>462.8</v>
      </c>
      <c r="AI15" s="45">
        <f t="shared" si="3"/>
        <v>3.5000000000000003E-2</v>
      </c>
      <c r="AJ15" s="29"/>
      <c r="AK15" s="1"/>
      <c r="AL15" s="1"/>
    </row>
    <row r="16" spans="1:38" ht="18" customHeight="1">
      <c r="A16" s="15" t="s">
        <v>18</v>
      </c>
      <c r="B16" s="56"/>
      <c r="C16" s="15"/>
      <c r="D16" s="1113">
        <f>+'Exhibit F'!V44</f>
        <v>-8.1999999999999993</v>
      </c>
      <c r="E16" s="47"/>
      <c r="F16" s="48">
        <f>+'Exhibit F'!AC44</f>
        <v>3634.8</v>
      </c>
      <c r="G16" s="47"/>
      <c r="H16" s="1113">
        <f>'Exhibit G'!V36</f>
        <v>88.1</v>
      </c>
      <c r="I16" s="47"/>
      <c r="J16" s="48">
        <f>'Exhibit G'!AE36</f>
        <v>1277</v>
      </c>
      <c r="K16" s="47"/>
      <c r="L16" s="1119">
        <v>0</v>
      </c>
      <c r="M16" s="48"/>
      <c r="N16" s="58">
        <v>0</v>
      </c>
      <c r="O16" s="48"/>
      <c r="P16" s="2658">
        <f>' Exhbit I '!W28</f>
        <v>53.9</v>
      </c>
      <c r="Q16" s="1112"/>
      <c r="R16" s="1111">
        <f>' Exhbit I '!AF28</f>
        <v>541</v>
      </c>
      <c r="S16" s="50"/>
      <c r="T16" s="50"/>
      <c r="U16" s="51"/>
      <c r="V16" s="1112">
        <f t="shared" si="0"/>
        <v>133.80000000000001</v>
      </c>
      <c r="W16" s="47" t="s">
        <v>15</v>
      </c>
      <c r="X16" s="47">
        <f t="shared" si="1"/>
        <v>5452.8</v>
      </c>
      <c r="Y16" s="50"/>
      <c r="Z16" s="52"/>
      <c r="AA16" s="51"/>
      <c r="AB16" s="1122">
        <v>15.7</v>
      </c>
      <c r="AC16" s="53"/>
      <c r="AD16" s="33">
        <f>ROUND(+'Exhibit G'!AH36+' Exhbit I '!AI28+'Exhibit F'!AF44,1)</f>
        <v>5457.3</v>
      </c>
      <c r="AE16" s="54"/>
      <c r="AF16" s="55"/>
      <c r="AG16" s="47">
        <f t="shared" si="2"/>
        <v>-4.5</v>
      </c>
      <c r="AI16" s="45">
        <f t="shared" si="3"/>
        <v>-1E-3</v>
      </c>
      <c r="AJ16" s="29"/>
      <c r="AK16" s="1"/>
      <c r="AL16" s="1"/>
    </row>
    <row r="17" spans="1:38" ht="18" customHeight="1">
      <c r="A17" s="15" t="s">
        <v>19</v>
      </c>
      <c r="B17" s="36"/>
      <c r="C17" s="15"/>
      <c r="D17" s="1113">
        <f>+'Exhibit F'!V52</f>
        <v>63.7</v>
      </c>
      <c r="E17" s="47"/>
      <c r="F17" s="48">
        <f>+'Exhibit F'!AC52</f>
        <v>965.5</v>
      </c>
      <c r="G17" s="47"/>
      <c r="H17" s="1113">
        <f>'Exhibit G'!V38</f>
        <v>180.8</v>
      </c>
      <c r="I17" s="47"/>
      <c r="J17" s="47">
        <f>'Exhibit G'!AE39</f>
        <v>1105.0999999999999</v>
      </c>
      <c r="K17" s="47"/>
      <c r="L17" s="2658">
        <f>'Exhibit H'!T23</f>
        <v>83.4</v>
      </c>
      <c r="M17" s="48"/>
      <c r="N17" s="48">
        <f>+'Exhibit H'!AA23</f>
        <v>864.3</v>
      </c>
      <c r="O17" s="48"/>
      <c r="P17" s="2658">
        <f>' Exhbit I '!W31</f>
        <v>11.9</v>
      </c>
      <c r="Q17" s="1112"/>
      <c r="R17" s="1111">
        <f>' Exhbit I '!AF31</f>
        <v>95.3</v>
      </c>
      <c r="S17" s="50"/>
      <c r="T17" s="50"/>
      <c r="U17" s="51"/>
      <c r="V17" s="1112">
        <f t="shared" si="0"/>
        <v>339.8</v>
      </c>
      <c r="W17" s="47" t="s">
        <v>15</v>
      </c>
      <c r="X17" s="47">
        <f t="shared" si="1"/>
        <v>3030.2</v>
      </c>
      <c r="Y17" s="50"/>
      <c r="Z17" s="52"/>
      <c r="AA17" s="51"/>
      <c r="AB17" s="1112">
        <v>367.1</v>
      </c>
      <c r="AC17" s="47"/>
      <c r="AD17" s="54">
        <f>ROUND(+'Exhibit F'!AF52+'Exhibit G'!AH39+'Exhibit H'!AD23+' Exhbit I '!AI31,1)</f>
        <v>3378</v>
      </c>
      <c r="AE17" s="54"/>
      <c r="AF17" s="55"/>
      <c r="AG17" s="47">
        <f t="shared" si="2"/>
        <v>-347.8</v>
      </c>
      <c r="AI17" s="45">
        <f t="shared" si="3"/>
        <v>-0.10299999999999999</v>
      </c>
      <c r="AJ17" s="33"/>
      <c r="AK17" s="1"/>
      <c r="AL17" s="1"/>
    </row>
    <row r="18" spans="1:38" ht="18" customHeight="1">
      <c r="A18" s="15" t="s">
        <v>20</v>
      </c>
      <c r="B18" s="59"/>
      <c r="C18" s="15"/>
      <c r="D18" s="1123">
        <f>+'Exhibit F'!V90</f>
        <v>138.80000000000001</v>
      </c>
      <c r="E18" s="47"/>
      <c r="F18" s="48">
        <f>+'Exhibit F'!AC90</f>
        <v>2810.7</v>
      </c>
      <c r="G18" s="47"/>
      <c r="H18" s="1113">
        <f>'Exhibit G'!V83</f>
        <v>1327.9</v>
      </c>
      <c r="I18" s="47"/>
      <c r="J18" s="48">
        <f>+'Exhibit G'!AE83</f>
        <v>14313.3</v>
      </c>
      <c r="K18" s="47"/>
      <c r="L18" s="2658">
        <f>+'Exhibit H'!T43</f>
        <v>81.5</v>
      </c>
      <c r="M18" s="48"/>
      <c r="N18" s="48">
        <f>+'Exhibit H'!AA43</f>
        <v>397.9</v>
      </c>
      <c r="O18" s="48"/>
      <c r="P18" s="2658">
        <f>+' Exhbit I '!W61</f>
        <v>220.7</v>
      </c>
      <c r="Q18" s="1112"/>
      <c r="R18" s="1113">
        <f>+' Exhbit I '!AF61</f>
        <v>2525</v>
      </c>
      <c r="S18" s="50"/>
      <c r="T18" s="50"/>
      <c r="U18" s="51"/>
      <c r="V18" s="1112">
        <f t="shared" si="0"/>
        <v>1768.9</v>
      </c>
      <c r="W18" s="47" t="s">
        <v>15</v>
      </c>
      <c r="X18" s="47">
        <f t="shared" si="1"/>
        <v>20046.900000000001</v>
      </c>
      <c r="Y18" s="50"/>
      <c r="Z18" s="52"/>
      <c r="AA18" s="51"/>
      <c r="AB18" s="1122">
        <v>1681.8</v>
      </c>
      <c r="AC18" s="53"/>
      <c r="AD18" s="54">
        <f>ROUND('Exhibit F'!AF90+'Exhibit G'!AH83+'Exhibit H'!AD43+' Exhbit I '!AI61,1)</f>
        <v>21889.1</v>
      </c>
      <c r="AE18" s="54"/>
      <c r="AF18" s="55"/>
      <c r="AG18" s="47">
        <f t="shared" si="2"/>
        <v>-1842.2</v>
      </c>
      <c r="AI18" s="45">
        <f t="shared" si="3"/>
        <v>-8.4000000000000005E-2</v>
      </c>
      <c r="AJ18" s="29"/>
      <c r="AK18" s="1"/>
      <c r="AL18" s="1"/>
    </row>
    <row r="19" spans="1:38" ht="18" customHeight="1">
      <c r="A19" s="15" t="s">
        <v>21</v>
      </c>
      <c r="B19" s="59"/>
      <c r="C19" s="15"/>
      <c r="D19" s="1113">
        <f>+'Exhibit F'!V92</f>
        <v>0.1</v>
      </c>
      <c r="E19" s="51"/>
      <c r="F19" s="48">
        <f>+'Exhibit F'!AC92</f>
        <v>0.4</v>
      </c>
      <c r="G19" s="47"/>
      <c r="H19" s="1113">
        <f>'Exhibit G'!V85</f>
        <v>3933.8</v>
      </c>
      <c r="I19" s="47"/>
      <c r="J19" s="48">
        <f>+'Exhibit G'!AE85</f>
        <v>41568.400000000001</v>
      </c>
      <c r="K19" s="47"/>
      <c r="L19" s="2658">
        <f>+'Exhibit H'!T45</f>
        <v>1.6</v>
      </c>
      <c r="M19" s="74"/>
      <c r="N19" s="48">
        <f>+'Exhibit H'!AA45</f>
        <v>38.299999999999997</v>
      </c>
      <c r="O19" s="48"/>
      <c r="P19" s="2658">
        <f>+' Exhbit I '!W63</f>
        <v>138.1</v>
      </c>
      <c r="Q19" s="1112"/>
      <c r="R19" s="1113">
        <f>+' Exhbit I '!AF63</f>
        <v>2142.1999999999998</v>
      </c>
      <c r="S19" s="50"/>
      <c r="T19" s="50"/>
      <c r="U19" s="51"/>
      <c r="V19" s="1114">
        <f t="shared" si="0"/>
        <v>4073.6</v>
      </c>
      <c r="W19" s="47" t="s">
        <v>15</v>
      </c>
      <c r="X19" s="51">
        <f t="shared" si="1"/>
        <v>43749.3</v>
      </c>
      <c r="Y19" s="50"/>
      <c r="Z19" s="52"/>
      <c r="AA19" s="51"/>
      <c r="AB19" s="1112">
        <v>4192.5</v>
      </c>
      <c r="AC19" s="47"/>
      <c r="AD19" s="54">
        <f>ROUND(+'Exhibit F'!AF92+'Exhibit G'!AH85+'Exhibit H'!AD45+' Exhbit I '!AI63,1)</f>
        <v>41425</v>
      </c>
      <c r="AE19" s="54"/>
      <c r="AF19" s="55"/>
      <c r="AG19" s="47">
        <f t="shared" si="2"/>
        <v>2324.3000000000002</v>
      </c>
      <c r="AI19" s="45">
        <f t="shared" si="3"/>
        <v>5.6000000000000001E-2</v>
      </c>
      <c r="AJ19" s="29"/>
      <c r="AK19" s="1"/>
      <c r="AL19" s="1"/>
    </row>
    <row r="20" spans="1:38" ht="18" customHeight="1">
      <c r="A20" s="14" t="s">
        <v>22</v>
      </c>
      <c r="B20" s="15"/>
      <c r="C20" s="15"/>
      <c r="D20" s="62">
        <f>ROUND(SUM(D14:D19),1)</f>
        <v>4241.8</v>
      </c>
      <c r="E20" s="61"/>
      <c r="F20" s="62">
        <f>ROUND(SUM(F14:F19),1)</f>
        <v>40852.300000000003</v>
      </c>
      <c r="G20" s="63"/>
      <c r="H20" s="65">
        <f>ROUND(SUM(H14:H19),1)</f>
        <v>7947.4</v>
      </c>
      <c r="I20" s="63"/>
      <c r="J20" s="65">
        <f>ROUND(SUM(J14:J19),1)</f>
        <v>62903.1</v>
      </c>
      <c r="K20" s="63"/>
      <c r="L20" s="65">
        <f>ROUND(SUM(L14:L19),1)</f>
        <v>2600.1999999999998</v>
      </c>
      <c r="M20" s="2553"/>
      <c r="N20" s="65">
        <f>ROUND(SUM(N14:N19),1)</f>
        <v>16859</v>
      </c>
      <c r="O20" s="2553"/>
      <c r="P20" s="65">
        <f>ROUND(SUM(P14:P19),1)</f>
        <v>474.9</v>
      </c>
      <c r="Q20" s="63"/>
      <c r="R20" s="65">
        <f>ROUND(SUM(R14:R19),1)</f>
        <v>5836.7</v>
      </c>
      <c r="S20" s="66"/>
      <c r="T20" s="66"/>
      <c r="U20" s="67"/>
      <c r="V20" s="64">
        <f>ROUND(SUM(V14:V19),1)</f>
        <v>15264.3</v>
      </c>
      <c r="W20" s="63"/>
      <c r="X20" s="64">
        <f>ROUND(SUM(X14:X19),1)</f>
        <v>126451.1</v>
      </c>
      <c r="Y20" s="66"/>
      <c r="Z20" s="68"/>
      <c r="AA20" s="67"/>
      <c r="AB20" s="64">
        <f>ROUND(SUM(AB14:AB19),1)</f>
        <v>14753.7</v>
      </c>
      <c r="AC20" s="63"/>
      <c r="AD20" s="64">
        <f>ROUND(SUM(AD14:AD19),1)</f>
        <v>126627.3</v>
      </c>
      <c r="AE20" s="69"/>
      <c r="AF20" s="70"/>
      <c r="AG20" s="64">
        <f>ROUND(SUM(AG14:AG19),1)</f>
        <v>-176.2</v>
      </c>
      <c r="AH20" s="71"/>
      <c r="AI20" s="72">
        <f>(+X20-AD20)/ABS(AD20)</f>
        <v>-1.3914850904978395E-3</v>
      </c>
      <c r="AJ20" s="73"/>
      <c r="AK20" s="1"/>
      <c r="AL20" s="1"/>
    </row>
    <row r="21" spans="1:38" ht="15.95" customHeight="1">
      <c r="A21" s="14"/>
      <c r="B21" s="15"/>
      <c r="C21" s="15"/>
      <c r="D21" s="1115"/>
      <c r="E21" s="51"/>
      <c r="F21" s="74"/>
      <c r="G21" s="47"/>
      <c r="H21" s="1115"/>
      <c r="I21" s="47"/>
      <c r="J21" s="74"/>
      <c r="K21" s="47"/>
      <c r="L21" s="1115"/>
      <c r="M21" s="48"/>
      <c r="N21" s="74"/>
      <c r="O21" s="48"/>
      <c r="P21" s="1115"/>
      <c r="Q21" s="1112"/>
      <c r="R21" s="1115"/>
      <c r="S21" s="50"/>
      <c r="T21" s="50"/>
      <c r="U21" s="51"/>
      <c r="V21" s="1114"/>
      <c r="W21" s="47"/>
      <c r="X21" s="51"/>
      <c r="Y21" s="50"/>
      <c r="Z21" s="52"/>
      <c r="AA21" s="51"/>
      <c r="AB21" s="1114"/>
      <c r="AC21" s="47"/>
      <c r="AD21" s="54"/>
      <c r="AE21" s="54"/>
      <c r="AF21" s="55"/>
      <c r="AG21" s="51"/>
      <c r="AI21" s="19"/>
      <c r="AJ21" s="29"/>
      <c r="AK21" s="1"/>
      <c r="AL21" s="1"/>
    </row>
    <row r="22" spans="1:38" ht="15.95" customHeight="1">
      <c r="A22" s="14" t="s">
        <v>23</v>
      </c>
      <c r="B22" s="15"/>
      <c r="C22" s="15"/>
      <c r="D22" s="1113"/>
      <c r="E22" s="47"/>
      <c r="F22" s="48"/>
      <c r="G22" s="47"/>
      <c r="H22" s="1113"/>
      <c r="I22" s="47"/>
      <c r="J22" s="48"/>
      <c r="K22" s="47"/>
      <c r="L22" s="1113"/>
      <c r="M22" s="48"/>
      <c r="N22" s="48"/>
      <c r="O22" s="48"/>
      <c r="P22" s="1113"/>
      <c r="Q22" s="1112"/>
      <c r="R22" s="1113"/>
      <c r="S22" s="50"/>
      <c r="T22" s="50"/>
      <c r="U22" s="51"/>
      <c r="V22" s="1112"/>
      <c r="W22" s="47"/>
      <c r="X22" s="47"/>
      <c r="Y22" s="50"/>
      <c r="Z22" s="52"/>
      <c r="AA22" s="51"/>
      <c r="AB22" s="1112"/>
      <c r="AC22" s="47"/>
      <c r="AD22" s="54"/>
      <c r="AE22" s="54"/>
      <c r="AF22" s="55"/>
      <c r="AG22" s="47"/>
      <c r="AI22" s="19"/>
      <c r="AJ22" s="29"/>
      <c r="AK22" s="1"/>
      <c r="AL22" s="1"/>
    </row>
    <row r="23" spans="1:38" ht="15.95" customHeight="1">
      <c r="A23" s="15" t="s">
        <v>24</v>
      </c>
      <c r="B23" s="36" t="s">
        <v>1070</v>
      </c>
      <c r="C23" s="15"/>
      <c r="D23" s="1119" t="s">
        <v>15</v>
      </c>
      <c r="E23" s="47"/>
      <c r="F23" s="58" t="s">
        <v>15</v>
      </c>
      <c r="G23" s="47"/>
      <c r="H23" s="1117"/>
      <c r="I23" s="47"/>
      <c r="J23" s="75"/>
      <c r="K23" s="47"/>
      <c r="L23" s="1117"/>
      <c r="M23" s="48"/>
      <c r="N23" s="75"/>
      <c r="O23" s="48"/>
      <c r="P23" s="1117"/>
      <c r="Q23" s="1112"/>
      <c r="R23" s="1117"/>
      <c r="S23" s="50"/>
      <c r="T23" s="50"/>
      <c r="U23" s="51"/>
      <c r="V23" s="1116"/>
      <c r="W23" s="47"/>
      <c r="X23" s="60"/>
      <c r="Y23" s="50"/>
      <c r="Z23" s="52"/>
      <c r="AA23" s="51"/>
      <c r="AB23" s="1116"/>
      <c r="AC23" s="47"/>
      <c r="AD23" s="60"/>
      <c r="AE23" s="54"/>
      <c r="AF23" s="55"/>
      <c r="AG23" s="60"/>
      <c r="AI23" s="76"/>
      <c r="AJ23" s="29"/>
      <c r="AK23" s="1"/>
      <c r="AL23" s="1"/>
    </row>
    <row r="24" spans="1:38" ht="18" customHeight="1">
      <c r="A24" s="1640" t="s">
        <v>25</v>
      </c>
      <c r="B24" s="15"/>
      <c r="C24" s="15"/>
      <c r="D24" s="2560">
        <f>+'Exhibit F'!V98</f>
        <v>671</v>
      </c>
      <c r="E24" s="47"/>
      <c r="F24" s="48">
        <f>+'Exhibit F'!AC98</f>
        <v>15903.6</v>
      </c>
      <c r="G24" s="47"/>
      <c r="H24" s="2658">
        <f>'Exhibit G'!V91</f>
        <v>2575.9</v>
      </c>
      <c r="I24" s="47"/>
      <c r="J24" s="48">
        <f>+'Exhibit G'!AE91</f>
        <v>8155.4</v>
      </c>
      <c r="K24" s="47"/>
      <c r="L24" s="2551">
        <v>0</v>
      </c>
      <c r="M24" s="74"/>
      <c r="N24" s="78">
        <v>0</v>
      </c>
      <c r="O24" s="48"/>
      <c r="P24" s="2658">
        <f>' Exhbit I '!W69</f>
        <v>0.5</v>
      </c>
      <c r="Q24" s="1111"/>
      <c r="R24" s="1113">
        <f>+' Exhbit I '!AF69</f>
        <v>29.9</v>
      </c>
      <c r="S24" s="50"/>
      <c r="T24" s="50"/>
      <c r="U24" s="51"/>
      <c r="V24" s="1112">
        <f>ROUND(SUM(D24)+SUM(H24)+SUM(L24)+SUM(P24),1)</f>
        <v>3247.4</v>
      </c>
      <c r="W24" s="47" t="s">
        <v>15</v>
      </c>
      <c r="X24" s="47">
        <f>ROUND(SUM(F24)+SUM(J24)+SUM(N24)+SUM(R24),1)</f>
        <v>24088.9</v>
      </c>
      <c r="Y24" s="50"/>
      <c r="Z24" s="52"/>
      <c r="AA24" s="51"/>
      <c r="AB24" s="1112">
        <v>3447</v>
      </c>
      <c r="AC24" s="47"/>
      <c r="AD24" s="54">
        <f>ROUND(+'Exhibit F'!AF98+'Exhibit G'!AH91+'Exhibit H'!L49+' Exhbit I '!AI69,1)</f>
        <v>24819.4</v>
      </c>
      <c r="AE24" s="79"/>
      <c r="AF24" s="80"/>
      <c r="AG24" s="47">
        <f>ROUND(SUM(X24-AD24),1)</f>
        <v>-730.5</v>
      </c>
      <c r="AI24" s="45">
        <f>ROUND(SUM((+X24-AD24)/ABS(AD24)),3)</f>
        <v>-2.9000000000000001E-2</v>
      </c>
      <c r="AJ24" s="29"/>
      <c r="AK24" s="1"/>
      <c r="AL24" s="1"/>
    </row>
    <row r="25" spans="1:38" ht="18" customHeight="1">
      <c r="A25" s="1640" t="s">
        <v>26</v>
      </c>
      <c r="B25" s="81"/>
      <c r="C25" s="15"/>
      <c r="D25" s="2560">
        <f>+'Exhibit F'!V99</f>
        <v>0.1</v>
      </c>
      <c r="E25" s="47"/>
      <c r="F25" s="48">
        <f>+'Exhibit F'!AC99</f>
        <v>4.3</v>
      </c>
      <c r="G25" s="47"/>
      <c r="H25" s="2658">
        <f>'Exhibit G'!V92</f>
        <v>0.6</v>
      </c>
      <c r="I25" s="47"/>
      <c r="J25" s="48">
        <f>+'Exhibit G'!AE92</f>
        <v>6</v>
      </c>
      <c r="K25" s="47"/>
      <c r="L25" s="2551">
        <v>0</v>
      </c>
      <c r="M25" s="74"/>
      <c r="N25" s="78">
        <v>0</v>
      </c>
      <c r="O25" s="48"/>
      <c r="P25" s="2658">
        <f>' Exhbit I '!W70</f>
        <v>6.9</v>
      </c>
      <c r="Q25" s="1111"/>
      <c r="R25" s="1113">
        <f>+' Exhbit I '!AF70</f>
        <v>267.3</v>
      </c>
      <c r="S25" s="50"/>
      <c r="T25" s="50"/>
      <c r="U25" s="51"/>
      <c r="V25" s="1112">
        <f t="shared" ref="V25:V32" si="4">ROUND(SUM(D25)+SUM(H25)+SUM(L25)+SUM(P25),1)</f>
        <v>7.6</v>
      </c>
      <c r="W25" s="47" t="s">
        <v>15</v>
      </c>
      <c r="X25" s="47">
        <f t="shared" ref="X25:X32" si="5">ROUND(SUM(F25)+SUM(J25)+SUM(N25)+SUM(R25),1)</f>
        <v>277.60000000000002</v>
      </c>
      <c r="Y25" s="50"/>
      <c r="Z25" s="52"/>
      <c r="AA25" s="51"/>
      <c r="AB25" s="1177">
        <v>8.5</v>
      </c>
      <c r="AC25" s="49" t="s">
        <v>15</v>
      </c>
      <c r="AD25" s="54">
        <f>ROUND(+'Exhibit F'!AF99+'Exhibit G'!AH92+'Exhibit H'!N49+' Exhbit I '!AI70,1)</f>
        <v>254.4</v>
      </c>
      <c r="AE25" s="51"/>
      <c r="AF25" s="55"/>
      <c r="AG25" s="47">
        <f t="shared" ref="AG25:AG33" si="6">ROUND(SUM(X25-AD25),1)</f>
        <v>23.2</v>
      </c>
      <c r="AI25" s="45">
        <f t="shared" ref="AI25:AI32" si="7">ROUND(SUM((+X25-AD25)/ABS(AD25)),3)</f>
        <v>9.0999999999999998E-2</v>
      </c>
      <c r="AJ25" s="29"/>
      <c r="AK25" s="1"/>
      <c r="AL25" s="1"/>
    </row>
    <row r="26" spans="1:38" ht="18" customHeight="1">
      <c r="A26" s="1640" t="s">
        <v>27</v>
      </c>
      <c r="B26" s="82"/>
      <c r="C26" s="15"/>
      <c r="D26" s="2560">
        <f>+'Exhibit F'!V100</f>
        <v>3.5</v>
      </c>
      <c r="E26" s="47"/>
      <c r="F26" s="48">
        <f>+'Exhibit F'!AC100</f>
        <v>917.2</v>
      </c>
      <c r="G26" s="47"/>
      <c r="H26" s="2658">
        <f>'Exhibit G'!V93</f>
        <v>20.3</v>
      </c>
      <c r="I26" s="47"/>
      <c r="J26" s="48">
        <f>+'Exhibit G'!AE93</f>
        <v>193.2</v>
      </c>
      <c r="K26" s="47"/>
      <c r="L26" s="2551">
        <v>0</v>
      </c>
      <c r="M26" s="74"/>
      <c r="N26" s="78">
        <v>0</v>
      </c>
      <c r="O26" s="48"/>
      <c r="P26" s="2658">
        <f>' Exhbit I '!W71</f>
        <v>38</v>
      </c>
      <c r="Q26" s="1111"/>
      <c r="R26" s="1113">
        <f>+' Exhbit I '!AF71</f>
        <v>376.8</v>
      </c>
      <c r="S26" s="50"/>
      <c r="T26" s="50"/>
      <c r="U26" s="51"/>
      <c r="V26" s="1112">
        <f t="shared" si="4"/>
        <v>61.8</v>
      </c>
      <c r="W26" s="47" t="s">
        <v>15</v>
      </c>
      <c r="X26" s="47">
        <f t="shared" si="5"/>
        <v>1487.2</v>
      </c>
      <c r="Y26" s="50"/>
      <c r="Z26" s="52"/>
      <c r="AA26" s="51"/>
      <c r="AB26" s="1112">
        <v>40</v>
      </c>
      <c r="AC26" s="47" t="s">
        <v>15</v>
      </c>
      <c r="AD26" s="54">
        <f>ROUND(+'Exhibit F'!AF100+'Exhibit G'!AH93+'Exhibit H'!J49+' Exhbit I '!AI71,1)</f>
        <v>1210.2</v>
      </c>
      <c r="AE26" s="51"/>
      <c r="AF26" s="55"/>
      <c r="AG26" s="47">
        <f t="shared" si="6"/>
        <v>277</v>
      </c>
      <c r="AI26" s="45">
        <f t="shared" si="7"/>
        <v>0.22900000000000001</v>
      </c>
      <c r="AJ26" s="29"/>
      <c r="AK26" s="1"/>
      <c r="AL26" s="1"/>
    </row>
    <row r="27" spans="1:38" ht="18" customHeight="1">
      <c r="A27" s="1640" t="s">
        <v>28</v>
      </c>
      <c r="B27" s="36"/>
      <c r="C27" s="15"/>
      <c r="D27" s="1113"/>
      <c r="E27" s="47"/>
      <c r="F27" s="48"/>
      <c r="G27" s="47"/>
      <c r="H27" s="2658"/>
      <c r="I27" s="47"/>
      <c r="J27" s="48" t="s">
        <v>15</v>
      </c>
      <c r="K27" s="47"/>
      <c r="L27" s="2655" t="s">
        <v>15</v>
      </c>
      <c r="M27" s="74"/>
      <c r="N27" s="84" t="s">
        <v>15</v>
      </c>
      <c r="O27" s="48"/>
      <c r="P27" s="2658"/>
      <c r="Q27" s="1111"/>
      <c r="R27" s="1113"/>
      <c r="S27" s="50"/>
      <c r="T27" s="50"/>
      <c r="U27" s="51"/>
      <c r="V27" s="1112" t="s">
        <v>15</v>
      </c>
      <c r="W27" s="47"/>
      <c r="X27" s="1112" t="s">
        <v>15</v>
      </c>
      <c r="Y27" s="50"/>
      <c r="Z27" s="52"/>
      <c r="AA27" s="51"/>
      <c r="AB27" s="1112"/>
      <c r="AC27" s="47"/>
      <c r="AD27" s="47"/>
      <c r="AE27" s="51"/>
      <c r="AF27" s="55"/>
      <c r="AG27" s="47"/>
      <c r="AI27" s="1780" t="s">
        <v>15</v>
      </c>
      <c r="AJ27" s="29"/>
      <c r="AK27" s="1"/>
      <c r="AL27" s="1"/>
    </row>
    <row r="28" spans="1:38" ht="18" customHeight="1">
      <c r="A28" s="1641" t="s">
        <v>29</v>
      </c>
      <c r="B28" s="46"/>
      <c r="C28" s="15"/>
      <c r="D28" s="2560">
        <f>+'Exhibit F'!V102</f>
        <v>704.2</v>
      </c>
      <c r="E28" s="47"/>
      <c r="F28" s="48">
        <f>+'Exhibit F'!AC102</f>
        <v>11687.6</v>
      </c>
      <c r="G28" s="47"/>
      <c r="H28" s="2658">
        <f>'Exhibit G'!V95</f>
        <v>3284.3</v>
      </c>
      <c r="I28" s="47"/>
      <c r="J28" s="48">
        <f>+'Exhibit G'!AE95</f>
        <v>31490.5</v>
      </c>
      <c r="K28" s="47"/>
      <c r="L28" s="2551">
        <v>0</v>
      </c>
      <c r="M28" s="74"/>
      <c r="N28" s="78">
        <v>0</v>
      </c>
      <c r="O28" s="48"/>
      <c r="P28" s="2658">
        <f>' Exhbit I '!W73</f>
        <v>0</v>
      </c>
      <c r="Q28" s="1111"/>
      <c r="R28" s="1117">
        <f>+' Exhbit I '!AF73</f>
        <v>0</v>
      </c>
      <c r="S28" s="50"/>
      <c r="T28" s="50"/>
      <c r="U28" s="51"/>
      <c r="V28" s="1112">
        <f t="shared" si="4"/>
        <v>3988.5</v>
      </c>
      <c r="W28" s="47" t="s">
        <v>15</v>
      </c>
      <c r="X28" s="47">
        <f t="shared" si="5"/>
        <v>43178.1</v>
      </c>
      <c r="Y28" s="50"/>
      <c r="Z28" s="52"/>
      <c r="AA28" s="51"/>
      <c r="AB28" s="1112">
        <v>4652.5</v>
      </c>
      <c r="AC28" s="47" t="s">
        <v>15</v>
      </c>
      <c r="AD28" s="47">
        <f>ROUND(+'Exhibit F'!AF102+'Exhibit G'!AH95+'Exhibit H'!F49+' Exhbit I '!AI73,1)</f>
        <v>41148.300000000003</v>
      </c>
      <c r="AE28" s="51"/>
      <c r="AF28" s="55"/>
      <c r="AG28" s="47">
        <f t="shared" si="6"/>
        <v>2029.8</v>
      </c>
      <c r="AI28" s="45">
        <f t="shared" si="7"/>
        <v>4.9000000000000002E-2</v>
      </c>
      <c r="AJ28" s="29"/>
      <c r="AK28" s="3086"/>
      <c r="AL28" s="1"/>
    </row>
    <row r="29" spans="1:38" ht="18" customHeight="1">
      <c r="A29" s="1640" t="s">
        <v>30</v>
      </c>
      <c r="B29" s="46"/>
      <c r="C29" s="15"/>
      <c r="D29" s="2560">
        <f>+'Exhibit F'!V103</f>
        <v>117.2</v>
      </c>
      <c r="E29" s="47"/>
      <c r="F29" s="48">
        <f>+'Exhibit F'!AC103</f>
        <v>1191.5999999999999</v>
      </c>
      <c r="G29" s="47"/>
      <c r="H29" s="2658">
        <f>'Exhibit G'!V96</f>
        <v>575.70000000000005</v>
      </c>
      <c r="I29" s="47"/>
      <c r="J29" s="48">
        <f>+'Exhibit G'!AE96</f>
        <v>6010.8</v>
      </c>
      <c r="K29" s="47"/>
      <c r="L29" s="2551">
        <v>0</v>
      </c>
      <c r="M29" s="74"/>
      <c r="N29" s="78">
        <v>0</v>
      </c>
      <c r="O29" s="48"/>
      <c r="P29" s="2658">
        <f>' Exhbit I '!W74</f>
        <v>48.9</v>
      </c>
      <c r="Q29" s="1111"/>
      <c r="R29" s="1113">
        <f>+' Exhbit I '!AF74</f>
        <v>123.3</v>
      </c>
      <c r="S29" s="50"/>
      <c r="T29" s="50"/>
      <c r="U29" s="51"/>
      <c r="V29" s="1112">
        <f t="shared" si="4"/>
        <v>741.8</v>
      </c>
      <c r="W29" s="47" t="s">
        <v>15</v>
      </c>
      <c r="X29" s="47">
        <f t="shared" si="5"/>
        <v>7325.7</v>
      </c>
      <c r="Y29" s="50"/>
      <c r="Z29" s="52"/>
      <c r="AA29" s="51"/>
      <c r="AB29" s="1112">
        <v>847.2</v>
      </c>
      <c r="AC29" s="47" t="s">
        <v>15</v>
      </c>
      <c r="AD29" s="47">
        <f>ROUND(+'Exhibit F'!AF103+'Exhibit G'!AH96+' Exhbit I '!AI74,1)</f>
        <v>5269.1</v>
      </c>
      <c r="AE29" s="51"/>
      <c r="AF29" s="55"/>
      <c r="AG29" s="47">
        <f t="shared" si="6"/>
        <v>2056.6</v>
      </c>
      <c r="AI29" s="45">
        <f t="shared" si="7"/>
        <v>0.39</v>
      </c>
      <c r="AJ29" s="29"/>
      <c r="AK29" s="1"/>
      <c r="AL29" s="1"/>
    </row>
    <row r="30" spans="1:38" ht="18" customHeight="1">
      <c r="A30" s="1640" t="s">
        <v>31</v>
      </c>
      <c r="B30" s="36"/>
      <c r="C30" s="15"/>
      <c r="D30" s="2560">
        <f>+'Exhibit F'!V104</f>
        <v>5.7</v>
      </c>
      <c r="E30" s="47"/>
      <c r="F30" s="48">
        <f>+'Exhibit F'!AC104</f>
        <v>123.9</v>
      </c>
      <c r="G30" s="47"/>
      <c r="H30" s="2658">
        <f>'Exhibit G'!V97</f>
        <v>148.5</v>
      </c>
      <c r="I30" s="47"/>
      <c r="J30" s="48">
        <f>+'Exhibit G'!AE97</f>
        <v>1323.2</v>
      </c>
      <c r="K30" s="47"/>
      <c r="L30" s="2551">
        <v>0</v>
      </c>
      <c r="M30" s="74"/>
      <c r="N30" s="78">
        <v>0</v>
      </c>
      <c r="O30" s="48"/>
      <c r="P30" s="2658">
        <f>' Exhbit I '!W75</f>
        <v>2.2000000000000002</v>
      </c>
      <c r="Q30" s="1111"/>
      <c r="R30" s="1117">
        <f>+' Exhbit I '!AF75</f>
        <v>37.799999999999997</v>
      </c>
      <c r="S30" s="50"/>
      <c r="T30" s="50"/>
      <c r="U30" s="51"/>
      <c r="V30" s="1112">
        <f t="shared" si="4"/>
        <v>156.4</v>
      </c>
      <c r="W30" s="47" t="s">
        <v>15</v>
      </c>
      <c r="X30" s="47">
        <f t="shared" si="5"/>
        <v>1484.9</v>
      </c>
      <c r="Y30" s="50"/>
      <c r="Z30" s="52"/>
      <c r="AA30" s="51"/>
      <c r="AB30" s="1112">
        <v>102</v>
      </c>
      <c r="AC30" s="47" t="s">
        <v>15</v>
      </c>
      <c r="AD30" s="47">
        <f>ROUND(+'Exhibit F'!AF104+'Exhibit G'!AH97+' Exhbit I '!AI75,1)</f>
        <v>1789.2</v>
      </c>
      <c r="AE30" s="51"/>
      <c r="AF30" s="55"/>
      <c r="AG30" s="47">
        <f t="shared" si="6"/>
        <v>-304.3</v>
      </c>
      <c r="AI30" s="45">
        <f t="shared" si="7"/>
        <v>-0.17</v>
      </c>
      <c r="AJ30" s="29"/>
      <c r="AK30" s="1"/>
      <c r="AL30" s="1"/>
    </row>
    <row r="31" spans="1:38" ht="18" customHeight="1">
      <c r="A31" s="1640" t="s">
        <v>32</v>
      </c>
      <c r="B31" s="15"/>
      <c r="C31" s="15"/>
      <c r="D31" s="2560">
        <f>+'Exhibit F'!V105</f>
        <v>214.6</v>
      </c>
      <c r="E31" s="47"/>
      <c r="F31" s="48">
        <f>+'Exhibit F'!AC105</f>
        <v>2293.8000000000002</v>
      </c>
      <c r="G31" s="47"/>
      <c r="H31" s="2658">
        <f>'Exhibit G'!V98</f>
        <v>182.5</v>
      </c>
      <c r="I31" s="47"/>
      <c r="J31" s="48">
        <f>+'Exhibit G'!AE98</f>
        <v>3553</v>
      </c>
      <c r="K31" s="47"/>
      <c r="L31" s="2551">
        <v>0</v>
      </c>
      <c r="M31" s="74"/>
      <c r="N31" s="78">
        <v>0</v>
      </c>
      <c r="O31" s="48"/>
      <c r="P31" s="2658">
        <f>' Exhbit I '!W76</f>
        <v>29.9</v>
      </c>
      <c r="Q31" s="1111"/>
      <c r="R31" s="1113">
        <f>+' Exhbit I '!AF76</f>
        <v>124.6</v>
      </c>
      <c r="S31" s="50"/>
      <c r="T31" s="50"/>
      <c r="U31" s="51"/>
      <c r="V31" s="1112">
        <f t="shared" si="4"/>
        <v>427</v>
      </c>
      <c r="W31" s="47" t="s">
        <v>15</v>
      </c>
      <c r="X31" s="47">
        <f t="shared" si="5"/>
        <v>5971.4</v>
      </c>
      <c r="Y31" s="50"/>
      <c r="Z31" s="52"/>
      <c r="AA31" s="51"/>
      <c r="AB31" s="1112">
        <v>392.7</v>
      </c>
      <c r="AC31" s="47" t="s">
        <v>15</v>
      </c>
      <c r="AD31" s="47">
        <f>ROUND(+'Exhibit F'!AF105+'Exhibit G'!AH98+' Exhbit I '!AI76,1)</f>
        <v>6247.6</v>
      </c>
      <c r="AE31" s="51"/>
      <c r="AF31" s="55"/>
      <c r="AG31" s="47">
        <f t="shared" si="6"/>
        <v>-276.2</v>
      </c>
      <c r="AI31" s="45">
        <f t="shared" si="7"/>
        <v>-4.3999999999999997E-2</v>
      </c>
      <c r="AJ31" s="29"/>
      <c r="AK31" s="1"/>
      <c r="AL31" s="1"/>
    </row>
    <row r="32" spans="1:38" ht="18" customHeight="1">
      <c r="A32" s="1640" t="s">
        <v>33</v>
      </c>
      <c r="B32" s="36"/>
      <c r="C32" s="15"/>
      <c r="D32" s="2560">
        <f>+'Exhibit F'!V106</f>
        <v>20.2</v>
      </c>
      <c r="E32" s="47"/>
      <c r="F32" s="48">
        <f>+'Exhibit F'!AC106</f>
        <v>152.19999999999999</v>
      </c>
      <c r="G32" s="47"/>
      <c r="H32" s="2658">
        <f>'Exhibit G'!V99</f>
        <v>1.7000000000000002</v>
      </c>
      <c r="I32" s="47"/>
      <c r="J32" s="48">
        <f>+'Exhibit G'!AE99</f>
        <v>59.5</v>
      </c>
      <c r="K32" s="47"/>
      <c r="L32" s="2551">
        <v>0</v>
      </c>
      <c r="M32" s="74" t="s">
        <v>15</v>
      </c>
      <c r="N32" s="78">
        <v>0</v>
      </c>
      <c r="O32" s="48"/>
      <c r="P32" s="2658">
        <f>' Exhbit I '!W77</f>
        <v>45.4</v>
      </c>
      <c r="Q32" s="1111"/>
      <c r="R32" s="1113">
        <f>+' Exhbit I '!AF77</f>
        <v>551.4</v>
      </c>
      <c r="S32" s="50"/>
      <c r="T32" s="50"/>
      <c r="U32" s="51"/>
      <c r="V32" s="1112">
        <f t="shared" si="4"/>
        <v>67.3</v>
      </c>
      <c r="W32" s="47" t="s">
        <v>15</v>
      </c>
      <c r="X32" s="47">
        <f t="shared" si="5"/>
        <v>763.1</v>
      </c>
      <c r="Y32" s="50"/>
      <c r="Z32" s="52"/>
      <c r="AA32" s="51"/>
      <c r="AB32" s="1112">
        <v>21.7</v>
      </c>
      <c r="AC32" s="47" t="s">
        <v>15</v>
      </c>
      <c r="AD32" s="47">
        <f>ROUND(+'Exhibit F'!AF106+'Exhibit G'!AH99+' Exhbit I '!AI77,1)</f>
        <v>644.29999999999995</v>
      </c>
      <c r="AE32" s="51"/>
      <c r="AF32" s="55"/>
      <c r="AG32" s="47">
        <f t="shared" si="6"/>
        <v>118.8</v>
      </c>
      <c r="AI32" s="45">
        <f t="shared" si="7"/>
        <v>0.184</v>
      </c>
      <c r="AJ32" s="29"/>
      <c r="AK32" s="1"/>
      <c r="AL32" s="1"/>
    </row>
    <row r="33" spans="1:38" ht="18" customHeight="1">
      <c r="A33" s="1640" t="s">
        <v>34</v>
      </c>
      <c r="B33" s="15"/>
      <c r="C33" s="15"/>
      <c r="D33" s="2560">
        <f>+'Exhibit F'!V107</f>
        <v>0</v>
      </c>
      <c r="E33" s="47"/>
      <c r="F33" s="48">
        <f>+'Exhibit F'!AC107</f>
        <v>91.9</v>
      </c>
      <c r="G33" s="47"/>
      <c r="H33" s="2658">
        <f>'Exhibit G'!V100</f>
        <v>210.5</v>
      </c>
      <c r="I33" s="47"/>
      <c r="J33" s="48">
        <f>+'Exhibit G'!AE100</f>
        <v>4470.6000000000004</v>
      </c>
      <c r="K33" s="47"/>
      <c r="L33" s="2551">
        <v>0</v>
      </c>
      <c r="M33" s="74"/>
      <c r="N33" s="78">
        <v>0</v>
      </c>
      <c r="O33" s="48"/>
      <c r="P33" s="2658">
        <f>' Exhbit I '!W78</f>
        <v>44.1</v>
      </c>
      <c r="Q33" s="1111"/>
      <c r="R33" s="1113">
        <f>+' Exhbit I '!AF78</f>
        <v>963.7</v>
      </c>
      <c r="S33" s="50"/>
      <c r="T33" s="50"/>
      <c r="U33" s="51"/>
      <c r="V33" s="1112">
        <f>ROUND(SUM(D33)+SUM(H33)+SUM(L33)+SUM(P33),1)</f>
        <v>254.6</v>
      </c>
      <c r="W33" s="47" t="s">
        <v>15</v>
      </c>
      <c r="X33" s="47">
        <f>ROUND(SUM(F33)+SUM(J33)+SUM(N33)+SUM(R33),1)</f>
        <v>5526.2</v>
      </c>
      <c r="Y33" s="50"/>
      <c r="Z33" s="52"/>
      <c r="AA33" s="51"/>
      <c r="AB33" s="1112">
        <v>204.9</v>
      </c>
      <c r="AC33" s="47" t="s">
        <v>15</v>
      </c>
      <c r="AD33" s="48">
        <f>ROUND(+'Exhibit F'!AF107+'Exhibit G'!AH100+' Exhbit I '!AI78,1)</f>
        <v>5005.8999999999996</v>
      </c>
      <c r="AE33" s="51"/>
      <c r="AF33" s="55"/>
      <c r="AG33" s="47">
        <f t="shared" si="6"/>
        <v>520.29999999999995</v>
      </c>
      <c r="AI33" s="45">
        <f>ROUND(SUM((+X33-AD33)/ABS(AD33)),3)</f>
        <v>0.104</v>
      </c>
      <c r="AJ33" s="29"/>
      <c r="AK33" s="1"/>
      <c r="AL33" s="1"/>
    </row>
    <row r="34" spans="1:38" ht="18" customHeight="1">
      <c r="A34" s="14" t="s">
        <v>35</v>
      </c>
      <c r="B34" s="15"/>
      <c r="C34" s="15"/>
      <c r="D34" s="65">
        <f>ROUND(SUM(D24:D33),1)</f>
        <v>1736.5</v>
      </c>
      <c r="E34" s="67"/>
      <c r="F34" s="65">
        <f>ROUND(SUM(F24:F33),1)</f>
        <v>32366.1</v>
      </c>
      <c r="G34" s="63"/>
      <c r="H34" s="65">
        <f>ROUND(SUM(H24:H33),1)</f>
        <v>7000</v>
      </c>
      <c r="I34" s="63"/>
      <c r="J34" s="65">
        <f>ROUND(SUM(J24:J33),1)</f>
        <v>55262.2</v>
      </c>
      <c r="K34" s="63"/>
      <c r="L34" s="2660">
        <f>ROUND(SUM(L24:L33),1)</f>
        <v>0</v>
      </c>
      <c r="M34" s="2553"/>
      <c r="N34" s="2660">
        <f>ROUND(SUM(N24:N33),1)</f>
        <v>0</v>
      </c>
      <c r="O34" s="2553"/>
      <c r="P34" s="62">
        <f>ROUND(SUM(P24:P33),1)</f>
        <v>215.9</v>
      </c>
      <c r="Q34" s="63"/>
      <c r="R34" s="62">
        <f>ROUND(SUM(R24:R33),1)</f>
        <v>2474.8000000000002</v>
      </c>
      <c r="S34" s="66"/>
      <c r="T34" s="66"/>
      <c r="U34" s="67"/>
      <c r="V34" s="64">
        <f>ROUND(SUM(V24:V33),1)</f>
        <v>8952.4</v>
      </c>
      <c r="W34" s="63"/>
      <c r="X34" s="64">
        <f>ROUND(SUM(X24:X33),1)</f>
        <v>90103.1</v>
      </c>
      <c r="Y34" s="66"/>
      <c r="Z34" s="68"/>
      <c r="AA34" s="67"/>
      <c r="AB34" s="64">
        <f>ROUND(SUM(AB23:AB33),1)</f>
        <v>9716.5</v>
      </c>
      <c r="AC34" s="63"/>
      <c r="AD34" s="64">
        <f>ROUND(SUM(AD23:AD33),1)</f>
        <v>86388.4</v>
      </c>
      <c r="AE34" s="69"/>
      <c r="AF34" s="70"/>
      <c r="AG34" s="64">
        <f>ROUND(SUM(AG24:AG33),1)</f>
        <v>3714.7</v>
      </c>
      <c r="AH34" s="71"/>
      <c r="AI34" s="72">
        <f>ROUND(SUM((+X34-AD34)/ABS(AD34)),3)</f>
        <v>4.2999999999999997E-2</v>
      </c>
      <c r="AJ34" s="18"/>
      <c r="AK34" s="1"/>
      <c r="AL34" s="1"/>
    </row>
    <row r="35" spans="1:38" ht="18" customHeight="1">
      <c r="A35" s="15" t="s">
        <v>36</v>
      </c>
      <c r="B35" s="82"/>
      <c r="C35" s="15"/>
      <c r="D35" s="1113"/>
      <c r="E35" s="47"/>
      <c r="F35" s="48"/>
      <c r="G35" s="47"/>
      <c r="H35" s="1113"/>
      <c r="I35" s="47"/>
      <c r="J35" s="48"/>
      <c r="K35" s="47"/>
      <c r="L35" s="1113"/>
      <c r="M35" s="48"/>
      <c r="N35" s="48"/>
      <c r="O35" s="48"/>
      <c r="P35" s="1113"/>
      <c r="Q35" s="1112"/>
      <c r="R35" s="1113"/>
      <c r="S35" s="50"/>
      <c r="T35" s="50"/>
      <c r="U35" s="51"/>
      <c r="V35" s="1112"/>
      <c r="W35" s="47"/>
      <c r="X35" s="47"/>
      <c r="Y35" s="50"/>
      <c r="Z35" s="52"/>
      <c r="AA35" s="51"/>
      <c r="AB35" s="1112"/>
      <c r="AC35" s="47"/>
      <c r="AD35" s="54"/>
      <c r="AE35" s="54"/>
      <c r="AF35" s="55"/>
      <c r="AG35" s="47"/>
      <c r="AI35" s="19"/>
      <c r="AJ35" s="29"/>
      <c r="AK35" s="1"/>
      <c r="AL35" s="1"/>
    </row>
    <row r="36" spans="1:38" ht="18" customHeight="1">
      <c r="A36" s="15" t="s">
        <v>37</v>
      </c>
      <c r="B36" s="81"/>
      <c r="C36" s="15"/>
      <c r="D36" s="1113">
        <f>+'Exhibit F'!V110</f>
        <v>430.1</v>
      </c>
      <c r="E36" s="47"/>
      <c r="F36" s="48">
        <f>+'Exhibit F'!AC110</f>
        <v>5113.3999999999996</v>
      </c>
      <c r="G36" s="47"/>
      <c r="H36" s="2658">
        <f>'Exhibit G'!V103</f>
        <v>607.59999999999991</v>
      </c>
      <c r="I36" s="47"/>
      <c r="J36" s="48">
        <f>+'Exhibit G'!AE103</f>
        <v>6361.2</v>
      </c>
      <c r="K36" s="47"/>
      <c r="L36" s="1119">
        <v>0</v>
      </c>
      <c r="M36" s="48"/>
      <c r="N36" s="58">
        <v>0</v>
      </c>
      <c r="O36" s="48"/>
      <c r="P36" s="1119">
        <f>' Exhbit I '!W81</f>
        <v>0</v>
      </c>
      <c r="Q36" s="1112"/>
      <c r="R36" s="1119">
        <f>+' Exhbit I '!AF81</f>
        <v>0</v>
      </c>
      <c r="S36" s="50"/>
      <c r="T36" s="50"/>
      <c r="U36" s="51"/>
      <c r="V36" s="1112">
        <f>ROUND(SUM(D36)+SUM(H36)+SUM(L36)+SUM(P36),1)</f>
        <v>1037.7</v>
      </c>
      <c r="W36" s="47" t="s">
        <v>15</v>
      </c>
      <c r="X36" s="47">
        <f>ROUND(SUM(F36)+SUM(J36)+SUM(N36)+SUM(R36),1)</f>
        <v>11474.6</v>
      </c>
      <c r="Y36" s="50"/>
      <c r="Z36" s="52"/>
      <c r="AA36" s="51"/>
      <c r="AB36" s="1112">
        <v>1015.8</v>
      </c>
      <c r="AC36" s="85"/>
      <c r="AD36" s="47">
        <f>ROUND(+'Exhibit F'!AF110+'Exhibit G'!AH103+' Exhbit I '!AI81,1)</f>
        <v>11404.7</v>
      </c>
      <c r="AE36" s="51"/>
      <c r="AF36" s="55"/>
      <c r="AG36" s="47">
        <f>ROUND(SUM(X36-AD36),1)</f>
        <v>69.900000000000006</v>
      </c>
      <c r="AI36" s="45">
        <f>ROUND(SUM((+X36-AD36)/ABS(AD36)),3)</f>
        <v>6.0000000000000001E-3</v>
      </c>
      <c r="AJ36" s="29"/>
      <c r="AK36" s="1"/>
      <c r="AL36" s="1"/>
    </row>
    <row r="37" spans="1:38" ht="18" customHeight="1">
      <c r="A37" s="15" t="s">
        <v>38</v>
      </c>
      <c r="B37" s="82"/>
      <c r="C37" s="15"/>
      <c r="D37" s="1113">
        <f>+'Exhibit F'!V111</f>
        <v>149.19999999999999</v>
      </c>
      <c r="E37" s="47"/>
      <c r="F37" s="48">
        <f>+'Exhibit F'!AC111</f>
        <v>1594.7</v>
      </c>
      <c r="G37" s="47"/>
      <c r="H37" s="2658">
        <f>'Exhibit G'!V104</f>
        <v>412</v>
      </c>
      <c r="I37" s="47"/>
      <c r="J37" s="48">
        <f>+'Exhibit G'!AE104</f>
        <v>3936</v>
      </c>
      <c r="K37" s="47"/>
      <c r="L37" s="2658">
        <f>+'Exhibit H'!T51</f>
        <v>1</v>
      </c>
      <c r="M37" s="48"/>
      <c r="N37" s="48">
        <f>+'Exhibit H'!AA51</f>
        <v>29.1</v>
      </c>
      <c r="O37" s="48" t="s">
        <v>15</v>
      </c>
      <c r="P37" s="1119">
        <f>' Exhbit I '!W82</f>
        <v>0</v>
      </c>
      <c r="Q37" s="1112"/>
      <c r="R37" s="1119">
        <f>+' Exhbit I '!AF82</f>
        <v>0</v>
      </c>
      <c r="S37" s="50"/>
      <c r="T37" s="50"/>
      <c r="U37" s="51"/>
      <c r="V37" s="1112">
        <f>ROUND(SUM(D37)+SUM(H37)+SUM(L37)+SUM(P37),1)</f>
        <v>562.20000000000005</v>
      </c>
      <c r="W37" s="47" t="s">
        <v>15</v>
      </c>
      <c r="X37" s="47">
        <f>ROUND(SUM(F37)+SUM(J37)+SUM(N37)+SUM(R37),1)</f>
        <v>5559.8</v>
      </c>
      <c r="Y37" s="50"/>
      <c r="Z37" s="52"/>
      <c r="AA37" s="51"/>
      <c r="AB37" s="1122">
        <v>565</v>
      </c>
      <c r="AC37" s="86"/>
      <c r="AD37" s="47">
        <f>ROUND(+'Exhibit F'!AF111+'Exhibit G'!AH104+' Exhbit I '!AI82+'Exhibit H'!AD51,1)</f>
        <v>5301.3</v>
      </c>
      <c r="AE37" s="51"/>
      <c r="AF37" s="55"/>
      <c r="AG37" s="47">
        <f>ROUND(SUM(X37-AD37),1)</f>
        <v>258.5</v>
      </c>
      <c r="AI37" s="45">
        <f>ROUND(SUM((+X37-AD37)/ABS(AD37)),3)</f>
        <v>4.9000000000000002E-2</v>
      </c>
      <c r="AJ37" s="29"/>
      <c r="AK37" s="1"/>
      <c r="AL37" s="1"/>
    </row>
    <row r="38" spans="1:38" ht="18" customHeight="1">
      <c r="A38" s="15" t="s">
        <v>39</v>
      </c>
      <c r="B38" s="36"/>
      <c r="C38" s="15"/>
      <c r="D38" s="1113">
        <f>+'Exhibit F'!V112</f>
        <v>351.3</v>
      </c>
      <c r="E38" s="47"/>
      <c r="F38" s="48">
        <f>+'Exhibit F'!AC112</f>
        <v>5026.2</v>
      </c>
      <c r="G38" s="87"/>
      <c r="H38" s="2658">
        <f>'Exhibit G'!V105</f>
        <v>113.8</v>
      </c>
      <c r="I38" s="47"/>
      <c r="J38" s="48">
        <f>+'Exhibit G'!AE105</f>
        <v>1969.9</v>
      </c>
      <c r="K38" s="47"/>
      <c r="L38" s="1119">
        <v>0</v>
      </c>
      <c r="M38" s="48"/>
      <c r="N38" s="58">
        <v>0</v>
      </c>
      <c r="O38" s="48"/>
      <c r="P38" s="1119">
        <f>' Exhbit I '!W83</f>
        <v>0</v>
      </c>
      <c r="Q38" s="1112"/>
      <c r="R38" s="1119">
        <f>+' Exhbit I '!AF83</f>
        <v>0</v>
      </c>
      <c r="S38" s="50"/>
      <c r="T38" s="50"/>
      <c r="U38" s="51"/>
      <c r="V38" s="1112">
        <f>ROUND(SUM(D38)+SUM(H38)+SUM(L38)+SUM(P38),1)</f>
        <v>465.1</v>
      </c>
      <c r="W38" s="47" t="s">
        <v>15</v>
      </c>
      <c r="X38" s="47">
        <f>ROUND(SUM(F38)+SUM(J38)+SUM(N38)+SUM(R38),1)</f>
        <v>6996.1</v>
      </c>
      <c r="Y38" s="50"/>
      <c r="Z38" s="52"/>
      <c r="AA38" s="51"/>
      <c r="AB38" s="1122">
        <v>532.5</v>
      </c>
      <c r="AC38" s="53"/>
      <c r="AD38" s="47">
        <f>ROUND(+'Exhibit F'!AF112+'Exhibit G'!AH105+' Exhbit I '!AI83,1)</f>
        <v>6807.2</v>
      </c>
      <c r="AE38" s="51"/>
      <c r="AF38" s="55"/>
      <c r="AG38" s="47">
        <f>ROUND(SUM(X38-AD38),1)</f>
        <v>188.9</v>
      </c>
      <c r="AI38" s="45">
        <f>ROUND(SUM((+X38-AD38)/ABS(AD38)),3)</f>
        <v>2.8000000000000001E-2</v>
      </c>
      <c r="AJ38" s="29"/>
      <c r="AK38" s="1"/>
      <c r="AL38" s="1"/>
    </row>
    <row r="39" spans="1:38" ht="18" customHeight="1">
      <c r="A39" s="15" t="s">
        <v>40</v>
      </c>
      <c r="B39" s="15"/>
      <c r="C39" s="15"/>
      <c r="D39" s="1113"/>
      <c r="E39" s="47"/>
      <c r="F39" s="48"/>
      <c r="G39" s="47"/>
      <c r="H39" s="1113"/>
      <c r="I39" s="47"/>
      <c r="J39" s="88"/>
      <c r="K39" s="47"/>
      <c r="L39" s="1113"/>
      <c r="M39" s="48"/>
      <c r="N39" s="48"/>
      <c r="O39" s="48"/>
      <c r="P39" s="1119"/>
      <c r="Q39" s="1112"/>
      <c r="R39" s="1113"/>
      <c r="S39" s="50"/>
      <c r="T39" s="50"/>
      <c r="U39" s="51"/>
      <c r="V39" s="1112"/>
      <c r="W39" s="47"/>
      <c r="X39" s="47"/>
      <c r="Y39" s="50"/>
      <c r="Z39" s="52"/>
      <c r="AA39" s="51"/>
      <c r="AB39" s="1122"/>
      <c r="AC39" s="53"/>
      <c r="AD39" s="54"/>
      <c r="AE39" s="51"/>
      <c r="AF39" s="55"/>
      <c r="AG39" s="47"/>
      <c r="AI39" s="45"/>
      <c r="AJ39" s="29"/>
      <c r="AK39" s="1"/>
      <c r="AL39" s="1"/>
    </row>
    <row r="40" spans="1:38" ht="18" customHeight="1">
      <c r="A40" s="15" t="s">
        <v>41</v>
      </c>
      <c r="B40" s="36"/>
      <c r="C40" s="15"/>
      <c r="D40" s="1119">
        <v>0</v>
      </c>
      <c r="E40" s="47"/>
      <c r="F40" s="58">
        <v>0</v>
      </c>
      <c r="G40" s="47"/>
      <c r="H40" s="2658">
        <v>0</v>
      </c>
      <c r="I40" s="47"/>
      <c r="J40" s="58">
        <v>0</v>
      </c>
      <c r="K40" s="47"/>
      <c r="L40" s="1113">
        <f>+'Exhibit H'!T53</f>
        <v>25.6</v>
      </c>
      <c r="M40" s="48"/>
      <c r="N40" s="48">
        <f>+'Exhibit H'!AA53</f>
        <v>1960</v>
      </c>
      <c r="O40" s="48" t="s">
        <v>15</v>
      </c>
      <c r="P40" s="1119">
        <v>0</v>
      </c>
      <c r="Q40" s="1112"/>
      <c r="R40" s="1119">
        <v>0</v>
      </c>
      <c r="S40" s="50"/>
      <c r="T40" s="50"/>
      <c r="U40" s="51"/>
      <c r="V40" s="1112">
        <f>ROUND(SUM(D40)+SUM(H40)+SUM(L40)+SUM(P40),1)</f>
        <v>25.6</v>
      </c>
      <c r="W40" s="47" t="s">
        <v>15</v>
      </c>
      <c r="X40" s="47">
        <f>ROUND(SUM(F40)+SUM(J40)+SUM(N40)+SUM(R40),1)</f>
        <v>1960</v>
      </c>
      <c r="Y40" s="50"/>
      <c r="Z40" s="52"/>
      <c r="AA40" s="51"/>
      <c r="AB40" s="1122">
        <v>34.200000000000003</v>
      </c>
      <c r="AC40" s="53"/>
      <c r="AD40" s="54">
        <f>ROUND(+'Exhibit H'!AD53,1)</f>
        <v>2145.5</v>
      </c>
      <c r="AE40" s="51"/>
      <c r="AF40" s="55"/>
      <c r="AG40" s="47">
        <f>ROUND(SUM(X40-AD40),1)</f>
        <v>-185.5</v>
      </c>
      <c r="AI40" s="45">
        <f>ROUND(SUM((+X40-AD40)/ABS(AD40)),3)</f>
        <v>-8.5999999999999993E-2</v>
      </c>
      <c r="AJ40" s="23"/>
      <c r="AK40" s="1"/>
      <c r="AL40" s="1"/>
    </row>
    <row r="41" spans="1:38" ht="18" customHeight="1">
      <c r="A41" s="15" t="s">
        <v>42</v>
      </c>
      <c r="B41" s="36" t="s">
        <v>1071</v>
      </c>
      <c r="C41" s="15"/>
      <c r="D41" s="2655">
        <v>0</v>
      </c>
      <c r="E41" s="47"/>
      <c r="F41" s="84">
        <v>0</v>
      </c>
      <c r="G41" s="47"/>
      <c r="H41" s="2658">
        <f>'Exhibit G'!V106</f>
        <v>0</v>
      </c>
      <c r="I41" s="47"/>
      <c r="J41" s="48">
        <f>+'Exhibit G'!AE106</f>
        <v>2.7</v>
      </c>
      <c r="K41" s="47"/>
      <c r="L41" s="2655">
        <v>0</v>
      </c>
      <c r="M41" s="48"/>
      <c r="N41" s="84">
        <v>0</v>
      </c>
      <c r="O41" s="48"/>
      <c r="P41" s="2658">
        <f>' Exhbit I '!W84</f>
        <v>465.2</v>
      </c>
      <c r="Q41" s="1112"/>
      <c r="R41" s="1120">
        <f>+' Exhbit I '!AF84</f>
        <v>5402.2</v>
      </c>
      <c r="S41" s="50"/>
      <c r="T41" s="50"/>
      <c r="U41" s="51"/>
      <c r="V41" s="1112">
        <f>ROUND(SUM(D41)+SUM(H41)+SUM(L41)+SUM(P41),1)</f>
        <v>465.2</v>
      </c>
      <c r="W41" s="47" t="s">
        <v>15</v>
      </c>
      <c r="X41" s="47">
        <f>ROUND(SUM(F41)+SUM(J41)+SUM(N41)+SUM(R41),1)</f>
        <v>5404.9</v>
      </c>
      <c r="Y41" s="50"/>
      <c r="Z41" s="52"/>
      <c r="AA41" s="51"/>
      <c r="AB41" s="1121">
        <v>479.2</v>
      </c>
      <c r="AC41" s="53"/>
      <c r="AD41" s="2662">
        <f>'Exhibit G state'!AF107+' Exhibit I State'!AG84+'Exhibit I Federal'!AG66</f>
        <v>5239.3999999999996</v>
      </c>
      <c r="AE41" s="51"/>
      <c r="AF41" s="55"/>
      <c r="AG41" s="47">
        <f>ROUND(SUM(X41-AD41),1)</f>
        <v>165.5</v>
      </c>
      <c r="AI41" s="45">
        <f>ROUND(SUM((+X41-AD41)/ABS(AD41)),3)</f>
        <v>3.2000000000000001E-2</v>
      </c>
      <c r="AJ41" s="23"/>
      <c r="AK41" s="1"/>
      <c r="AL41" s="1"/>
    </row>
    <row r="42" spans="1:38" ht="18" customHeight="1">
      <c r="A42" s="14" t="s">
        <v>43</v>
      </c>
      <c r="B42" s="15"/>
      <c r="C42" s="15"/>
      <c r="D42" s="65">
        <f>ROUND(SUM(D34:D41),1)</f>
        <v>2667.1</v>
      </c>
      <c r="E42" s="63"/>
      <c r="F42" s="65">
        <f>ROUND(SUM(F34:F41),1)</f>
        <v>44100.4</v>
      </c>
      <c r="G42" s="63"/>
      <c r="H42" s="65">
        <f>ROUND(SUM(H34:H41),1)</f>
        <v>8133.4</v>
      </c>
      <c r="I42" s="63"/>
      <c r="J42" s="65">
        <f>ROUND(SUM(J34:J41),1)</f>
        <v>67532</v>
      </c>
      <c r="K42" s="63"/>
      <c r="L42" s="65">
        <f>ROUND(SUM(L34:L41),1)</f>
        <v>26.6</v>
      </c>
      <c r="M42" s="2553"/>
      <c r="N42" s="65">
        <f>ROUND(SUM(N34:N41),1)</f>
        <v>1989.1</v>
      </c>
      <c r="O42" s="2553"/>
      <c r="P42" s="65">
        <f>ROUND(SUM(P34:P41),1)</f>
        <v>681.1</v>
      </c>
      <c r="Q42" s="63"/>
      <c r="R42" s="65">
        <f>ROUND(SUM(R34:R41),1)</f>
        <v>7877</v>
      </c>
      <c r="S42" s="66"/>
      <c r="T42" s="66"/>
      <c r="U42" s="67"/>
      <c r="V42" s="64">
        <f>ROUND(SUM(V34:V41),1)</f>
        <v>11508.2</v>
      </c>
      <c r="W42" s="63"/>
      <c r="X42" s="64">
        <f>ROUND(SUM(X34:X41),1)</f>
        <v>121498.5</v>
      </c>
      <c r="Y42" s="66"/>
      <c r="Z42" s="68"/>
      <c r="AA42" s="67"/>
      <c r="AB42" s="64">
        <f>ROUND(SUM(AB34:AB41),1)</f>
        <v>12343.2</v>
      </c>
      <c r="AC42" s="63"/>
      <c r="AD42" s="64">
        <f>ROUND(SUM(AD34:AD41),1)</f>
        <v>117286.5</v>
      </c>
      <c r="AE42" s="69"/>
      <c r="AF42" s="70"/>
      <c r="AG42" s="64">
        <f>ROUND(SUM(AG34:AG41),1)</f>
        <v>4212</v>
      </c>
      <c r="AH42" s="71"/>
      <c r="AI42" s="72">
        <f>ROUND(SUM((+X42-AD42)/ABS(AD42)),3)</f>
        <v>3.5999999999999997E-2</v>
      </c>
      <c r="AJ42" s="18"/>
      <c r="AK42" s="1"/>
      <c r="AL42" s="1"/>
    </row>
    <row r="43" spans="1:38" ht="15.95" customHeight="1">
      <c r="A43" s="14"/>
      <c r="B43" s="15"/>
      <c r="C43" s="15"/>
      <c r="D43" s="1115"/>
      <c r="E43" s="47"/>
      <c r="F43" s="74"/>
      <c r="G43" s="47"/>
      <c r="H43" s="1115"/>
      <c r="I43" s="47"/>
      <c r="J43" s="74"/>
      <c r="K43" s="47"/>
      <c r="L43" s="1115"/>
      <c r="M43" s="48"/>
      <c r="N43" s="74"/>
      <c r="O43" s="48"/>
      <c r="P43" s="2661"/>
      <c r="Q43" s="1112"/>
      <c r="R43" s="1115"/>
      <c r="S43" s="50"/>
      <c r="T43" s="50"/>
      <c r="U43" s="51"/>
      <c r="V43" s="1114"/>
      <c r="W43" s="47"/>
      <c r="X43" s="51"/>
      <c r="Y43" s="50"/>
      <c r="Z43" s="52"/>
      <c r="AA43" s="51"/>
      <c r="AB43" s="1114" t="s">
        <v>15</v>
      </c>
      <c r="AC43" s="47"/>
      <c r="AD43" s="54"/>
      <c r="AE43" s="54"/>
      <c r="AF43" s="55"/>
      <c r="AG43" s="51"/>
      <c r="AI43" s="19"/>
      <c r="AJ43" s="29"/>
      <c r="AK43" s="1"/>
      <c r="AL43" s="1"/>
    </row>
    <row r="44" spans="1:38" ht="15.95" customHeight="1">
      <c r="A44" s="14" t="s">
        <v>44</v>
      </c>
      <c r="B44" s="14"/>
      <c r="C44" s="15"/>
      <c r="D44" s="1113"/>
      <c r="E44" s="47"/>
      <c r="F44" s="48"/>
      <c r="G44" s="47"/>
      <c r="H44" s="1113"/>
      <c r="I44" s="47"/>
      <c r="J44" s="48"/>
      <c r="K44" s="47"/>
      <c r="L44" s="1113"/>
      <c r="M44" s="48"/>
      <c r="N44" s="48"/>
      <c r="O44" s="48"/>
      <c r="P44" s="2658"/>
      <c r="Q44" s="1112"/>
      <c r="R44" s="1113"/>
      <c r="S44" s="50"/>
      <c r="T44" s="50"/>
      <c r="U44" s="51"/>
      <c r="V44" s="1112"/>
      <c r="W44" s="47"/>
      <c r="X44" s="47"/>
      <c r="Y44" s="50"/>
      <c r="Z44" s="52"/>
      <c r="AA44" s="51"/>
      <c r="AB44" s="1112"/>
      <c r="AC44" s="47"/>
      <c r="AD44" s="54"/>
      <c r="AE44" s="54"/>
      <c r="AF44" s="55"/>
      <c r="AG44" s="47"/>
      <c r="AI44" s="19"/>
      <c r="AJ44" s="29"/>
      <c r="AK44" s="1"/>
      <c r="AL44" s="1"/>
    </row>
    <row r="45" spans="1:38" ht="15.95" customHeight="1">
      <c r="A45" s="14" t="s">
        <v>45</v>
      </c>
      <c r="B45" s="14"/>
      <c r="C45" s="15"/>
      <c r="D45" s="91">
        <f>ROUND(SUM(D20-D42),1)</f>
        <v>1574.7</v>
      </c>
      <c r="E45" s="63"/>
      <c r="F45" s="91">
        <f>ROUND(SUM(F20-F42),1)</f>
        <v>-3248.1</v>
      </c>
      <c r="G45" s="63"/>
      <c r="H45" s="91">
        <f>ROUND(SUM(H20-H42),1)</f>
        <v>-186</v>
      </c>
      <c r="I45" s="63"/>
      <c r="J45" s="91">
        <f>ROUND(SUM(J20-J42),1)</f>
        <v>-4628.8999999999996</v>
      </c>
      <c r="K45" s="63"/>
      <c r="L45" s="91">
        <f>ROUND(SUM(L20-L42),1)</f>
        <v>2573.6</v>
      </c>
      <c r="M45" s="2553" t="s">
        <v>15</v>
      </c>
      <c r="N45" s="91">
        <f>ROUND(SUM(N20-N42),1)</f>
        <v>14869.9</v>
      </c>
      <c r="O45" s="2553" t="s">
        <v>15</v>
      </c>
      <c r="P45" s="92">
        <f>ROUND(SUM(P20-P42),1)</f>
        <v>-206.2</v>
      </c>
      <c r="Q45" s="63" t="s">
        <v>15</v>
      </c>
      <c r="R45" s="92">
        <f>ROUND(SUM(R20-R42),1)</f>
        <v>-2040.3</v>
      </c>
      <c r="S45" s="66"/>
      <c r="T45" s="66"/>
      <c r="U45" s="67"/>
      <c r="V45" s="90">
        <f>ROUND(SUM(V20-V42),1)</f>
        <v>3756.1</v>
      </c>
      <c r="W45" s="63" t="s">
        <v>15</v>
      </c>
      <c r="X45" s="90">
        <f>ROUND(SUM(X20-X42),1)</f>
        <v>4952.6000000000004</v>
      </c>
      <c r="Y45" s="66"/>
      <c r="Z45" s="68"/>
      <c r="AA45" s="67"/>
      <c r="AB45" s="90">
        <f>ROUND(SUM(AB20-AB42),1)</f>
        <v>2410.5</v>
      </c>
      <c r="AC45" s="63"/>
      <c r="AD45" s="93">
        <f>ROUND(SUM(AD20-AD42),1)</f>
        <v>9340.7999999999993</v>
      </c>
      <c r="AE45" s="69"/>
      <c r="AF45" s="70"/>
      <c r="AG45" s="90">
        <f>ROUND(SUM(X45-AD45),1)</f>
        <v>-4388.2</v>
      </c>
      <c r="AH45" s="94"/>
      <c r="AI45" s="108">
        <f>ROUND(SUM((+X45-AD45)/ABS(AD45)),3)</f>
        <v>-0.47</v>
      </c>
      <c r="AJ45" s="18"/>
      <c r="AK45" s="1"/>
      <c r="AL45" s="1"/>
    </row>
    <row r="46" spans="1:38" ht="15.95" customHeight="1">
      <c r="A46" s="15"/>
      <c r="B46" s="15"/>
      <c r="C46" s="15"/>
      <c r="D46" s="1115"/>
      <c r="E46" s="47"/>
      <c r="F46" s="74"/>
      <c r="G46" s="47"/>
      <c r="H46" s="1115"/>
      <c r="I46" s="47"/>
      <c r="J46" s="74"/>
      <c r="K46" s="47"/>
      <c r="L46" s="1115"/>
      <c r="M46" s="48"/>
      <c r="N46" s="74"/>
      <c r="O46" s="48"/>
      <c r="P46" s="2661"/>
      <c r="Q46" s="1112"/>
      <c r="R46" s="1115"/>
      <c r="S46" s="50"/>
      <c r="T46" s="50"/>
      <c r="U46" s="51"/>
      <c r="V46" s="1114"/>
      <c r="W46" s="47"/>
      <c r="X46" s="51"/>
      <c r="Y46" s="50"/>
      <c r="Z46" s="52"/>
      <c r="AA46" s="51"/>
      <c r="AB46" s="1114"/>
      <c r="AC46" s="47"/>
      <c r="AD46" s="54"/>
      <c r="AE46" s="54"/>
      <c r="AF46" s="55"/>
      <c r="AG46" s="51"/>
      <c r="AI46" s="19"/>
      <c r="AJ46" s="29"/>
      <c r="AK46" s="1"/>
      <c r="AL46" s="1"/>
    </row>
    <row r="47" spans="1:38" ht="15.95" customHeight="1">
      <c r="A47" s="14" t="s">
        <v>46</v>
      </c>
      <c r="B47" s="14"/>
      <c r="C47" s="15"/>
      <c r="D47" s="1113"/>
      <c r="E47" s="47"/>
      <c r="F47" s="48"/>
      <c r="G47" s="47"/>
      <c r="H47" s="1113"/>
      <c r="I47" s="47"/>
      <c r="J47" s="48"/>
      <c r="K47" s="47"/>
      <c r="L47" s="1113"/>
      <c r="M47" s="48"/>
      <c r="N47" s="48"/>
      <c r="O47" s="48"/>
      <c r="P47" s="2658"/>
      <c r="Q47" s="1112"/>
      <c r="R47" s="1115"/>
      <c r="S47" s="50"/>
      <c r="T47" s="50"/>
      <c r="U47" s="51"/>
      <c r="V47" s="1112"/>
      <c r="W47" s="47"/>
      <c r="X47" s="53"/>
      <c r="Y47" s="50"/>
      <c r="Z47" s="52"/>
      <c r="AA47" s="51"/>
      <c r="AB47" s="1112"/>
      <c r="AC47" s="47"/>
      <c r="AD47" s="54"/>
      <c r="AE47" s="54"/>
      <c r="AF47" s="55"/>
      <c r="AG47" s="47"/>
      <c r="AI47" s="19"/>
      <c r="AJ47" s="29"/>
      <c r="AK47" s="1"/>
      <c r="AL47" s="1"/>
    </row>
    <row r="48" spans="1:38" ht="18" customHeight="1">
      <c r="A48" s="96" t="s">
        <v>47</v>
      </c>
      <c r="B48" s="15"/>
      <c r="C48" s="15"/>
      <c r="D48" s="2656">
        <v>0</v>
      </c>
      <c r="E48" s="47"/>
      <c r="F48" s="97">
        <v>0</v>
      </c>
      <c r="G48" s="47"/>
      <c r="H48" s="1119">
        <v>0</v>
      </c>
      <c r="I48" s="47"/>
      <c r="J48" s="58">
        <v>0</v>
      </c>
      <c r="K48" s="47"/>
      <c r="L48" s="1119">
        <v>0</v>
      </c>
      <c r="M48" s="74"/>
      <c r="N48" s="58">
        <v>0</v>
      </c>
      <c r="O48" s="74"/>
      <c r="P48" s="1119">
        <f>+' Exhbit I '!W92</f>
        <v>0</v>
      </c>
      <c r="Q48" s="1114"/>
      <c r="R48" s="1119">
        <f>' Exhbit I '!AF92</f>
        <v>0</v>
      </c>
      <c r="S48" s="50"/>
      <c r="T48" s="50"/>
      <c r="U48" s="51"/>
      <c r="V48" s="1112">
        <f>ROUND(SUM(D48)+SUM(H48)+SUM(L48)+SUM(P48),1)</f>
        <v>0</v>
      </c>
      <c r="W48" s="83"/>
      <c r="X48" s="47">
        <f>ROUND(SUM(F48)+SUM(J48)+SUM(N48)+SUM(R48),1)</f>
        <v>0</v>
      </c>
      <c r="Y48" s="50"/>
      <c r="Z48" s="52"/>
      <c r="AA48" s="51"/>
      <c r="AB48" s="1118">
        <v>0</v>
      </c>
      <c r="AC48" s="57"/>
      <c r="AD48" s="77">
        <f>+' Exhbit I '!AI92</f>
        <v>0</v>
      </c>
      <c r="AE48" s="83"/>
      <c r="AF48" s="98"/>
      <c r="AG48" s="51">
        <f>X48-AD48</f>
        <v>0</v>
      </c>
      <c r="AH48" s="99"/>
      <c r="AI48" s="2664">
        <f>ROUND(IF(AD48=0,0,AG48/ABS(AD48)),3)</f>
        <v>0</v>
      </c>
      <c r="AJ48" s="100"/>
      <c r="AK48" s="1"/>
      <c r="AL48" s="1"/>
    </row>
    <row r="49" spans="1:40" ht="18" customHeight="1">
      <c r="A49" s="96" t="s">
        <v>48</v>
      </c>
      <c r="B49" s="2964" t="s">
        <v>1422</v>
      </c>
      <c r="C49" s="96"/>
      <c r="D49" s="1123">
        <f>+'Exhibit F'!V121+'Exhibit F'!V122+'Exhibit F'!V123+'Exhibit F'!V124</f>
        <v>1225.4000000000001</v>
      </c>
      <c r="E49" s="47"/>
      <c r="F49" s="48">
        <f>+'Exhibit F'!AC121+'Exhibit F'!AC122+'Exhibit F'!AC123+'Exhibit F'!AC124</f>
        <v>14086.9</v>
      </c>
      <c r="G49" s="53"/>
      <c r="H49" s="1123">
        <f>'Exhibit G'!V114-120</f>
        <v>252.5</v>
      </c>
      <c r="I49" s="53"/>
      <c r="J49" s="101">
        <f>+'Exhibit G'!AE114</f>
        <v>6549.9</v>
      </c>
      <c r="K49" s="54"/>
      <c r="L49" s="2657">
        <f>+'Exhibit H'!T62</f>
        <v>404.70000000000005</v>
      </c>
      <c r="M49" s="2662"/>
      <c r="N49" s="48">
        <f>+'Exhibit H'!AA62</f>
        <v>2302.9</v>
      </c>
      <c r="O49" s="2662"/>
      <c r="P49" s="1119">
        <f>' Exhbit I '!W93</f>
        <v>256.2</v>
      </c>
      <c r="Q49" s="1121"/>
      <c r="R49" s="1115">
        <f>+' Exhbit I '!AF93</f>
        <v>2498.1999999999998</v>
      </c>
      <c r="S49" s="102"/>
      <c r="T49" s="102"/>
      <c r="U49" s="54"/>
      <c r="V49" s="1112">
        <f>ROUND(SUM(D49)+SUM(H49)+SUM(L49)+SUM(P49),1)</f>
        <v>2138.8000000000002</v>
      </c>
      <c r="W49" s="53" t="s">
        <v>15</v>
      </c>
      <c r="X49" s="47">
        <f>ROUND(SUM(F49)+SUM(J49)+SUM(N49)+SUM(R49),1)</f>
        <v>25437.9</v>
      </c>
      <c r="Y49" s="102"/>
      <c r="Z49" s="103"/>
      <c r="AA49" s="54"/>
      <c r="AB49" s="1122">
        <v>2275.6</v>
      </c>
      <c r="AC49" s="53"/>
      <c r="AD49" s="54">
        <f>+'Exhibit F'!AF121+'Exhibit F'!AF122+'Exhibit F'!AF123+'Exhibit F'!AF124+'Exhibit G'!AH114+'Exhibit H'!AD62+' Exhbit I '!AI93</f>
        <v>26584.6</v>
      </c>
      <c r="AE49" s="54"/>
      <c r="AF49" s="55"/>
      <c r="AG49" s="51">
        <f>ROUND(SUM(X49-AD49),1)</f>
        <v>-1146.7</v>
      </c>
      <c r="AH49" s="99"/>
      <c r="AI49" s="2664">
        <f>ROUND(SUM((+X49-AD49)/ABS(AD49)),3)</f>
        <v>-4.2999999999999997E-2</v>
      </c>
      <c r="AJ49" s="29"/>
      <c r="AK49" s="1"/>
      <c r="AL49" s="1"/>
    </row>
    <row r="50" spans="1:40" ht="18" customHeight="1">
      <c r="A50" s="96" t="s">
        <v>49</v>
      </c>
      <c r="B50" s="2964" t="s">
        <v>1422</v>
      </c>
      <c r="C50" s="96"/>
      <c r="D50" s="2657">
        <f>+'Exhibit F'!V125+'Exhibit F'!V128+'Exhibit F'!V129+'Exhibit F'!V127</f>
        <v>-767.7</v>
      </c>
      <c r="E50" s="53"/>
      <c r="F50" s="48">
        <f>+'Exhibit F'!AC125+'Exhibit F'!AC128+'Exhibit F'!AC129+'Exhibit F'!AC127</f>
        <v>-8686.7999999999993</v>
      </c>
      <c r="G50" s="53"/>
      <c r="H50" s="1123">
        <f>'Exhibit G'!V115+120</f>
        <v>-126.6</v>
      </c>
      <c r="I50" s="53"/>
      <c r="J50" s="101">
        <f>+'Exhibit G'!AE115</f>
        <v>-1406.9</v>
      </c>
      <c r="K50" s="53"/>
      <c r="L50" s="2657">
        <f>+'Exhibit H'!T63</f>
        <v>-1214.6000000000004</v>
      </c>
      <c r="M50" s="2662"/>
      <c r="N50" s="48">
        <f>+'Exhibit H'!AA63</f>
        <v>-14849.1</v>
      </c>
      <c r="O50" s="2662"/>
      <c r="P50" s="1119">
        <f>' Exhbit I '!W94</f>
        <v>-29.3</v>
      </c>
      <c r="Q50" s="1122"/>
      <c r="R50" s="1115">
        <f>+' Exhbit I '!AF94</f>
        <v>-526.29999999999995</v>
      </c>
      <c r="S50" s="102"/>
      <c r="T50" s="102"/>
      <c r="U50" s="54"/>
      <c r="V50" s="1112">
        <f>ROUND(SUM(D50)+SUM(H50)+SUM(L50)+SUM(P50),1)</f>
        <v>-2138.1999999999998</v>
      </c>
      <c r="W50" s="104" t="s">
        <v>15</v>
      </c>
      <c r="X50" s="48">
        <f>ROUND(SUM(F50)+SUM(J50)+SUM(N50)+SUM(R50),1)</f>
        <v>-25469.1</v>
      </c>
      <c r="Y50" s="102"/>
      <c r="Z50" s="103"/>
      <c r="AA50" s="54"/>
      <c r="AB50" s="1121">
        <v>-2290.3000000000002</v>
      </c>
      <c r="AC50" s="53"/>
      <c r="AD50" s="54">
        <f>ROUND(+'Exhibit F'!AF125+'Exhibit F'!AF127+'Exhibit F'!AF128+'Exhibit F'!AF129+'Exhibit G'!AH115+'Exhibit H'!AD63+' Exhbit I '!AI94,1)</f>
        <v>-26665.200000000001</v>
      </c>
      <c r="AE50" s="54"/>
      <c r="AF50" s="55"/>
      <c r="AG50" s="89">
        <f>ROUND(SUM(X50-AD50),1)*-1</f>
        <v>-1196.0999999999999</v>
      </c>
      <c r="AI50" s="2665">
        <f>-ROUND(SUM((+X50-AD50)/ABS(AD50)),3)</f>
        <v>-4.4999999999999998E-2</v>
      </c>
      <c r="AJ50" s="29"/>
      <c r="AK50" s="1"/>
      <c r="AL50" s="1"/>
    </row>
    <row r="51" spans="1:40" ht="18" customHeight="1">
      <c r="A51" s="14" t="s">
        <v>50</v>
      </c>
      <c r="B51" s="14"/>
      <c r="C51" s="15"/>
      <c r="D51" s="65">
        <f>ROUND(SUM(D48:D50),1)</f>
        <v>457.7</v>
      </c>
      <c r="E51" s="47"/>
      <c r="F51" s="65">
        <f>ROUND(SUM(F48:F50),1)</f>
        <v>5400.1</v>
      </c>
      <c r="G51" s="63"/>
      <c r="H51" s="65">
        <f>ROUND(SUM(H48:H50),1)</f>
        <v>125.9</v>
      </c>
      <c r="I51" s="63"/>
      <c r="J51" s="65">
        <f>ROUND(SUM(J48:J50),1)</f>
        <v>5143</v>
      </c>
      <c r="K51" s="63"/>
      <c r="L51" s="65">
        <f>ROUND(SUM(L48:L50),1)</f>
        <v>-809.9</v>
      </c>
      <c r="M51" s="2553"/>
      <c r="N51" s="65">
        <f>ROUND(SUM(N48:N50),1)</f>
        <v>-12546.2</v>
      </c>
      <c r="O51" s="2553"/>
      <c r="P51" s="62">
        <f>ROUND(SUM(P48:P50),1)</f>
        <v>226.9</v>
      </c>
      <c r="Q51" s="63"/>
      <c r="R51" s="62">
        <f>ROUND(SUM(R48:R50),1)</f>
        <v>1971.9</v>
      </c>
      <c r="S51" s="66"/>
      <c r="T51" s="66"/>
      <c r="U51" s="67"/>
      <c r="V51" s="2788">
        <f>ROUND(SUM(V48+V49+V50),1)</f>
        <v>0.6</v>
      </c>
      <c r="W51" s="63"/>
      <c r="X51" s="2788">
        <f>ROUND(SUM(+X48+X49+X50),1)</f>
        <v>-31.2</v>
      </c>
      <c r="Y51" s="66"/>
      <c r="Z51" s="68"/>
      <c r="AA51" s="67"/>
      <c r="AB51" s="106">
        <f>ROUND(SUM(+AB49+AB50),1)</f>
        <v>-14.7</v>
      </c>
      <c r="AC51" s="63"/>
      <c r="AD51" s="106">
        <f>ROUND(SUM(+AD49+AD50),1)</f>
        <v>-80.599999999999994</v>
      </c>
      <c r="AE51" s="107"/>
      <c r="AF51" s="70"/>
      <c r="AG51" s="62">
        <f>ROUND(SUM(+AG49-AG50+AG48),1)</f>
        <v>49.4</v>
      </c>
      <c r="AH51" s="71"/>
      <c r="AI51" s="2666">
        <f>ROUND(SUM(-AG51/AD51),3)</f>
        <v>0.61299999999999999</v>
      </c>
      <c r="AJ51" s="18"/>
      <c r="AK51" s="1"/>
      <c r="AL51" s="1"/>
    </row>
    <row r="52" spans="1:40" ht="15.95" customHeight="1">
      <c r="A52" s="15"/>
      <c r="B52" s="15"/>
      <c r="C52" s="15"/>
      <c r="D52" s="1114"/>
      <c r="E52" s="47"/>
      <c r="F52" s="74"/>
      <c r="G52" s="47"/>
      <c r="H52" s="1115"/>
      <c r="I52" s="47"/>
      <c r="J52" s="74"/>
      <c r="K52" s="47"/>
      <c r="L52" s="1115"/>
      <c r="M52" s="48"/>
      <c r="N52" s="74"/>
      <c r="O52" s="48"/>
      <c r="P52" s="1115"/>
      <c r="Q52" s="1112"/>
      <c r="R52" s="1115"/>
      <c r="S52" s="50"/>
      <c r="T52" s="50"/>
      <c r="U52" s="51"/>
      <c r="V52" s="1114"/>
      <c r="W52" s="47"/>
      <c r="X52" s="51"/>
      <c r="Y52" s="50"/>
      <c r="Z52" s="52"/>
      <c r="AA52" s="51"/>
      <c r="AB52" s="1114"/>
      <c r="AC52" s="47"/>
      <c r="AD52" s="54"/>
      <c r="AE52" s="54"/>
      <c r="AF52" s="55"/>
      <c r="AG52" s="51"/>
      <c r="AI52" s="2667"/>
      <c r="AJ52" s="29"/>
      <c r="AK52" s="1"/>
      <c r="AL52" s="1"/>
    </row>
    <row r="53" spans="1:40" ht="18" customHeight="1">
      <c r="A53" s="13" t="s">
        <v>44</v>
      </c>
      <c r="B53" s="14"/>
      <c r="C53" s="15"/>
      <c r="D53" s="1112"/>
      <c r="E53" s="47"/>
      <c r="F53" s="48"/>
      <c r="G53" s="47"/>
      <c r="H53" s="1113"/>
      <c r="I53" s="47"/>
      <c r="J53" s="48"/>
      <c r="K53" s="47"/>
      <c r="L53" s="1113"/>
      <c r="M53" s="48"/>
      <c r="N53" s="48"/>
      <c r="O53" s="48"/>
      <c r="P53" s="1113"/>
      <c r="Q53" s="1112"/>
      <c r="R53" s="1113"/>
      <c r="S53" s="50"/>
      <c r="T53" s="50"/>
      <c r="U53" s="51"/>
      <c r="V53" s="1112"/>
      <c r="W53" s="47"/>
      <c r="X53" s="47"/>
      <c r="Y53" s="50"/>
      <c r="Z53" s="52"/>
      <c r="AA53" s="51"/>
      <c r="AB53" s="1112"/>
      <c r="AC53" s="47"/>
      <c r="AD53" s="54"/>
      <c r="AE53" s="54"/>
      <c r="AF53" s="55"/>
      <c r="AG53" s="47"/>
      <c r="AI53" s="2668"/>
      <c r="AJ53" s="29"/>
      <c r="AK53" s="1"/>
      <c r="AL53" s="1"/>
    </row>
    <row r="54" spans="1:40" ht="18" customHeight="1">
      <c r="A54" s="13" t="s">
        <v>51</v>
      </c>
      <c r="B54" s="13"/>
      <c r="C54" s="96"/>
      <c r="D54" s="1122"/>
      <c r="E54" s="47"/>
      <c r="F54" s="48"/>
      <c r="G54" s="47"/>
      <c r="H54" s="1113"/>
      <c r="I54" s="47"/>
      <c r="J54" s="48"/>
      <c r="K54" s="47"/>
      <c r="L54" s="1113"/>
      <c r="M54" s="48"/>
      <c r="N54" s="48"/>
      <c r="O54" s="48"/>
      <c r="P54" s="1113"/>
      <c r="Q54" s="1112"/>
      <c r="R54" s="1113"/>
      <c r="S54" s="50"/>
      <c r="T54" s="50"/>
      <c r="U54" s="51"/>
      <c r="V54" s="1112" t="s">
        <v>15</v>
      </c>
      <c r="W54" s="47"/>
      <c r="X54" s="47"/>
      <c r="Y54" s="50"/>
      <c r="Z54" s="52"/>
      <c r="AA54" s="51"/>
      <c r="AB54" s="1112"/>
      <c r="AC54" s="47"/>
      <c r="AD54" s="54"/>
      <c r="AE54" s="54"/>
      <c r="AF54" s="55"/>
      <c r="AG54" s="47"/>
      <c r="AI54" s="2667"/>
      <c r="AJ54" s="29"/>
      <c r="AK54" s="1"/>
      <c r="AL54" s="1"/>
    </row>
    <row r="55" spans="1:40" ht="18" customHeight="1">
      <c r="A55" s="13" t="s">
        <v>52</v>
      </c>
      <c r="B55" s="13"/>
      <c r="C55" s="96"/>
      <c r="D55" s="110">
        <f>ROUND(SUM(D45+D51),1)</f>
        <v>2032.4</v>
      </c>
      <c r="E55" s="110"/>
      <c r="F55" s="111">
        <f>ROUND(SUM(F45)+SUM(F51),1)</f>
        <v>2152</v>
      </c>
      <c r="G55" s="110"/>
      <c r="H55" s="111">
        <f>ROUND(SUM(H45+H51),1)</f>
        <v>-60.1</v>
      </c>
      <c r="I55" s="110"/>
      <c r="J55" s="111">
        <f>ROUND(SUM(J45)+SUM(J51),1)</f>
        <v>514.1</v>
      </c>
      <c r="K55" s="110"/>
      <c r="L55" s="111">
        <f>ROUND(SUM(L45+L51),1)</f>
        <v>1763.7</v>
      </c>
      <c r="M55" s="111"/>
      <c r="N55" s="111">
        <f>ROUND(SUM(N45+N51),1)</f>
        <v>2323.6999999999998</v>
      </c>
      <c r="O55" s="111"/>
      <c r="P55" s="111">
        <f>ROUND(SUM(P45+P51),1)</f>
        <v>20.7</v>
      </c>
      <c r="Q55" s="110"/>
      <c r="R55" s="111">
        <f>ROUND(SUM(R45+R51),1)</f>
        <v>-68.400000000000006</v>
      </c>
      <c r="S55" s="112"/>
      <c r="T55" s="112"/>
      <c r="U55" s="69"/>
      <c r="V55" s="110">
        <f>ROUND(SUM(V45)+SUM(V51),1)</f>
        <v>3756.7</v>
      </c>
      <c r="W55" s="110"/>
      <c r="X55" s="110">
        <f>ROUND(SUM(X45)+SUM(X51),1)</f>
        <v>4921.3999999999996</v>
      </c>
      <c r="Y55" s="112"/>
      <c r="Z55" s="113"/>
      <c r="AA55" s="69"/>
      <c r="AB55" s="110">
        <f>ROUND(SUM(AB45)+SUM(AB51),1)</f>
        <v>2395.8000000000002</v>
      </c>
      <c r="AC55" s="110"/>
      <c r="AD55" s="110">
        <f>ROUND(SUM(AD45)+SUM(AD51),1)</f>
        <v>9260.2000000000007</v>
      </c>
      <c r="AE55" s="69"/>
      <c r="AF55" s="70"/>
      <c r="AG55" s="67">
        <f>ROUND(SUM(+AG45+AG51),1)</f>
        <v>-4338.8</v>
      </c>
      <c r="AH55" s="71"/>
      <c r="AI55" s="2765">
        <f>ROUND(SUM((+X55-AD55)/ABS(AD55)),3)</f>
        <v>-0.46899999999999997</v>
      </c>
      <c r="AJ55" s="115"/>
      <c r="AK55" s="116"/>
      <c r="AL55" s="1"/>
    </row>
    <row r="56" spans="1:40" ht="15.95" customHeight="1">
      <c r="A56" s="14"/>
      <c r="B56" s="14"/>
      <c r="C56" s="15"/>
      <c r="D56" s="1112"/>
      <c r="E56" s="47"/>
      <c r="F56" s="74"/>
      <c r="G56" s="47"/>
      <c r="H56" s="1113"/>
      <c r="I56" s="47"/>
      <c r="J56" s="48"/>
      <c r="K56" s="47"/>
      <c r="L56" s="1123"/>
      <c r="M56" s="101"/>
      <c r="N56" s="101"/>
      <c r="O56" s="101"/>
      <c r="P56" s="2657"/>
      <c r="Q56" s="1112"/>
      <c r="R56" s="1123"/>
      <c r="S56" s="50"/>
      <c r="T56" s="50"/>
      <c r="U56" s="51"/>
      <c r="V56" s="1112"/>
      <c r="W56" s="47"/>
      <c r="X56" s="47"/>
      <c r="Y56" s="102"/>
      <c r="Z56" s="103"/>
      <c r="AA56" s="54"/>
      <c r="AB56" s="1122"/>
      <c r="AC56" s="53"/>
      <c r="AD56" s="54"/>
      <c r="AE56" s="54"/>
      <c r="AF56" s="55"/>
      <c r="AG56" s="47"/>
      <c r="AI56" s="19"/>
      <c r="AJ56" s="29"/>
      <c r="AK56" s="1"/>
      <c r="AL56" s="1"/>
    </row>
    <row r="57" spans="1:40" ht="18" customHeight="1">
      <c r="A57" s="1644" t="s">
        <v>53</v>
      </c>
      <c r="B57" s="36"/>
      <c r="C57" s="15"/>
      <c r="D57" s="3470">
        <f>'Exhibit F'!V14</f>
        <v>9053.7000000000007</v>
      </c>
      <c r="E57" s="63"/>
      <c r="F57" s="91">
        <f>+'Exhibit F'!AC14</f>
        <v>8934.1</v>
      </c>
      <c r="G57" s="63"/>
      <c r="H57" s="91">
        <f>+'Exhibit G'!V14</f>
        <v>4181.3</v>
      </c>
      <c r="I57" s="63"/>
      <c r="J57" s="91">
        <f>'Exhibit G'!AE14</f>
        <v>3607.1</v>
      </c>
      <c r="K57" s="63"/>
      <c r="L57" s="91">
        <f>'Exhibit H'!T12</f>
        <v>719.7</v>
      </c>
      <c r="M57" s="2553"/>
      <c r="N57" s="91">
        <f>+'Exhibit H'!AA12</f>
        <v>159.69999999999999</v>
      </c>
      <c r="O57" s="2552"/>
      <c r="P57" s="92">
        <v>-979.9</v>
      </c>
      <c r="Q57" s="67"/>
      <c r="R57" s="91">
        <f>+' Exhbit I '!AF15</f>
        <v>-890.8</v>
      </c>
      <c r="S57" s="66"/>
      <c r="T57" s="66"/>
      <c r="U57" s="67"/>
      <c r="V57" s="90">
        <f>ROUND(SUM(D57+H57+L57+P57),1)</f>
        <v>12974.8</v>
      </c>
      <c r="W57" s="63" t="s">
        <v>15</v>
      </c>
      <c r="X57" s="90">
        <f>ROUND(SUM(F57+J57+N57+R57),1)</f>
        <v>11810.1</v>
      </c>
      <c r="Y57" s="66"/>
      <c r="Z57" s="68"/>
      <c r="AA57" s="67"/>
      <c r="AB57" s="90">
        <v>16220</v>
      </c>
      <c r="AC57" s="63"/>
      <c r="AD57" s="93">
        <v>9355.6</v>
      </c>
      <c r="AE57" s="69"/>
      <c r="AF57" s="70"/>
      <c r="AG57" s="90">
        <f>ROUND(SUM(X57-AD57),1)</f>
        <v>2454.5</v>
      </c>
      <c r="AH57" s="71"/>
      <c r="AI57" s="95">
        <f>ROUND(SUM((+X57-AD57)/ABS(AD57)),3)</f>
        <v>0.26200000000000001</v>
      </c>
      <c r="AJ57" s="18"/>
      <c r="AK57" s="1"/>
      <c r="AL57" s="1"/>
    </row>
    <row r="58" spans="1:40" ht="15.95" customHeight="1">
      <c r="A58" s="96"/>
      <c r="B58" s="15"/>
      <c r="C58" s="15"/>
      <c r="D58" s="1121"/>
      <c r="E58" s="47"/>
      <c r="F58" s="74"/>
      <c r="G58" s="47"/>
      <c r="H58" s="1114"/>
      <c r="I58" s="47"/>
      <c r="J58" s="74"/>
      <c r="K58" s="47"/>
      <c r="L58" s="1121"/>
      <c r="M58" s="47"/>
      <c r="N58" s="74"/>
      <c r="O58" s="47"/>
      <c r="P58" s="1114"/>
      <c r="Q58" s="1112"/>
      <c r="R58" s="1115"/>
      <c r="S58" s="50"/>
      <c r="T58" s="50"/>
      <c r="U58" s="51"/>
      <c r="V58" s="1114"/>
      <c r="W58" s="47"/>
      <c r="X58" s="51"/>
      <c r="Y58" s="50"/>
      <c r="Z58" s="52"/>
      <c r="AA58" s="51"/>
      <c r="AB58" s="1114"/>
      <c r="AC58" s="47"/>
      <c r="AD58" s="54"/>
      <c r="AE58" s="54"/>
      <c r="AF58" s="55"/>
      <c r="AG58" s="51"/>
      <c r="AI58" s="19"/>
      <c r="AJ58" s="29"/>
      <c r="AK58" s="1"/>
      <c r="AL58" s="1"/>
    </row>
    <row r="59" spans="1:40" ht="18" customHeight="1" thickBot="1">
      <c r="A59" s="1645" t="s">
        <v>54</v>
      </c>
      <c r="B59" s="117"/>
      <c r="C59" s="118"/>
      <c r="D59" s="119">
        <f>ROUND(SUM(D55+D57),1)</f>
        <v>11086.1</v>
      </c>
      <c r="E59" s="120"/>
      <c r="F59" s="121">
        <f>ROUND(SUM(F55+F57),1)</f>
        <v>11086.1</v>
      </c>
      <c r="G59" s="120"/>
      <c r="H59" s="119">
        <f>ROUND(SUM(H55+H57),1)</f>
        <v>4121.2</v>
      </c>
      <c r="I59" s="120"/>
      <c r="J59" s="121">
        <f>ROUND(SUM(J55)+SUM(J57),1)</f>
        <v>4121.2</v>
      </c>
      <c r="K59" s="120"/>
      <c r="L59" s="119">
        <f>ROUND(SUM(L55+L57),1)</f>
        <v>2483.4</v>
      </c>
      <c r="M59" s="120"/>
      <c r="N59" s="121">
        <f>ROUND(SUM(N55+N57),1)</f>
        <v>2483.4</v>
      </c>
      <c r="O59" s="120"/>
      <c r="P59" s="119">
        <f>ROUND(SUM(P55+P57),1)</f>
        <v>-959.2</v>
      </c>
      <c r="Q59" s="120"/>
      <c r="R59" s="121">
        <f>ROUND(SUM(R55+R57),1)</f>
        <v>-959.2</v>
      </c>
      <c r="S59" s="122"/>
      <c r="T59" s="122"/>
      <c r="U59" s="123"/>
      <c r="V59" s="119">
        <f>ROUND(SUM(V55+V57),1)</f>
        <v>16731.5</v>
      </c>
      <c r="W59" s="120"/>
      <c r="X59" s="119">
        <f>ROUND(SUM(X55+X57),1)</f>
        <v>16731.5</v>
      </c>
      <c r="Y59" s="122"/>
      <c r="Z59" s="124"/>
      <c r="AA59" s="123"/>
      <c r="AB59" s="119">
        <f>ROUND(SUM(AB55+AB57),1)</f>
        <v>18615.8</v>
      </c>
      <c r="AC59" s="120"/>
      <c r="AD59" s="119">
        <f>ROUND(SUM(AD55+AD57),1)</f>
        <v>18615.8</v>
      </c>
      <c r="AE59" s="123"/>
      <c r="AF59" s="125"/>
      <c r="AG59" s="126">
        <f>ROUND(SUM(AG55+AG57),1)</f>
        <v>-1884.3</v>
      </c>
      <c r="AH59" s="71"/>
      <c r="AI59" s="127">
        <f>ROUND(SUM((+X59-AD59)/ABS(AD59)),3)</f>
        <v>-0.10100000000000001</v>
      </c>
      <c r="AJ59" s="128"/>
      <c r="AK59" s="116"/>
      <c r="AL59" s="116"/>
      <c r="AM59" s="129"/>
      <c r="AN59" s="71"/>
    </row>
    <row r="60" spans="1:40" ht="15.75" thickTop="1">
      <c r="A60" s="130"/>
      <c r="B60" s="130"/>
      <c r="C60" s="130"/>
      <c r="D60" s="1153"/>
      <c r="E60" s="131"/>
      <c r="F60" s="131"/>
      <c r="G60" s="131"/>
      <c r="H60" s="1153"/>
      <c r="I60" s="131"/>
      <c r="J60" s="131"/>
      <c r="K60" s="131"/>
      <c r="L60" s="1153"/>
      <c r="M60" s="131"/>
      <c r="N60" s="131"/>
      <c r="O60" s="131"/>
      <c r="P60" s="131"/>
      <c r="Q60" s="131"/>
      <c r="R60" s="131"/>
      <c r="S60" s="131"/>
      <c r="T60" s="131"/>
      <c r="U60" s="131"/>
      <c r="V60" s="1153"/>
      <c r="W60" s="131"/>
      <c r="X60" s="131"/>
      <c r="Y60" s="131"/>
      <c r="Z60" s="131"/>
      <c r="AA60" s="131"/>
      <c r="AB60" s="1153"/>
      <c r="AC60" s="132"/>
      <c r="AD60" s="133"/>
      <c r="AE60" s="133"/>
      <c r="AF60" s="131"/>
      <c r="AG60" s="131"/>
      <c r="AI60" s="134"/>
      <c r="AJ60" s="19"/>
      <c r="AK60" s="1"/>
      <c r="AL60" s="1"/>
    </row>
    <row r="61" spans="1:40" ht="15.75">
      <c r="A61" s="135"/>
      <c r="B61" s="94"/>
      <c r="C61" s="94"/>
      <c r="D61" s="1154"/>
      <c r="E61" s="99"/>
      <c r="F61" s="99"/>
      <c r="G61" s="99"/>
      <c r="H61" s="1154"/>
      <c r="I61" s="99"/>
      <c r="J61" s="99"/>
      <c r="K61" s="99"/>
      <c r="L61" s="1154"/>
      <c r="M61" s="99"/>
      <c r="N61" s="99"/>
      <c r="O61" s="99"/>
      <c r="P61" s="135" t="s">
        <v>15</v>
      </c>
      <c r="Q61" s="99"/>
      <c r="R61" s="99"/>
      <c r="S61" s="99"/>
      <c r="T61" s="99"/>
      <c r="U61" s="99"/>
      <c r="V61" s="1154"/>
      <c r="W61" s="99"/>
      <c r="X61" s="99"/>
      <c r="Y61" s="99"/>
      <c r="Z61" s="99"/>
      <c r="AA61" s="99"/>
      <c r="AB61" s="1154"/>
      <c r="AC61" s="99"/>
      <c r="AI61" s="134"/>
      <c r="AJ61" s="19"/>
      <c r="AK61" s="1"/>
      <c r="AL61" s="1"/>
    </row>
    <row r="62" spans="1:40" ht="15">
      <c r="A62" s="99"/>
      <c r="B62" s="99"/>
      <c r="C62" s="99"/>
      <c r="D62" s="1154"/>
      <c r="E62" s="99"/>
      <c r="F62" s="99"/>
      <c r="G62" s="99"/>
      <c r="H62" s="1154"/>
      <c r="I62" s="99"/>
      <c r="J62" s="99"/>
      <c r="K62" s="99"/>
      <c r="L62" s="1154"/>
      <c r="M62" s="99"/>
      <c r="N62" s="99"/>
      <c r="O62" s="99"/>
      <c r="P62" s="99" t="s">
        <v>15</v>
      </c>
      <c r="Q62" s="99"/>
      <c r="R62" s="99"/>
      <c r="S62" s="99"/>
      <c r="T62" s="99"/>
      <c r="U62" s="99"/>
      <c r="V62" s="1154"/>
      <c r="W62" s="99"/>
      <c r="X62" s="99"/>
      <c r="Y62" s="99"/>
      <c r="Z62" s="99"/>
      <c r="AA62" s="99"/>
      <c r="AB62" s="1154"/>
      <c r="AC62" s="99"/>
      <c r="AD62" s="2787"/>
      <c r="AI62" s="134"/>
      <c r="AJ62" s="19"/>
      <c r="AK62" s="1"/>
      <c r="AL62" s="1"/>
    </row>
    <row r="63" spans="1:40" ht="15">
      <c r="A63" s="99"/>
      <c r="B63" s="99"/>
      <c r="C63" s="99"/>
      <c r="D63" s="1154"/>
      <c r="E63" s="99"/>
      <c r="F63" s="99"/>
      <c r="G63" s="99"/>
      <c r="H63" s="1154"/>
      <c r="I63" s="99"/>
      <c r="J63" s="99"/>
      <c r="K63" s="99"/>
      <c r="L63" s="1154"/>
      <c r="M63" s="99"/>
      <c r="N63" s="99"/>
      <c r="O63" s="99"/>
      <c r="P63" s="99" t="s">
        <v>15</v>
      </c>
      <c r="Q63" s="99"/>
      <c r="R63" s="99"/>
      <c r="S63" s="99"/>
      <c r="T63" s="99"/>
      <c r="U63" s="99"/>
      <c r="V63" s="1154"/>
      <c r="W63" s="99"/>
      <c r="X63" s="99"/>
      <c r="Y63" s="99"/>
      <c r="Z63" s="99"/>
      <c r="AA63" s="99"/>
      <c r="AB63" s="1154"/>
      <c r="AC63" s="99"/>
      <c r="AI63" s="137"/>
      <c r="AJ63" s="19"/>
      <c r="AK63" s="1"/>
      <c r="AL63" s="1"/>
    </row>
    <row r="64" spans="1:40" ht="15.75">
      <c r="A64" s="138"/>
      <c r="B64" s="99"/>
      <c r="C64" s="99"/>
      <c r="D64" s="1154"/>
      <c r="E64" s="99"/>
      <c r="F64" s="99"/>
      <c r="G64" s="99"/>
      <c r="H64" s="1154"/>
      <c r="I64" s="99"/>
      <c r="J64" s="99"/>
      <c r="K64" s="99"/>
      <c r="L64" s="1154"/>
      <c r="M64" s="99"/>
      <c r="N64" s="99"/>
      <c r="O64" s="99"/>
      <c r="P64" s="99"/>
      <c r="Q64" s="99"/>
      <c r="R64" s="99"/>
      <c r="S64" s="99"/>
      <c r="T64" s="99"/>
      <c r="U64" s="99"/>
      <c r="V64" s="1154"/>
      <c r="W64" s="99"/>
      <c r="X64" s="99"/>
      <c r="Y64" s="99"/>
      <c r="Z64" s="99"/>
      <c r="AA64" s="99"/>
      <c r="AB64" s="1154"/>
      <c r="AC64" s="99"/>
      <c r="AI64" s="137"/>
      <c r="AJ64" s="1"/>
      <c r="AK64" s="1"/>
      <c r="AL64" s="1"/>
    </row>
    <row r="65" spans="1:38" ht="15.75">
      <c r="A65" s="138"/>
      <c r="B65" s="99"/>
      <c r="C65" s="99"/>
      <c r="D65" s="1154"/>
      <c r="E65" s="99"/>
      <c r="F65" s="99"/>
      <c r="G65" s="99"/>
      <c r="H65" s="1154"/>
      <c r="I65" s="99"/>
      <c r="J65" s="99"/>
      <c r="K65" s="99"/>
      <c r="L65" s="1154"/>
      <c r="M65" s="99"/>
      <c r="N65" s="99"/>
      <c r="O65" s="99"/>
      <c r="P65" s="99"/>
      <c r="Q65" s="99"/>
      <c r="R65" s="99"/>
      <c r="S65" s="99"/>
      <c r="T65" s="99"/>
      <c r="U65" s="99"/>
      <c r="V65" s="1154"/>
      <c r="W65" s="99"/>
      <c r="X65" s="99"/>
      <c r="Y65" s="99"/>
      <c r="Z65" s="99"/>
      <c r="AA65" s="99"/>
      <c r="AB65" s="1154"/>
      <c r="AC65" s="99"/>
      <c r="AI65" s="137"/>
      <c r="AJ65" s="1" t="s">
        <v>15</v>
      </c>
      <c r="AK65" s="1"/>
      <c r="AL65" s="1"/>
    </row>
    <row r="66" spans="1:38" ht="15.75">
      <c r="A66" s="139"/>
      <c r="B66" s="140"/>
      <c r="C66" s="135"/>
      <c r="D66" s="1157"/>
      <c r="E66" s="35"/>
      <c r="F66" s="35"/>
      <c r="G66" s="35"/>
      <c r="H66" s="1157"/>
      <c r="I66" s="35"/>
      <c r="J66" s="35"/>
      <c r="K66" s="35"/>
      <c r="L66" s="1157"/>
      <c r="M66" s="99"/>
      <c r="N66" s="99"/>
      <c r="O66" s="99"/>
      <c r="P66" s="99"/>
      <c r="Q66" s="99"/>
      <c r="R66" s="99"/>
      <c r="S66" s="99"/>
      <c r="T66" s="99"/>
      <c r="U66" s="99"/>
      <c r="V66" s="1154"/>
      <c r="W66" s="99"/>
      <c r="X66" s="99"/>
      <c r="Y66" s="99"/>
      <c r="Z66" s="99"/>
      <c r="AA66" s="99"/>
      <c r="AB66" s="1154"/>
      <c r="AC66" s="99"/>
      <c r="AI66" s="137"/>
      <c r="AJ66" s="1"/>
      <c r="AK66" s="1"/>
      <c r="AL66" s="1"/>
    </row>
    <row r="67" spans="1:38" ht="15">
      <c r="A67" s="19"/>
      <c r="B67" s="19"/>
      <c r="C67" s="19"/>
      <c r="D67" s="1158"/>
      <c r="E67" s="19"/>
      <c r="F67" s="19"/>
      <c r="G67" s="19"/>
      <c r="H67" s="1158"/>
      <c r="I67" s="19"/>
      <c r="J67" s="19"/>
      <c r="K67" s="19"/>
      <c r="L67" s="1158"/>
      <c r="M67" s="99"/>
      <c r="N67" s="99"/>
      <c r="O67" s="99"/>
      <c r="P67" s="99"/>
      <c r="Q67" s="99"/>
      <c r="R67" s="99"/>
      <c r="S67" s="99"/>
      <c r="T67" s="99"/>
      <c r="U67" s="99"/>
      <c r="V67" s="1154"/>
      <c r="W67" s="99"/>
      <c r="X67" s="99"/>
      <c r="Y67" s="99"/>
      <c r="Z67" s="99"/>
      <c r="AA67" s="99"/>
      <c r="AB67" s="1154"/>
      <c r="AC67" s="99"/>
      <c r="AI67" s="137"/>
      <c r="AJ67" s="1"/>
      <c r="AK67" s="1"/>
      <c r="AL67" s="1"/>
    </row>
    <row r="68" spans="1:38" ht="15">
      <c r="A68" s="19"/>
      <c r="B68" s="19"/>
      <c r="C68" s="19"/>
      <c r="D68" s="1158"/>
      <c r="E68" s="19"/>
      <c r="F68" s="19"/>
      <c r="G68" s="19"/>
      <c r="H68" s="1158"/>
      <c r="I68" s="19"/>
      <c r="J68" s="19"/>
      <c r="K68" s="19"/>
      <c r="L68" s="1158"/>
      <c r="M68" s="99"/>
      <c r="N68" s="99"/>
      <c r="O68" s="99"/>
      <c r="P68" s="99"/>
      <c r="Q68" s="99"/>
      <c r="R68" s="99"/>
      <c r="S68" s="99"/>
      <c r="T68" s="99"/>
      <c r="U68" s="99"/>
      <c r="V68" s="1154"/>
      <c r="W68" s="99"/>
      <c r="X68" s="99"/>
      <c r="Y68" s="99"/>
      <c r="Z68" s="99"/>
      <c r="AA68" s="99"/>
      <c r="AB68" s="1154"/>
      <c r="AC68" s="99"/>
      <c r="AI68" s="137"/>
      <c r="AJ68" s="1"/>
      <c r="AK68" s="1"/>
      <c r="AL68" s="1"/>
    </row>
    <row r="69" spans="1:38" ht="15">
      <c r="A69" s="19"/>
      <c r="B69" s="19"/>
      <c r="C69" s="19"/>
      <c r="D69" s="1158"/>
      <c r="E69" s="19"/>
      <c r="F69" s="19"/>
      <c r="G69" s="19"/>
      <c r="H69" s="1158"/>
      <c r="I69" s="19"/>
      <c r="J69" s="19"/>
      <c r="K69" s="19"/>
      <c r="L69" s="1158"/>
      <c r="M69" s="99"/>
      <c r="N69" s="99"/>
      <c r="O69" s="99"/>
      <c r="P69" s="99"/>
      <c r="Q69" s="99"/>
      <c r="R69" s="99"/>
      <c r="S69" s="99"/>
      <c r="T69" s="99"/>
      <c r="U69" s="99"/>
      <c r="V69" s="1154"/>
      <c r="W69" s="99"/>
      <c r="X69" s="99"/>
      <c r="Y69" s="99"/>
      <c r="Z69" s="99"/>
      <c r="AA69" s="99"/>
      <c r="AB69" s="1154"/>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AA16 S18:AA18 S19:AA19 S24:AA24 S25:AA25 S26:AA26 S29:AA29 S31:AA31 S32:AA32 S33:AA33 S41:AA41 S49:AA49 S50:W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 E49 M14 M15 M17 M18:O18 M19:O19 M37:O37 M40:O40 M49:O49 M50:O50 Q17 Q48:R48 Q37:R37 Q38:R38 Q36:R36 Q30:R30 Q28:R28 Q27:R27 Q57:R57 Q50:R50 Q49:R49 Q41:R41 Q33:R33 Q32:R32 Q31:R31 Q29:R29 Q26:R26 Q25:R25 Q24:R24 Q19:R19 Q18:R18 Q16 Q15 M57:O57 Q40:R40 Q14:R14 E57:F57 D58:F58 I57 H58:R58 Q39:R39 R59 R55 R51 R45 R42 R34 P59 N59 P55 N55 N51 L59 J59 J55 L51 J51 G59:H59 F55:H55 G56:G58 D59 F51:H51 G52:G54 D55 Q35:R35 D52:F54 E51 D56:F56 E55 E59 Q21:R23 Q43:R44 Q46:R47 H52:R54 I51 K51 H56:R56 I55 K55 I59 K59 M51 O51 M55 O55 M59 O59 Q20 Q34 Q42 Q45 Q51 Q55 Q59 E30:G30 E32:G33 F59 E29:G29 E31:G31 G50 G18 AE18:AH18 H39 H34 H20 H27 H35 H21:H23 D27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Y50:AA50" unlockedFormula="1"/>
    <ignoredError sqref="B23 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74"/>
  <sheetViews>
    <sheetView showGridLines="0" zoomScale="70" zoomScaleNormal="70" workbookViewId="0"/>
  </sheetViews>
  <sheetFormatPr defaultColWidth="8.88671875" defaultRowHeight="12.75"/>
  <cols>
    <col min="1" max="1" width="1.6640625" style="455" customWidth="1"/>
    <col min="2" max="2" width="40.88671875" style="455" customWidth="1"/>
    <col min="3" max="3" width="1.6640625" style="455" customWidth="1"/>
    <col min="4" max="4" width="12.33203125" style="455" customWidth="1"/>
    <col min="5" max="5" width="1.6640625" style="455" customWidth="1"/>
    <col min="6" max="6" width="12" style="455" customWidth="1"/>
    <col min="7" max="7" width="1.6640625" style="455" customWidth="1"/>
    <col min="8" max="8" width="13.21875" style="455" customWidth="1"/>
    <col min="9" max="9" width="1.6640625" style="455" customWidth="1"/>
    <col min="10" max="10" width="13.21875" style="455" customWidth="1"/>
    <col min="11" max="11" width="1.6640625" style="455" customWidth="1"/>
    <col min="12" max="12" width="13.21875" style="455" customWidth="1"/>
    <col min="13" max="13" width="1.6640625" style="455" customWidth="1"/>
    <col min="14" max="14" width="14" style="455" customWidth="1"/>
    <col min="15" max="15" width="1.6640625" style="455" customWidth="1"/>
    <col min="16" max="16" width="11.88671875" style="455" customWidth="1"/>
    <col min="17" max="17" width="1.6640625" style="455" customWidth="1"/>
    <col min="18" max="18" width="11.5546875" style="455" customWidth="1"/>
    <col min="19" max="19" width="1.6640625" style="455" customWidth="1"/>
    <col min="20" max="20" width="12.109375" style="455" customWidth="1"/>
    <col min="21" max="21" width="1.6640625" style="455" customWidth="1"/>
    <col min="22" max="22" width="13" style="455" customWidth="1"/>
    <col min="23" max="23" width="1.6640625" style="455" customWidth="1"/>
    <col min="24" max="24" width="11.21875" style="455" customWidth="1"/>
    <col min="25" max="25" width="1.6640625" style="455" customWidth="1"/>
    <col min="26" max="26" width="9.109375" style="455" customWidth="1"/>
    <col min="27" max="28" width="1.6640625" style="455" customWidth="1"/>
    <col min="29" max="29" width="11.77734375" style="455" customWidth="1"/>
    <col min="30" max="31" width="1.44140625" style="455" customWidth="1"/>
    <col min="32" max="32" width="12.6640625" style="455" bestFit="1" customWidth="1"/>
    <col min="33" max="33" width="1.5546875" style="455" customWidth="1"/>
    <col min="34" max="34" width="0.88671875" style="455" customWidth="1"/>
    <col min="35" max="35" width="14.88671875" style="455" customWidth="1"/>
    <col min="36" max="36" width="0.6640625" style="455" customWidth="1"/>
    <col min="37" max="37" width="12.109375" style="455" customWidth="1"/>
    <col min="38" max="16384" width="8.88671875" style="455"/>
  </cols>
  <sheetData>
    <row r="1" spans="1:39" ht="15">
      <c r="B1" s="1159" t="s">
        <v>1090</v>
      </c>
    </row>
    <row r="2" spans="1:39" ht="15.75">
      <c r="A2" s="454"/>
      <c r="M2" s="221"/>
      <c r="N2" s="221"/>
      <c r="O2" s="499"/>
    </row>
    <row r="3" spans="1:39" ht="20.25" customHeight="1">
      <c r="A3" s="454"/>
      <c r="B3" s="459" t="s">
        <v>0</v>
      </c>
      <c r="M3" s="221"/>
      <c r="N3" s="221"/>
      <c r="O3" s="499"/>
      <c r="AE3" s="532"/>
      <c r="AF3" s="532"/>
      <c r="AG3" s="532"/>
      <c r="AH3" s="532"/>
      <c r="AI3" s="532"/>
      <c r="AJ3" s="532"/>
      <c r="AK3" s="738" t="s">
        <v>174</v>
      </c>
    </row>
    <row r="4" spans="1:39" ht="18">
      <c r="A4" s="454"/>
      <c r="B4" s="459" t="s">
        <v>181</v>
      </c>
      <c r="L4" s="221"/>
      <c r="M4" s="221"/>
      <c r="O4" s="499"/>
    </row>
    <row r="5" spans="1:39" ht="18">
      <c r="A5" s="454"/>
      <c r="B5" s="639" t="s">
        <v>1109</v>
      </c>
      <c r="L5" s="499"/>
      <c r="M5" s="499"/>
      <c r="O5" s="499"/>
      <c r="X5" s="533"/>
    </row>
    <row r="6" spans="1:39" ht="20.25">
      <c r="A6" s="454"/>
      <c r="B6" s="2928" t="s">
        <v>1413</v>
      </c>
      <c r="L6" s="499"/>
      <c r="M6" s="499"/>
      <c r="O6" s="499"/>
      <c r="AK6" s="505"/>
    </row>
    <row r="7" spans="1:39" ht="18">
      <c r="A7" s="454"/>
      <c r="B7" s="459" t="s">
        <v>1310</v>
      </c>
      <c r="AH7" s="351"/>
      <c r="AI7" s="351"/>
      <c r="AJ7" s="351"/>
      <c r="AK7" s="351"/>
    </row>
    <row r="8" spans="1:39" ht="13.5" customHeight="1">
      <c r="A8" s="454"/>
      <c r="L8" s="499"/>
      <c r="M8" s="499"/>
      <c r="N8" s="499"/>
      <c r="O8" s="499"/>
      <c r="AB8" s="351"/>
      <c r="AC8" s="499"/>
      <c r="AD8" s="499"/>
      <c r="AE8" s="351"/>
      <c r="AF8" s="351"/>
      <c r="AG8" s="351"/>
      <c r="AH8" s="499"/>
      <c r="AI8" s="499"/>
      <c r="AJ8" s="499"/>
      <c r="AK8" s="499"/>
    </row>
    <row r="9" spans="1:39" ht="20.25" customHeight="1">
      <c r="A9" s="454"/>
      <c r="L9" s="499"/>
      <c r="M9" s="499"/>
      <c r="N9" s="499"/>
      <c r="O9" s="499"/>
      <c r="AB9" s="534"/>
      <c r="AC9" s="535"/>
      <c r="AD9" s="535"/>
      <c r="AE9" s="3506" t="str">
        <f>+'Exhibit G'!AH10</f>
        <v>10 Months Ended January 31</v>
      </c>
      <c r="AF9" s="3507"/>
      <c r="AG9" s="3507"/>
      <c r="AH9" s="3507"/>
      <c r="AI9" s="3507"/>
      <c r="AJ9" s="534"/>
      <c r="AK9" s="534"/>
    </row>
    <row r="10" spans="1:39" ht="20.25">
      <c r="A10" s="454"/>
      <c r="B10" s="536"/>
      <c r="D10" s="1460"/>
      <c r="E10" s="1460"/>
      <c r="F10" s="1460"/>
      <c r="G10" s="1460"/>
      <c r="H10" s="1460"/>
      <c r="I10" s="1460"/>
      <c r="J10" s="1460"/>
      <c r="K10" s="1460"/>
      <c r="L10" s="1461"/>
      <c r="M10" s="1461"/>
      <c r="N10" s="1461"/>
      <c r="O10" s="1461"/>
      <c r="P10" s="1460"/>
      <c r="Q10" s="1460"/>
      <c r="R10" s="1460"/>
      <c r="S10" s="1460"/>
      <c r="T10" s="1460"/>
      <c r="U10" s="1460"/>
      <c r="V10" s="1460"/>
      <c r="W10" s="1460"/>
      <c r="X10" s="1460"/>
      <c r="Y10" s="1460"/>
      <c r="Z10" s="1460"/>
      <c r="AA10" s="1460"/>
      <c r="AB10" s="1460"/>
      <c r="AC10" s="1460"/>
      <c r="AD10" s="1460"/>
      <c r="AE10" s="1460"/>
      <c r="AF10" s="1460"/>
      <c r="AG10" s="1460"/>
      <c r="AH10" s="1460"/>
      <c r="AI10" s="1460"/>
      <c r="AJ10" s="1460"/>
      <c r="AK10" s="1460"/>
      <c r="AL10" s="1460"/>
      <c r="AM10" s="1460"/>
    </row>
    <row r="11" spans="1:39" ht="13.5" customHeight="1">
      <c r="A11" s="454"/>
      <c r="B11" s="222"/>
      <c r="C11" s="222"/>
      <c r="D11" s="1448">
        <v>2016</v>
      </c>
      <c r="E11" s="221"/>
      <c r="F11" s="221"/>
      <c r="G11" s="221"/>
      <c r="H11" s="221"/>
      <c r="I11" s="221"/>
      <c r="J11" s="221"/>
      <c r="K11" s="221"/>
      <c r="L11" s="221"/>
      <c r="M11" s="221"/>
      <c r="N11" s="221"/>
      <c r="O11" s="221"/>
      <c r="P11" s="221"/>
      <c r="Q11" s="221"/>
      <c r="R11" s="221"/>
      <c r="S11" s="221"/>
      <c r="T11" s="221"/>
      <c r="U11" s="221"/>
      <c r="V11" s="1448">
        <v>2017</v>
      </c>
      <c r="W11" s="221"/>
      <c r="X11" s="221"/>
      <c r="Y11" s="221"/>
      <c r="Z11" s="221"/>
      <c r="AA11" s="221"/>
      <c r="AB11" s="221"/>
      <c r="AC11" s="412"/>
      <c r="AD11" s="412"/>
      <c r="AE11" s="412"/>
      <c r="AF11" s="412"/>
      <c r="AG11" s="412"/>
      <c r="AH11" s="411"/>
      <c r="AI11" s="1455" t="s">
        <v>8</v>
      </c>
      <c r="AJ11" s="1455"/>
      <c r="AK11" s="1455" t="s">
        <v>9</v>
      </c>
      <c r="AL11" s="1460"/>
      <c r="AM11" s="1460"/>
    </row>
    <row r="12" spans="1:39" ht="15.75">
      <c r="A12" s="454"/>
      <c r="B12" s="222"/>
      <c r="C12" s="222"/>
      <c r="D12" s="2000" t="s">
        <v>128</v>
      </c>
      <c r="E12" s="221"/>
      <c r="F12" s="2000" t="s">
        <v>129</v>
      </c>
      <c r="G12" s="221"/>
      <c r="H12" s="2000" t="s">
        <v>130</v>
      </c>
      <c r="I12" s="221"/>
      <c r="J12" s="2000" t="s">
        <v>131</v>
      </c>
      <c r="K12" s="221"/>
      <c r="L12" s="2000" t="s">
        <v>132</v>
      </c>
      <c r="M12" s="221"/>
      <c r="N12" s="2000" t="s">
        <v>133</v>
      </c>
      <c r="O12" s="221"/>
      <c r="P12" s="2000" t="s">
        <v>134</v>
      </c>
      <c r="Q12" s="221"/>
      <c r="R12" s="2000" t="s">
        <v>135</v>
      </c>
      <c r="S12" s="221"/>
      <c r="T12" s="2000" t="s">
        <v>136</v>
      </c>
      <c r="U12" s="221"/>
      <c r="V12" s="2000" t="s">
        <v>153</v>
      </c>
      <c r="W12" s="221"/>
      <c r="X12" s="2000" t="s">
        <v>138</v>
      </c>
      <c r="Y12" s="221"/>
      <c r="Z12" s="2000" t="s">
        <v>139</v>
      </c>
      <c r="AA12" s="221"/>
      <c r="AB12" s="221"/>
      <c r="AC12" s="2006">
        <v>2017</v>
      </c>
      <c r="AD12" s="1448"/>
      <c r="AE12" s="1435" t="s">
        <v>15</v>
      </c>
      <c r="AF12" s="2006">
        <v>2016</v>
      </c>
      <c r="AG12" s="1434"/>
      <c r="AH12" s="411"/>
      <c r="AI12" s="2007" t="s">
        <v>12</v>
      </c>
      <c r="AJ12" s="1453"/>
      <c r="AK12" s="2007" t="s">
        <v>13</v>
      </c>
      <c r="AL12" s="1460"/>
      <c r="AM12" s="1460"/>
    </row>
    <row r="13" spans="1:39" s="2005" customFormat="1" ht="6.6" customHeight="1">
      <c r="A13" s="2003"/>
      <c r="B13" s="229"/>
      <c r="C13" s="229"/>
      <c r="D13" s="1462"/>
      <c r="E13" s="476"/>
      <c r="F13" s="1462"/>
      <c r="G13" s="476"/>
      <c r="H13" s="1462"/>
      <c r="I13" s="476"/>
      <c r="J13" s="1462"/>
      <c r="K13" s="476"/>
      <c r="L13" s="1462"/>
      <c r="M13" s="476"/>
      <c r="N13" s="1462"/>
      <c r="O13" s="476"/>
      <c r="P13" s="1462"/>
      <c r="Q13" s="476"/>
      <c r="R13" s="1462"/>
      <c r="S13" s="476"/>
      <c r="T13" s="1462"/>
      <c r="U13" s="476"/>
      <c r="V13" s="1462"/>
      <c r="W13" s="476"/>
      <c r="X13" s="1462"/>
      <c r="Y13" s="476"/>
      <c r="Z13" s="1462"/>
      <c r="AA13" s="476"/>
      <c r="AB13" s="476"/>
      <c r="AC13" s="1434"/>
      <c r="AD13" s="1434"/>
      <c r="AE13" s="1462"/>
      <c r="AF13" s="1434"/>
      <c r="AG13" s="1434"/>
      <c r="AH13" s="412"/>
      <c r="AI13" s="1453"/>
      <c r="AJ13" s="1453"/>
      <c r="AK13" s="1453"/>
      <c r="AL13" s="2004"/>
      <c r="AM13" s="2004"/>
    </row>
    <row r="14" spans="1:39" s="2005" customFormat="1" ht="15.75">
      <c r="A14" s="2003"/>
      <c r="B14" s="227" t="s">
        <v>140</v>
      </c>
      <c r="C14" s="229"/>
      <c r="D14" s="422">
        <v>3547.4</v>
      </c>
      <c r="E14" s="422"/>
      <c r="F14" s="3273">
        <f>D124</f>
        <v>4127.5</v>
      </c>
      <c r="G14" s="422"/>
      <c r="H14" s="3273">
        <f>F124</f>
        <v>4982</v>
      </c>
      <c r="I14" s="422"/>
      <c r="J14" s="3273">
        <f>H124</f>
        <v>4973</v>
      </c>
      <c r="K14" s="422"/>
      <c r="L14" s="3273">
        <f>+J124</f>
        <v>5579.2</v>
      </c>
      <c r="M14" s="422"/>
      <c r="N14" s="3273">
        <f>+L124</f>
        <v>6054.3</v>
      </c>
      <c r="O14" s="422"/>
      <c r="P14" s="3273">
        <f>+N124</f>
        <v>3961.4</v>
      </c>
      <c r="Q14" s="422"/>
      <c r="R14" s="3273">
        <f>+P124</f>
        <v>4431.7</v>
      </c>
      <c r="S14" s="422"/>
      <c r="T14" s="3273">
        <f>+R124</f>
        <v>3565.4</v>
      </c>
      <c r="U14" s="422"/>
      <c r="V14" s="3273">
        <f>+T124</f>
        <v>3552.4</v>
      </c>
      <c r="W14" s="422"/>
      <c r="X14" s="3273"/>
      <c r="Y14" s="422"/>
      <c r="Z14" s="3273"/>
      <c r="AA14" s="222"/>
      <c r="AB14" s="2002"/>
      <c r="AC14" s="3274">
        <f>D14</f>
        <v>3547.4</v>
      </c>
      <c r="AD14" s="222"/>
      <c r="AE14" s="537"/>
      <c r="AF14" s="3274">
        <v>2472.6</v>
      </c>
      <c r="AG14" s="229"/>
      <c r="AH14" s="508"/>
      <c r="AI14" s="293">
        <f>ROUND(SUM(+AC14-AF14),1)</f>
        <v>1074.8</v>
      </c>
      <c r="AJ14" s="1802"/>
      <c r="AK14" s="3280">
        <f>ROUND(IF(AF14=0,1,AI14/ABS(AF14)),3)</f>
        <v>0.435</v>
      </c>
      <c r="AL14" s="2004"/>
      <c r="AM14" s="2004"/>
    </row>
    <row r="15" spans="1:39" s="2005" customFormat="1" ht="15.75">
      <c r="A15" s="2003"/>
      <c r="B15" s="229"/>
      <c r="C15" s="229"/>
      <c r="D15" s="1462"/>
      <c r="E15" s="476"/>
      <c r="F15" s="1462"/>
      <c r="G15" s="476"/>
      <c r="H15" s="1462"/>
      <c r="I15" s="476"/>
      <c r="J15" s="1462"/>
      <c r="K15" s="476"/>
      <c r="L15" s="1462"/>
      <c r="M15" s="476"/>
      <c r="N15" s="1462"/>
      <c r="O15" s="476"/>
      <c r="P15" s="1462"/>
      <c r="Q15" s="476"/>
      <c r="R15" s="1462"/>
      <c r="S15" s="476"/>
      <c r="T15" s="1462"/>
      <c r="U15" s="476"/>
      <c r="V15" s="1462"/>
      <c r="W15" s="476"/>
      <c r="X15" s="1462"/>
      <c r="Y15" s="476"/>
      <c r="Z15" s="1462"/>
      <c r="AA15" s="222"/>
      <c r="AB15" s="2002"/>
      <c r="AC15" s="1434"/>
      <c r="AD15" s="222"/>
      <c r="AE15" s="537"/>
      <c r="AF15" s="1434"/>
      <c r="AG15" s="229"/>
      <c r="AH15" s="508"/>
      <c r="AI15" s="1453"/>
      <c r="AJ15" s="1453"/>
      <c r="AK15" s="1453"/>
      <c r="AL15" s="2004"/>
      <c r="AM15" s="2004"/>
    </row>
    <row r="16" spans="1:39" ht="15" customHeight="1">
      <c r="A16" s="351"/>
      <c r="B16" s="221" t="s">
        <v>14</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2002"/>
      <c r="AC16" s="229"/>
      <c r="AD16" s="222"/>
      <c r="AE16" s="537"/>
      <c r="AF16" s="222"/>
      <c r="AG16" s="229"/>
      <c r="AH16" s="508"/>
      <c r="AI16" s="222"/>
      <c r="AJ16" s="222"/>
      <c r="AK16" s="222"/>
    </row>
    <row r="17" spans="1:37" ht="15" customHeight="1">
      <c r="A17" s="351"/>
      <c r="B17" s="488" t="s">
        <v>1206</v>
      </c>
      <c r="C17" s="223"/>
      <c r="D17" s="222"/>
      <c r="E17" s="222"/>
      <c r="F17" s="222"/>
      <c r="G17" s="222"/>
      <c r="H17" s="222"/>
      <c r="I17" s="222"/>
      <c r="J17" s="222"/>
      <c r="K17" s="222"/>
      <c r="L17" s="222"/>
      <c r="M17" s="222"/>
      <c r="N17" s="222"/>
      <c r="O17" s="222"/>
      <c r="P17" s="222"/>
      <c r="Q17" s="222"/>
      <c r="R17" s="222"/>
      <c r="S17" s="222"/>
      <c r="T17" s="222"/>
      <c r="U17" s="222"/>
      <c r="V17" s="222"/>
      <c r="W17" s="222"/>
      <c r="X17" s="222"/>
      <c r="Y17" s="222"/>
      <c r="Z17" s="222"/>
      <c r="AA17" s="222"/>
      <c r="AB17" s="537"/>
      <c r="AC17" s="229"/>
      <c r="AD17" s="222"/>
      <c r="AE17" s="537"/>
      <c r="AF17" s="222"/>
      <c r="AG17" s="512"/>
      <c r="AH17" s="229"/>
      <c r="AI17" s="222"/>
      <c r="AJ17" s="222"/>
      <c r="AK17" s="222"/>
    </row>
    <row r="18" spans="1:37" s="1460" customFormat="1" ht="15" customHeight="1">
      <c r="A18" s="2014"/>
      <c r="B18" s="2286" t="s">
        <v>1211</v>
      </c>
      <c r="C18" s="221"/>
      <c r="D18" s="1753">
        <v>1.3</v>
      </c>
      <c r="E18" s="2925"/>
      <c r="F18" s="1753">
        <v>0</v>
      </c>
      <c r="G18" s="2925"/>
      <c r="H18" s="1753">
        <v>420.2</v>
      </c>
      <c r="I18" s="2925"/>
      <c r="J18" s="1753">
        <v>0</v>
      </c>
      <c r="K18" s="2925"/>
      <c r="L18" s="1753">
        <v>0</v>
      </c>
      <c r="M18" s="2925"/>
      <c r="N18" s="1753">
        <v>108.4</v>
      </c>
      <c r="O18" s="2925"/>
      <c r="P18" s="1753">
        <v>4.5999999999999996</v>
      </c>
      <c r="Q18" s="2925"/>
      <c r="R18" s="1753">
        <v>10.7</v>
      </c>
      <c r="S18" s="2925"/>
      <c r="T18" s="1299">
        <v>107.1</v>
      </c>
      <c r="U18" s="2925"/>
      <c r="V18" s="1299">
        <v>2243.6</v>
      </c>
      <c r="W18" s="2925"/>
      <c r="X18" s="1299"/>
      <c r="Y18" s="2925"/>
      <c r="Z18" s="1299"/>
      <c r="AA18" s="2925"/>
      <c r="AB18" s="2611"/>
      <c r="AC18" s="1823">
        <f>ROUND(SUM(D18:Z18),1)</f>
        <v>2895.9</v>
      </c>
      <c r="AD18" s="1299"/>
      <c r="AE18" s="3275"/>
      <c r="AF18" s="2925">
        <v>3328.3</v>
      </c>
      <c r="AG18" s="3276"/>
      <c r="AH18" s="1823"/>
      <c r="AI18" s="2925">
        <f>ROUND(SUM(+AC18-AF18),1)</f>
        <v>-432.4</v>
      </c>
      <c r="AJ18" s="1146"/>
      <c r="AK18" s="2670">
        <f>ROUND(IF(AF18=0,1,AI18/ABS(AF18)),3)</f>
        <v>-0.13</v>
      </c>
    </row>
    <row r="19" spans="1:37" s="1460" customFormat="1" ht="15" customHeight="1">
      <c r="A19" s="2014"/>
      <c r="B19" s="2286"/>
      <c r="C19" s="221"/>
      <c r="D19" s="2301"/>
      <c r="E19" s="293"/>
      <c r="F19" s="2301"/>
      <c r="G19" s="293"/>
      <c r="H19" s="2302"/>
      <c r="I19" s="293"/>
      <c r="J19" s="2301"/>
      <c r="K19" s="293"/>
      <c r="L19" s="2301"/>
      <c r="M19" s="293"/>
      <c r="N19" s="2301"/>
      <c r="O19" s="293"/>
      <c r="P19" s="293"/>
      <c r="Q19" s="293"/>
      <c r="R19" s="293"/>
      <c r="S19" s="293"/>
      <c r="T19" s="382"/>
      <c r="U19" s="293"/>
      <c r="V19" s="382"/>
      <c r="W19" s="293"/>
      <c r="X19" s="382"/>
      <c r="Y19" s="293"/>
      <c r="Z19" s="382"/>
      <c r="AA19" s="293"/>
      <c r="AB19" s="544"/>
      <c r="AC19" s="422"/>
      <c r="AD19" s="1227"/>
      <c r="AE19" s="2583"/>
      <c r="AF19" s="293"/>
      <c r="AG19" s="2303"/>
      <c r="AH19" s="1889"/>
      <c r="AI19" s="293"/>
      <c r="AJ19" s="1802"/>
      <c r="AK19" s="2580"/>
    </row>
    <row r="20" spans="1:37" s="1460" customFormat="1" ht="6" customHeight="1">
      <c r="A20" s="2014"/>
      <c r="B20" s="2286"/>
      <c r="C20" s="221"/>
      <c r="D20" s="2301"/>
      <c r="E20" s="293"/>
      <c r="F20" s="2301"/>
      <c r="G20" s="293"/>
      <c r="H20" s="2302"/>
      <c r="I20" s="293"/>
      <c r="J20" s="2301"/>
      <c r="K20" s="293"/>
      <c r="L20" s="2301"/>
      <c r="M20" s="293"/>
      <c r="N20" s="2301"/>
      <c r="O20" s="293"/>
      <c r="P20" s="293"/>
      <c r="Q20" s="293"/>
      <c r="R20" s="293"/>
      <c r="S20" s="293"/>
      <c r="T20" s="382"/>
      <c r="U20" s="293"/>
      <c r="V20" s="382"/>
      <c r="W20" s="293"/>
      <c r="X20" s="382"/>
      <c r="Y20" s="293"/>
      <c r="Z20" s="382"/>
      <c r="AA20" s="293"/>
      <c r="AB20" s="544"/>
      <c r="AC20" s="422"/>
      <c r="AD20" s="1227"/>
      <c r="AE20" s="2583"/>
      <c r="AF20" s="293"/>
      <c r="AG20" s="2303"/>
      <c r="AH20" s="1889"/>
      <c r="AI20" s="293"/>
      <c r="AJ20" s="1802"/>
      <c r="AK20" s="2580"/>
    </row>
    <row r="21" spans="1:37" ht="15" customHeight="1">
      <c r="A21" s="351"/>
      <c r="B21" s="2286" t="s">
        <v>1276</v>
      </c>
      <c r="C21" s="223"/>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51"/>
      <c r="AC21" s="248"/>
      <c r="AD21" s="260"/>
      <c r="AE21" s="1559"/>
      <c r="AF21" s="260"/>
      <c r="AG21" s="513"/>
      <c r="AH21" s="248"/>
      <c r="AI21" s="1146"/>
      <c r="AJ21" s="1798"/>
      <c r="AK21" s="2634"/>
    </row>
    <row r="22" spans="1:37" ht="15" customHeight="1">
      <c r="A22" s="351"/>
      <c r="B22" s="2032" t="s">
        <v>1226</v>
      </c>
      <c r="C22" s="223"/>
      <c r="D22" s="2035">
        <v>90.9</v>
      </c>
      <c r="E22" s="2036"/>
      <c r="F22" s="2035">
        <v>65.8</v>
      </c>
      <c r="G22" s="2036"/>
      <c r="H22" s="2035">
        <v>89.5</v>
      </c>
      <c r="I22" s="2036"/>
      <c r="J22" s="2036">
        <v>69.3</v>
      </c>
      <c r="K22" s="2036"/>
      <c r="L22" s="1111">
        <v>65.8</v>
      </c>
      <c r="M22" s="2036"/>
      <c r="N22" s="1177">
        <v>92.3</v>
      </c>
      <c r="O22" s="2036"/>
      <c r="P22" s="1177">
        <v>69.7</v>
      </c>
      <c r="Q22" s="2036"/>
      <c r="R22" s="2036">
        <v>69.099999999999994</v>
      </c>
      <c r="S22" s="2036"/>
      <c r="T22" s="3469">
        <v>96.2</v>
      </c>
      <c r="U22" s="2036"/>
      <c r="V22" s="2036">
        <v>74.2</v>
      </c>
      <c r="W22" s="2036"/>
      <c r="X22" s="2036"/>
      <c r="Y22" s="2036"/>
      <c r="Z22" s="2036"/>
      <c r="AA22" s="2036"/>
      <c r="AB22" s="2037"/>
      <c r="AC22" s="2038">
        <f t="shared" ref="AC22:AC29" si="0">ROUND(SUM(D22:Z22),1)</f>
        <v>782.8</v>
      </c>
      <c r="AD22" s="2039"/>
      <c r="AE22" s="2040"/>
      <c r="AF22" s="2526">
        <v>754.6</v>
      </c>
      <c r="AG22" s="513"/>
      <c r="AH22" s="248"/>
      <c r="AI22" s="1146">
        <f t="shared" ref="AI22:AI29" si="1">ROUND(SUM(+AC22-AF22),1)</f>
        <v>28.2</v>
      </c>
      <c r="AJ22" s="1798"/>
      <c r="AK22" s="2600">
        <f t="shared" ref="AK22:AK30" si="2">ROUND(IF(AF22=0,0,AI22/ABS(AF22)),3)</f>
        <v>3.6999999999999998E-2</v>
      </c>
    </row>
    <row r="23" spans="1:37" ht="15" customHeight="1">
      <c r="A23" s="351"/>
      <c r="B23" s="2032" t="s">
        <v>1227</v>
      </c>
      <c r="C23" s="223"/>
      <c r="D23" s="2035">
        <v>0.7</v>
      </c>
      <c r="E23" s="2036"/>
      <c r="F23" s="2035">
        <v>0</v>
      </c>
      <c r="G23" s="2036"/>
      <c r="H23" s="2035">
        <v>13.4</v>
      </c>
      <c r="I23" s="2036"/>
      <c r="J23" s="2036">
        <v>4.5</v>
      </c>
      <c r="K23" s="2036"/>
      <c r="L23" s="2924">
        <v>4.4000000000000004</v>
      </c>
      <c r="M23" s="2036"/>
      <c r="N23" s="2940">
        <v>5.4</v>
      </c>
      <c r="O23" s="2036"/>
      <c r="P23" s="2940">
        <v>3.7</v>
      </c>
      <c r="Q23" s="2036"/>
      <c r="R23" s="2036">
        <v>3.8</v>
      </c>
      <c r="S23" s="2036"/>
      <c r="T23" s="2658">
        <v>4</v>
      </c>
      <c r="U23" s="2036"/>
      <c r="V23" s="2036">
        <v>3.4</v>
      </c>
      <c r="W23" s="2036"/>
      <c r="X23" s="2036"/>
      <c r="Y23" s="2036"/>
      <c r="Z23" s="2036"/>
      <c r="AA23" s="2036"/>
      <c r="AB23" s="2037"/>
      <c r="AC23" s="3300">
        <f t="shared" si="0"/>
        <v>43.3</v>
      </c>
      <c r="AD23" s="2039"/>
      <c r="AE23" s="2040"/>
      <c r="AF23" s="2521">
        <v>39.299999999999997</v>
      </c>
      <c r="AG23" s="513"/>
      <c r="AH23" s="248"/>
      <c r="AI23" s="1146">
        <f t="shared" si="1"/>
        <v>4</v>
      </c>
      <c r="AJ23" s="1798"/>
      <c r="AK23" s="2600">
        <f t="shared" si="2"/>
        <v>0.10199999999999999</v>
      </c>
    </row>
    <row r="24" spans="1:37" ht="15" customHeight="1">
      <c r="A24" s="351"/>
      <c r="B24" s="2032" t="s">
        <v>1228</v>
      </c>
      <c r="C24" s="223"/>
      <c r="D24" s="2035">
        <v>69.900000000000006</v>
      </c>
      <c r="E24" s="2036"/>
      <c r="F24" s="2035">
        <v>70.5</v>
      </c>
      <c r="G24" s="2036"/>
      <c r="H24" s="2035">
        <v>86.9</v>
      </c>
      <c r="I24" s="2036"/>
      <c r="J24" s="2036">
        <v>74.599999999999994</v>
      </c>
      <c r="K24" s="2036"/>
      <c r="L24" s="2924">
        <v>85.6</v>
      </c>
      <c r="M24" s="2036"/>
      <c r="N24" s="2940">
        <v>75.599999999999994</v>
      </c>
      <c r="O24" s="2036"/>
      <c r="P24" s="2940">
        <v>72.599999999999994</v>
      </c>
      <c r="Q24" s="2036"/>
      <c r="R24" s="2036">
        <v>78.599999999999994</v>
      </c>
      <c r="S24" s="2036"/>
      <c r="T24" s="2658">
        <v>72.2</v>
      </c>
      <c r="U24" s="2036"/>
      <c r="V24" s="2036">
        <v>72.8</v>
      </c>
      <c r="W24" s="2036"/>
      <c r="X24" s="2036"/>
      <c r="Y24" s="2036"/>
      <c r="Z24" s="2036"/>
      <c r="AA24" s="2036"/>
      <c r="AB24" s="2037"/>
      <c r="AC24" s="3300">
        <f t="shared" si="0"/>
        <v>759.3</v>
      </c>
      <c r="AD24" s="2039"/>
      <c r="AE24" s="2040"/>
      <c r="AF24" s="2521">
        <v>798.3</v>
      </c>
      <c r="AG24" s="513"/>
      <c r="AH24" s="248"/>
      <c r="AI24" s="1146">
        <f t="shared" si="1"/>
        <v>-39</v>
      </c>
      <c r="AJ24" s="1798"/>
      <c r="AK24" s="2600">
        <f t="shared" si="2"/>
        <v>-4.9000000000000002E-2</v>
      </c>
    </row>
    <row r="25" spans="1:37" ht="15" customHeight="1">
      <c r="A25" s="351"/>
      <c r="B25" s="1243" t="s">
        <v>1406</v>
      </c>
      <c r="C25" s="223"/>
      <c r="D25" s="2035">
        <v>0</v>
      </c>
      <c r="E25" s="2036"/>
      <c r="F25" s="2035">
        <v>0</v>
      </c>
      <c r="G25" s="2036"/>
      <c r="H25" s="2035">
        <v>0.1</v>
      </c>
      <c r="I25" s="2036"/>
      <c r="J25" s="2036">
        <v>0</v>
      </c>
      <c r="K25" s="2036"/>
      <c r="L25" s="2924">
        <v>0</v>
      </c>
      <c r="M25" s="2036"/>
      <c r="N25" s="2940">
        <v>0.1</v>
      </c>
      <c r="O25" s="2036"/>
      <c r="P25" s="2940">
        <v>0.1</v>
      </c>
      <c r="Q25" s="2036"/>
      <c r="R25" s="2036">
        <v>0</v>
      </c>
      <c r="S25" s="2036"/>
      <c r="T25" s="2658">
        <v>0.1</v>
      </c>
      <c r="U25" s="2036"/>
      <c r="V25" s="2036">
        <v>0</v>
      </c>
      <c r="W25" s="2036"/>
      <c r="X25" s="2036"/>
      <c r="Y25" s="2036"/>
      <c r="Z25" s="2036"/>
      <c r="AA25" s="2036"/>
      <c r="AB25" s="2037"/>
      <c r="AC25" s="3300">
        <f t="shared" si="0"/>
        <v>0.4</v>
      </c>
      <c r="AD25" s="2039"/>
      <c r="AE25" s="2040"/>
      <c r="AF25" s="2521">
        <v>0</v>
      </c>
      <c r="AG25" s="513"/>
      <c r="AH25" s="248"/>
      <c r="AI25" s="2925">
        <f t="shared" ref="AI25" si="3">ROUND(SUM(+AC25-AF25),1)</f>
        <v>0.4</v>
      </c>
      <c r="AJ25" s="1798"/>
      <c r="AK25" s="2679">
        <f>ROUND(IF(AF25=0,1,AI25/ABS(AF25)),3)</f>
        <v>1</v>
      </c>
    </row>
    <row r="26" spans="1:37" ht="15" customHeight="1">
      <c r="A26" s="351"/>
      <c r="B26" s="2032" t="s">
        <v>1229</v>
      </c>
      <c r="C26" s="223"/>
      <c r="D26" s="2035">
        <v>8.1999999999999993</v>
      </c>
      <c r="E26" s="2036"/>
      <c r="F26" s="2035">
        <v>7.9</v>
      </c>
      <c r="G26" s="2036"/>
      <c r="H26" s="2035">
        <v>9.1999999999999993</v>
      </c>
      <c r="I26" s="2036"/>
      <c r="J26" s="2036">
        <v>10.1</v>
      </c>
      <c r="K26" s="2036"/>
      <c r="L26" s="3301">
        <v>10.5</v>
      </c>
      <c r="M26" s="2036"/>
      <c r="N26" s="2940">
        <v>9.5</v>
      </c>
      <c r="O26" s="2036"/>
      <c r="P26" s="2940">
        <v>9.4</v>
      </c>
      <c r="Q26" s="2036"/>
      <c r="R26" s="2036">
        <v>9.6</v>
      </c>
      <c r="S26" s="2036"/>
      <c r="T26" s="2658">
        <v>8.9</v>
      </c>
      <c r="U26" s="2036"/>
      <c r="V26" s="2036">
        <v>9</v>
      </c>
      <c r="W26" s="2036"/>
      <c r="X26" s="2036"/>
      <c r="Y26" s="2036"/>
      <c r="Z26" s="2036"/>
      <c r="AA26" s="2036"/>
      <c r="AB26" s="2037"/>
      <c r="AC26" s="3300">
        <f t="shared" si="0"/>
        <v>92.3</v>
      </c>
      <c r="AD26" s="2039"/>
      <c r="AE26" s="2040"/>
      <c r="AF26" s="2526">
        <v>87.5</v>
      </c>
      <c r="AG26" s="513"/>
      <c r="AH26" s="248"/>
      <c r="AI26" s="1146">
        <f t="shared" si="1"/>
        <v>4.8</v>
      </c>
      <c r="AJ26" s="1798"/>
      <c r="AK26" s="2600">
        <f t="shared" si="2"/>
        <v>5.5E-2</v>
      </c>
    </row>
    <row r="27" spans="1:37" ht="15" customHeight="1">
      <c r="A27" s="351"/>
      <c r="B27" s="2032" t="s">
        <v>1230</v>
      </c>
      <c r="C27" s="223"/>
      <c r="D27" s="2035">
        <v>0</v>
      </c>
      <c r="E27" s="2036"/>
      <c r="F27" s="2035">
        <v>0</v>
      </c>
      <c r="G27" s="2036"/>
      <c r="H27" s="2035">
        <v>0</v>
      </c>
      <c r="I27" s="2036"/>
      <c r="J27" s="2036">
        <v>0</v>
      </c>
      <c r="K27" s="2036"/>
      <c r="L27" s="2924">
        <v>0</v>
      </c>
      <c r="M27" s="2036"/>
      <c r="N27" s="2940">
        <v>0</v>
      </c>
      <c r="O27" s="2036"/>
      <c r="P27" s="2940">
        <v>0</v>
      </c>
      <c r="Q27" s="2036"/>
      <c r="R27" s="2036">
        <v>0</v>
      </c>
      <c r="S27" s="2036"/>
      <c r="T27" s="2658">
        <v>0</v>
      </c>
      <c r="U27" s="2036"/>
      <c r="V27" s="2036">
        <v>0</v>
      </c>
      <c r="W27" s="2036"/>
      <c r="X27" s="2036"/>
      <c r="Y27" s="2036"/>
      <c r="Z27" s="2036"/>
      <c r="AA27" s="2036"/>
      <c r="AB27" s="2037"/>
      <c r="AC27" s="3300">
        <f t="shared" si="0"/>
        <v>0</v>
      </c>
      <c r="AD27" s="2039"/>
      <c r="AE27" s="2040"/>
      <c r="AF27" s="2523">
        <v>0</v>
      </c>
      <c r="AG27" s="513"/>
      <c r="AH27" s="248"/>
      <c r="AI27" s="1146">
        <f t="shared" si="1"/>
        <v>0</v>
      </c>
      <c r="AJ27" s="1798"/>
      <c r="AK27" s="2600">
        <f t="shared" si="2"/>
        <v>0</v>
      </c>
    </row>
    <row r="28" spans="1:37" ht="15" customHeight="1">
      <c r="A28" s="351"/>
      <c r="B28" s="2032" t="s">
        <v>1231</v>
      </c>
      <c r="C28" s="223"/>
      <c r="D28" s="2035">
        <v>0</v>
      </c>
      <c r="E28" s="2036"/>
      <c r="F28" s="2035">
        <v>0</v>
      </c>
      <c r="G28" s="2036"/>
      <c r="H28" s="2035">
        <v>0</v>
      </c>
      <c r="I28" s="2036"/>
      <c r="J28" s="2036">
        <v>0</v>
      </c>
      <c r="K28" s="2036"/>
      <c r="L28" s="2924">
        <v>0</v>
      </c>
      <c r="M28" s="2036"/>
      <c r="N28" s="2940">
        <v>0</v>
      </c>
      <c r="O28" s="2036"/>
      <c r="P28" s="2940">
        <v>1.7</v>
      </c>
      <c r="Q28" s="2036"/>
      <c r="R28" s="2036">
        <v>0.2</v>
      </c>
      <c r="S28" s="2036"/>
      <c r="T28" s="2658">
        <v>0.3</v>
      </c>
      <c r="U28" s="2036"/>
      <c r="V28" s="2036">
        <v>-0.2</v>
      </c>
      <c r="W28" s="2036"/>
      <c r="X28" s="2036"/>
      <c r="Y28" s="2036"/>
      <c r="Z28" s="2036"/>
      <c r="AA28" s="2036"/>
      <c r="AB28" s="2037"/>
      <c r="AC28" s="3300">
        <f t="shared" si="0"/>
        <v>2</v>
      </c>
      <c r="AD28" s="2039"/>
      <c r="AE28" s="2040"/>
      <c r="AF28" s="2523">
        <v>0</v>
      </c>
      <c r="AG28" s="513"/>
      <c r="AH28" s="248"/>
      <c r="AI28" s="1146">
        <f t="shared" si="1"/>
        <v>2</v>
      </c>
      <c r="AJ28" s="1798"/>
      <c r="AK28" s="2670">
        <f>ROUND(IF(AF28=0,1,AI28/ABS(AF28)),3)</f>
        <v>1</v>
      </c>
    </row>
    <row r="29" spans="1:37" ht="15" customHeight="1">
      <c r="A29" s="351"/>
      <c r="B29" s="2034" t="s">
        <v>1232</v>
      </c>
      <c r="C29" s="223"/>
      <c r="D29" s="2035">
        <v>15.7</v>
      </c>
      <c r="E29" s="2036"/>
      <c r="F29" s="2035">
        <v>0.6</v>
      </c>
      <c r="G29" s="2036"/>
      <c r="H29" s="2035">
        <v>0.6</v>
      </c>
      <c r="I29" s="2036"/>
      <c r="J29" s="2036">
        <v>15.7</v>
      </c>
      <c r="K29" s="2036"/>
      <c r="L29" s="2924">
        <v>0.5</v>
      </c>
      <c r="M29" s="2036"/>
      <c r="N29" s="1177">
        <v>0.6</v>
      </c>
      <c r="O29" s="2036"/>
      <c r="P29" s="2940">
        <v>14.5</v>
      </c>
      <c r="Q29" s="2036"/>
      <c r="R29" s="2036">
        <v>0.3</v>
      </c>
      <c r="S29" s="2036"/>
      <c r="T29" s="2658">
        <v>0.8</v>
      </c>
      <c r="U29" s="2036"/>
      <c r="V29" s="2036">
        <v>14</v>
      </c>
      <c r="W29" s="2036"/>
      <c r="X29" s="2036"/>
      <c r="Y29" s="2036"/>
      <c r="Z29" s="2036"/>
      <c r="AA29" s="2036"/>
      <c r="AB29" s="2037"/>
      <c r="AC29" s="3300">
        <f t="shared" si="0"/>
        <v>63.3</v>
      </c>
      <c r="AD29" s="2039"/>
      <c r="AE29" s="2040"/>
      <c r="AF29" s="2521">
        <v>71.7</v>
      </c>
      <c r="AG29" s="513"/>
      <c r="AH29" s="248"/>
      <c r="AI29" s="1146">
        <f t="shared" si="1"/>
        <v>-8.4</v>
      </c>
      <c r="AJ29" s="1798"/>
      <c r="AK29" s="2600">
        <f t="shared" si="2"/>
        <v>-0.11700000000000001</v>
      </c>
    </row>
    <row r="30" spans="1:37" s="1460" customFormat="1" ht="15" customHeight="1">
      <c r="A30" s="2014"/>
      <c r="B30" s="2033" t="s">
        <v>1368</v>
      </c>
      <c r="C30" s="221"/>
      <c r="D30" s="255">
        <f>ROUND(SUM(D22:D29),1)</f>
        <v>185.4</v>
      </c>
      <c r="E30" s="1802"/>
      <c r="F30" s="255">
        <f>ROUND(SUM(F22:F29),1)</f>
        <v>144.80000000000001</v>
      </c>
      <c r="G30" s="1802"/>
      <c r="H30" s="255">
        <f>ROUND(SUM(H22:H29),1)</f>
        <v>199.7</v>
      </c>
      <c r="I30" s="1802"/>
      <c r="J30" s="255">
        <f>ROUND(SUM(J22:J29),1)</f>
        <v>174.2</v>
      </c>
      <c r="K30" s="1802"/>
      <c r="L30" s="255">
        <f>ROUND(SUM(L22:L29),1)</f>
        <v>166.8</v>
      </c>
      <c r="M30" s="1802"/>
      <c r="N30" s="255">
        <f>ROUND(SUM(N22:N29),1)</f>
        <v>183.5</v>
      </c>
      <c r="O30" s="1802"/>
      <c r="P30" s="255">
        <f>ROUND(SUM(P22:P29),1)</f>
        <v>171.7</v>
      </c>
      <c r="Q30" s="1802"/>
      <c r="R30" s="255">
        <f>ROUND(SUM(R22:R29),1)</f>
        <v>161.6</v>
      </c>
      <c r="S30" s="1802"/>
      <c r="T30" s="255">
        <f>ROUND(SUM(T22:T29),1)</f>
        <v>182.5</v>
      </c>
      <c r="U30" s="1802"/>
      <c r="V30" s="255">
        <f>ROUND(SUM(V22:V29),1)</f>
        <v>173.2</v>
      </c>
      <c r="W30" s="1802"/>
      <c r="X30" s="255">
        <f>ROUND(SUM(X22:X29),1)</f>
        <v>0</v>
      </c>
      <c r="Y30" s="1802"/>
      <c r="Z30" s="255">
        <f>ROUND(SUM(Z22:Z29),1)</f>
        <v>0</v>
      </c>
      <c r="AA30" s="1802"/>
      <c r="AB30" s="742"/>
      <c r="AC30" s="525">
        <f>ROUND(SUM(AC22:AC29),1)</f>
        <v>1743.4</v>
      </c>
      <c r="AD30" s="1802"/>
      <c r="AE30" s="1839"/>
      <c r="AF30" s="255">
        <f>ROUND(SUM(AF22:AF29),1)</f>
        <v>1751.4</v>
      </c>
      <c r="AG30" s="520"/>
      <c r="AH30" s="272"/>
      <c r="AI30" s="255">
        <f>ROUND(SUM(AI22:AI29),1)</f>
        <v>-8</v>
      </c>
      <c r="AJ30" s="411"/>
      <c r="AK30" s="1987">
        <f t="shared" si="2"/>
        <v>-5.0000000000000001E-3</v>
      </c>
    </row>
    <row r="31" spans="1:37" ht="15" customHeight="1">
      <c r="A31" s="351"/>
      <c r="B31" s="2286" t="s">
        <v>1212</v>
      </c>
      <c r="C31" s="223"/>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51"/>
      <c r="AC31" s="261"/>
      <c r="AD31" s="260"/>
      <c r="AE31" s="1559"/>
      <c r="AF31" s="260"/>
      <c r="AG31" s="513"/>
      <c r="AH31" s="248"/>
      <c r="AI31" s="1146"/>
      <c r="AJ31" s="1798"/>
      <c r="AK31" s="1798"/>
    </row>
    <row r="32" spans="1:37" ht="15" customHeight="1">
      <c r="A32" s="351"/>
      <c r="B32" s="2032" t="s">
        <v>1234</v>
      </c>
      <c r="C32" s="223"/>
      <c r="D32" s="2035">
        <v>31.9</v>
      </c>
      <c r="E32" s="2036"/>
      <c r="F32" s="2035">
        <v>23.5</v>
      </c>
      <c r="G32" s="2036"/>
      <c r="H32" s="2035">
        <v>114</v>
      </c>
      <c r="I32" s="260"/>
      <c r="J32" s="260">
        <v>10.8</v>
      </c>
      <c r="K32" s="260"/>
      <c r="L32" s="1111">
        <v>20</v>
      </c>
      <c r="M32" s="260"/>
      <c r="N32" s="1177">
        <v>138.1</v>
      </c>
      <c r="O32" s="260"/>
      <c r="P32" s="1177">
        <v>34.299999999999997</v>
      </c>
      <c r="Q32" s="260"/>
      <c r="R32" s="2036">
        <v>8.4</v>
      </c>
      <c r="S32" s="260"/>
      <c r="T32" s="1299">
        <v>140.19999999999999</v>
      </c>
      <c r="U32" s="260"/>
      <c r="V32" s="260">
        <v>36.799999999999997</v>
      </c>
      <c r="W32" s="260"/>
      <c r="X32" s="260"/>
      <c r="Y32" s="260"/>
      <c r="Z32" s="1146"/>
      <c r="AA32" s="260"/>
      <c r="AB32" s="251"/>
      <c r="AC32" s="3300">
        <f>ROUND(SUM(D32:Z32),1)</f>
        <v>558</v>
      </c>
      <c r="AD32" s="260"/>
      <c r="AE32" s="1559"/>
      <c r="AF32" s="85">
        <v>515.5</v>
      </c>
      <c r="AG32" s="513"/>
      <c r="AH32" s="248"/>
      <c r="AI32" s="1146">
        <f>ROUND(SUM(+AC32-AF32),1)</f>
        <v>42.5</v>
      </c>
      <c r="AJ32" s="1798"/>
      <c r="AK32" s="2600">
        <f t="shared" ref="AK32:AK37" si="4">ROUND(IF(AF32=0,0,AI32/ABS(AF32)),3)</f>
        <v>8.2000000000000003E-2</v>
      </c>
    </row>
    <row r="33" spans="1:38" ht="15" customHeight="1">
      <c r="A33" s="351"/>
      <c r="B33" s="2032" t="s">
        <v>1235</v>
      </c>
      <c r="C33" s="223"/>
      <c r="D33" s="2035">
        <v>2.2999999999999998</v>
      </c>
      <c r="E33" s="2036"/>
      <c r="F33" s="2035">
        <v>0.1</v>
      </c>
      <c r="G33" s="2036"/>
      <c r="H33" s="2035">
        <v>29.2</v>
      </c>
      <c r="I33" s="260"/>
      <c r="J33" s="260">
        <v>3.7</v>
      </c>
      <c r="K33" s="260"/>
      <c r="L33" s="2924">
        <v>0.3</v>
      </c>
      <c r="M33" s="260"/>
      <c r="N33" s="2940">
        <v>31.9</v>
      </c>
      <c r="O33" s="260"/>
      <c r="P33" s="2940">
        <v>0.1</v>
      </c>
      <c r="Q33" s="260"/>
      <c r="R33" s="2036">
        <v>-0.3</v>
      </c>
      <c r="S33" s="260"/>
      <c r="T33" s="1299">
        <v>33.6</v>
      </c>
      <c r="U33" s="260"/>
      <c r="V33" s="260">
        <v>20.7</v>
      </c>
      <c r="W33" s="260"/>
      <c r="X33" s="260"/>
      <c r="Y33" s="260"/>
      <c r="Z33" s="260"/>
      <c r="AA33" s="260"/>
      <c r="AB33" s="251"/>
      <c r="AC33" s="3300">
        <f>ROUND(SUM(D33:Z33),1)</f>
        <v>121.6</v>
      </c>
      <c r="AD33" s="260"/>
      <c r="AE33" s="1559"/>
      <c r="AF33" s="85">
        <v>104.2</v>
      </c>
      <c r="AG33" s="513"/>
      <c r="AH33" s="248"/>
      <c r="AI33" s="1146">
        <f>ROUND(SUM(+AC33-AF33),1)</f>
        <v>17.399999999999999</v>
      </c>
      <c r="AJ33" s="1798"/>
      <c r="AK33" s="2600">
        <f t="shared" si="4"/>
        <v>0.16700000000000001</v>
      </c>
    </row>
    <row r="34" spans="1:38" ht="15" customHeight="1">
      <c r="A34" s="351"/>
      <c r="B34" s="2032" t="s">
        <v>1236</v>
      </c>
      <c r="C34" s="223"/>
      <c r="D34" s="2035">
        <v>1.5</v>
      </c>
      <c r="E34" s="2036"/>
      <c r="F34" s="2035">
        <v>0.2</v>
      </c>
      <c r="G34" s="2036"/>
      <c r="H34" s="2035">
        <v>40.299999999999997</v>
      </c>
      <c r="I34" s="260"/>
      <c r="J34" s="260">
        <v>0.8</v>
      </c>
      <c r="K34" s="260"/>
      <c r="L34" s="2924">
        <v>1.1000000000000001</v>
      </c>
      <c r="M34" s="260"/>
      <c r="N34" s="2940">
        <v>34.6</v>
      </c>
      <c r="O34" s="260"/>
      <c r="P34" s="2940">
        <v>1.9</v>
      </c>
      <c r="Q34" s="260"/>
      <c r="R34" s="2036">
        <v>-0.1</v>
      </c>
      <c r="S34" s="260"/>
      <c r="T34" s="1299">
        <v>38.299999999999997</v>
      </c>
      <c r="U34" s="260"/>
      <c r="V34" s="260">
        <v>0.1</v>
      </c>
      <c r="W34" s="260"/>
      <c r="X34" s="260"/>
      <c r="Y34" s="260"/>
      <c r="Z34" s="260"/>
      <c r="AA34" s="260"/>
      <c r="AB34" s="251"/>
      <c r="AC34" s="3300">
        <f>ROUND(SUM(D34:Z34),1)</f>
        <v>118.7</v>
      </c>
      <c r="AD34" s="260"/>
      <c r="AE34" s="1559"/>
      <c r="AF34" s="2521">
        <v>102.7</v>
      </c>
      <c r="AG34" s="513"/>
      <c r="AH34" s="248"/>
      <c r="AI34" s="1146">
        <f>ROUND(SUM(+AC34-AF34),1)</f>
        <v>16</v>
      </c>
      <c r="AJ34" s="1798"/>
      <c r="AK34" s="3200">
        <f t="shared" si="4"/>
        <v>0.156</v>
      </c>
    </row>
    <row r="35" spans="1:38" ht="15" customHeight="1">
      <c r="A35" s="351"/>
      <c r="B35" s="2032" t="s">
        <v>1237</v>
      </c>
      <c r="C35" s="223"/>
      <c r="D35" s="2035">
        <v>-1.7</v>
      </c>
      <c r="E35" s="2036"/>
      <c r="F35" s="2035">
        <v>-3.4</v>
      </c>
      <c r="G35" s="2036"/>
      <c r="H35" s="2035">
        <v>-0.3</v>
      </c>
      <c r="I35" s="260"/>
      <c r="J35" s="260">
        <v>0</v>
      </c>
      <c r="K35" s="260"/>
      <c r="L35" s="2924">
        <v>7.5</v>
      </c>
      <c r="M35" s="260"/>
      <c r="N35" s="2940">
        <v>-1.5</v>
      </c>
      <c r="O35" s="260"/>
      <c r="P35" s="2940">
        <v>53.4</v>
      </c>
      <c r="Q35" s="260"/>
      <c r="R35" s="2036">
        <v>-2.9</v>
      </c>
      <c r="S35" s="260"/>
      <c r="T35" s="1299">
        <v>13.4</v>
      </c>
      <c r="U35" s="260"/>
      <c r="V35" s="260">
        <v>-9.4</v>
      </c>
      <c r="W35" s="260"/>
      <c r="X35" s="260"/>
      <c r="Y35" s="260"/>
      <c r="Z35" s="260"/>
      <c r="AA35" s="260"/>
      <c r="AB35" s="251"/>
      <c r="AC35" s="3300">
        <f>ROUND(SUM(D35:Z35),1)</f>
        <v>55.1</v>
      </c>
      <c r="AD35" s="260"/>
      <c r="AE35" s="1559"/>
      <c r="AF35" s="85">
        <v>14.7</v>
      </c>
      <c r="AG35" s="513"/>
      <c r="AH35" s="248"/>
      <c r="AI35" s="1146">
        <f>ROUND(SUM(+AC35-AF35),1)</f>
        <v>40.4</v>
      </c>
      <c r="AJ35" s="1798"/>
      <c r="AK35" s="2600">
        <f t="shared" si="4"/>
        <v>2.7480000000000002</v>
      </c>
    </row>
    <row r="36" spans="1:38" ht="15" customHeight="1">
      <c r="A36" s="351"/>
      <c r="B36" s="2032" t="s">
        <v>1238</v>
      </c>
      <c r="C36" s="223"/>
      <c r="D36" s="2035">
        <v>39.299999999999997</v>
      </c>
      <c r="E36" s="2036"/>
      <c r="F36" s="2035">
        <v>34.700000000000003</v>
      </c>
      <c r="G36" s="2036"/>
      <c r="H36" s="2035">
        <v>41.5</v>
      </c>
      <c r="I36" s="260"/>
      <c r="J36" s="260">
        <v>52.5</v>
      </c>
      <c r="K36" s="260"/>
      <c r="L36" s="2924">
        <v>41.5</v>
      </c>
      <c r="M36" s="260"/>
      <c r="N36" s="2940">
        <v>43.8</v>
      </c>
      <c r="O36" s="260"/>
      <c r="P36" s="2940">
        <v>44</v>
      </c>
      <c r="Q36" s="260"/>
      <c r="R36" s="2036">
        <v>41.9</v>
      </c>
      <c r="S36" s="260"/>
      <c r="T36" s="1299">
        <v>44.5</v>
      </c>
      <c r="U36" s="260"/>
      <c r="V36" s="260">
        <v>39.9</v>
      </c>
      <c r="W36" s="260"/>
      <c r="X36" s="260"/>
      <c r="Y36" s="260"/>
      <c r="Z36" s="1146"/>
      <c r="AA36" s="260"/>
      <c r="AB36" s="251"/>
      <c r="AC36" s="3300">
        <f>ROUND(SUM(D36:Z36),1)</f>
        <v>423.6</v>
      </c>
      <c r="AD36" s="260"/>
      <c r="AE36" s="1559"/>
      <c r="AF36" s="85">
        <v>421.3</v>
      </c>
      <c r="AG36" s="513"/>
      <c r="AH36" s="248"/>
      <c r="AI36" s="1146">
        <f>ROUND(SUM(+AC36-AF36),1)</f>
        <v>2.2999999999999998</v>
      </c>
      <c r="AJ36" s="1798"/>
      <c r="AK36" s="2600">
        <f t="shared" si="4"/>
        <v>5.0000000000000001E-3</v>
      </c>
    </row>
    <row r="37" spans="1:38" s="1460" customFormat="1" ht="15" customHeight="1">
      <c r="A37" s="2014"/>
      <c r="B37" s="2033" t="s">
        <v>1372</v>
      </c>
      <c r="C37" s="221"/>
      <c r="D37" s="255">
        <f>ROUND(SUM(D32:D36),1)</f>
        <v>73.3</v>
      </c>
      <c r="E37" s="1802"/>
      <c r="F37" s="255">
        <f>ROUND(SUM(F32:F36),1)</f>
        <v>55.1</v>
      </c>
      <c r="G37" s="1802"/>
      <c r="H37" s="255">
        <f>ROUND(SUM(H32:H36),1)</f>
        <v>224.7</v>
      </c>
      <c r="I37" s="1802"/>
      <c r="J37" s="255">
        <f>ROUND(SUM(J32:J36),1)</f>
        <v>67.8</v>
      </c>
      <c r="K37" s="1802"/>
      <c r="L37" s="255">
        <f>ROUND(SUM(L32:L36),1)</f>
        <v>70.400000000000006</v>
      </c>
      <c r="M37" s="1802"/>
      <c r="N37" s="255">
        <f>ROUND(SUM(N32:N36),1)</f>
        <v>246.9</v>
      </c>
      <c r="O37" s="1802"/>
      <c r="P37" s="255">
        <f>ROUND(SUM(P32:P36),1)</f>
        <v>133.69999999999999</v>
      </c>
      <c r="Q37" s="1802"/>
      <c r="R37" s="255">
        <f>ROUND(SUM(R32:R36),1)</f>
        <v>47</v>
      </c>
      <c r="S37" s="1802"/>
      <c r="T37" s="255">
        <f>ROUND(SUM(T32:T36),1)</f>
        <v>270</v>
      </c>
      <c r="U37" s="1802"/>
      <c r="V37" s="255">
        <f>ROUND(SUM(V32:V36),1)</f>
        <v>88.1</v>
      </c>
      <c r="W37" s="1802"/>
      <c r="X37" s="255">
        <f>ROUND(SUM(X32:X36),1)</f>
        <v>0</v>
      </c>
      <c r="Y37" s="1802"/>
      <c r="Z37" s="255">
        <f>ROUND(SUM(Z32:Z36),1)</f>
        <v>0</v>
      </c>
      <c r="AA37" s="1802"/>
      <c r="AB37" s="742"/>
      <c r="AC37" s="255">
        <f>ROUND(SUM(AC32:AC36),1)</f>
        <v>1277</v>
      </c>
      <c r="AD37" s="1802"/>
      <c r="AE37" s="1839"/>
      <c r="AF37" s="255">
        <f>ROUND(SUM(AF32:AF36),1)</f>
        <v>1158.4000000000001</v>
      </c>
      <c r="AG37" s="520"/>
      <c r="AH37" s="272"/>
      <c r="AI37" s="255">
        <f>ROUND(SUM(AI32:AI36),1)</f>
        <v>118.6</v>
      </c>
      <c r="AJ37" s="411"/>
      <c r="AK37" s="2635">
        <f t="shared" si="4"/>
        <v>0.10199999999999999</v>
      </c>
    </row>
    <row r="38" spans="1:38" ht="15" customHeight="1">
      <c r="A38" s="351"/>
      <c r="B38" s="2286" t="s">
        <v>1213</v>
      </c>
      <c r="C38" s="223"/>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51"/>
      <c r="AC38" s="248"/>
      <c r="AD38" s="260"/>
      <c r="AE38" s="1559"/>
      <c r="AF38" s="260"/>
      <c r="AG38" s="513"/>
      <c r="AH38" s="248"/>
      <c r="AI38" s="1146"/>
      <c r="AJ38" s="1798"/>
      <c r="AK38" s="1798"/>
    </row>
    <row r="39" spans="1:38" ht="15" customHeight="1">
      <c r="A39" s="351"/>
      <c r="B39" s="2034" t="s">
        <v>1246</v>
      </c>
      <c r="C39" s="223"/>
      <c r="D39" s="2035">
        <v>116.6</v>
      </c>
      <c r="E39" s="2036"/>
      <c r="F39" s="2035">
        <v>94</v>
      </c>
      <c r="G39" s="2036"/>
      <c r="H39" s="2035">
        <v>100.6</v>
      </c>
      <c r="I39" s="260"/>
      <c r="J39" s="260">
        <v>85.2</v>
      </c>
      <c r="K39" s="260"/>
      <c r="L39" s="1177">
        <v>107.8</v>
      </c>
      <c r="M39" s="260"/>
      <c r="N39" s="1177">
        <v>104.7</v>
      </c>
      <c r="O39" s="260"/>
      <c r="P39" s="1177">
        <v>111.7</v>
      </c>
      <c r="Q39" s="260"/>
      <c r="R39" s="2036">
        <v>97.2</v>
      </c>
      <c r="S39" s="260"/>
      <c r="T39" s="1299">
        <v>106.5</v>
      </c>
      <c r="U39" s="260"/>
      <c r="V39" s="260">
        <v>180.8</v>
      </c>
      <c r="W39" s="260"/>
      <c r="X39" s="260"/>
      <c r="Y39" s="260"/>
      <c r="Z39" s="260"/>
      <c r="AA39" s="260"/>
      <c r="AB39" s="251"/>
      <c r="AC39" s="2038">
        <f>ROUND(SUM(D39:Z39),1)</f>
        <v>1105.0999999999999</v>
      </c>
      <c r="AD39" s="2043"/>
      <c r="AE39" s="2044"/>
      <c r="AF39" s="2521">
        <v>1036.3</v>
      </c>
      <c r="AG39" s="513"/>
      <c r="AH39" s="248"/>
      <c r="AI39" s="1146">
        <f>ROUND(SUM(+AC39-AF39),1)</f>
        <v>68.8</v>
      </c>
      <c r="AJ39" s="1798"/>
      <c r="AK39" s="2679">
        <f>ROUND(IF(AF39=0,0,AI39/ABS(AF39)),3)</f>
        <v>6.6000000000000003E-2</v>
      </c>
    </row>
    <row r="40" spans="1:38" s="1460" customFormat="1" ht="15" customHeight="1">
      <c r="A40" s="2014"/>
      <c r="B40" s="2033" t="s">
        <v>1373</v>
      </c>
      <c r="C40" s="221"/>
      <c r="D40" s="255">
        <f>ROUND(SUM(D39:D39),1)</f>
        <v>116.6</v>
      </c>
      <c r="E40" s="1802"/>
      <c r="F40" s="255">
        <f>ROUND(SUM(F39:F39),1)</f>
        <v>94</v>
      </c>
      <c r="G40" s="1802"/>
      <c r="H40" s="255">
        <f>ROUND(SUM(H39:H39),1)</f>
        <v>100.6</v>
      </c>
      <c r="I40" s="1802"/>
      <c r="J40" s="255">
        <f>ROUND(SUM(J39:J39),1)</f>
        <v>85.2</v>
      </c>
      <c r="K40" s="1802"/>
      <c r="L40" s="255">
        <f>ROUND(SUM(L39:L39),1)</f>
        <v>107.8</v>
      </c>
      <c r="M40" s="1802"/>
      <c r="N40" s="255">
        <f>ROUND(SUM(N39:N39),1)</f>
        <v>104.7</v>
      </c>
      <c r="O40" s="1802"/>
      <c r="P40" s="255">
        <f>ROUND(SUM(P39:P39),1)</f>
        <v>111.7</v>
      </c>
      <c r="Q40" s="1802"/>
      <c r="R40" s="255">
        <f>ROUND(SUM(R39:R39),1)</f>
        <v>97.2</v>
      </c>
      <c r="S40" s="1802"/>
      <c r="T40" s="255">
        <f>ROUND(SUM(T39:T39),1)</f>
        <v>106.5</v>
      </c>
      <c r="U40" s="1802"/>
      <c r="V40" s="255">
        <f>ROUND(SUM(V39:V39),1)</f>
        <v>180.8</v>
      </c>
      <c r="W40" s="1802"/>
      <c r="X40" s="255">
        <f>ROUND(SUM(X39:X39),1)</f>
        <v>0</v>
      </c>
      <c r="Y40" s="1802"/>
      <c r="Z40" s="255">
        <f>ROUND(SUM(Z39:Z39),1)</f>
        <v>0</v>
      </c>
      <c r="AA40" s="1802"/>
      <c r="AB40" s="742"/>
      <c r="AC40" s="255">
        <f>ROUND(SUM(AC39:AC39),1)</f>
        <v>1105.0999999999999</v>
      </c>
      <c r="AD40" s="1802"/>
      <c r="AE40" s="1839"/>
      <c r="AF40" s="255">
        <f>ROUND(SUM(AF39:AF39),1)</f>
        <v>1036.3</v>
      </c>
      <c r="AG40" s="520"/>
      <c r="AH40" s="272"/>
      <c r="AI40" s="255">
        <f>ROUND(SUM(AI39:AI39),1)</f>
        <v>68.8</v>
      </c>
      <c r="AJ40" s="411"/>
      <c r="AK40" s="2673">
        <f>ROUND(IF(AF40=0,0,AI40/ABS(AF40)),3)</f>
        <v>6.6000000000000003E-2</v>
      </c>
    </row>
    <row r="41" spans="1:38" ht="15" customHeight="1">
      <c r="A41" s="351"/>
      <c r="B41" s="2033"/>
      <c r="C41" s="223"/>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1559"/>
      <c r="AC41" s="248"/>
      <c r="AD41" s="260"/>
      <c r="AE41" s="1559"/>
      <c r="AF41" s="248"/>
      <c r="AG41" s="513"/>
      <c r="AH41" s="248"/>
      <c r="AI41" s="1146"/>
      <c r="AJ41" s="1798"/>
      <c r="AK41" s="2672"/>
    </row>
    <row r="42" spans="1:38" ht="15" customHeight="1">
      <c r="A42" s="351"/>
      <c r="B42" s="587" t="s">
        <v>1207</v>
      </c>
      <c r="C42" s="223"/>
      <c r="D42" s="1994">
        <f>ROUND(SUM(D18+D30+D37+D40),1)</f>
        <v>376.6</v>
      </c>
      <c r="E42" s="260"/>
      <c r="F42" s="1994">
        <f>ROUND(SUM(F18+F30+F37+F40),1)</f>
        <v>293.89999999999998</v>
      </c>
      <c r="G42" s="260"/>
      <c r="H42" s="1994">
        <f>ROUND(SUM(H18+H30+H37+H40),1)</f>
        <v>945.2</v>
      </c>
      <c r="I42" s="260"/>
      <c r="J42" s="1994">
        <f>ROUND(SUM(J18+J30+J37+J40),1)</f>
        <v>327.2</v>
      </c>
      <c r="K42" s="260"/>
      <c r="L42" s="1994">
        <f>ROUND(SUM(L18+L30+L37+L40),1)</f>
        <v>345</v>
      </c>
      <c r="M42" s="260"/>
      <c r="N42" s="1994">
        <f>ROUND(SUM(N18+N30+N37+N40),1)</f>
        <v>643.5</v>
      </c>
      <c r="O42" s="260"/>
      <c r="P42" s="1994">
        <f>ROUND(SUM(P18+P30+P37+P40),1)</f>
        <v>421.7</v>
      </c>
      <c r="Q42" s="260"/>
      <c r="R42" s="1994">
        <f>ROUND(SUM(R18+R30+R37+R40),1)</f>
        <v>316.5</v>
      </c>
      <c r="S42" s="260"/>
      <c r="T42" s="1994">
        <f>ROUND(SUM(T18+T30+T37+T40),1)</f>
        <v>666.1</v>
      </c>
      <c r="U42" s="260"/>
      <c r="V42" s="1994">
        <f>ROUND(SUM(V18+V30+V37+V40),1)</f>
        <v>2685.7</v>
      </c>
      <c r="W42" s="260"/>
      <c r="X42" s="1994">
        <f>ROUND(SUM(X18+X30+X37+X40),1)</f>
        <v>0</v>
      </c>
      <c r="Y42" s="260"/>
      <c r="Z42" s="1994">
        <f>ROUND(SUM(Z18+Z30+Z37+Z40),1)</f>
        <v>0</v>
      </c>
      <c r="AA42" s="260"/>
      <c r="AB42" s="249"/>
      <c r="AC42" s="1994">
        <f>ROUND(SUM(AC18+AC30+AC37+AC40),1)</f>
        <v>7021.4</v>
      </c>
      <c r="AD42" s="260"/>
      <c r="AE42" s="249"/>
      <c r="AF42" s="2585">
        <f>ROUND(SUM(AF18+AF30+AF37+AF40),1)</f>
        <v>7274.4</v>
      </c>
      <c r="AG42" s="517"/>
      <c r="AH42" s="248"/>
      <c r="AI42" s="1994">
        <f>ROUND(SUM(AI18+AI30+AI37+AI40),1)</f>
        <v>-253</v>
      </c>
      <c r="AJ42" s="1146"/>
      <c r="AK42" s="2686">
        <f>ROUND(IF(AF42=0,0,AI42/ABS(AF42)),3)</f>
        <v>-3.5000000000000003E-2</v>
      </c>
      <c r="AL42" s="1528"/>
    </row>
    <row r="43" spans="1:38" ht="15" customHeight="1">
      <c r="A43" s="351"/>
      <c r="B43" s="223"/>
      <c r="C43" s="223"/>
      <c r="D43" s="273"/>
      <c r="E43" s="260"/>
      <c r="F43" s="273"/>
      <c r="G43" s="260"/>
      <c r="H43" s="260"/>
      <c r="I43" s="260"/>
      <c r="J43" s="273"/>
      <c r="K43" s="260"/>
      <c r="L43" s="273"/>
      <c r="M43" s="260"/>
      <c r="N43" s="273"/>
      <c r="O43" s="260"/>
      <c r="P43" s="273"/>
      <c r="Q43" s="260"/>
      <c r="R43" s="273"/>
      <c r="S43" s="260"/>
      <c r="T43" s="273"/>
      <c r="U43" s="260"/>
      <c r="V43" s="273"/>
      <c r="W43" s="260"/>
      <c r="X43" s="273"/>
      <c r="Y43" s="260"/>
      <c r="Z43" s="273"/>
      <c r="AA43" s="260"/>
      <c r="AB43" s="249"/>
      <c r="AC43" s="260"/>
      <c r="AD43" s="265"/>
      <c r="AE43" s="251"/>
      <c r="AF43" s="514"/>
      <c r="AG43" s="517"/>
      <c r="AH43" s="248"/>
      <c r="AI43" s="1146"/>
      <c r="AJ43" s="1146"/>
      <c r="AK43" s="2670"/>
      <c r="AL43" s="1528"/>
    </row>
    <row r="44" spans="1:38" ht="15" customHeight="1">
      <c r="A44" s="351"/>
      <c r="B44" s="488" t="s">
        <v>1157</v>
      </c>
      <c r="C44" s="223"/>
      <c r="D44" s="273"/>
      <c r="E44" s="260"/>
      <c r="F44" s="273"/>
      <c r="G44" s="260"/>
      <c r="H44" s="260"/>
      <c r="I44" s="260"/>
      <c r="J44" s="273"/>
      <c r="K44" s="260"/>
      <c r="L44" s="273"/>
      <c r="M44" s="260"/>
      <c r="N44" s="273"/>
      <c r="O44" s="260"/>
      <c r="P44" s="273"/>
      <c r="Q44" s="260"/>
      <c r="R44" s="273"/>
      <c r="S44" s="260"/>
      <c r="T44" s="273"/>
      <c r="U44" s="260"/>
      <c r="V44" s="273"/>
      <c r="W44" s="260"/>
      <c r="X44" s="273"/>
      <c r="Y44" s="260"/>
      <c r="Z44" s="273"/>
      <c r="AA44" s="260"/>
      <c r="AB44" s="249"/>
      <c r="AC44" s="260"/>
      <c r="AD44" s="260"/>
      <c r="AE44" s="251"/>
      <c r="AF44" s="260"/>
      <c r="AG44" s="513"/>
      <c r="AH44" s="248"/>
      <c r="AI44" s="1146"/>
      <c r="AJ44" s="1146"/>
      <c r="AK44" s="2670"/>
      <c r="AL44" s="1528"/>
    </row>
    <row r="45" spans="1:38" ht="15" customHeight="1">
      <c r="A45" s="351"/>
      <c r="B45" s="1748" t="s">
        <v>1269</v>
      </c>
      <c r="C45" s="223"/>
      <c r="D45" s="273"/>
      <c r="E45" s="260"/>
      <c r="F45" s="273"/>
      <c r="G45" s="260"/>
      <c r="H45" s="260"/>
      <c r="I45" s="260"/>
      <c r="J45" s="273"/>
      <c r="K45" s="260"/>
      <c r="L45" s="273"/>
      <c r="M45" s="260"/>
      <c r="N45" s="273"/>
      <c r="O45" s="260"/>
      <c r="P45" s="273"/>
      <c r="Q45" s="260"/>
      <c r="R45" s="273"/>
      <c r="S45" s="260"/>
      <c r="T45" s="273"/>
      <c r="U45" s="260"/>
      <c r="V45" s="273"/>
      <c r="W45" s="260"/>
      <c r="X45" s="273"/>
      <c r="Y45" s="260"/>
      <c r="Z45" s="273"/>
      <c r="AA45" s="260"/>
      <c r="AB45" s="249"/>
      <c r="AC45" s="317"/>
      <c r="AD45" s="260"/>
      <c r="AE45" s="251"/>
      <c r="AF45" s="260"/>
      <c r="AG45" s="513"/>
      <c r="AH45" s="248"/>
      <c r="AI45" s="1146"/>
      <c r="AJ45" s="1146"/>
      <c r="AK45" s="2670"/>
      <c r="AL45" s="1528"/>
    </row>
    <row r="46" spans="1:38" ht="15" customHeight="1">
      <c r="A46" s="351"/>
      <c r="B46" s="1748" t="s">
        <v>1174</v>
      </c>
      <c r="C46" s="223"/>
      <c r="D46" s="317">
        <v>0.9</v>
      </c>
      <c r="E46" s="317"/>
      <c r="F46" s="317">
        <v>-0.1</v>
      </c>
      <c r="G46" s="317"/>
      <c r="H46" s="317">
        <v>1.8</v>
      </c>
      <c r="I46" s="317"/>
      <c r="J46" s="317">
        <v>0.9</v>
      </c>
      <c r="K46" s="260"/>
      <c r="L46" s="273">
        <v>0</v>
      </c>
      <c r="M46" s="260"/>
      <c r="N46" s="1177">
        <v>1.8</v>
      </c>
      <c r="O46" s="260"/>
      <c r="P46" s="1177">
        <v>0.7</v>
      </c>
      <c r="Q46" s="260"/>
      <c r="R46" s="2036">
        <v>1.1000000000000001</v>
      </c>
      <c r="S46" s="260"/>
      <c r="T46" s="1299">
        <v>0.7</v>
      </c>
      <c r="U46" s="260"/>
      <c r="V46" s="1299">
        <v>0.7</v>
      </c>
      <c r="W46" s="260"/>
      <c r="X46" s="273"/>
      <c r="Y46" s="260"/>
      <c r="Z46" s="273"/>
      <c r="AA46" s="260"/>
      <c r="AB46" s="249"/>
      <c r="AC46" s="317">
        <f>ROUND(SUM(D46:Z46),1)</f>
        <v>8.5</v>
      </c>
      <c r="AD46" s="260"/>
      <c r="AE46" s="251"/>
      <c r="AF46" s="260">
        <v>8.9</v>
      </c>
      <c r="AG46" s="513"/>
      <c r="AH46" s="248"/>
      <c r="AI46" s="1146">
        <f t="shared" ref="AI46:AI83" si="5">ROUND(SUM(+AC46-AF46),1)</f>
        <v>-0.4</v>
      </c>
      <c r="AJ46" s="1146"/>
      <c r="AK46" s="2670">
        <f>ROUND(IF(AF46=0,0,AI46/ABS(AF46)),3)</f>
        <v>-4.4999999999999998E-2</v>
      </c>
      <c r="AL46" s="1528"/>
    </row>
    <row r="47" spans="1:38" ht="15" customHeight="1">
      <c r="A47" s="351"/>
      <c r="B47" s="1748" t="s">
        <v>1270</v>
      </c>
      <c r="C47" s="223"/>
      <c r="D47" s="273"/>
      <c r="E47" s="260"/>
      <c r="F47" s="273"/>
      <c r="G47" s="260"/>
      <c r="H47" s="260"/>
      <c r="I47" s="260"/>
      <c r="J47" s="273"/>
      <c r="K47" s="260"/>
      <c r="L47" s="273"/>
      <c r="M47" s="260"/>
      <c r="N47" s="273"/>
      <c r="O47" s="260"/>
      <c r="P47" s="273"/>
      <c r="Q47" s="260"/>
      <c r="R47" s="273"/>
      <c r="S47" s="260"/>
      <c r="T47" s="273"/>
      <c r="U47" s="260"/>
      <c r="V47" s="273"/>
      <c r="W47" s="260"/>
      <c r="X47" s="273"/>
      <c r="Y47" s="260"/>
      <c r="Z47" s="273"/>
      <c r="AA47" s="260"/>
      <c r="AB47" s="249"/>
      <c r="AC47" s="317"/>
      <c r="AD47" s="260"/>
      <c r="AE47" s="251"/>
      <c r="AF47" s="260"/>
      <c r="AG47" s="513"/>
      <c r="AH47" s="248"/>
      <c r="AI47" s="1146"/>
      <c r="AJ47" s="1146"/>
      <c r="AK47" s="2670"/>
      <c r="AL47" s="1528"/>
    </row>
    <row r="48" spans="1:38" ht="15" customHeight="1">
      <c r="A48" s="351"/>
      <c r="B48" s="1748" t="s">
        <v>1176</v>
      </c>
      <c r="C48" s="223"/>
      <c r="D48" s="273">
        <v>28.5</v>
      </c>
      <c r="E48" s="260"/>
      <c r="F48" s="273">
        <v>26.1</v>
      </c>
      <c r="G48" s="260"/>
      <c r="H48" s="260">
        <v>113.3</v>
      </c>
      <c r="I48" s="260"/>
      <c r="J48" s="273">
        <v>6.7</v>
      </c>
      <c r="K48" s="260"/>
      <c r="L48" s="273">
        <v>28.4</v>
      </c>
      <c r="M48" s="260"/>
      <c r="N48" s="1177">
        <v>114</v>
      </c>
      <c r="O48" s="260"/>
      <c r="P48" s="1177">
        <v>7.6</v>
      </c>
      <c r="Q48" s="260"/>
      <c r="R48" s="2730">
        <v>30.7</v>
      </c>
      <c r="S48" s="260"/>
      <c r="T48" s="1299">
        <v>102.2</v>
      </c>
      <c r="U48" s="260"/>
      <c r="V48" s="1299">
        <v>17.100000000000001</v>
      </c>
      <c r="W48" s="260"/>
      <c r="X48" s="273"/>
      <c r="Y48" s="260"/>
      <c r="Z48" s="273"/>
      <c r="AA48" s="260"/>
      <c r="AB48" s="249"/>
      <c r="AC48" s="317">
        <f>ROUND(SUM(D48:Z48),1)</f>
        <v>474.6</v>
      </c>
      <c r="AD48" s="260"/>
      <c r="AE48" s="251"/>
      <c r="AF48" s="260">
        <v>622.70000000000005</v>
      </c>
      <c r="AG48" s="513"/>
      <c r="AH48" s="248"/>
      <c r="AI48" s="1146">
        <f t="shared" si="5"/>
        <v>-148.1</v>
      </c>
      <c r="AJ48" s="1146"/>
      <c r="AK48" s="2670">
        <f>ROUND(IF(AF48=0,0,AI48/ABS(AF48)),3)</f>
        <v>-0.23799999999999999</v>
      </c>
      <c r="AL48" s="1528"/>
    </row>
    <row r="49" spans="1:38" ht="15" customHeight="1">
      <c r="A49" s="351"/>
      <c r="B49" s="1748" t="s">
        <v>1177</v>
      </c>
      <c r="C49" s="223"/>
      <c r="D49" s="273">
        <v>416.5</v>
      </c>
      <c r="E49" s="260"/>
      <c r="F49" s="273">
        <v>479.9</v>
      </c>
      <c r="G49" s="260"/>
      <c r="H49" s="260">
        <v>485.5</v>
      </c>
      <c r="I49" s="260"/>
      <c r="J49" s="273">
        <v>468.7</v>
      </c>
      <c r="K49" s="260"/>
      <c r="L49" s="273">
        <v>441.5</v>
      </c>
      <c r="M49" s="260"/>
      <c r="N49" s="1177">
        <v>449.2</v>
      </c>
      <c r="O49" s="260"/>
      <c r="P49" s="1177">
        <v>465.1</v>
      </c>
      <c r="Q49" s="260"/>
      <c r="R49" s="2730">
        <v>434.9</v>
      </c>
      <c r="S49" s="260"/>
      <c r="T49" s="1299">
        <v>493.1</v>
      </c>
      <c r="U49" s="260"/>
      <c r="V49" s="1299">
        <v>458</v>
      </c>
      <c r="W49" s="260"/>
      <c r="X49" s="273"/>
      <c r="Y49" s="260"/>
      <c r="Z49" s="273"/>
      <c r="AA49" s="260"/>
      <c r="AB49" s="249"/>
      <c r="AC49" s="317">
        <f>ROUND(SUM(D49:Z49),1)</f>
        <v>4592.3999999999996</v>
      </c>
      <c r="AD49" s="260"/>
      <c r="AE49" s="251"/>
      <c r="AF49" s="2925">
        <v>4273</v>
      </c>
      <c r="AG49" s="513"/>
      <c r="AH49" s="248"/>
      <c r="AI49" s="1146">
        <f t="shared" si="5"/>
        <v>319.39999999999998</v>
      </c>
      <c r="AJ49" s="1146"/>
      <c r="AK49" s="2670">
        <f>ROUND(IF(AF49=0,0,AI49/ABS(AF49)),3)</f>
        <v>7.4999999999999997E-2</v>
      </c>
      <c r="AL49" s="1528"/>
    </row>
    <row r="50" spans="1:38" ht="15" customHeight="1">
      <c r="A50" s="351"/>
      <c r="B50" s="1748" t="s">
        <v>1178</v>
      </c>
      <c r="C50" s="223"/>
      <c r="D50" s="273">
        <v>5.7</v>
      </c>
      <c r="E50" s="260"/>
      <c r="F50" s="273">
        <v>0.2</v>
      </c>
      <c r="G50" s="260"/>
      <c r="H50" s="260">
        <v>-0.1</v>
      </c>
      <c r="I50" s="260"/>
      <c r="J50" s="273">
        <v>0</v>
      </c>
      <c r="K50" s="260"/>
      <c r="L50" s="273">
        <v>0.7</v>
      </c>
      <c r="M50" s="260"/>
      <c r="N50" s="1177">
        <v>44.4</v>
      </c>
      <c r="O50" s="260"/>
      <c r="P50" s="1177">
        <v>-0.1</v>
      </c>
      <c r="Q50" s="260"/>
      <c r="R50" s="2730">
        <v>-14</v>
      </c>
      <c r="S50" s="260"/>
      <c r="T50" s="1299">
        <v>-2.2000000000000002</v>
      </c>
      <c r="U50" s="260"/>
      <c r="V50" s="1299">
        <v>-0.1</v>
      </c>
      <c r="W50" s="260"/>
      <c r="X50" s="273"/>
      <c r="Y50" s="260"/>
      <c r="Z50" s="273"/>
      <c r="AA50" s="260"/>
      <c r="AB50" s="249"/>
      <c r="AC50" s="317">
        <f>ROUND(SUM(D50:Z50),1)</f>
        <v>34.5</v>
      </c>
      <c r="AD50" s="260"/>
      <c r="AE50" s="251"/>
      <c r="AF50" s="260">
        <v>26.6</v>
      </c>
      <c r="AG50" s="513"/>
      <c r="AH50" s="248"/>
      <c r="AI50" s="1146">
        <f t="shared" si="5"/>
        <v>7.9</v>
      </c>
      <c r="AJ50" s="1146"/>
      <c r="AK50" s="2670">
        <f>ROUND(IF(AF50=0,0,AI50/ABS(AF50)),3)</f>
        <v>0.29699999999999999</v>
      </c>
      <c r="AL50" s="1528"/>
    </row>
    <row r="51" spans="1:38" ht="15" customHeight="1">
      <c r="A51" s="351"/>
      <c r="B51" s="1748" t="s">
        <v>1179</v>
      </c>
      <c r="C51" s="223"/>
      <c r="D51" s="273">
        <v>20.399999999999999</v>
      </c>
      <c r="E51" s="260"/>
      <c r="F51" s="273">
        <v>18.899999999999999</v>
      </c>
      <c r="G51" s="260"/>
      <c r="H51" s="260">
        <v>19.3</v>
      </c>
      <c r="I51" s="260"/>
      <c r="J51" s="273">
        <v>19.8</v>
      </c>
      <c r="K51" s="260"/>
      <c r="L51" s="273">
        <v>19.100000000000001</v>
      </c>
      <c r="M51" s="260"/>
      <c r="N51" s="1177">
        <v>19.7</v>
      </c>
      <c r="O51" s="260"/>
      <c r="P51" s="1177">
        <v>19.100000000000001</v>
      </c>
      <c r="Q51" s="260"/>
      <c r="R51" s="2730">
        <v>18.5</v>
      </c>
      <c r="S51" s="260"/>
      <c r="T51" s="1299">
        <v>10.1</v>
      </c>
      <c r="U51" s="260"/>
      <c r="V51" s="1299">
        <v>9</v>
      </c>
      <c r="W51" s="260"/>
      <c r="X51" s="273"/>
      <c r="Y51" s="260"/>
      <c r="Z51" s="273"/>
      <c r="AA51" s="260"/>
      <c r="AB51" s="249"/>
      <c r="AC51" s="317">
        <f>ROUND(SUM(D51:Z51),1)</f>
        <v>173.9</v>
      </c>
      <c r="AD51" s="260"/>
      <c r="AE51" s="251"/>
      <c r="AF51" s="260">
        <v>185.3</v>
      </c>
      <c r="AG51" s="513"/>
      <c r="AH51" s="248"/>
      <c r="AI51" s="1146">
        <f t="shared" si="5"/>
        <v>-11.4</v>
      </c>
      <c r="AJ51" s="1146"/>
      <c r="AK51" s="2670">
        <f>ROUND(IF(AF51=0,0,AI51/ABS(AF51)),3)</f>
        <v>-6.2E-2</v>
      </c>
      <c r="AL51" s="1528"/>
    </row>
    <row r="52" spans="1:38" ht="15" customHeight="1">
      <c r="A52" s="351"/>
      <c r="B52" s="1748" t="s">
        <v>1274</v>
      </c>
      <c r="C52" s="223"/>
      <c r="D52" s="273"/>
      <c r="E52" s="260"/>
      <c r="F52" s="273"/>
      <c r="G52" s="260"/>
      <c r="H52" s="260"/>
      <c r="I52" s="260"/>
      <c r="J52" s="273"/>
      <c r="K52" s="260"/>
      <c r="L52" s="273"/>
      <c r="M52" s="260"/>
      <c r="N52" s="273"/>
      <c r="O52" s="260"/>
      <c r="P52" s="273"/>
      <c r="Q52" s="260"/>
      <c r="R52" s="273"/>
      <c r="S52" s="260"/>
      <c r="T52" s="273"/>
      <c r="U52" s="260"/>
      <c r="V52" s="273"/>
      <c r="W52" s="260"/>
      <c r="X52" s="273"/>
      <c r="Y52" s="260"/>
      <c r="Z52" s="273"/>
      <c r="AA52" s="260"/>
      <c r="AB52" s="249"/>
      <c r="AC52" s="317"/>
      <c r="AD52" s="260"/>
      <c r="AE52" s="251"/>
      <c r="AF52" s="3111"/>
      <c r="AG52" s="513"/>
      <c r="AH52" s="248"/>
      <c r="AI52" s="1146"/>
      <c r="AJ52" s="1146"/>
      <c r="AK52" s="2670"/>
      <c r="AL52" s="1528"/>
    </row>
    <row r="53" spans="1:38" ht="15" customHeight="1">
      <c r="A53" s="351"/>
      <c r="B53" s="1748" t="s">
        <v>1395</v>
      </c>
      <c r="C53" s="223"/>
      <c r="D53" s="273">
        <v>0</v>
      </c>
      <c r="E53" s="260"/>
      <c r="F53" s="273">
        <v>0.9</v>
      </c>
      <c r="G53" s="260"/>
      <c r="H53" s="260">
        <v>1</v>
      </c>
      <c r="I53" s="260"/>
      <c r="J53" s="273">
        <v>0.1</v>
      </c>
      <c r="K53" s="260"/>
      <c r="L53" s="273">
        <v>0</v>
      </c>
      <c r="M53" s="260"/>
      <c r="N53" s="273">
        <v>0</v>
      </c>
      <c r="O53" s="260"/>
      <c r="P53" s="273">
        <v>0.1</v>
      </c>
      <c r="Q53" s="260"/>
      <c r="R53" s="2730">
        <v>0.1</v>
      </c>
      <c r="S53" s="260"/>
      <c r="T53" s="1299">
        <v>0</v>
      </c>
      <c r="U53" s="260"/>
      <c r="V53" s="1299">
        <v>0</v>
      </c>
      <c r="W53" s="260"/>
      <c r="X53" s="273"/>
      <c r="Y53" s="260"/>
      <c r="Z53" s="273"/>
      <c r="AA53" s="260"/>
      <c r="AB53" s="249"/>
      <c r="AC53" s="317">
        <f t="shared" ref="AC53:AC59" si="6">ROUND(SUM(D53:Z53),1)</f>
        <v>2.2000000000000002</v>
      </c>
      <c r="AD53" s="260"/>
      <c r="AE53" s="251"/>
      <c r="AF53" s="3111">
        <v>2.1</v>
      </c>
      <c r="AG53" s="513"/>
      <c r="AH53" s="248"/>
      <c r="AI53" s="2925">
        <f>ROUND(SUM(+AC53-AF53),1)</f>
        <v>0.1</v>
      </c>
      <c r="AJ53" s="2925"/>
      <c r="AK53" s="2679">
        <f>ROUND(IF(AF53=0,1,AI53/ABS(AF53)),3)</f>
        <v>4.8000000000000001E-2</v>
      </c>
      <c r="AL53" s="1528"/>
    </row>
    <row r="54" spans="1:38" ht="15" customHeight="1">
      <c r="A54" s="351"/>
      <c r="B54" s="1748" t="s">
        <v>1180</v>
      </c>
      <c r="C54" s="223"/>
      <c r="D54" s="273">
        <v>47.7</v>
      </c>
      <c r="E54" s="260"/>
      <c r="F54" s="273">
        <v>39</v>
      </c>
      <c r="G54" s="260"/>
      <c r="H54" s="260">
        <v>71.400000000000006</v>
      </c>
      <c r="I54" s="260"/>
      <c r="J54" s="273">
        <v>34.6</v>
      </c>
      <c r="K54" s="260"/>
      <c r="L54" s="273">
        <v>58.2</v>
      </c>
      <c r="M54" s="260"/>
      <c r="N54" s="1177">
        <v>69.8</v>
      </c>
      <c r="O54" s="260"/>
      <c r="P54" s="1177">
        <v>52.8</v>
      </c>
      <c r="Q54" s="260"/>
      <c r="R54" s="2730">
        <v>62.6</v>
      </c>
      <c r="S54" s="260"/>
      <c r="T54" s="1299">
        <v>75.099999999999994</v>
      </c>
      <c r="U54" s="260"/>
      <c r="V54" s="1299">
        <v>42.3</v>
      </c>
      <c r="W54" s="260"/>
      <c r="X54" s="273"/>
      <c r="Y54" s="260"/>
      <c r="Z54" s="273"/>
      <c r="AA54" s="260"/>
      <c r="AB54" s="249"/>
      <c r="AC54" s="317">
        <f t="shared" si="6"/>
        <v>553.5</v>
      </c>
      <c r="AD54" s="260"/>
      <c r="AE54" s="251"/>
      <c r="AF54" s="260">
        <v>889.9</v>
      </c>
      <c r="AG54" s="513"/>
      <c r="AH54" s="248"/>
      <c r="AI54" s="1146">
        <f t="shared" si="5"/>
        <v>-336.4</v>
      </c>
      <c r="AJ54" s="1146"/>
      <c r="AK54" s="2670">
        <f t="shared" ref="AK54:AK59" si="7">ROUND(IF(AF54=0,0,AI54/ABS(AF54)),3)</f>
        <v>-0.378</v>
      </c>
      <c r="AL54" s="1528"/>
    </row>
    <row r="55" spans="1:38" ht="15" customHeight="1">
      <c r="A55" s="351"/>
      <c r="B55" s="1748" t="s">
        <v>1181</v>
      </c>
      <c r="C55" s="223"/>
      <c r="D55" s="273">
        <v>5.4</v>
      </c>
      <c r="E55" s="260"/>
      <c r="F55" s="273">
        <v>4.2</v>
      </c>
      <c r="G55" s="260"/>
      <c r="H55" s="260">
        <v>4.5</v>
      </c>
      <c r="I55" s="260"/>
      <c r="J55" s="273">
        <v>4.5</v>
      </c>
      <c r="K55" s="260"/>
      <c r="L55" s="273">
        <v>4.8</v>
      </c>
      <c r="M55" s="260"/>
      <c r="N55" s="3337">
        <v>4.7</v>
      </c>
      <c r="O55" s="260"/>
      <c r="P55" s="1177">
        <v>5.6</v>
      </c>
      <c r="Q55" s="260"/>
      <c r="R55" s="2730">
        <v>4.8</v>
      </c>
      <c r="S55" s="260"/>
      <c r="T55" s="1299">
        <v>5.2</v>
      </c>
      <c r="U55" s="260"/>
      <c r="V55" s="1299">
        <v>4.4000000000000004</v>
      </c>
      <c r="W55" s="260"/>
      <c r="X55" s="273"/>
      <c r="Y55" s="260"/>
      <c r="Z55" s="273"/>
      <c r="AA55" s="260"/>
      <c r="AB55" s="249"/>
      <c r="AC55" s="317">
        <f t="shared" si="6"/>
        <v>48.1</v>
      </c>
      <c r="AD55" s="260"/>
      <c r="AE55" s="251"/>
      <c r="AF55" s="260">
        <v>46</v>
      </c>
      <c r="AG55" s="513"/>
      <c r="AH55" s="248"/>
      <c r="AI55" s="1146">
        <f t="shared" si="5"/>
        <v>2.1</v>
      </c>
      <c r="AJ55" s="1146"/>
      <c r="AK55" s="2670">
        <f t="shared" si="7"/>
        <v>4.5999999999999999E-2</v>
      </c>
      <c r="AL55" s="1528"/>
    </row>
    <row r="56" spans="1:38" ht="15" customHeight="1">
      <c r="A56" s="351"/>
      <c r="B56" s="1748" t="s">
        <v>1182</v>
      </c>
      <c r="C56" s="223"/>
      <c r="D56" s="273">
        <v>0</v>
      </c>
      <c r="E56" s="260"/>
      <c r="F56" s="273">
        <v>2</v>
      </c>
      <c r="G56" s="260"/>
      <c r="H56" s="260">
        <v>0.3</v>
      </c>
      <c r="I56" s="260"/>
      <c r="J56" s="273">
        <v>0.3</v>
      </c>
      <c r="K56" s="260"/>
      <c r="L56" s="273">
        <v>1.8</v>
      </c>
      <c r="M56" s="260"/>
      <c r="N56" s="1177">
        <v>0</v>
      </c>
      <c r="O56" s="260"/>
      <c r="P56" s="1177">
        <v>0.6</v>
      </c>
      <c r="Q56" s="260"/>
      <c r="R56" s="2730">
        <v>0.3</v>
      </c>
      <c r="S56" s="260"/>
      <c r="T56" s="1299">
        <v>1.3</v>
      </c>
      <c r="U56" s="260"/>
      <c r="V56" s="1299">
        <v>0.3</v>
      </c>
      <c r="W56" s="260"/>
      <c r="X56" s="273"/>
      <c r="Y56" s="260"/>
      <c r="Z56" s="273"/>
      <c r="AA56" s="260"/>
      <c r="AB56" s="249"/>
      <c r="AC56" s="317">
        <f t="shared" si="6"/>
        <v>6.9</v>
      </c>
      <c r="AD56" s="260"/>
      <c r="AE56" s="251"/>
      <c r="AF56" s="260">
        <v>7.2</v>
      </c>
      <c r="AG56" s="513"/>
      <c r="AH56" s="248"/>
      <c r="AI56" s="1146">
        <f t="shared" si="5"/>
        <v>-0.3</v>
      </c>
      <c r="AJ56" s="1146"/>
      <c r="AK56" s="2670">
        <f t="shared" si="7"/>
        <v>-4.2000000000000003E-2</v>
      </c>
      <c r="AL56" s="1528"/>
    </row>
    <row r="57" spans="1:38" ht="15" customHeight="1">
      <c r="A57" s="351"/>
      <c r="B57" s="1748" t="s">
        <v>1183</v>
      </c>
      <c r="C57" s="223"/>
      <c r="D57" s="273">
        <v>39.9</v>
      </c>
      <c r="E57" s="260"/>
      <c r="F57" s="273">
        <v>42.1</v>
      </c>
      <c r="G57" s="260"/>
      <c r="H57" s="260">
        <v>42.6</v>
      </c>
      <c r="I57" s="260"/>
      <c r="J57" s="273">
        <v>46.6</v>
      </c>
      <c r="K57" s="260"/>
      <c r="L57" s="273">
        <v>36.6</v>
      </c>
      <c r="M57" s="260"/>
      <c r="N57" s="1177">
        <v>41.6</v>
      </c>
      <c r="O57" s="260"/>
      <c r="P57" s="1177">
        <v>39.200000000000003</v>
      </c>
      <c r="Q57" s="260"/>
      <c r="R57" s="2730">
        <v>37.4</v>
      </c>
      <c r="S57" s="260"/>
      <c r="T57" s="1299">
        <v>44.1</v>
      </c>
      <c r="U57" s="260"/>
      <c r="V57" s="1299">
        <v>30.4</v>
      </c>
      <c r="W57" s="260"/>
      <c r="X57" s="273"/>
      <c r="Y57" s="260"/>
      <c r="Z57" s="273"/>
      <c r="AA57" s="260"/>
      <c r="AB57" s="249"/>
      <c r="AC57" s="317">
        <f t="shared" si="6"/>
        <v>400.5</v>
      </c>
      <c r="AD57" s="260"/>
      <c r="AE57" s="251"/>
      <c r="AF57" s="260">
        <v>406</v>
      </c>
      <c r="AG57" s="513"/>
      <c r="AH57" s="248"/>
      <c r="AI57" s="1146">
        <f t="shared" si="5"/>
        <v>-5.5</v>
      </c>
      <c r="AJ57" s="1146"/>
      <c r="AK57" s="2670">
        <f t="shared" si="7"/>
        <v>-1.4E-2</v>
      </c>
      <c r="AL57" s="1528"/>
    </row>
    <row r="58" spans="1:38" ht="15" customHeight="1">
      <c r="A58" s="351"/>
      <c r="B58" s="1748" t="s">
        <v>1184</v>
      </c>
      <c r="C58" s="223"/>
      <c r="D58" s="273">
        <v>39.200000000000003</v>
      </c>
      <c r="E58" s="260"/>
      <c r="F58" s="273">
        <v>39.6</v>
      </c>
      <c r="G58" s="260"/>
      <c r="H58" s="260">
        <v>47.3</v>
      </c>
      <c r="I58" s="260"/>
      <c r="J58" s="273">
        <v>38.799999999999997</v>
      </c>
      <c r="K58" s="260"/>
      <c r="L58" s="273">
        <v>69</v>
      </c>
      <c r="M58" s="260"/>
      <c r="N58" s="1177">
        <v>96</v>
      </c>
      <c r="O58" s="260"/>
      <c r="P58" s="1177">
        <v>65.7</v>
      </c>
      <c r="Q58" s="260"/>
      <c r="R58" s="2730">
        <v>65.7</v>
      </c>
      <c r="S58" s="260"/>
      <c r="T58" s="1299">
        <v>59.2</v>
      </c>
      <c r="U58" s="260"/>
      <c r="V58" s="1299">
        <v>63.1</v>
      </c>
      <c r="W58" s="260"/>
      <c r="X58" s="273"/>
      <c r="Y58" s="260"/>
      <c r="Z58" s="273"/>
      <c r="AA58" s="260"/>
      <c r="AB58" s="249"/>
      <c r="AC58" s="317">
        <f t="shared" si="6"/>
        <v>583.6</v>
      </c>
      <c r="AD58" s="260"/>
      <c r="AE58" s="251"/>
      <c r="AF58" s="260">
        <v>213</v>
      </c>
      <c r="AG58" s="513"/>
      <c r="AH58" s="248"/>
      <c r="AI58" s="1146">
        <f t="shared" si="5"/>
        <v>370.6</v>
      </c>
      <c r="AJ58" s="1146"/>
      <c r="AK58" s="2670">
        <f t="shared" si="7"/>
        <v>1.74</v>
      </c>
      <c r="AL58" s="1528"/>
    </row>
    <row r="59" spans="1:38" ht="15" customHeight="1">
      <c r="A59" s="351"/>
      <c r="B59" s="1748" t="s">
        <v>1158</v>
      </c>
      <c r="C59" s="223"/>
      <c r="D59" s="273">
        <v>4.2</v>
      </c>
      <c r="E59" s="260"/>
      <c r="F59" s="273">
        <v>24.3</v>
      </c>
      <c r="G59" s="260"/>
      <c r="H59" s="260">
        <v>10.5</v>
      </c>
      <c r="I59" s="260"/>
      <c r="J59" s="273">
        <v>9.1999999999999993</v>
      </c>
      <c r="K59" s="260"/>
      <c r="L59" s="273">
        <v>15.1</v>
      </c>
      <c r="M59" s="260"/>
      <c r="N59" s="1177">
        <v>4</v>
      </c>
      <c r="O59" s="260"/>
      <c r="P59" s="1177">
        <v>7.8</v>
      </c>
      <c r="Q59" s="260"/>
      <c r="R59" s="2730">
        <v>11.3</v>
      </c>
      <c r="S59" s="260"/>
      <c r="T59" s="1299">
        <v>8.6</v>
      </c>
      <c r="U59" s="260"/>
      <c r="V59" s="1299">
        <v>7.7</v>
      </c>
      <c r="W59" s="260"/>
      <c r="X59" s="273"/>
      <c r="Y59" s="260"/>
      <c r="Z59" s="273"/>
      <c r="AA59" s="260"/>
      <c r="AB59" s="249"/>
      <c r="AC59" s="317">
        <f t="shared" si="6"/>
        <v>102.7</v>
      </c>
      <c r="AD59" s="260"/>
      <c r="AE59" s="251"/>
      <c r="AF59" s="260">
        <v>415</v>
      </c>
      <c r="AG59" s="513"/>
      <c r="AH59" s="248"/>
      <c r="AI59" s="1146">
        <f t="shared" si="5"/>
        <v>-312.3</v>
      </c>
      <c r="AJ59" s="1146"/>
      <c r="AK59" s="2734">
        <f t="shared" si="7"/>
        <v>-0.753</v>
      </c>
      <c r="AL59" s="1528"/>
    </row>
    <row r="60" spans="1:38" ht="15" customHeight="1">
      <c r="A60" s="351"/>
      <c r="B60" s="1748" t="s">
        <v>1271</v>
      </c>
      <c r="C60" s="223"/>
      <c r="D60" s="273"/>
      <c r="E60" s="260"/>
      <c r="F60" s="273"/>
      <c r="G60" s="260"/>
      <c r="H60" s="260"/>
      <c r="I60" s="260"/>
      <c r="J60" s="273"/>
      <c r="K60" s="260"/>
      <c r="L60" s="273"/>
      <c r="M60" s="260"/>
      <c r="N60" s="273"/>
      <c r="O60" s="260"/>
      <c r="P60" s="273"/>
      <c r="Q60" s="260"/>
      <c r="R60" s="273"/>
      <c r="S60" s="260"/>
      <c r="T60" s="273"/>
      <c r="U60" s="260"/>
      <c r="V60" s="273"/>
      <c r="W60" s="260"/>
      <c r="X60" s="273"/>
      <c r="Y60" s="260"/>
      <c r="Z60" s="273"/>
      <c r="AA60" s="260"/>
      <c r="AB60" s="249"/>
      <c r="AC60" s="317"/>
      <c r="AD60" s="260"/>
      <c r="AE60" s="251"/>
      <c r="AF60" s="260"/>
      <c r="AG60" s="513"/>
      <c r="AH60" s="248"/>
      <c r="AI60" s="1146"/>
      <c r="AJ60" s="1146"/>
      <c r="AK60" s="2670"/>
      <c r="AL60" s="1528"/>
    </row>
    <row r="61" spans="1:38" ht="15" customHeight="1">
      <c r="A61" s="351"/>
      <c r="B61" s="1748" t="s">
        <v>1185</v>
      </c>
      <c r="C61" s="223"/>
      <c r="D61" s="273">
        <v>15.3</v>
      </c>
      <c r="E61" s="260"/>
      <c r="F61" s="273">
        <v>0</v>
      </c>
      <c r="G61" s="260"/>
      <c r="H61" s="260">
        <v>34.4</v>
      </c>
      <c r="I61" s="260"/>
      <c r="J61" s="318">
        <v>15.6</v>
      </c>
      <c r="K61" s="260"/>
      <c r="L61" s="273">
        <v>0</v>
      </c>
      <c r="M61" s="260"/>
      <c r="N61" s="2557">
        <f>5.2+31.8</f>
        <v>37</v>
      </c>
      <c r="O61" s="260"/>
      <c r="P61" s="1177">
        <v>16.3</v>
      </c>
      <c r="Q61" s="260"/>
      <c r="R61" s="2730">
        <v>0</v>
      </c>
      <c r="S61" s="260"/>
      <c r="T61" s="1299">
        <v>39.700000000000003</v>
      </c>
      <c r="U61" s="260"/>
      <c r="V61" s="1299">
        <v>16</v>
      </c>
      <c r="W61" s="260"/>
      <c r="X61" s="273"/>
      <c r="Y61" s="260"/>
      <c r="Z61" s="273"/>
      <c r="AA61" s="260"/>
      <c r="AB61" s="249"/>
      <c r="AC61" s="317">
        <f>ROUND(SUM(D61:Z61),1)</f>
        <v>174.3</v>
      </c>
      <c r="AD61" s="260"/>
      <c r="AE61" s="251"/>
      <c r="AF61" s="260">
        <v>203.6</v>
      </c>
      <c r="AG61" s="513"/>
      <c r="AH61" s="248"/>
      <c r="AI61" s="1146">
        <f t="shared" si="5"/>
        <v>-29.3</v>
      </c>
      <c r="AJ61" s="1146"/>
      <c r="AK61" s="2734">
        <f>ROUND(IF(AF61=0,0,AI61/ABS(AF61)),3)</f>
        <v>-0.14399999999999999</v>
      </c>
      <c r="AL61" s="1528"/>
    </row>
    <row r="62" spans="1:38" ht="15" customHeight="1">
      <c r="A62" s="351"/>
      <c r="B62" s="1748" t="s">
        <v>1186</v>
      </c>
      <c r="C62" s="223"/>
      <c r="D62" s="273">
        <v>188.8</v>
      </c>
      <c r="E62" s="260"/>
      <c r="F62" s="273">
        <v>202.5</v>
      </c>
      <c r="G62" s="260"/>
      <c r="H62" s="260">
        <v>244.8</v>
      </c>
      <c r="I62" s="260"/>
      <c r="J62" s="273">
        <v>200.9</v>
      </c>
      <c r="K62" s="260"/>
      <c r="L62" s="273">
        <v>228</v>
      </c>
      <c r="M62" s="260"/>
      <c r="N62" s="1177">
        <v>175.1</v>
      </c>
      <c r="O62" s="260"/>
      <c r="P62" s="1177">
        <v>174.8</v>
      </c>
      <c r="Q62" s="260"/>
      <c r="R62" s="2730">
        <v>217.8</v>
      </c>
      <c r="S62" s="260"/>
      <c r="T62" s="1299">
        <v>183</v>
      </c>
      <c r="U62" s="260"/>
      <c r="V62" s="1299">
        <v>181.6</v>
      </c>
      <c r="W62" s="260"/>
      <c r="X62" s="273"/>
      <c r="Y62" s="260"/>
      <c r="Z62" s="273"/>
      <c r="AA62" s="260"/>
      <c r="AB62" s="249"/>
      <c r="AC62" s="317">
        <f>ROUND(SUM(D62:Z62),1)</f>
        <v>1997.3</v>
      </c>
      <c r="AD62" s="260"/>
      <c r="AE62" s="251"/>
      <c r="AF62" s="260">
        <v>2100.9</v>
      </c>
      <c r="AG62" s="513"/>
      <c r="AH62" s="248"/>
      <c r="AI62" s="1146">
        <f t="shared" si="5"/>
        <v>-103.6</v>
      </c>
      <c r="AJ62" s="1146"/>
      <c r="AK62" s="2670">
        <f>ROUND(IF(AF62=0,0,AI62/ABS(AF62)),3)</f>
        <v>-4.9000000000000002E-2</v>
      </c>
      <c r="AL62" s="1528"/>
    </row>
    <row r="63" spans="1:38" ht="15" customHeight="1">
      <c r="A63" s="351"/>
      <c r="B63" s="1748" t="s">
        <v>1187</v>
      </c>
      <c r="C63" s="223"/>
      <c r="D63" s="273">
        <v>78.400000000000006</v>
      </c>
      <c r="E63" s="260"/>
      <c r="F63" s="273">
        <v>77.400000000000006</v>
      </c>
      <c r="G63" s="260"/>
      <c r="H63" s="260">
        <v>90.8</v>
      </c>
      <c r="I63" s="260"/>
      <c r="J63" s="273">
        <v>76.599999999999994</v>
      </c>
      <c r="K63" s="260"/>
      <c r="L63" s="273">
        <v>93.1</v>
      </c>
      <c r="M63" s="260"/>
      <c r="N63" s="1177">
        <v>74.099999999999994</v>
      </c>
      <c r="O63" s="260"/>
      <c r="P63" s="1177">
        <v>71.8</v>
      </c>
      <c r="Q63" s="260"/>
      <c r="R63" s="2730">
        <v>87.7</v>
      </c>
      <c r="S63" s="260"/>
      <c r="T63" s="1299">
        <v>62.9</v>
      </c>
      <c r="U63" s="260"/>
      <c r="V63" s="1299">
        <v>75.3</v>
      </c>
      <c r="W63" s="260"/>
      <c r="X63" s="273"/>
      <c r="Y63" s="260"/>
      <c r="Z63" s="273"/>
      <c r="AA63" s="260"/>
      <c r="AB63" s="249"/>
      <c r="AC63" s="317">
        <f t="shared" ref="AC63" si="8">ROUND(SUM(D63:Z63),1)</f>
        <v>788.1</v>
      </c>
      <c r="AD63" s="260"/>
      <c r="AE63" s="251"/>
      <c r="AF63" s="260">
        <v>791.3</v>
      </c>
      <c r="AG63" s="513"/>
      <c r="AH63" s="248"/>
      <c r="AI63" s="1146">
        <f t="shared" si="5"/>
        <v>-3.2</v>
      </c>
      <c r="AJ63" s="1146"/>
      <c r="AK63" s="2670">
        <f>ROUND(IF(AF63=0,0,AI63/ABS(AF63)),3)</f>
        <v>-4.0000000000000001E-3</v>
      </c>
      <c r="AL63" s="1528"/>
    </row>
    <row r="64" spans="1:38" ht="15" customHeight="1">
      <c r="A64" s="351"/>
      <c r="B64" s="1748" t="s">
        <v>1159</v>
      </c>
      <c r="C64" s="223"/>
      <c r="D64" s="273">
        <v>2.6</v>
      </c>
      <c r="E64" s="260"/>
      <c r="F64" s="273">
        <v>5</v>
      </c>
      <c r="G64" s="260"/>
      <c r="H64" s="260">
        <v>3.7</v>
      </c>
      <c r="I64" s="260"/>
      <c r="J64" s="273">
        <v>4.3</v>
      </c>
      <c r="K64" s="260"/>
      <c r="L64" s="273">
        <v>4.8</v>
      </c>
      <c r="M64" s="260"/>
      <c r="N64" s="1177">
        <v>4</v>
      </c>
      <c r="O64" s="260"/>
      <c r="P64" s="1177">
        <v>4</v>
      </c>
      <c r="Q64" s="260"/>
      <c r="R64" s="2730">
        <v>4.5</v>
      </c>
      <c r="S64" s="260"/>
      <c r="T64" s="1299">
        <v>4.0999999999999996</v>
      </c>
      <c r="U64" s="260"/>
      <c r="V64" s="1299">
        <v>5</v>
      </c>
      <c r="W64" s="260"/>
      <c r="X64" s="273"/>
      <c r="Y64" s="260"/>
      <c r="Z64" s="273"/>
      <c r="AA64" s="260"/>
      <c r="AB64" s="249"/>
      <c r="AC64" s="317">
        <f>ROUND(SUM(D64:Z64),1)</f>
        <v>42</v>
      </c>
      <c r="AD64" s="260"/>
      <c r="AE64" s="251"/>
      <c r="AF64" s="260">
        <v>29.9</v>
      </c>
      <c r="AG64" s="513"/>
      <c r="AH64" s="248"/>
      <c r="AI64" s="1146">
        <f t="shared" si="5"/>
        <v>12.1</v>
      </c>
      <c r="AJ64" s="1146"/>
      <c r="AK64" s="2670">
        <f>ROUND(IF(AF64=0,0,AI64/ABS(AF64)),3)</f>
        <v>0.40500000000000003</v>
      </c>
      <c r="AL64" s="1528"/>
    </row>
    <row r="65" spans="1:38" ht="15" customHeight="1">
      <c r="A65" s="351"/>
      <c r="B65" s="1748" t="s">
        <v>1272</v>
      </c>
      <c r="C65" s="223"/>
      <c r="D65" s="273"/>
      <c r="E65" s="260"/>
      <c r="F65" s="273"/>
      <c r="G65" s="260"/>
      <c r="H65" s="260"/>
      <c r="I65" s="260"/>
      <c r="J65" s="273"/>
      <c r="K65" s="260"/>
      <c r="L65" s="273"/>
      <c r="M65" s="260"/>
      <c r="N65" s="273"/>
      <c r="O65" s="260"/>
      <c r="P65" s="273"/>
      <c r="Q65" s="260"/>
      <c r="R65" s="273"/>
      <c r="S65" s="260"/>
      <c r="T65" s="273"/>
      <c r="U65" s="260"/>
      <c r="V65" s="273"/>
      <c r="W65" s="260"/>
      <c r="X65" s="273"/>
      <c r="Y65" s="260"/>
      <c r="Z65" s="273"/>
      <c r="AA65" s="260"/>
      <c r="AB65" s="249"/>
      <c r="AC65" s="317"/>
      <c r="AD65" s="260"/>
      <c r="AE65" s="251"/>
      <c r="AF65" s="260"/>
      <c r="AG65" s="513"/>
      <c r="AH65" s="248"/>
      <c r="AI65" s="1146"/>
      <c r="AJ65" s="1146"/>
      <c r="AK65" s="2670"/>
      <c r="AL65" s="1528"/>
    </row>
    <row r="66" spans="1:38" ht="15" customHeight="1">
      <c r="A66" s="351"/>
      <c r="B66" s="1748" t="s">
        <v>1188</v>
      </c>
      <c r="C66" s="223"/>
      <c r="D66" s="273">
        <v>0</v>
      </c>
      <c r="E66" s="260"/>
      <c r="F66" s="273">
        <v>0</v>
      </c>
      <c r="G66" s="260"/>
      <c r="H66" s="260">
        <v>0</v>
      </c>
      <c r="I66" s="260"/>
      <c r="J66" s="273">
        <v>0</v>
      </c>
      <c r="K66" s="260"/>
      <c r="L66" s="273">
        <v>0</v>
      </c>
      <c r="M66" s="260"/>
      <c r="N66" s="1177">
        <v>0</v>
      </c>
      <c r="O66" s="260"/>
      <c r="P66" s="1177">
        <v>0</v>
      </c>
      <c r="Q66" s="260"/>
      <c r="R66" s="2730">
        <v>0</v>
      </c>
      <c r="S66" s="260"/>
      <c r="T66" s="1299">
        <v>0</v>
      </c>
      <c r="U66" s="260"/>
      <c r="V66" s="1299">
        <v>0</v>
      </c>
      <c r="W66" s="260"/>
      <c r="X66" s="273"/>
      <c r="Y66" s="260"/>
      <c r="Z66" s="273"/>
      <c r="AA66" s="260"/>
      <c r="AB66" s="249"/>
      <c r="AC66" s="317">
        <f t="shared" ref="AC66:AC71" si="9">ROUND(SUM(D66:Z66),1)</f>
        <v>0</v>
      </c>
      <c r="AD66" s="260"/>
      <c r="AE66" s="251"/>
      <c r="AF66" s="260">
        <v>0</v>
      </c>
      <c r="AG66" s="513"/>
      <c r="AH66" s="248"/>
      <c r="AI66" s="1146">
        <f t="shared" si="5"/>
        <v>0</v>
      </c>
      <c r="AJ66" s="1146"/>
      <c r="AK66" s="2670">
        <f>ROUND(IF(AF66=0,0,AI66/ABS(AF66)),3)</f>
        <v>0</v>
      </c>
      <c r="AL66" s="1528"/>
    </row>
    <row r="67" spans="1:38" ht="15" customHeight="1">
      <c r="A67" s="351"/>
      <c r="B67" s="1748" t="s">
        <v>1189</v>
      </c>
      <c r="C67" s="223"/>
      <c r="D67" s="273">
        <v>0</v>
      </c>
      <c r="E67" s="260"/>
      <c r="F67" s="273">
        <v>0</v>
      </c>
      <c r="G67" s="260"/>
      <c r="H67" s="260">
        <v>22.6</v>
      </c>
      <c r="I67" s="260"/>
      <c r="J67" s="273">
        <v>-2.2000000000000002</v>
      </c>
      <c r="K67" s="260"/>
      <c r="L67" s="273">
        <v>0</v>
      </c>
      <c r="M67" s="260"/>
      <c r="N67" s="1177">
        <v>0</v>
      </c>
      <c r="O67" s="260"/>
      <c r="P67" s="1177">
        <v>0</v>
      </c>
      <c r="Q67" s="260"/>
      <c r="R67" s="2730">
        <v>0</v>
      </c>
      <c r="S67" s="260"/>
      <c r="T67" s="1299">
        <v>0</v>
      </c>
      <c r="U67" s="260"/>
      <c r="V67" s="1299">
        <v>0</v>
      </c>
      <c r="W67" s="260"/>
      <c r="X67" s="273"/>
      <c r="Y67" s="260"/>
      <c r="Z67" s="273"/>
      <c r="AA67" s="260"/>
      <c r="AB67" s="249"/>
      <c r="AC67" s="317">
        <f t="shared" si="9"/>
        <v>20.399999999999999</v>
      </c>
      <c r="AD67" s="260"/>
      <c r="AE67" s="251"/>
      <c r="AF67" s="260">
        <v>20.399999999999999</v>
      </c>
      <c r="AG67" s="513"/>
      <c r="AH67" s="248"/>
      <c r="AI67" s="1146">
        <f t="shared" si="5"/>
        <v>0</v>
      </c>
      <c r="AJ67" s="1146"/>
      <c r="AK67" s="2670">
        <f>ROUND(IF(AF67=0,1,AI67/ABS(AF67)),3)</f>
        <v>0</v>
      </c>
      <c r="AL67" s="1528"/>
    </row>
    <row r="68" spans="1:38" ht="15" customHeight="1">
      <c r="A68" s="351"/>
      <c r="B68" s="1748" t="s">
        <v>1190</v>
      </c>
      <c r="C68" s="223"/>
      <c r="D68" s="273">
        <v>7.2</v>
      </c>
      <c r="E68" s="260"/>
      <c r="F68" s="273">
        <v>0</v>
      </c>
      <c r="G68" s="260"/>
      <c r="H68" s="260">
        <v>0</v>
      </c>
      <c r="I68" s="260"/>
      <c r="J68" s="273">
        <v>0</v>
      </c>
      <c r="K68" s="260"/>
      <c r="L68" s="273">
        <v>0</v>
      </c>
      <c r="M68" s="260"/>
      <c r="N68" s="1177">
        <v>0</v>
      </c>
      <c r="O68" s="260"/>
      <c r="P68" s="1177">
        <v>0</v>
      </c>
      <c r="Q68" s="260"/>
      <c r="R68" s="2730">
        <v>0</v>
      </c>
      <c r="S68" s="260"/>
      <c r="T68" s="1299">
        <v>0</v>
      </c>
      <c r="U68" s="260"/>
      <c r="V68" s="1299">
        <v>0</v>
      </c>
      <c r="W68" s="260"/>
      <c r="X68" s="273"/>
      <c r="Y68" s="260"/>
      <c r="Z68" s="273"/>
      <c r="AA68" s="260"/>
      <c r="AB68" s="249"/>
      <c r="AC68" s="317">
        <f t="shared" si="9"/>
        <v>7.2</v>
      </c>
      <c r="AD68" s="260"/>
      <c r="AE68" s="251"/>
      <c r="AF68" s="260">
        <v>7.2</v>
      </c>
      <c r="AG68" s="513"/>
      <c r="AH68" s="248"/>
      <c r="AI68" s="1146">
        <f t="shared" si="5"/>
        <v>0</v>
      </c>
      <c r="AJ68" s="1146"/>
      <c r="AK68" s="2687">
        <f>ROUND(IF(AF68=0,0,AI68/ABS(AF68)),3)</f>
        <v>0</v>
      </c>
      <c r="AL68" s="1528"/>
    </row>
    <row r="69" spans="1:38" ht="15" customHeight="1">
      <c r="A69" s="351"/>
      <c r="B69" s="1748" t="s">
        <v>1191</v>
      </c>
      <c r="C69" s="223"/>
      <c r="D69" s="273">
        <v>0.9</v>
      </c>
      <c r="E69" s="260"/>
      <c r="F69" s="273">
        <v>0</v>
      </c>
      <c r="G69" s="260"/>
      <c r="H69" s="260">
        <v>0</v>
      </c>
      <c r="I69" s="260"/>
      <c r="J69" s="273">
        <v>0.2</v>
      </c>
      <c r="K69" s="260"/>
      <c r="L69" s="273">
        <v>0.5</v>
      </c>
      <c r="M69" s="260"/>
      <c r="N69" s="1177">
        <v>0</v>
      </c>
      <c r="O69" s="260"/>
      <c r="P69" s="1177">
        <v>0.2</v>
      </c>
      <c r="Q69" s="260"/>
      <c r="R69" s="2730">
        <v>0.1</v>
      </c>
      <c r="S69" s="260"/>
      <c r="T69" s="1299">
        <v>26.7</v>
      </c>
      <c r="U69" s="260"/>
      <c r="V69" s="1299">
        <v>16.600000000000001</v>
      </c>
      <c r="W69" s="260"/>
      <c r="X69" s="273"/>
      <c r="Y69" s="260"/>
      <c r="Z69" s="273"/>
      <c r="AA69" s="260"/>
      <c r="AB69" s="249"/>
      <c r="AC69" s="317">
        <f t="shared" si="9"/>
        <v>45.2</v>
      </c>
      <c r="AD69" s="260"/>
      <c r="AE69" s="251"/>
      <c r="AF69" s="260">
        <v>6.7</v>
      </c>
      <c r="AG69" s="513"/>
      <c r="AH69" s="248"/>
      <c r="AI69" s="1146">
        <f t="shared" si="5"/>
        <v>38.5</v>
      </c>
      <c r="AJ69" s="1146"/>
      <c r="AK69" s="2670">
        <f t="shared" ref="AK69:AK71" si="10">ROUND(IF(AF69=0,0,AI69/ABS(AF69)),3)</f>
        <v>5.7460000000000004</v>
      </c>
      <c r="AL69" s="1528"/>
    </row>
    <row r="70" spans="1:38" ht="15" customHeight="1">
      <c r="A70" s="351"/>
      <c r="B70" s="1748" t="s">
        <v>1170</v>
      </c>
      <c r="C70" s="223"/>
      <c r="D70" s="273">
        <v>58.4</v>
      </c>
      <c r="E70" s="260"/>
      <c r="F70" s="273">
        <v>7.2</v>
      </c>
      <c r="G70" s="260"/>
      <c r="H70" s="260">
        <v>37.299999999999997</v>
      </c>
      <c r="I70" s="260"/>
      <c r="J70" s="273">
        <v>4.7</v>
      </c>
      <c r="K70" s="260"/>
      <c r="L70" s="273">
        <v>4.0999999999999996</v>
      </c>
      <c r="M70" s="260"/>
      <c r="N70" s="1177">
        <v>7.1</v>
      </c>
      <c r="O70" s="260"/>
      <c r="P70" s="1177">
        <v>4.2</v>
      </c>
      <c r="Q70" s="260"/>
      <c r="R70" s="2730">
        <v>3.6</v>
      </c>
      <c r="S70" s="260"/>
      <c r="T70" s="1299">
        <v>7</v>
      </c>
      <c r="U70" s="260"/>
      <c r="V70" s="1299">
        <v>4.5999999999999996</v>
      </c>
      <c r="W70" s="260"/>
      <c r="X70" s="273"/>
      <c r="Y70" s="260"/>
      <c r="Z70" s="273"/>
      <c r="AA70" s="260"/>
      <c r="AB70" s="249"/>
      <c r="AC70" s="317">
        <f t="shared" si="9"/>
        <v>138.19999999999999</v>
      </c>
      <c r="AD70" s="260"/>
      <c r="AE70" s="251"/>
      <c r="AF70" s="260">
        <v>94.4</v>
      </c>
      <c r="AG70" s="513"/>
      <c r="AH70" s="248"/>
      <c r="AI70" s="1146">
        <f t="shared" si="5"/>
        <v>43.8</v>
      </c>
      <c r="AJ70" s="1146"/>
      <c r="AK70" s="2670">
        <f t="shared" si="10"/>
        <v>0.46400000000000002</v>
      </c>
      <c r="AL70" s="1528"/>
    </row>
    <row r="71" spans="1:38" ht="15" customHeight="1">
      <c r="A71" s="351"/>
      <c r="B71" s="1748" t="s">
        <v>1171</v>
      </c>
      <c r="C71" s="223"/>
      <c r="D71" s="273">
        <v>55.3</v>
      </c>
      <c r="E71" s="260"/>
      <c r="F71" s="273">
        <v>31.1</v>
      </c>
      <c r="G71" s="260"/>
      <c r="H71" s="260">
        <v>21.3</v>
      </c>
      <c r="I71" s="260"/>
      <c r="J71" s="273">
        <v>2.2000000000000002</v>
      </c>
      <c r="K71" s="260"/>
      <c r="L71" s="273">
        <v>46.8</v>
      </c>
      <c r="M71" s="260"/>
      <c r="N71" s="1177">
        <v>1.2</v>
      </c>
      <c r="O71" s="260"/>
      <c r="P71" s="1177">
        <v>34.4</v>
      </c>
      <c r="Q71" s="260"/>
      <c r="R71" s="2730">
        <v>49.7</v>
      </c>
      <c r="S71" s="260"/>
      <c r="T71" s="1299">
        <v>30.9</v>
      </c>
      <c r="U71" s="260"/>
      <c r="V71" s="1299">
        <v>47.1</v>
      </c>
      <c r="W71" s="260"/>
      <c r="X71" s="273"/>
      <c r="Y71" s="260"/>
      <c r="Z71" s="273"/>
      <c r="AA71" s="260"/>
      <c r="AB71" s="249"/>
      <c r="AC71" s="317">
        <f t="shared" si="9"/>
        <v>320</v>
      </c>
      <c r="AD71" s="260"/>
      <c r="AE71" s="251"/>
      <c r="AF71" s="260">
        <v>209</v>
      </c>
      <c r="AG71" s="513"/>
      <c r="AH71" s="248"/>
      <c r="AI71" s="1146">
        <f t="shared" si="5"/>
        <v>111</v>
      </c>
      <c r="AJ71" s="1146"/>
      <c r="AK71" s="2687">
        <f t="shared" si="10"/>
        <v>0.53100000000000003</v>
      </c>
      <c r="AL71" s="1528"/>
    </row>
    <row r="72" spans="1:38" ht="15" customHeight="1">
      <c r="A72" s="351"/>
      <c r="B72" s="1748" t="s">
        <v>1273</v>
      </c>
      <c r="C72" s="223"/>
      <c r="D72" s="273"/>
      <c r="E72" s="260"/>
      <c r="F72" s="273"/>
      <c r="G72" s="260"/>
      <c r="H72" s="260"/>
      <c r="I72" s="260"/>
      <c r="J72" s="273"/>
      <c r="K72" s="260"/>
      <c r="L72" s="273"/>
      <c r="M72" s="260"/>
      <c r="N72" s="273"/>
      <c r="O72" s="260"/>
      <c r="P72" s="273"/>
      <c r="Q72" s="260"/>
      <c r="R72" s="273"/>
      <c r="S72" s="260"/>
      <c r="T72" s="273"/>
      <c r="U72" s="260"/>
      <c r="V72" s="273"/>
      <c r="W72" s="260"/>
      <c r="X72" s="273"/>
      <c r="Y72" s="260"/>
      <c r="Z72" s="273"/>
      <c r="AA72" s="260"/>
      <c r="AB72" s="249"/>
      <c r="AC72" s="317"/>
      <c r="AD72" s="260"/>
      <c r="AE72" s="251"/>
      <c r="AF72" s="260"/>
      <c r="AG72" s="513"/>
      <c r="AH72" s="248"/>
      <c r="AI72" s="1146"/>
      <c r="AJ72" s="1146"/>
      <c r="AK72" s="2670"/>
      <c r="AL72" s="1528"/>
    </row>
    <row r="73" spans="1:38" ht="15" customHeight="1">
      <c r="A73" s="351"/>
      <c r="B73" s="1748" t="s">
        <v>1192</v>
      </c>
      <c r="C73" s="223"/>
      <c r="D73" s="273">
        <v>0.4</v>
      </c>
      <c r="E73" s="260"/>
      <c r="F73" s="273">
        <v>29.1</v>
      </c>
      <c r="G73" s="260"/>
      <c r="H73" s="260">
        <v>9.6</v>
      </c>
      <c r="I73" s="260"/>
      <c r="J73" s="273">
        <v>20.2</v>
      </c>
      <c r="K73" s="260"/>
      <c r="L73" s="273">
        <v>9.6999999999999993</v>
      </c>
      <c r="M73" s="260"/>
      <c r="N73" s="1177">
        <v>8.5</v>
      </c>
      <c r="O73" s="260"/>
      <c r="P73" s="1177">
        <v>8.4</v>
      </c>
      <c r="Q73" s="260"/>
      <c r="R73" s="2730">
        <v>8.6</v>
      </c>
      <c r="S73" s="260"/>
      <c r="T73" s="1299">
        <v>20.7</v>
      </c>
      <c r="U73" s="260"/>
      <c r="V73" s="1299">
        <v>5.5</v>
      </c>
      <c r="W73" s="260"/>
      <c r="X73" s="273"/>
      <c r="Y73" s="260"/>
      <c r="Z73" s="273"/>
      <c r="AA73" s="260"/>
      <c r="AB73" s="249"/>
      <c r="AC73" s="317">
        <f t="shared" ref="AC73:AC83" si="11">ROUND(SUM(D73:Z73),1)</f>
        <v>120.7</v>
      </c>
      <c r="AD73" s="260"/>
      <c r="AE73" s="251"/>
      <c r="AF73" s="260">
        <v>84.2</v>
      </c>
      <c r="AG73" s="513"/>
      <c r="AH73" s="248"/>
      <c r="AI73" s="1146">
        <f t="shared" si="5"/>
        <v>36.5</v>
      </c>
      <c r="AJ73" s="1146"/>
      <c r="AK73" s="2670">
        <f>ROUND(IF(AF73=0,0,AI73/ABS(AF73)),3)</f>
        <v>0.433</v>
      </c>
      <c r="AL73" s="1528"/>
    </row>
    <row r="74" spans="1:38" ht="15" customHeight="1">
      <c r="A74" s="351"/>
      <c r="B74" s="1748" t="s">
        <v>1193</v>
      </c>
      <c r="C74" s="223"/>
      <c r="D74" s="1299">
        <v>0.2</v>
      </c>
      <c r="E74" s="260"/>
      <c r="F74" s="273">
        <v>0.2</v>
      </c>
      <c r="G74" s="260"/>
      <c r="H74" s="260">
        <v>0.2</v>
      </c>
      <c r="I74" s="260"/>
      <c r="J74" s="273">
        <v>0.1</v>
      </c>
      <c r="K74" s="260"/>
      <c r="L74" s="273">
        <v>0.3</v>
      </c>
      <c r="M74" s="260"/>
      <c r="N74" s="1177">
        <v>2.7</v>
      </c>
      <c r="O74" s="260"/>
      <c r="P74" s="1177">
        <v>0</v>
      </c>
      <c r="Q74" s="260"/>
      <c r="R74" s="2730">
        <v>0.3</v>
      </c>
      <c r="S74" s="260"/>
      <c r="T74" s="1299">
        <v>0.4</v>
      </c>
      <c r="U74" s="260"/>
      <c r="V74" s="1299">
        <v>0.1</v>
      </c>
      <c r="W74" s="260"/>
      <c r="X74" s="273"/>
      <c r="Y74" s="260"/>
      <c r="Z74" s="273"/>
      <c r="AA74" s="260"/>
      <c r="AB74" s="249"/>
      <c r="AC74" s="317">
        <f t="shared" si="11"/>
        <v>4.5</v>
      </c>
      <c r="AD74" s="260"/>
      <c r="AE74" s="251"/>
      <c r="AF74" s="260">
        <v>7.5</v>
      </c>
      <c r="AG74" s="513"/>
      <c r="AH74" s="248"/>
      <c r="AI74" s="1146">
        <f t="shared" si="5"/>
        <v>-3</v>
      </c>
      <c r="AJ74" s="1146"/>
      <c r="AK74" s="2670">
        <f>ROUND(IF(AF74=0,0,AI74/ABS(AF74)),3)</f>
        <v>-0.4</v>
      </c>
      <c r="AL74" s="1528"/>
    </row>
    <row r="75" spans="1:38" ht="15" customHeight="1">
      <c r="A75" s="351"/>
      <c r="B75" s="1748" t="s">
        <v>1194</v>
      </c>
      <c r="C75" s="223"/>
      <c r="D75" s="273">
        <v>0.9</v>
      </c>
      <c r="E75" s="260"/>
      <c r="F75" s="273">
        <v>1</v>
      </c>
      <c r="G75" s="260"/>
      <c r="H75" s="260">
        <v>3.1</v>
      </c>
      <c r="I75" s="260"/>
      <c r="J75" s="273">
        <v>0.8</v>
      </c>
      <c r="K75" s="260"/>
      <c r="L75" s="273">
        <v>0.7</v>
      </c>
      <c r="M75" s="260"/>
      <c r="N75" s="1177">
        <v>0.8</v>
      </c>
      <c r="O75" s="260"/>
      <c r="P75" s="1177">
        <v>1.3</v>
      </c>
      <c r="Q75" s="260"/>
      <c r="R75" s="2730">
        <v>0.4</v>
      </c>
      <c r="S75" s="260"/>
      <c r="T75" s="1299">
        <v>0.1</v>
      </c>
      <c r="U75" s="260"/>
      <c r="V75" s="1299">
        <v>0.7</v>
      </c>
      <c r="W75" s="260"/>
      <c r="X75" s="273"/>
      <c r="Y75" s="260"/>
      <c r="Z75" s="273"/>
      <c r="AA75" s="260"/>
      <c r="AB75" s="249"/>
      <c r="AC75" s="317">
        <f>ROUND(SUM(D75:Z75),1)</f>
        <v>9.8000000000000007</v>
      </c>
      <c r="AD75" s="260"/>
      <c r="AE75" s="251"/>
      <c r="AF75" s="260">
        <v>3.5</v>
      </c>
      <c r="AG75" s="513"/>
      <c r="AH75" s="248"/>
      <c r="AI75" s="1146">
        <f t="shared" si="5"/>
        <v>6.3</v>
      </c>
      <c r="AJ75" s="1146"/>
      <c r="AK75" s="2670">
        <f>ROUND(IF(AF75=0,0,AI75/ABS(AF75)),3)</f>
        <v>1.8</v>
      </c>
      <c r="AL75" s="1528"/>
    </row>
    <row r="76" spans="1:38" ht="15" customHeight="1">
      <c r="A76" s="351"/>
      <c r="B76" s="1748" t="s">
        <v>1195</v>
      </c>
      <c r="C76" s="223"/>
      <c r="D76" s="273">
        <v>0</v>
      </c>
      <c r="E76" s="260"/>
      <c r="F76" s="273">
        <v>5</v>
      </c>
      <c r="G76" s="260"/>
      <c r="H76" s="260">
        <v>0</v>
      </c>
      <c r="I76" s="260"/>
      <c r="J76" s="273">
        <v>0</v>
      </c>
      <c r="K76" s="260"/>
      <c r="L76" s="273">
        <v>0</v>
      </c>
      <c r="M76" s="260"/>
      <c r="N76" s="1177">
        <v>0</v>
      </c>
      <c r="O76" s="260"/>
      <c r="P76" s="1177">
        <v>0.1</v>
      </c>
      <c r="Q76" s="260"/>
      <c r="R76" s="2730">
        <v>0</v>
      </c>
      <c r="S76" s="260"/>
      <c r="T76" s="1299">
        <v>0</v>
      </c>
      <c r="U76" s="260"/>
      <c r="V76" s="1299">
        <v>0</v>
      </c>
      <c r="W76" s="260"/>
      <c r="X76" s="273"/>
      <c r="Y76" s="260"/>
      <c r="Z76" s="273"/>
      <c r="AA76" s="260"/>
      <c r="AB76" s="249"/>
      <c r="AC76" s="317">
        <f t="shared" si="11"/>
        <v>5.0999999999999996</v>
      </c>
      <c r="AD76" s="260"/>
      <c r="AE76" s="251"/>
      <c r="AF76" s="260">
        <v>4</v>
      </c>
      <c r="AG76" s="513"/>
      <c r="AH76" s="248"/>
      <c r="AI76" s="1146">
        <f t="shared" si="5"/>
        <v>1.1000000000000001</v>
      </c>
      <c r="AJ76" s="1146"/>
      <c r="AK76" s="2670">
        <f t="shared" ref="AK76" si="12">ROUND(IF(AF76=0,0,AI76/ABS(AF76)),3)</f>
        <v>0.27500000000000002</v>
      </c>
      <c r="AL76" s="1528"/>
    </row>
    <row r="77" spans="1:38" ht="15" customHeight="1">
      <c r="A77" s="351"/>
      <c r="B77" s="1748" t="s">
        <v>1196</v>
      </c>
      <c r="C77" s="223"/>
      <c r="D77" s="273">
        <v>145.80000000000001</v>
      </c>
      <c r="E77" s="260"/>
      <c r="F77" s="273">
        <v>189.7</v>
      </c>
      <c r="G77" s="260"/>
      <c r="H77" s="260">
        <v>91.8</v>
      </c>
      <c r="I77" s="260"/>
      <c r="J77" s="273">
        <v>120.5</v>
      </c>
      <c r="K77" s="260"/>
      <c r="L77" s="273">
        <v>200.6</v>
      </c>
      <c r="M77" s="260"/>
      <c r="N77" s="1177">
        <v>234.3</v>
      </c>
      <c r="O77" s="260"/>
      <c r="P77" s="1177">
        <v>131.6</v>
      </c>
      <c r="Q77" s="260"/>
      <c r="R77" s="2730">
        <v>94</v>
      </c>
      <c r="S77" s="260"/>
      <c r="T77" s="1299">
        <v>249</v>
      </c>
      <c r="U77" s="260"/>
      <c r="V77" s="1299">
        <v>2.2000000000000002</v>
      </c>
      <c r="W77" s="260"/>
      <c r="X77" s="273"/>
      <c r="Y77" s="260"/>
      <c r="Z77" s="273"/>
      <c r="AA77" s="260"/>
      <c r="AB77" s="249"/>
      <c r="AC77" s="317">
        <f t="shared" si="11"/>
        <v>1459.5</v>
      </c>
      <c r="AD77" s="260"/>
      <c r="AE77" s="251"/>
      <c r="AF77" s="260">
        <v>755.1</v>
      </c>
      <c r="AG77" s="513"/>
      <c r="AH77" s="248"/>
      <c r="AI77" s="1146">
        <f t="shared" si="5"/>
        <v>704.4</v>
      </c>
      <c r="AJ77" s="1146"/>
      <c r="AK77" s="2713">
        <f>ROUND(IF(AF77=0,0,AI77/ABS(AF77)),3)</f>
        <v>0.93300000000000005</v>
      </c>
      <c r="AL77" s="1528"/>
    </row>
    <row r="78" spans="1:38" ht="15" customHeight="1">
      <c r="A78" s="351"/>
      <c r="B78" s="1748" t="s">
        <v>1197</v>
      </c>
      <c r="C78" s="223"/>
      <c r="D78" s="273">
        <v>3.1</v>
      </c>
      <c r="E78" s="260"/>
      <c r="F78" s="273">
        <v>3.5</v>
      </c>
      <c r="G78" s="260"/>
      <c r="H78" s="260">
        <v>2.2000000000000002</v>
      </c>
      <c r="I78" s="260"/>
      <c r="J78" s="273">
        <v>14</v>
      </c>
      <c r="K78" s="260"/>
      <c r="L78" s="273">
        <v>1</v>
      </c>
      <c r="M78" s="260"/>
      <c r="N78" s="1177">
        <v>6</v>
      </c>
      <c r="O78" s="260"/>
      <c r="P78" s="1177">
        <v>1.3</v>
      </c>
      <c r="Q78" s="260"/>
      <c r="R78" s="2730">
        <v>3.2</v>
      </c>
      <c r="S78" s="260"/>
      <c r="T78" s="1299">
        <v>3.4</v>
      </c>
      <c r="U78" s="260"/>
      <c r="V78" s="1299">
        <v>3.9</v>
      </c>
      <c r="W78" s="260"/>
      <c r="X78" s="273"/>
      <c r="Y78" s="260"/>
      <c r="Z78" s="273"/>
      <c r="AA78" s="260"/>
      <c r="AB78" s="249"/>
      <c r="AC78" s="317">
        <f t="shared" si="11"/>
        <v>41.6</v>
      </c>
      <c r="AD78" s="260"/>
      <c r="AE78" s="251"/>
      <c r="AF78" s="260">
        <v>37.299999999999997</v>
      </c>
      <c r="AG78" s="513"/>
      <c r="AH78" s="248"/>
      <c r="AI78" s="1146">
        <f t="shared" si="5"/>
        <v>4.3</v>
      </c>
      <c r="AJ78" s="1146"/>
      <c r="AK78" s="2687">
        <f>ROUND(IF(AF78=0,0,AI78/ABS(AF78)),3)</f>
        <v>0.115</v>
      </c>
      <c r="AL78" s="1528"/>
    </row>
    <row r="79" spans="1:38" ht="15" customHeight="1">
      <c r="A79" s="351"/>
      <c r="B79" s="1748" t="s">
        <v>1198</v>
      </c>
      <c r="C79" s="223"/>
      <c r="D79" s="273">
        <v>-1.2</v>
      </c>
      <c r="E79" s="260"/>
      <c r="F79" s="273">
        <v>11</v>
      </c>
      <c r="G79" s="260"/>
      <c r="H79" s="260">
        <v>62.9</v>
      </c>
      <c r="I79" s="260"/>
      <c r="J79" s="273">
        <v>29.4</v>
      </c>
      <c r="K79" s="260"/>
      <c r="L79" s="273">
        <v>0.3</v>
      </c>
      <c r="M79" s="260"/>
      <c r="N79" s="1177">
        <v>0.5</v>
      </c>
      <c r="O79" s="260"/>
      <c r="P79" s="1177">
        <v>9.1</v>
      </c>
      <c r="Q79" s="260"/>
      <c r="R79" s="2730">
        <v>0.5</v>
      </c>
      <c r="S79" s="260"/>
      <c r="T79" s="1299">
        <v>0.9</v>
      </c>
      <c r="U79" s="260"/>
      <c r="V79" s="1299">
        <v>7.8</v>
      </c>
      <c r="W79" s="260"/>
      <c r="X79" s="273"/>
      <c r="Y79" s="260"/>
      <c r="Z79" s="273"/>
      <c r="AA79" s="260"/>
      <c r="AB79" s="249"/>
      <c r="AC79" s="317">
        <f t="shared" si="11"/>
        <v>121.2</v>
      </c>
      <c r="AD79" s="260"/>
      <c r="AE79" s="251"/>
      <c r="AF79" s="260">
        <v>39.200000000000003</v>
      </c>
      <c r="AG79" s="513"/>
      <c r="AH79" s="248"/>
      <c r="AI79" s="2925">
        <f t="shared" si="5"/>
        <v>82</v>
      </c>
      <c r="AJ79" s="1146"/>
      <c r="AK79" s="2687">
        <f>ROUND(IF(AF79=0,1,AI79/ABS(AF79)),3)</f>
        <v>2.0920000000000001</v>
      </c>
      <c r="AL79" s="1528"/>
    </row>
    <row r="80" spans="1:38" ht="15" customHeight="1">
      <c r="A80" s="351"/>
      <c r="B80" s="1748" t="s">
        <v>1199</v>
      </c>
      <c r="C80" s="223"/>
      <c r="D80" s="318">
        <v>8.1999999999999993</v>
      </c>
      <c r="E80" s="317"/>
      <c r="F80" s="1314">
        <v>6.9</v>
      </c>
      <c r="G80" s="317"/>
      <c r="H80" s="317">
        <v>6.2</v>
      </c>
      <c r="I80" s="317"/>
      <c r="J80" s="318">
        <v>7.4</v>
      </c>
      <c r="K80" s="317"/>
      <c r="L80" s="318">
        <v>6.4</v>
      </c>
      <c r="M80" s="260"/>
      <c r="N80" s="1177">
        <v>6.4</v>
      </c>
      <c r="O80" s="260"/>
      <c r="P80" s="1177">
        <v>7.9</v>
      </c>
      <c r="Q80" s="260"/>
      <c r="R80" s="2730">
        <v>6</v>
      </c>
      <c r="S80" s="260"/>
      <c r="T80" s="1299">
        <v>39.4</v>
      </c>
      <c r="U80" s="260"/>
      <c r="V80" s="1299">
        <v>2.5</v>
      </c>
      <c r="W80" s="260"/>
      <c r="X80" s="273"/>
      <c r="Y80" s="260"/>
      <c r="Z80" s="273"/>
      <c r="AA80" s="260"/>
      <c r="AB80" s="249"/>
      <c r="AC80" s="317">
        <f t="shared" si="11"/>
        <v>97.3</v>
      </c>
      <c r="AD80" s="260"/>
      <c r="AE80" s="251"/>
      <c r="AF80" s="260">
        <v>57.9</v>
      </c>
      <c r="AG80" s="513"/>
      <c r="AH80" s="248"/>
      <c r="AI80" s="1146">
        <f t="shared" si="5"/>
        <v>39.4</v>
      </c>
      <c r="AJ80" s="1146"/>
      <c r="AK80" s="2670">
        <f>ROUND(IF(AF80=0,0,AI80/ABS(AF80)),3)</f>
        <v>0.68</v>
      </c>
      <c r="AL80" s="1528"/>
    </row>
    <row r="81" spans="1:38" ht="15" customHeight="1">
      <c r="A81" s="351"/>
      <c r="B81" s="1748" t="s">
        <v>1200</v>
      </c>
      <c r="C81" s="223"/>
      <c r="D81" s="318">
        <v>50.2</v>
      </c>
      <c r="E81" s="317"/>
      <c r="F81" s="318">
        <v>25.6</v>
      </c>
      <c r="G81" s="317"/>
      <c r="H81" s="317">
        <v>48.1</v>
      </c>
      <c r="I81" s="317"/>
      <c r="J81" s="318">
        <v>38.799999999999997</v>
      </c>
      <c r="K81" s="317"/>
      <c r="L81" s="318">
        <v>39.5</v>
      </c>
      <c r="M81" s="260"/>
      <c r="N81" s="1177">
        <v>45.9</v>
      </c>
      <c r="O81" s="260"/>
      <c r="P81" s="1177">
        <v>51.1</v>
      </c>
      <c r="Q81" s="260"/>
      <c r="R81" s="2730">
        <v>34.200000000000003</v>
      </c>
      <c r="S81" s="260"/>
      <c r="T81" s="1299">
        <v>20.399999999999999</v>
      </c>
      <c r="U81" s="260"/>
      <c r="V81" s="1299">
        <v>34.799999999999997</v>
      </c>
      <c r="W81" s="260"/>
      <c r="X81" s="1299"/>
      <c r="Y81" s="260"/>
      <c r="Z81" s="273"/>
      <c r="AA81" s="260"/>
      <c r="AB81" s="249"/>
      <c r="AC81" s="317">
        <f t="shared" si="11"/>
        <v>388.6</v>
      </c>
      <c r="AD81" s="260"/>
      <c r="AE81" s="251"/>
      <c r="AF81" s="260">
        <v>34.9</v>
      </c>
      <c r="AG81" s="513"/>
      <c r="AH81" s="248"/>
      <c r="AI81" s="1146">
        <f t="shared" si="5"/>
        <v>353.7</v>
      </c>
      <c r="AJ81" s="1146"/>
      <c r="AK81" s="2687">
        <f>ROUND(IF(AF81=0,0,AI81/ABS(AF81)),3)</f>
        <v>10.135</v>
      </c>
      <c r="AL81" s="1528"/>
    </row>
    <row r="82" spans="1:38" ht="15" customHeight="1">
      <c r="A82" s="351"/>
      <c r="B82" s="1748" t="s">
        <v>1172</v>
      </c>
      <c r="C82" s="223"/>
      <c r="D82" s="318">
        <v>0.7</v>
      </c>
      <c r="E82" s="317"/>
      <c r="F82" s="318">
        <v>1.4</v>
      </c>
      <c r="G82" s="317"/>
      <c r="H82" s="317">
        <v>1.3</v>
      </c>
      <c r="I82" s="317"/>
      <c r="J82" s="318">
        <v>1.3</v>
      </c>
      <c r="K82" s="317"/>
      <c r="L82" s="318">
        <v>1.3</v>
      </c>
      <c r="M82" s="260"/>
      <c r="N82" s="1177">
        <v>1.3</v>
      </c>
      <c r="O82" s="260"/>
      <c r="P82" s="1177">
        <v>8.6</v>
      </c>
      <c r="Q82" s="260"/>
      <c r="R82" s="2730">
        <v>0.7</v>
      </c>
      <c r="S82" s="260"/>
      <c r="T82" s="1299">
        <v>0.7</v>
      </c>
      <c r="U82" s="260"/>
      <c r="V82" s="1299">
        <v>4.2</v>
      </c>
      <c r="W82" s="260"/>
      <c r="X82" s="273"/>
      <c r="Y82" s="260"/>
      <c r="Z82" s="273"/>
      <c r="AA82" s="260"/>
      <c r="AB82" s="249"/>
      <c r="AC82" s="317">
        <f t="shared" si="11"/>
        <v>21.5</v>
      </c>
      <c r="AD82" s="260"/>
      <c r="AE82" s="251"/>
      <c r="AF82" s="260">
        <v>15.4</v>
      </c>
      <c r="AG82" s="513"/>
      <c r="AH82" s="248"/>
      <c r="AI82" s="1146">
        <f t="shared" si="5"/>
        <v>6.1</v>
      </c>
      <c r="AJ82" s="1146"/>
      <c r="AK82" s="2670">
        <f>ROUND(IF(AF82=0,0,AI82/ABS(AF82)),3)</f>
        <v>0.39600000000000002</v>
      </c>
      <c r="AL82" s="1528"/>
    </row>
    <row r="83" spans="1:38" ht="15" customHeight="1">
      <c r="A83" s="351"/>
      <c r="B83" s="1748" t="s">
        <v>1173</v>
      </c>
      <c r="C83" s="223"/>
      <c r="D83" s="318">
        <v>54.7</v>
      </c>
      <c r="E83" s="317"/>
      <c r="F83" s="318">
        <v>45.5</v>
      </c>
      <c r="G83" s="317"/>
      <c r="H83" s="317">
        <v>60.7</v>
      </c>
      <c r="I83" s="317"/>
      <c r="J83" s="318">
        <v>48.7</v>
      </c>
      <c r="K83" s="317"/>
      <c r="L83" s="318">
        <v>177.7</v>
      </c>
      <c r="M83" s="260"/>
      <c r="N83" s="1177">
        <v>418.7</v>
      </c>
      <c r="O83" s="260"/>
      <c r="P83" s="1177">
        <v>164.5</v>
      </c>
      <c r="Q83" s="260"/>
      <c r="R83" s="2730">
        <v>67.3</v>
      </c>
      <c r="S83" s="260"/>
      <c r="T83" s="1299">
        <v>55.1</v>
      </c>
      <c r="U83" s="260"/>
      <c r="V83" s="1299">
        <v>275.39999999999998</v>
      </c>
      <c r="W83" s="260"/>
      <c r="X83" s="273"/>
      <c r="Y83" s="260"/>
      <c r="Z83" s="273"/>
      <c r="AA83" s="260"/>
      <c r="AB83" s="249"/>
      <c r="AC83" s="317">
        <f t="shared" si="11"/>
        <v>1368.3</v>
      </c>
      <c r="AD83" s="260"/>
      <c r="AE83" s="251"/>
      <c r="AF83" s="260">
        <v>1715</v>
      </c>
      <c r="AG83" s="513"/>
      <c r="AH83" s="248"/>
      <c r="AI83" s="1146">
        <f t="shared" si="5"/>
        <v>-346.7</v>
      </c>
      <c r="AJ83" s="1146"/>
      <c r="AK83" s="2670">
        <f>ROUND(IF(AF83=0,0,AI83/ABS(AF83)),3)</f>
        <v>-0.20200000000000001</v>
      </c>
      <c r="AL83" s="1528"/>
    </row>
    <row r="84" spans="1:38" ht="15" customHeight="1">
      <c r="A84" s="351"/>
      <c r="B84" s="587" t="s">
        <v>1322</v>
      </c>
      <c r="C84" s="223"/>
      <c r="D84" s="1256">
        <f>ROUND(SUM(D46:D83),1)</f>
        <v>1278.3</v>
      </c>
      <c r="E84" s="317"/>
      <c r="F84" s="1256">
        <f>ROUND(SUM(F46:F83),1)</f>
        <v>1319.2</v>
      </c>
      <c r="G84" s="317"/>
      <c r="H84" s="1256">
        <f>ROUND(SUM(H46:H83),1)</f>
        <v>1538.4</v>
      </c>
      <c r="I84" s="317"/>
      <c r="J84" s="1256">
        <f>ROUND(SUM(J46:J83),1)</f>
        <v>1213.7</v>
      </c>
      <c r="K84" s="317"/>
      <c r="L84" s="1256">
        <f>ROUND(SUM(L46:L83),1)</f>
        <v>1490</v>
      </c>
      <c r="M84" s="260"/>
      <c r="N84" s="1256">
        <f>ROUND(SUM(N46:N83),1)</f>
        <v>1868.8</v>
      </c>
      <c r="O84" s="260"/>
      <c r="P84" s="1256">
        <f>ROUND(SUM(P46:P83),1)</f>
        <v>1353.8</v>
      </c>
      <c r="Q84" s="260"/>
      <c r="R84" s="1256">
        <f>ROUND(SUM(R46:R83),1)</f>
        <v>1232</v>
      </c>
      <c r="S84" s="260"/>
      <c r="T84" s="1256">
        <f>ROUND(SUM(T46:T83),1)</f>
        <v>1541.8</v>
      </c>
      <c r="U84" s="260"/>
      <c r="V84" s="1256">
        <f>ROUND(SUM(V46:V83),1)</f>
        <v>1316.2</v>
      </c>
      <c r="W84" s="260"/>
      <c r="X84" s="1256">
        <f>ROUND(SUM(X46:X83),1)</f>
        <v>0</v>
      </c>
      <c r="Y84" s="260"/>
      <c r="Z84" s="1256">
        <f>ROUND(SUM(Z46:Z83),1)</f>
        <v>0</v>
      </c>
      <c r="AA84" s="260"/>
      <c r="AB84" s="249"/>
      <c r="AC84" s="2941">
        <f>ROUND(SUM(AC46:AC83),1)</f>
        <v>14152.2</v>
      </c>
      <c r="AD84" s="260"/>
      <c r="AE84" s="251"/>
      <c r="AF84" s="1256">
        <f>ROUND(SUM(AF46:AF83),1)</f>
        <v>13313.1</v>
      </c>
      <c r="AG84" s="513"/>
      <c r="AH84" s="248"/>
      <c r="AI84" s="1256">
        <f>ROUND(SUM(AI46:AI83),1)</f>
        <v>839.1</v>
      </c>
      <c r="AJ84" s="1146"/>
      <c r="AK84" s="2686">
        <f>ROUND(SUM(+AI84/AF84),3)</f>
        <v>6.3E-2</v>
      </c>
      <c r="AL84" s="1528"/>
    </row>
    <row r="85" spans="1:38" ht="15" customHeight="1">
      <c r="A85" s="351"/>
      <c r="B85" s="587"/>
      <c r="C85" s="223"/>
      <c r="D85" s="314"/>
      <c r="E85" s="317"/>
      <c r="F85" s="314"/>
      <c r="G85" s="317"/>
      <c r="H85" s="314"/>
      <c r="I85" s="317"/>
      <c r="J85" s="314"/>
      <c r="K85" s="317"/>
      <c r="L85" s="314"/>
      <c r="M85" s="260"/>
      <c r="N85" s="314"/>
      <c r="O85" s="260"/>
      <c r="P85" s="314"/>
      <c r="Q85" s="260"/>
      <c r="R85" s="314"/>
      <c r="S85" s="260"/>
      <c r="T85" s="314"/>
      <c r="U85" s="260"/>
      <c r="V85" s="314"/>
      <c r="W85" s="260"/>
      <c r="X85" s="314"/>
      <c r="Y85" s="260"/>
      <c r="Z85" s="314"/>
      <c r="AA85" s="260"/>
      <c r="AB85" s="249"/>
      <c r="AC85" s="314"/>
      <c r="AD85" s="260"/>
      <c r="AE85" s="251"/>
      <c r="AF85" s="314"/>
      <c r="AG85" s="513"/>
      <c r="AH85" s="248"/>
      <c r="AI85" s="314"/>
      <c r="AJ85" s="1146"/>
      <c r="AK85" s="2688"/>
      <c r="AL85" s="1528"/>
    </row>
    <row r="86" spans="1:38" ht="15" customHeight="1">
      <c r="A86" s="351"/>
      <c r="B86" s="518" t="s">
        <v>154</v>
      </c>
      <c r="C86" s="223"/>
      <c r="D86" s="685">
        <v>14.8</v>
      </c>
      <c r="E86" s="317"/>
      <c r="F86" s="685">
        <v>0.5</v>
      </c>
      <c r="G86" s="317"/>
      <c r="H86" s="685">
        <v>0</v>
      </c>
      <c r="I86" s="317"/>
      <c r="J86" s="685">
        <v>-1.1000000000000001</v>
      </c>
      <c r="K86" s="317"/>
      <c r="L86" s="1250">
        <v>-14.7</v>
      </c>
      <c r="M86" s="260"/>
      <c r="N86" s="371">
        <v>-0.1</v>
      </c>
      <c r="O86" s="260"/>
      <c r="P86" s="1177">
        <v>0</v>
      </c>
      <c r="Q86" s="260"/>
      <c r="R86" s="2036">
        <v>-1</v>
      </c>
      <c r="S86" s="260"/>
      <c r="T86" s="273">
        <v>0.2</v>
      </c>
      <c r="U86" s="260"/>
      <c r="V86" s="273">
        <v>0</v>
      </c>
      <c r="W86" s="260"/>
      <c r="X86" s="273"/>
      <c r="Y86" s="260"/>
      <c r="Z86" s="371"/>
      <c r="AA86" s="260"/>
      <c r="AB86" s="249"/>
      <c r="AC86" s="317">
        <f>ROUND(SUM(D86:Z86),1)</f>
        <v>-1.4</v>
      </c>
      <c r="AD86" s="248"/>
      <c r="AE86" s="251"/>
      <c r="AF86" s="515">
        <v>0.6</v>
      </c>
      <c r="AG86" s="513"/>
      <c r="AH86" s="248"/>
      <c r="AI86" s="1823">
        <f>ROUND(SUM(+AC86-AF86),1)</f>
        <v>-2</v>
      </c>
      <c r="AJ86" s="1146"/>
      <c r="AK86" s="2679">
        <f>+ROUND(IF(AF86=0,1,AI86/ABS(AF86)),3)</f>
        <v>-3.3330000000000002</v>
      </c>
      <c r="AL86" s="1528"/>
    </row>
    <row r="87" spans="1:38" ht="15" customHeight="1">
      <c r="A87" s="351"/>
      <c r="B87" s="223"/>
      <c r="C87" s="223"/>
      <c r="D87" s="287"/>
      <c r="E87" s="260"/>
      <c r="F87" s="287"/>
      <c r="G87" s="260"/>
      <c r="H87" s="287"/>
      <c r="I87" s="260"/>
      <c r="J87" s="287"/>
      <c r="K87" s="260"/>
      <c r="L87" s="287"/>
      <c r="M87" s="260"/>
      <c r="N87" s="287"/>
      <c r="O87" s="260"/>
      <c r="P87" s="287"/>
      <c r="Q87" s="260"/>
      <c r="R87" s="287"/>
      <c r="S87" s="260"/>
      <c r="T87" s="287"/>
      <c r="U87" s="260"/>
      <c r="V87" s="287"/>
      <c r="W87" s="260"/>
      <c r="X87" s="287"/>
      <c r="Y87" s="260"/>
      <c r="Z87" s="287"/>
      <c r="AA87" s="260"/>
      <c r="AB87" s="249"/>
      <c r="AC87" s="326"/>
      <c r="AD87" s="248"/>
      <c r="AE87" s="251"/>
      <c r="AF87" s="287"/>
      <c r="AG87" s="513"/>
      <c r="AH87" s="248"/>
      <c r="AI87" s="2622"/>
      <c r="AJ87" s="1798"/>
      <c r="AK87" s="2689"/>
      <c r="AL87" s="1528"/>
    </row>
    <row r="88" spans="1:38" ht="15" customHeight="1">
      <c r="A88" s="351"/>
      <c r="B88" s="221" t="s">
        <v>155</v>
      </c>
      <c r="C88" s="223"/>
      <c r="D88" s="1802">
        <f>ROUND(SUM(D42+D84+D86),1)</f>
        <v>1669.7</v>
      </c>
      <c r="E88" s="1802"/>
      <c r="F88" s="1802">
        <f>ROUND(SUM(F42+F84+F86),1)</f>
        <v>1613.6</v>
      </c>
      <c r="G88" s="1802"/>
      <c r="H88" s="1802">
        <f>ROUND(SUM(H42+H84+H86),1)</f>
        <v>2483.6</v>
      </c>
      <c r="I88" s="1802"/>
      <c r="J88" s="1802">
        <f>ROUND(SUM(J42+J84+J86),1)</f>
        <v>1539.8</v>
      </c>
      <c r="K88" s="1802"/>
      <c r="L88" s="1802">
        <f>ROUND(SUM(L42+L84+L86),1)</f>
        <v>1820.3</v>
      </c>
      <c r="M88" s="1802"/>
      <c r="N88" s="1802">
        <f>ROUND(SUM(N42+N84+N86),1)</f>
        <v>2512.1999999999998</v>
      </c>
      <c r="O88" s="1802"/>
      <c r="P88" s="1802">
        <f>ROUND(SUM(P42+P84+P86),1)</f>
        <v>1775.5</v>
      </c>
      <c r="Q88" s="1802"/>
      <c r="R88" s="1802">
        <f>ROUND(SUM(R42+R84+R86),1)</f>
        <v>1547.5</v>
      </c>
      <c r="S88" s="1802"/>
      <c r="T88" s="1802">
        <f>ROUND(SUM(T42+T84+T86),1)</f>
        <v>2208.1</v>
      </c>
      <c r="U88" s="1802"/>
      <c r="V88" s="1802">
        <f>ROUND(SUM(V42+V84+V86),1)</f>
        <v>4001.9</v>
      </c>
      <c r="W88" s="1802"/>
      <c r="X88" s="1802">
        <f>ROUND(SUM(X42+X84+X86),1)</f>
        <v>0</v>
      </c>
      <c r="Y88" s="1802"/>
      <c r="Z88" s="1802">
        <f>ROUND(SUM(Z42+Z84+Z86),1)</f>
        <v>0</v>
      </c>
      <c r="AA88" s="1802"/>
      <c r="AB88" s="258"/>
      <c r="AC88" s="311">
        <f>ROUND(SUM(AC42+AC84+AC86),1)</f>
        <v>21172.2</v>
      </c>
      <c r="AD88" s="272"/>
      <c r="AE88" s="742"/>
      <c r="AF88" s="1802">
        <f>ROUND(SUM(AF42+AF84+AF86),1)</f>
        <v>20588.099999999999</v>
      </c>
      <c r="AG88" s="520"/>
      <c r="AH88" s="272"/>
      <c r="AI88" s="1656">
        <f>ROUND(SUM(AI42+AI84+AI86),1)</f>
        <v>584.1</v>
      </c>
      <c r="AJ88" s="522"/>
      <c r="AK88" s="2674">
        <f>ROUND(SUM((AC88-AF88)/ABS(AF88)),3)</f>
        <v>2.8000000000000001E-2</v>
      </c>
      <c r="AL88" s="1528"/>
    </row>
    <row r="89" spans="1:38" ht="15" customHeight="1">
      <c r="A89" s="351"/>
      <c r="B89" s="223"/>
      <c r="C89" s="223"/>
      <c r="D89" s="287"/>
      <c r="E89" s="260"/>
      <c r="F89" s="287"/>
      <c r="G89" s="260"/>
      <c r="H89" s="287"/>
      <c r="I89" s="260"/>
      <c r="J89" s="287"/>
      <c r="K89" s="260"/>
      <c r="L89" s="287"/>
      <c r="M89" s="260"/>
      <c r="N89" s="287"/>
      <c r="O89" s="260"/>
      <c r="P89" s="287"/>
      <c r="Q89" s="260"/>
      <c r="R89" s="287"/>
      <c r="S89" s="260"/>
      <c r="T89" s="287"/>
      <c r="U89" s="260"/>
      <c r="V89" s="287"/>
      <c r="W89" s="260"/>
      <c r="X89" s="287"/>
      <c r="Y89" s="260"/>
      <c r="Z89" s="287"/>
      <c r="AA89" s="260"/>
      <c r="AB89" s="249"/>
      <c r="AC89" s="326"/>
      <c r="AD89" s="248"/>
      <c r="AE89" s="251"/>
      <c r="AF89" s="287"/>
      <c r="AG89" s="513"/>
      <c r="AH89" s="248"/>
      <c r="AI89" s="1146"/>
      <c r="AJ89" s="1798"/>
      <c r="AK89" s="2670"/>
      <c r="AL89" s="1528"/>
    </row>
    <row r="90" spans="1:38" ht="15" customHeight="1">
      <c r="A90" s="351"/>
      <c r="B90" s="374" t="s">
        <v>23</v>
      </c>
      <c r="C90" s="223"/>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49"/>
      <c r="AC90" s="317"/>
      <c r="AD90" s="248"/>
      <c r="AE90" s="251"/>
      <c r="AF90" s="260"/>
      <c r="AG90" s="513"/>
      <c r="AH90" s="248"/>
      <c r="AI90" s="1146"/>
      <c r="AJ90" s="1798"/>
      <c r="AK90" s="2670"/>
      <c r="AL90" s="1528"/>
    </row>
    <row r="91" spans="1:38" ht="12.75" customHeight="1">
      <c r="A91" s="351"/>
      <c r="B91" s="1321" t="s">
        <v>156</v>
      </c>
      <c r="C91" s="223"/>
      <c r="D91" s="273"/>
      <c r="E91" s="260"/>
      <c r="F91" s="273"/>
      <c r="G91" s="260"/>
      <c r="H91" s="260"/>
      <c r="I91" s="260"/>
      <c r="J91" s="273"/>
      <c r="K91" s="260"/>
      <c r="L91" s="273"/>
      <c r="M91" s="260"/>
      <c r="N91" s="273"/>
      <c r="O91" s="260"/>
      <c r="P91" s="273"/>
      <c r="Q91" s="260"/>
      <c r="R91" s="273"/>
      <c r="S91" s="260"/>
      <c r="T91" s="273"/>
      <c r="U91" s="260"/>
      <c r="V91" s="260"/>
      <c r="W91" s="260"/>
      <c r="X91" s="273"/>
      <c r="Y91" s="260"/>
      <c r="Z91" s="260"/>
      <c r="AA91" s="260"/>
      <c r="AB91" s="249"/>
      <c r="AC91" s="685"/>
      <c r="AD91" s="260"/>
      <c r="AE91" s="251"/>
      <c r="AF91" s="371"/>
      <c r="AG91" s="513"/>
      <c r="AH91" s="248"/>
      <c r="AI91" s="1146"/>
      <c r="AJ91" s="1798"/>
      <c r="AK91" s="2690"/>
      <c r="AL91" s="1528"/>
    </row>
    <row r="92" spans="1:38" ht="15" customHeight="1">
      <c r="A92" s="351"/>
      <c r="B92" s="380" t="s">
        <v>25</v>
      </c>
      <c r="C92" s="223"/>
      <c r="D92" s="273">
        <v>1.4</v>
      </c>
      <c r="E92" s="260"/>
      <c r="F92" s="273">
        <v>0.5</v>
      </c>
      <c r="G92" s="260"/>
      <c r="H92" s="317">
        <v>721</v>
      </c>
      <c r="I92" s="260"/>
      <c r="J92" s="1299">
        <v>-0.2</v>
      </c>
      <c r="K92" s="260"/>
      <c r="L92" s="2525">
        <v>1.5</v>
      </c>
      <c r="M92" s="260"/>
      <c r="N92" s="1177">
        <v>2261.6</v>
      </c>
      <c r="O92" s="260"/>
      <c r="P92" s="1177">
        <v>146.5</v>
      </c>
      <c r="Q92" s="260"/>
      <c r="R92" s="2730">
        <v>163.19999999999999</v>
      </c>
      <c r="S92" s="260"/>
      <c r="T92" s="273">
        <v>252</v>
      </c>
      <c r="U92" s="260"/>
      <c r="V92" s="260">
        <v>2387.3000000000002</v>
      </c>
      <c r="W92" s="260"/>
      <c r="X92" s="273"/>
      <c r="Y92" s="260"/>
      <c r="Z92" s="260"/>
      <c r="AA92" s="260"/>
      <c r="AB92" s="249"/>
      <c r="AC92" s="317">
        <f>ROUND(SUM(D92:Z92),1)</f>
        <v>5934.8</v>
      </c>
      <c r="AD92" s="260"/>
      <c r="AE92" s="251"/>
      <c r="AF92" s="1250">
        <v>6220</v>
      </c>
      <c r="AG92" s="513"/>
      <c r="AH92" s="248"/>
      <c r="AI92" s="1146">
        <f>ROUND(SUM(+AC92-AF92),1)</f>
        <v>-285.2</v>
      </c>
      <c r="AJ92" s="1146"/>
      <c r="AK92" s="2734">
        <f>ROUND(IF(AF92=0,1,AI92/ABS(AF92)),3)</f>
        <v>-4.5999999999999999E-2</v>
      </c>
      <c r="AL92" s="1528"/>
    </row>
    <row r="93" spans="1:38" ht="15" customHeight="1">
      <c r="A93" s="351"/>
      <c r="B93" s="380" t="s">
        <v>26</v>
      </c>
      <c r="C93" s="223"/>
      <c r="D93" s="273">
        <v>0</v>
      </c>
      <c r="E93" s="260"/>
      <c r="F93" s="273">
        <v>0</v>
      </c>
      <c r="G93" s="260"/>
      <c r="H93" s="371">
        <v>0.2</v>
      </c>
      <c r="I93" s="260"/>
      <c r="J93" s="273">
        <v>0.2</v>
      </c>
      <c r="K93" s="260"/>
      <c r="L93" s="1226">
        <v>0.6</v>
      </c>
      <c r="M93" s="260"/>
      <c r="N93" s="1177">
        <v>0.2</v>
      </c>
      <c r="O93" s="260"/>
      <c r="P93" s="1177">
        <v>0</v>
      </c>
      <c r="Q93" s="260"/>
      <c r="R93" s="2730">
        <v>0.2</v>
      </c>
      <c r="S93" s="260"/>
      <c r="T93" s="514">
        <v>1.3</v>
      </c>
      <c r="U93" s="260"/>
      <c r="V93" s="260">
        <v>0.5</v>
      </c>
      <c r="W93" s="260"/>
      <c r="X93" s="273"/>
      <c r="Y93" s="260"/>
      <c r="Z93" s="260"/>
      <c r="AA93" s="260"/>
      <c r="AB93" s="249"/>
      <c r="AC93" s="317">
        <f>ROUND(SUM(D93:Z93),1)</f>
        <v>3.2</v>
      </c>
      <c r="AD93" s="260"/>
      <c r="AE93" s="251"/>
      <c r="AF93" s="1250">
        <v>4.5</v>
      </c>
      <c r="AG93" s="513"/>
      <c r="AH93" s="248"/>
      <c r="AI93" s="1146">
        <f>ROUND(SUM(+AC93-AF93),1)</f>
        <v>-1.3</v>
      </c>
      <c r="AJ93" s="1146"/>
      <c r="AK93" s="2670">
        <f>ROUND(IF(AF93=0,0,AI93/ABS(AF93)),3)</f>
        <v>-0.28899999999999998</v>
      </c>
      <c r="AL93" s="1528"/>
    </row>
    <row r="94" spans="1:38" ht="15" customHeight="1">
      <c r="A94" s="351"/>
      <c r="B94" s="380" t="s">
        <v>27</v>
      </c>
      <c r="C94" s="223"/>
      <c r="D94" s="273">
        <v>9.6999999999999993</v>
      </c>
      <c r="E94" s="260"/>
      <c r="F94" s="273">
        <v>17.3</v>
      </c>
      <c r="G94" s="260"/>
      <c r="H94" s="317">
        <v>24.1</v>
      </c>
      <c r="I94" s="260"/>
      <c r="J94" s="273">
        <v>18.399999999999999</v>
      </c>
      <c r="K94" s="260"/>
      <c r="L94" s="2525">
        <v>34</v>
      </c>
      <c r="M94" s="260"/>
      <c r="N94" s="1177">
        <v>3.6</v>
      </c>
      <c r="O94" s="260"/>
      <c r="P94" s="1177">
        <v>13.9</v>
      </c>
      <c r="Q94" s="260"/>
      <c r="R94" s="2730">
        <v>6.7</v>
      </c>
      <c r="S94" s="260"/>
      <c r="T94" s="273">
        <v>11.1</v>
      </c>
      <c r="U94" s="260"/>
      <c r="V94" s="260">
        <v>19.100000000000001</v>
      </c>
      <c r="W94" s="260"/>
      <c r="X94" s="273"/>
      <c r="Y94" s="260"/>
      <c r="Z94" s="260"/>
      <c r="AA94" s="260"/>
      <c r="AB94" s="249"/>
      <c r="AC94" s="317">
        <f>ROUND(SUM(D94:Z94),1)</f>
        <v>157.9</v>
      </c>
      <c r="AD94" s="260"/>
      <c r="AE94" s="251"/>
      <c r="AF94" s="1250">
        <v>146.69999999999999</v>
      </c>
      <c r="AG94" s="513"/>
      <c r="AH94" s="248"/>
      <c r="AI94" s="1146">
        <f>ROUND(SUM(+AC94-AF94),1)</f>
        <v>11.2</v>
      </c>
      <c r="AJ94" s="1146"/>
      <c r="AK94" s="2670">
        <f>ROUND(IF(AF94=0,0,AI94/ABS(AF94)),3)</f>
        <v>7.5999999999999998E-2</v>
      </c>
      <c r="AL94" s="1528"/>
    </row>
    <row r="95" spans="1:38" ht="15" customHeight="1">
      <c r="A95" s="351"/>
      <c r="B95" s="380" t="s">
        <v>28</v>
      </c>
      <c r="C95" s="223"/>
      <c r="D95" s="273"/>
      <c r="E95" s="260"/>
      <c r="F95" s="273"/>
      <c r="G95" s="260"/>
      <c r="H95" s="317"/>
      <c r="I95" s="260"/>
      <c r="J95" s="273"/>
      <c r="K95" s="260"/>
      <c r="L95" s="2525"/>
      <c r="M95" s="260"/>
      <c r="N95" s="273"/>
      <c r="O95" s="260"/>
      <c r="P95" s="273"/>
      <c r="Q95" s="260"/>
      <c r="R95" s="273"/>
      <c r="S95" s="260"/>
      <c r="T95" s="273"/>
      <c r="U95" s="260"/>
      <c r="V95" s="260"/>
      <c r="W95" s="260"/>
      <c r="X95" s="273"/>
      <c r="Y95" s="260"/>
      <c r="Z95" s="260"/>
      <c r="AA95" s="260"/>
      <c r="AB95" s="249"/>
      <c r="AC95" s="317"/>
      <c r="AD95" s="260"/>
      <c r="AE95" s="251"/>
      <c r="AF95" s="317"/>
      <c r="AG95" s="513"/>
      <c r="AH95" s="248"/>
      <c r="AI95" s="1146"/>
      <c r="AJ95" s="1632"/>
      <c r="AK95" s="2670"/>
      <c r="AL95" s="1528"/>
    </row>
    <row r="96" spans="1:38" ht="15" customHeight="1">
      <c r="A96" s="351"/>
      <c r="B96" s="1639" t="s">
        <v>29</v>
      </c>
      <c r="C96" s="223"/>
      <c r="D96" s="273">
        <v>335.2</v>
      </c>
      <c r="E96" s="260"/>
      <c r="F96" s="273">
        <v>497.6</v>
      </c>
      <c r="G96" s="260"/>
      <c r="H96" s="317">
        <v>428.4</v>
      </c>
      <c r="I96" s="260"/>
      <c r="J96" s="273">
        <v>641.70000000000005</v>
      </c>
      <c r="K96" s="260"/>
      <c r="L96" s="2525">
        <v>477.1</v>
      </c>
      <c r="M96" s="260"/>
      <c r="N96" s="1177">
        <v>406</v>
      </c>
      <c r="O96" s="260"/>
      <c r="P96" s="1177">
        <v>434.9</v>
      </c>
      <c r="Q96" s="260"/>
      <c r="R96" s="2730">
        <v>643.1</v>
      </c>
      <c r="S96" s="260"/>
      <c r="T96" s="273">
        <v>429.2</v>
      </c>
      <c r="U96" s="260"/>
      <c r="V96" s="260">
        <v>491.9</v>
      </c>
      <c r="W96" s="260"/>
      <c r="X96" s="273"/>
      <c r="Y96" s="260"/>
      <c r="Z96" s="260"/>
      <c r="AA96" s="260"/>
      <c r="AB96" s="249"/>
      <c r="AC96" s="317">
        <f t="shared" ref="AC96:AC101" si="13">ROUND(SUM(D96:Z96),1)</f>
        <v>4785.1000000000004</v>
      </c>
      <c r="AD96" s="260"/>
      <c r="AE96" s="251"/>
      <c r="AF96" s="2574">
        <v>4411.1000000000004</v>
      </c>
      <c r="AG96" s="513"/>
      <c r="AH96" s="248"/>
      <c r="AI96" s="1146">
        <f t="shared" ref="AI96:AI101" si="14">ROUND(SUM(+AC96-AF96),1)</f>
        <v>374</v>
      </c>
      <c r="AJ96" s="1146"/>
      <c r="AK96" s="2670">
        <f>ROUND(IF(AF96=0,0,AI96/ABS(AF96)),3)</f>
        <v>8.5000000000000006E-2</v>
      </c>
      <c r="AL96" s="1528"/>
    </row>
    <row r="97" spans="1:38" ht="15" customHeight="1">
      <c r="A97" s="351"/>
      <c r="B97" s="380" t="s">
        <v>30</v>
      </c>
      <c r="C97" s="223"/>
      <c r="D97" s="273">
        <v>149.80000000000001</v>
      </c>
      <c r="E97" s="260"/>
      <c r="F97" s="273">
        <v>67.599999999999994</v>
      </c>
      <c r="G97" s="260"/>
      <c r="H97" s="317">
        <v>373.7</v>
      </c>
      <c r="I97" s="260"/>
      <c r="J97" s="273">
        <v>161.80000000000001</v>
      </c>
      <c r="K97" s="260"/>
      <c r="L97" s="2525">
        <v>95.9</v>
      </c>
      <c r="M97" s="260"/>
      <c r="N97" s="1177">
        <v>306.89999999999998</v>
      </c>
      <c r="O97" s="260"/>
      <c r="P97" s="1177">
        <v>152.9</v>
      </c>
      <c r="Q97" s="260"/>
      <c r="R97" s="2730">
        <v>71.7</v>
      </c>
      <c r="S97" s="260"/>
      <c r="T97" s="273">
        <v>322.7</v>
      </c>
      <c r="U97" s="260"/>
      <c r="V97" s="260">
        <v>161.5</v>
      </c>
      <c r="W97" s="260"/>
      <c r="X97" s="273"/>
      <c r="Y97" s="260"/>
      <c r="Z97" s="260"/>
      <c r="AA97" s="260"/>
      <c r="AB97" s="249"/>
      <c r="AC97" s="317">
        <f t="shared" si="13"/>
        <v>1864.5</v>
      </c>
      <c r="AD97" s="260"/>
      <c r="AE97" s="251"/>
      <c r="AF97" s="317">
        <v>1953.7</v>
      </c>
      <c r="AG97" s="513"/>
      <c r="AH97" s="248"/>
      <c r="AI97" s="1146">
        <f t="shared" si="14"/>
        <v>-89.2</v>
      </c>
      <c r="AJ97" s="1146"/>
      <c r="AK97" s="2670">
        <f t="shared" ref="AK97:AK101" si="15">ROUND(IF(AF97=0,0,AI97/ABS(AF97)),3)</f>
        <v>-4.5999999999999999E-2</v>
      </c>
      <c r="AL97" s="1528"/>
    </row>
    <row r="98" spans="1:38" ht="15" customHeight="1">
      <c r="A98" s="351"/>
      <c r="B98" s="380" t="s">
        <v>31</v>
      </c>
      <c r="C98" s="223"/>
      <c r="D98" s="273">
        <v>11.8</v>
      </c>
      <c r="E98" s="260"/>
      <c r="F98" s="273">
        <v>19.399999999999999</v>
      </c>
      <c r="G98" s="260"/>
      <c r="H98" s="317">
        <v>11.2</v>
      </c>
      <c r="I98" s="260"/>
      <c r="J98" s="260">
        <v>7.4</v>
      </c>
      <c r="K98" s="260"/>
      <c r="L98" s="2525">
        <v>13.4</v>
      </c>
      <c r="M98" s="260"/>
      <c r="N98" s="1177">
        <v>15.7</v>
      </c>
      <c r="O98" s="260"/>
      <c r="P98" s="1177">
        <v>-4.4000000000000004</v>
      </c>
      <c r="Q98" s="260"/>
      <c r="R98" s="2730">
        <v>15.2</v>
      </c>
      <c r="S98" s="260"/>
      <c r="T98" s="273">
        <v>12.3</v>
      </c>
      <c r="U98" s="260"/>
      <c r="V98" s="260">
        <v>10</v>
      </c>
      <c r="W98" s="260"/>
      <c r="X98" s="273"/>
      <c r="Y98" s="260"/>
      <c r="Z98" s="260"/>
      <c r="AA98" s="260"/>
      <c r="AB98" s="249"/>
      <c r="AC98" s="317">
        <f t="shared" si="13"/>
        <v>112</v>
      </c>
      <c r="AD98" s="260"/>
      <c r="AE98" s="251"/>
      <c r="AF98" s="317">
        <v>106.2</v>
      </c>
      <c r="AG98" s="513"/>
      <c r="AH98" s="248"/>
      <c r="AI98" s="1146">
        <f t="shared" si="14"/>
        <v>5.8</v>
      </c>
      <c r="AJ98" s="1146"/>
      <c r="AK98" s="2670">
        <f t="shared" si="15"/>
        <v>5.5E-2</v>
      </c>
      <c r="AL98" s="1528"/>
    </row>
    <row r="99" spans="1:38" ht="15" customHeight="1">
      <c r="A99" s="351"/>
      <c r="B99" s="380" t="s">
        <v>32</v>
      </c>
      <c r="C99" s="223"/>
      <c r="D99" s="273">
        <v>0.4</v>
      </c>
      <c r="E99" s="260"/>
      <c r="F99" s="273">
        <v>0.9</v>
      </c>
      <c r="G99" s="260"/>
      <c r="H99" s="317">
        <v>0.5</v>
      </c>
      <c r="I99" s="260"/>
      <c r="J99" s="260">
        <v>0.1</v>
      </c>
      <c r="K99" s="260"/>
      <c r="L99" s="1226">
        <v>0.6</v>
      </c>
      <c r="M99" s="260"/>
      <c r="N99" s="1177">
        <v>0.1</v>
      </c>
      <c r="O99" s="260"/>
      <c r="P99" s="1177">
        <v>0.6</v>
      </c>
      <c r="Q99" s="260"/>
      <c r="R99" s="2730">
        <v>0.9</v>
      </c>
      <c r="S99" s="260"/>
      <c r="T99" s="273">
        <v>0.1</v>
      </c>
      <c r="U99" s="260"/>
      <c r="V99" s="260">
        <v>-1.2</v>
      </c>
      <c r="W99" s="260"/>
      <c r="X99" s="273"/>
      <c r="Y99" s="260"/>
      <c r="Z99" s="260"/>
      <c r="AA99" s="260"/>
      <c r="AB99" s="249"/>
      <c r="AC99" s="317">
        <f t="shared" si="13"/>
        <v>3</v>
      </c>
      <c r="AD99" s="260"/>
      <c r="AE99" s="251"/>
      <c r="AF99" s="317">
        <v>3.7</v>
      </c>
      <c r="AG99" s="513"/>
      <c r="AH99" s="248"/>
      <c r="AI99" s="1146">
        <f t="shared" si="14"/>
        <v>-0.7</v>
      </c>
      <c r="AJ99" s="1146"/>
      <c r="AK99" s="2670">
        <f t="shared" si="15"/>
        <v>-0.189</v>
      </c>
      <c r="AL99" s="1528"/>
    </row>
    <row r="100" spans="1:38" ht="15" customHeight="1">
      <c r="A100" s="351"/>
      <c r="B100" s="380" t="s">
        <v>33</v>
      </c>
      <c r="C100" s="223"/>
      <c r="D100" s="273">
        <v>0.1</v>
      </c>
      <c r="E100" s="260"/>
      <c r="F100" s="273">
        <v>1.2</v>
      </c>
      <c r="G100" s="260"/>
      <c r="H100" s="317">
        <v>4.7</v>
      </c>
      <c r="I100" s="260"/>
      <c r="J100" s="515">
        <v>1.4</v>
      </c>
      <c r="K100" s="260"/>
      <c r="L100" s="2525">
        <v>2.5</v>
      </c>
      <c r="M100" s="265"/>
      <c r="N100" s="1177">
        <v>3.4</v>
      </c>
      <c r="O100" s="260"/>
      <c r="P100" s="1177">
        <v>0.9</v>
      </c>
      <c r="Q100" s="260"/>
      <c r="R100" s="2730">
        <v>38.5</v>
      </c>
      <c r="S100" s="260"/>
      <c r="T100" s="273">
        <v>2.5</v>
      </c>
      <c r="U100" s="260"/>
      <c r="V100" s="260">
        <v>1.6</v>
      </c>
      <c r="W100" s="371"/>
      <c r="X100" s="273"/>
      <c r="Y100" s="260"/>
      <c r="Z100" s="260"/>
      <c r="AA100" s="260"/>
      <c r="AB100" s="249"/>
      <c r="AC100" s="317">
        <f t="shared" si="13"/>
        <v>56.8</v>
      </c>
      <c r="AD100" s="260"/>
      <c r="AE100" s="251"/>
      <c r="AF100" s="1250">
        <v>88.2</v>
      </c>
      <c r="AG100" s="513"/>
      <c r="AH100" s="248"/>
      <c r="AI100" s="1146">
        <f t="shared" si="14"/>
        <v>-31.4</v>
      </c>
      <c r="AJ100" s="1146"/>
      <c r="AK100" s="2670">
        <f t="shared" si="15"/>
        <v>-0.35599999999999998</v>
      </c>
      <c r="AL100" s="1528"/>
    </row>
    <row r="101" spans="1:38" ht="15" customHeight="1">
      <c r="A101" s="351"/>
      <c r="B101" s="380" t="s">
        <v>34</v>
      </c>
      <c r="C101" s="223"/>
      <c r="D101" s="273">
        <v>192.1</v>
      </c>
      <c r="E101" s="260"/>
      <c r="F101" s="273">
        <v>457.8</v>
      </c>
      <c r="G101" s="260"/>
      <c r="H101" s="317">
        <v>513.20000000000005</v>
      </c>
      <c r="I101" s="260"/>
      <c r="J101" s="273">
        <v>307.8</v>
      </c>
      <c r="K101" s="260"/>
      <c r="L101" s="2525">
        <v>465.5</v>
      </c>
      <c r="M101" s="260"/>
      <c r="N101" s="1177">
        <v>428.7</v>
      </c>
      <c r="O101" s="260"/>
      <c r="P101" s="1177">
        <v>376.40000000000009</v>
      </c>
      <c r="Q101" s="260"/>
      <c r="R101" s="2730">
        <v>598.1</v>
      </c>
      <c r="S101" s="260"/>
      <c r="T101" s="273">
        <v>871.8</v>
      </c>
      <c r="U101" s="260"/>
      <c r="V101" s="260">
        <v>206.2</v>
      </c>
      <c r="W101" s="260"/>
      <c r="X101" s="273"/>
      <c r="Y101" s="260"/>
      <c r="Z101" s="260"/>
      <c r="AA101" s="260"/>
      <c r="AB101" s="249"/>
      <c r="AC101" s="317">
        <f t="shared" si="13"/>
        <v>4417.6000000000004</v>
      </c>
      <c r="AD101" s="248"/>
      <c r="AE101" s="251"/>
      <c r="AF101" s="524">
        <v>4146.6000000000004</v>
      </c>
      <c r="AG101" s="513"/>
      <c r="AH101" s="248"/>
      <c r="AI101" s="1146">
        <f t="shared" si="14"/>
        <v>271</v>
      </c>
      <c r="AJ101" s="1146"/>
      <c r="AK101" s="2670">
        <f t="shared" si="15"/>
        <v>6.5000000000000002E-2</v>
      </c>
      <c r="AL101" s="1528"/>
    </row>
    <row r="102" spans="1:38" ht="15" customHeight="1">
      <c r="A102" s="351"/>
      <c r="B102" s="221" t="s">
        <v>1323</v>
      </c>
      <c r="C102" s="223"/>
      <c r="D102" s="543">
        <f>ROUND(SUM(D92:D101),1)</f>
        <v>700.5</v>
      </c>
      <c r="E102" s="1802"/>
      <c r="F102" s="543">
        <f>ROUND(SUM(F92:F101),1)</f>
        <v>1062.3</v>
      </c>
      <c r="G102" s="1802"/>
      <c r="H102" s="543">
        <f>ROUND(SUM(H92:H101),1)</f>
        <v>2077</v>
      </c>
      <c r="I102" s="1802"/>
      <c r="J102" s="543">
        <f>ROUND(SUM(J92:J101),1)</f>
        <v>1138.5999999999999</v>
      </c>
      <c r="K102" s="1802"/>
      <c r="L102" s="543">
        <f>ROUND(SUM(L92:L101),1)</f>
        <v>1091.0999999999999</v>
      </c>
      <c r="M102" s="1802"/>
      <c r="N102" s="543">
        <f>ROUND(SUM(N92:N101),1)</f>
        <v>3426.2</v>
      </c>
      <c r="O102" s="1802"/>
      <c r="P102" s="543">
        <f>ROUND(SUM(P92:P101),1)</f>
        <v>1121.7</v>
      </c>
      <c r="Q102" s="1802"/>
      <c r="R102" s="543">
        <f>ROUND(SUM(R92:R101),1)</f>
        <v>1537.6</v>
      </c>
      <c r="S102" s="1802"/>
      <c r="T102" s="543">
        <f>ROUND(SUM(T92:T101),1)</f>
        <v>1903</v>
      </c>
      <c r="U102" s="1802"/>
      <c r="V102" s="543">
        <f>ROUND(SUM(V92:V101),1)</f>
        <v>3276.9</v>
      </c>
      <c r="W102" s="1802"/>
      <c r="X102" s="543">
        <f>ROUND(SUM(X92:X101),1)</f>
        <v>0</v>
      </c>
      <c r="Y102" s="1802"/>
      <c r="Z102" s="543">
        <f>ROUND(SUM(Z92:Z101),1)</f>
        <v>0</v>
      </c>
      <c r="AA102" s="1802"/>
      <c r="AB102" s="258"/>
      <c r="AC102" s="525">
        <f>ROUND(SUM(AC92:AC101),1)</f>
        <v>17334.900000000001</v>
      </c>
      <c r="AD102" s="272"/>
      <c r="AE102" s="742"/>
      <c r="AF102" s="525">
        <f>ROUND(SUM(AF92:AF101),1)</f>
        <v>17080.7</v>
      </c>
      <c r="AG102" s="520"/>
      <c r="AH102" s="272"/>
      <c r="AI102" s="255">
        <f>ROUND(SUM(AC102-AF102),1)</f>
        <v>254.2</v>
      </c>
      <c r="AJ102" s="367"/>
      <c r="AK102" s="2673">
        <f>ROUND(SUM((AC102-AF102)/ABS(AF102)),3)</f>
        <v>1.4999999999999999E-2</v>
      </c>
      <c r="AL102" s="1528"/>
    </row>
    <row r="103" spans="1:38" ht="15" customHeight="1">
      <c r="A103" s="351"/>
      <c r="B103" s="223" t="s">
        <v>175</v>
      </c>
      <c r="C103" s="223"/>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49"/>
      <c r="AC103" s="317"/>
      <c r="AD103" s="260"/>
      <c r="AE103" s="251"/>
      <c r="AF103" s="317"/>
      <c r="AG103" s="513"/>
      <c r="AH103" s="248"/>
      <c r="AI103" s="1146"/>
      <c r="AJ103" s="1798"/>
      <c r="AK103" s="2670"/>
      <c r="AL103" s="1528"/>
    </row>
    <row r="104" spans="1:38" ht="15" customHeight="1">
      <c r="A104" s="351"/>
      <c r="B104" s="223" t="s">
        <v>158</v>
      </c>
      <c r="C104" s="223"/>
      <c r="D104" s="273">
        <v>551.1</v>
      </c>
      <c r="E104" s="260"/>
      <c r="F104" s="273">
        <v>528.20000000000005</v>
      </c>
      <c r="G104" s="260"/>
      <c r="H104" s="260">
        <v>704.9</v>
      </c>
      <c r="I104" s="260"/>
      <c r="J104" s="273">
        <v>527.5</v>
      </c>
      <c r="K104" s="260"/>
      <c r="L104" s="2525">
        <v>545.20000000000005</v>
      </c>
      <c r="M104" s="260"/>
      <c r="N104" s="1177">
        <v>633.9</v>
      </c>
      <c r="O104" s="260"/>
      <c r="P104" s="1177">
        <v>531.6</v>
      </c>
      <c r="Q104" s="260"/>
      <c r="R104" s="2036">
        <v>713.6</v>
      </c>
      <c r="S104" s="260"/>
      <c r="T104" s="273">
        <v>542.39999999999964</v>
      </c>
      <c r="U104" s="260"/>
      <c r="V104" s="260">
        <v>563.29999999999995</v>
      </c>
      <c r="W104" s="260"/>
      <c r="X104" s="273"/>
      <c r="Y104" s="260"/>
      <c r="Z104" s="260"/>
      <c r="AA104" s="260"/>
      <c r="AB104" s="249"/>
      <c r="AC104" s="317">
        <f>ROUND(SUM(D104:Z104),1)</f>
        <v>5841.7</v>
      </c>
      <c r="AD104" s="2042"/>
      <c r="AE104" s="251"/>
      <c r="AF104" s="260">
        <v>5797.6</v>
      </c>
      <c r="AG104" s="513"/>
      <c r="AH104" s="248"/>
      <c r="AI104" s="1146">
        <f>ROUND(SUM(+AC104-AF104),1)</f>
        <v>44.1</v>
      </c>
      <c r="AJ104" s="1146"/>
      <c r="AK104" s="2670">
        <f>ROUND(IF(AF104=0,0,AI104/ABS(AF104)),3)</f>
        <v>8.0000000000000002E-3</v>
      </c>
      <c r="AL104" s="1528"/>
    </row>
    <row r="105" spans="1:38" ht="15" customHeight="1">
      <c r="A105" s="351"/>
      <c r="B105" s="223" t="s">
        <v>176</v>
      </c>
      <c r="C105" s="223"/>
      <c r="D105" s="273">
        <v>214.5</v>
      </c>
      <c r="E105" s="260"/>
      <c r="F105" s="273">
        <v>292.2</v>
      </c>
      <c r="G105" s="260"/>
      <c r="H105" s="260">
        <v>323</v>
      </c>
      <c r="I105" s="260"/>
      <c r="J105" s="273">
        <v>218.8</v>
      </c>
      <c r="K105" s="260"/>
      <c r="L105" s="2525">
        <v>325.10000000000002</v>
      </c>
      <c r="M105" s="260"/>
      <c r="N105" s="1177">
        <v>302.89999999999998</v>
      </c>
      <c r="O105" s="260"/>
      <c r="P105" s="1177">
        <v>280.39999999999998</v>
      </c>
      <c r="Q105" s="260"/>
      <c r="R105" s="2036">
        <v>288.3</v>
      </c>
      <c r="S105" s="260"/>
      <c r="T105" s="273">
        <v>316.5</v>
      </c>
      <c r="U105" s="260"/>
      <c r="V105" s="260">
        <v>272.2</v>
      </c>
      <c r="W105" s="260"/>
      <c r="X105" s="273"/>
      <c r="Y105" s="260"/>
      <c r="Z105" s="260"/>
      <c r="AA105" s="260"/>
      <c r="AB105" s="249"/>
      <c r="AC105" s="317">
        <f>ROUND(SUM(D105:Z105),1)</f>
        <v>2833.9</v>
      </c>
      <c r="AD105" s="2042"/>
      <c r="AE105" s="251"/>
      <c r="AF105" s="260">
        <v>2867.8</v>
      </c>
      <c r="AG105" s="513"/>
      <c r="AH105" s="248"/>
      <c r="AI105" s="1146">
        <f>ROUND(SUM(+AC105-AF105),1)</f>
        <v>-33.9</v>
      </c>
      <c r="AJ105" s="1146"/>
      <c r="AK105" s="2670">
        <f>ROUND(IF(AF105=0,0,AI105/ABS(AF105)),3)</f>
        <v>-1.2E-2</v>
      </c>
      <c r="AL105" s="1528"/>
    </row>
    <row r="106" spans="1:38" ht="15" customHeight="1">
      <c r="A106" s="351"/>
      <c r="B106" s="223" t="s">
        <v>177</v>
      </c>
      <c r="C106" s="223"/>
      <c r="D106" s="273">
        <v>179</v>
      </c>
      <c r="E106" s="260"/>
      <c r="F106" s="273">
        <v>237.6</v>
      </c>
      <c r="G106" s="260"/>
      <c r="H106" s="260">
        <v>103.6</v>
      </c>
      <c r="I106" s="260"/>
      <c r="J106" s="273">
        <v>26.9</v>
      </c>
      <c r="K106" s="260"/>
      <c r="L106" s="2525">
        <v>69.099999999999994</v>
      </c>
      <c r="M106" s="260"/>
      <c r="N106" s="1177">
        <v>416.6</v>
      </c>
      <c r="O106" s="260"/>
      <c r="P106" s="1177">
        <v>24.9</v>
      </c>
      <c r="Q106" s="260"/>
      <c r="R106" s="2036">
        <v>491.1</v>
      </c>
      <c r="S106" s="260"/>
      <c r="T106" s="273">
        <v>102.4</v>
      </c>
      <c r="U106" s="260"/>
      <c r="V106" s="260">
        <v>90</v>
      </c>
      <c r="W106" s="260"/>
      <c r="X106" s="273"/>
      <c r="Y106" s="260"/>
      <c r="Z106" s="260"/>
      <c r="AA106" s="260"/>
      <c r="AB106" s="249"/>
      <c r="AC106" s="317">
        <f>ROUND(SUM(D106:Z106),1)</f>
        <v>1741.2</v>
      </c>
      <c r="AD106" s="2042"/>
      <c r="AE106" s="251"/>
      <c r="AF106" s="260">
        <v>1507.1</v>
      </c>
      <c r="AG106" s="513"/>
      <c r="AH106" s="248"/>
      <c r="AI106" s="1146">
        <f>ROUND(SUM(+AC106-AF106),1)</f>
        <v>234.1</v>
      </c>
      <c r="AJ106" s="1146"/>
      <c r="AK106" s="2670">
        <f>ROUND(IF(AF106=0,0,AI106/ABS(AF106)),3)</f>
        <v>0.155</v>
      </c>
      <c r="AL106" s="1528"/>
    </row>
    <row r="107" spans="1:38" ht="15" customHeight="1">
      <c r="A107" s="351"/>
      <c r="B107" s="223" t="s">
        <v>178</v>
      </c>
      <c r="C107" s="223"/>
      <c r="D107" s="273">
        <v>0.1</v>
      </c>
      <c r="E107" s="260"/>
      <c r="F107" s="273">
        <v>0.1</v>
      </c>
      <c r="G107" s="260"/>
      <c r="H107" s="260">
        <v>0.2</v>
      </c>
      <c r="I107" s="260"/>
      <c r="J107" s="273">
        <v>0.2</v>
      </c>
      <c r="K107" s="260"/>
      <c r="L107" s="2525">
        <v>0.2</v>
      </c>
      <c r="M107" s="260"/>
      <c r="N107" s="1177">
        <v>1.6</v>
      </c>
      <c r="O107" s="260"/>
      <c r="P107" s="1177">
        <v>0</v>
      </c>
      <c r="Q107" s="260"/>
      <c r="R107" s="2036">
        <v>0.1</v>
      </c>
      <c r="S107" s="260"/>
      <c r="T107" s="273">
        <v>0.2</v>
      </c>
      <c r="U107" s="260"/>
      <c r="V107" s="260">
        <v>0</v>
      </c>
      <c r="W107" s="260"/>
      <c r="X107" s="273"/>
      <c r="Y107" s="260"/>
      <c r="Z107" s="260"/>
      <c r="AA107" s="260"/>
      <c r="AB107" s="249"/>
      <c r="AC107" s="317">
        <f>ROUND(SUM(D107:Z107),1)</f>
        <v>2.7</v>
      </c>
      <c r="AD107" s="263"/>
      <c r="AE107" s="251"/>
      <c r="AF107" s="514">
        <v>1.3</v>
      </c>
      <c r="AG107" s="513"/>
      <c r="AH107" s="248"/>
      <c r="AI107" s="1146">
        <f>ROUND(SUM(+AC107-AF107),1)</f>
        <v>1.4</v>
      </c>
      <c r="AJ107" s="1146"/>
      <c r="AK107" s="2679">
        <f>ROUND(IF(AF107=0,1,AI107/ABS(AF107)),3)</f>
        <v>1.077</v>
      </c>
      <c r="AL107" s="1528"/>
    </row>
    <row r="108" spans="1:38" ht="15" customHeight="1">
      <c r="A108" s="351"/>
      <c r="B108" s="223"/>
      <c r="C108" s="223"/>
      <c r="D108" s="287"/>
      <c r="E108" s="260"/>
      <c r="F108" s="287"/>
      <c r="G108" s="260"/>
      <c r="H108" s="287"/>
      <c r="I108" s="260"/>
      <c r="J108" s="287"/>
      <c r="K108" s="260"/>
      <c r="L108" s="287"/>
      <c r="M108" s="260"/>
      <c r="N108" s="287"/>
      <c r="O108" s="260"/>
      <c r="P108" s="287"/>
      <c r="Q108" s="260"/>
      <c r="R108" s="287"/>
      <c r="S108" s="260"/>
      <c r="T108" s="287"/>
      <c r="U108" s="260"/>
      <c r="V108" s="287"/>
      <c r="W108" s="260"/>
      <c r="X108" s="287"/>
      <c r="Y108" s="260"/>
      <c r="Z108" s="287"/>
      <c r="AA108" s="260"/>
      <c r="AB108" s="249"/>
      <c r="AC108" s="326"/>
      <c r="AD108" s="248"/>
      <c r="AE108" s="251"/>
      <c r="AF108" s="287"/>
      <c r="AG108" s="513"/>
      <c r="AH108" s="248"/>
      <c r="AI108" s="2622"/>
      <c r="AJ108" s="1798"/>
      <c r="AK108" s="2689"/>
      <c r="AL108" s="1528"/>
    </row>
    <row r="109" spans="1:38" ht="15" customHeight="1">
      <c r="A109" s="351"/>
      <c r="B109" s="221" t="s">
        <v>161</v>
      </c>
      <c r="C109" s="223"/>
      <c r="D109" s="1802">
        <f>ROUND(SUM(D102:D107),1)</f>
        <v>1645.2</v>
      </c>
      <c r="E109" s="1802"/>
      <c r="F109" s="1802">
        <f>ROUND(SUM(F102:F107),1)</f>
        <v>2120.4</v>
      </c>
      <c r="G109" s="1802"/>
      <c r="H109" s="1802">
        <f>ROUND(SUM(H102:H107),1)</f>
        <v>3208.7</v>
      </c>
      <c r="I109" s="1802"/>
      <c r="J109" s="1802">
        <f>ROUND(SUM(J102:J107),1)</f>
        <v>1912</v>
      </c>
      <c r="K109" s="1802"/>
      <c r="L109" s="1802">
        <f>ROUND(SUM(L102:L107),1)</f>
        <v>2030.7</v>
      </c>
      <c r="M109" s="1802"/>
      <c r="N109" s="1802">
        <f>ROUND(SUM(N102:N107),1)</f>
        <v>4781.2</v>
      </c>
      <c r="O109" s="1802"/>
      <c r="P109" s="1802">
        <f>ROUND(SUM(P102:P107),1)</f>
        <v>1958.6</v>
      </c>
      <c r="Q109" s="1802"/>
      <c r="R109" s="1802">
        <f>ROUND(SUM(R102:R107),1)</f>
        <v>3030.7</v>
      </c>
      <c r="S109" s="1802"/>
      <c r="T109" s="1802">
        <f>ROUND(SUM(T102:T107),1)</f>
        <v>2864.5</v>
      </c>
      <c r="U109" s="1802"/>
      <c r="V109" s="1802">
        <f>ROUND(SUM(V102:V107),1)</f>
        <v>4202.3999999999996</v>
      </c>
      <c r="W109" s="1802"/>
      <c r="X109" s="1802">
        <f>ROUND(SUM(X102:X107),1)</f>
        <v>0</v>
      </c>
      <c r="Y109" s="1802"/>
      <c r="Z109" s="1802">
        <f>ROUND(SUM(Z102:Z107),1)</f>
        <v>0</v>
      </c>
      <c r="AA109" s="1802"/>
      <c r="AB109" s="258"/>
      <c r="AC109" s="311">
        <f>ROUND(SUM(AC102:AC107),1)</f>
        <v>27754.400000000001</v>
      </c>
      <c r="AD109" s="272"/>
      <c r="AE109" s="742"/>
      <c r="AF109" s="1802">
        <f>ROUND(SUM(AF102:AF107),1)</f>
        <v>27254.5</v>
      </c>
      <c r="AG109" s="520"/>
      <c r="AH109" s="272"/>
      <c r="AI109" s="270">
        <f>ROUND(SUM(AC109-AF109),1)</f>
        <v>499.9</v>
      </c>
      <c r="AJ109" s="412"/>
      <c r="AK109" s="2674">
        <f>ROUND(SUM((AC109-AF109)/ABS(AF109)),3)</f>
        <v>1.7999999999999999E-2</v>
      </c>
      <c r="AL109" s="1528"/>
    </row>
    <row r="110" spans="1:38" ht="15" customHeight="1">
      <c r="A110" s="351"/>
      <c r="B110" s="223"/>
      <c r="C110" s="223"/>
      <c r="D110" s="287"/>
      <c r="E110" s="260"/>
      <c r="F110" s="287"/>
      <c r="G110" s="260"/>
      <c r="H110" s="287"/>
      <c r="I110" s="260"/>
      <c r="J110" s="287"/>
      <c r="K110" s="260"/>
      <c r="L110" s="287"/>
      <c r="M110" s="260"/>
      <c r="N110" s="287"/>
      <c r="O110" s="260"/>
      <c r="P110" s="287"/>
      <c r="Q110" s="260"/>
      <c r="R110" s="287"/>
      <c r="S110" s="260"/>
      <c r="T110" s="287"/>
      <c r="U110" s="260"/>
      <c r="V110" s="287"/>
      <c r="W110" s="260"/>
      <c r="X110" s="287"/>
      <c r="Y110" s="260"/>
      <c r="Z110" s="287"/>
      <c r="AA110" s="260"/>
      <c r="AB110" s="249"/>
      <c r="AC110" s="287"/>
      <c r="AD110" s="248"/>
      <c r="AE110" s="251"/>
      <c r="AF110" s="287"/>
      <c r="AG110" s="513"/>
      <c r="AH110" s="248"/>
      <c r="AI110" s="1146"/>
      <c r="AJ110" s="1798"/>
      <c r="AK110" s="2670"/>
      <c r="AL110" s="1528"/>
    </row>
    <row r="111" spans="1:38" ht="15" customHeight="1">
      <c r="A111" s="351"/>
      <c r="B111" s="221" t="s">
        <v>162</v>
      </c>
      <c r="C111" s="223"/>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49"/>
      <c r="AC111" s="260"/>
      <c r="AD111" s="248"/>
      <c r="AE111" s="251"/>
      <c r="AF111" s="260"/>
      <c r="AG111" s="513"/>
      <c r="AH111" s="248"/>
      <c r="AI111" s="1823"/>
      <c r="AJ111" s="1798"/>
      <c r="AK111" s="2670"/>
      <c r="AL111" s="1528"/>
    </row>
    <row r="112" spans="1:38" ht="15" customHeight="1">
      <c r="A112" s="351"/>
      <c r="B112" s="221" t="s">
        <v>45</v>
      </c>
      <c r="C112" s="223"/>
      <c r="D112" s="1802">
        <f>ROUND(SUM(D88-D109),1)</f>
        <v>24.5</v>
      </c>
      <c r="E112" s="1802"/>
      <c r="F112" s="1802">
        <f>ROUND(SUM(F88-F109),1)</f>
        <v>-506.8</v>
      </c>
      <c r="G112" s="1802"/>
      <c r="H112" s="1802">
        <f>ROUND(SUM(H88-H109),1)</f>
        <v>-725.1</v>
      </c>
      <c r="I112" s="1802"/>
      <c r="J112" s="1802">
        <f>ROUND(SUM(J88-J109),1)</f>
        <v>-372.2</v>
      </c>
      <c r="K112" s="1802"/>
      <c r="L112" s="1802">
        <f>ROUND(SUM(L88-L109),1)</f>
        <v>-210.4</v>
      </c>
      <c r="M112" s="1802"/>
      <c r="N112" s="1802">
        <f>ROUND(SUM(N88-N109),1)</f>
        <v>-2269</v>
      </c>
      <c r="O112" s="1802"/>
      <c r="P112" s="1802">
        <f>ROUND(SUM(P88-P109),1)</f>
        <v>-183.1</v>
      </c>
      <c r="Q112" s="1802"/>
      <c r="R112" s="1802">
        <f>ROUND(SUM(R88-R109),1)</f>
        <v>-1483.2</v>
      </c>
      <c r="S112" s="1802"/>
      <c r="T112" s="1802">
        <f>ROUND(SUM(T88-T109),1)</f>
        <v>-656.4</v>
      </c>
      <c r="U112" s="1802"/>
      <c r="V112" s="1802">
        <f>ROUND(SUM(V88-V109),1)</f>
        <v>-200.5</v>
      </c>
      <c r="W112" s="1802"/>
      <c r="X112" s="1802">
        <f>ROUND(SUM(X88-X109),1)</f>
        <v>0</v>
      </c>
      <c r="Y112" s="1802"/>
      <c r="Z112" s="1802">
        <f>ROUND(SUM(Z88-Z109),1)</f>
        <v>0</v>
      </c>
      <c r="AA112" s="1802"/>
      <c r="AB112" s="258"/>
      <c r="AC112" s="1802">
        <f>ROUND(SUM(AC88-AC109),1)</f>
        <v>-6582.2</v>
      </c>
      <c r="AD112" s="272"/>
      <c r="AE112" s="742"/>
      <c r="AF112" s="1802">
        <f>ROUND(SUM(AF88-AF109),1)</f>
        <v>-6666.4</v>
      </c>
      <c r="AG112" s="520"/>
      <c r="AH112" s="272"/>
      <c r="AI112" s="270">
        <f>ROUND(SUM(AC112-AF112),1)</f>
        <v>84.2</v>
      </c>
      <c r="AJ112" s="411"/>
      <c r="AK112" s="3112">
        <f>ROUND(IF(AF112=0,0,AI112/ABS(AF112)),3)</f>
        <v>1.2999999999999999E-2</v>
      </c>
      <c r="AL112" s="1528"/>
    </row>
    <row r="113" spans="1:51" ht="15" customHeight="1">
      <c r="A113" s="351"/>
      <c r="B113" s="223"/>
      <c r="C113" s="223"/>
      <c r="D113" s="287"/>
      <c r="E113" s="260"/>
      <c r="F113" s="287"/>
      <c r="G113" s="260"/>
      <c r="H113" s="287"/>
      <c r="I113" s="260"/>
      <c r="J113" s="287"/>
      <c r="K113" s="260"/>
      <c r="L113" s="287"/>
      <c r="M113" s="260"/>
      <c r="N113" s="287"/>
      <c r="O113" s="260"/>
      <c r="P113" s="287"/>
      <c r="Q113" s="260"/>
      <c r="R113" s="287"/>
      <c r="S113" s="260"/>
      <c r="T113" s="287"/>
      <c r="U113" s="260"/>
      <c r="V113" s="287"/>
      <c r="W113" s="260"/>
      <c r="X113" s="287"/>
      <c r="Y113" s="260"/>
      <c r="Z113" s="287"/>
      <c r="AA113" s="260"/>
      <c r="AB113" s="249"/>
      <c r="AC113" s="287"/>
      <c r="AD113" s="248"/>
      <c r="AE113" s="251"/>
      <c r="AF113" s="287"/>
      <c r="AG113" s="513"/>
      <c r="AH113" s="248"/>
      <c r="AI113" s="1146"/>
      <c r="AJ113" s="1798"/>
      <c r="AK113" s="2670"/>
      <c r="AL113" s="1528"/>
    </row>
    <row r="114" spans="1:51" ht="15" customHeight="1">
      <c r="A114" s="351"/>
      <c r="B114" s="221" t="s">
        <v>46</v>
      </c>
      <c r="C114" s="223"/>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49"/>
      <c r="AC114" s="260"/>
      <c r="AD114" s="248"/>
      <c r="AE114" s="251"/>
      <c r="AF114" s="317"/>
      <c r="AG114" s="513"/>
      <c r="AH114" s="248"/>
      <c r="AI114" s="1146"/>
      <c r="AJ114" s="1798"/>
      <c r="AK114" s="2670"/>
      <c r="AL114" s="1528"/>
    </row>
    <row r="115" spans="1:51" ht="15" customHeight="1">
      <c r="A115" s="351"/>
      <c r="B115" s="223" t="s">
        <v>182</v>
      </c>
      <c r="C115" s="223"/>
      <c r="D115" s="273">
        <v>560</v>
      </c>
      <c r="E115" s="260"/>
      <c r="F115" s="273">
        <v>1365.6</v>
      </c>
      <c r="G115" s="260"/>
      <c r="H115" s="273">
        <v>755</v>
      </c>
      <c r="I115" s="260"/>
      <c r="J115" s="273">
        <v>996.8</v>
      </c>
      <c r="K115" s="260"/>
      <c r="L115" s="1299">
        <v>708</v>
      </c>
      <c r="M115" s="260"/>
      <c r="N115" s="1177">
        <v>218.6</v>
      </c>
      <c r="O115" s="260"/>
      <c r="P115" s="1177">
        <v>677.4</v>
      </c>
      <c r="Q115" s="260"/>
      <c r="R115" s="2036">
        <v>633.4</v>
      </c>
      <c r="S115" s="260"/>
      <c r="T115" s="273">
        <v>655.6</v>
      </c>
      <c r="U115" s="260"/>
      <c r="V115" s="273">
        <v>372.5</v>
      </c>
      <c r="W115" s="260"/>
      <c r="X115" s="273"/>
      <c r="Y115" s="260"/>
      <c r="Z115" s="273"/>
      <c r="AA115" s="260"/>
      <c r="AB115" s="249"/>
      <c r="AC115" s="317">
        <f>ROUND(SUM(D115:Z115),1)</f>
        <v>6942.9</v>
      </c>
      <c r="AD115" s="1323"/>
      <c r="AE115" s="251"/>
      <c r="AF115" s="317">
        <f>7497.7+431.7</f>
        <v>7929.4</v>
      </c>
      <c r="AG115" s="513"/>
      <c r="AH115" s="248"/>
      <c r="AI115" s="1146">
        <f>ROUND(SUM(+AC115-AF115),1)</f>
        <v>-986.5</v>
      </c>
      <c r="AJ115" s="1146"/>
      <c r="AK115" s="2670">
        <f>ROUND(IF(AF115=0,0,AI115/ABS(AF115)),3)</f>
        <v>-0.124</v>
      </c>
      <c r="AL115" s="1528"/>
    </row>
    <row r="116" spans="1:51" ht="15" customHeight="1">
      <c r="A116" s="351"/>
      <c r="B116" s="223" t="s">
        <v>180</v>
      </c>
      <c r="C116" s="223"/>
      <c r="D116" s="273">
        <v>-4.4000000000000004</v>
      </c>
      <c r="E116" s="260"/>
      <c r="F116" s="273">
        <v>-4.3</v>
      </c>
      <c r="G116" s="260"/>
      <c r="H116" s="273">
        <v>-38.9</v>
      </c>
      <c r="I116" s="260"/>
      <c r="J116" s="273">
        <v>-18.399999999999999</v>
      </c>
      <c r="K116" s="260"/>
      <c r="L116" s="1299">
        <v>-22.5</v>
      </c>
      <c r="M116" s="260"/>
      <c r="N116" s="1177">
        <v>-42.5</v>
      </c>
      <c r="O116" s="260"/>
      <c r="P116" s="1177">
        <v>-24</v>
      </c>
      <c r="Q116" s="260"/>
      <c r="R116" s="2036">
        <v>-16.5</v>
      </c>
      <c r="S116" s="260"/>
      <c r="T116" s="273">
        <v>-12.2</v>
      </c>
      <c r="U116" s="260"/>
      <c r="V116" s="273">
        <v>-90.1</v>
      </c>
      <c r="W116" s="260"/>
      <c r="X116" s="273"/>
      <c r="Y116" s="260"/>
      <c r="Z116" s="273"/>
      <c r="AA116" s="260"/>
      <c r="AB116" s="249"/>
      <c r="AC116" s="317">
        <f>ROUND(SUM(D116:Z116),1)</f>
        <v>-273.8</v>
      </c>
      <c r="AD116" s="248"/>
      <c r="AE116" s="251"/>
      <c r="AF116" s="1250">
        <v>-566.29999999999995</v>
      </c>
      <c r="AG116" s="513"/>
      <c r="AH116" s="248"/>
      <c r="AI116" s="1823">
        <f>ROUND(SUM(+AC116-AF116)*-1,1)</f>
        <v>-292.5</v>
      </c>
      <c r="AJ116" s="1823"/>
      <c r="AK116" s="2670">
        <f>ROUND(IF(AF116=0,0,AI116/ABS(AF116)),3)</f>
        <v>-0.51700000000000002</v>
      </c>
      <c r="AL116" s="1528"/>
    </row>
    <row r="117" spans="1:51" ht="15" customHeight="1">
      <c r="A117" s="351"/>
      <c r="B117" s="223"/>
      <c r="C117" s="223"/>
      <c r="D117" s="287"/>
      <c r="E117" s="260"/>
      <c r="F117" s="287"/>
      <c r="G117" s="260"/>
      <c r="H117" s="287"/>
      <c r="I117" s="260"/>
      <c r="J117" s="287"/>
      <c r="K117" s="260"/>
      <c r="L117" s="287"/>
      <c r="M117" s="260"/>
      <c r="N117" s="287"/>
      <c r="O117" s="260"/>
      <c r="P117" s="287"/>
      <c r="Q117" s="260"/>
      <c r="R117" s="287"/>
      <c r="S117" s="260"/>
      <c r="T117" s="287"/>
      <c r="U117" s="260"/>
      <c r="V117" s="287"/>
      <c r="W117" s="260"/>
      <c r="X117" s="287"/>
      <c r="Y117" s="260"/>
      <c r="Z117" s="287"/>
      <c r="AA117" s="260"/>
      <c r="AB117" s="249"/>
      <c r="AC117" s="287"/>
      <c r="AD117" s="248"/>
      <c r="AE117" s="251"/>
      <c r="AF117" s="326"/>
      <c r="AG117" s="513"/>
      <c r="AH117" s="248"/>
      <c r="AI117" s="2622"/>
      <c r="AJ117" s="1798"/>
      <c r="AK117" s="2689"/>
      <c r="AL117" s="1528"/>
    </row>
    <row r="118" spans="1:51" ht="15" customHeight="1">
      <c r="A118" s="351"/>
      <c r="B118" s="221" t="s">
        <v>1324</v>
      </c>
      <c r="C118" s="223"/>
      <c r="D118" s="1802">
        <f>ROUND(SUM(D115:D117),1)</f>
        <v>555.6</v>
      </c>
      <c r="E118" s="1802"/>
      <c r="F118" s="1802">
        <f>ROUND(SUM(F115:F117),1)</f>
        <v>1361.3</v>
      </c>
      <c r="G118" s="1802"/>
      <c r="H118" s="1802">
        <f>ROUND(SUM(H115:H117),1)</f>
        <v>716.1</v>
      </c>
      <c r="I118" s="1802"/>
      <c r="J118" s="1802">
        <f>ROUND(SUM(J115:J117),1)</f>
        <v>978.4</v>
      </c>
      <c r="K118" s="1802"/>
      <c r="L118" s="1802">
        <f>ROUND(SUM(L115:L117),1)</f>
        <v>685.5</v>
      </c>
      <c r="M118" s="1802"/>
      <c r="N118" s="1802">
        <f>ROUND(SUM(N115:N117),1)</f>
        <v>176.1</v>
      </c>
      <c r="O118" s="1802"/>
      <c r="P118" s="1802">
        <f>ROUND(SUM(P115:P117),1)</f>
        <v>653.4</v>
      </c>
      <c r="Q118" s="1802"/>
      <c r="R118" s="1802">
        <f>ROUND(SUM(R115:R117),1)</f>
        <v>616.9</v>
      </c>
      <c r="S118" s="1802"/>
      <c r="T118" s="1802">
        <f>ROUND(SUM(T115:T117),1)</f>
        <v>643.4</v>
      </c>
      <c r="U118" s="1802"/>
      <c r="V118" s="1802">
        <f>ROUND(SUM(V115:V117),1)</f>
        <v>282.39999999999998</v>
      </c>
      <c r="W118" s="1802"/>
      <c r="X118" s="1802">
        <f>ROUND(SUM(X115:X117),1)</f>
        <v>0</v>
      </c>
      <c r="Y118" s="1802"/>
      <c r="Z118" s="1802">
        <f>ROUND(SUM(Z115:Z117),1)</f>
        <v>0</v>
      </c>
      <c r="AA118" s="1802"/>
      <c r="AB118" s="258"/>
      <c r="AC118" s="311">
        <f>ROUND(SUM(AC115:AC117),1)</f>
        <v>6669.1</v>
      </c>
      <c r="AD118" s="272"/>
      <c r="AE118" s="742"/>
      <c r="AF118" s="311">
        <f>ROUND(SUM(AF115:AF117),1)</f>
        <v>7363.1</v>
      </c>
      <c r="AG118" s="520"/>
      <c r="AH118" s="272"/>
      <c r="AI118" s="270">
        <f>ROUND(SUM(AC118-AF118),1)</f>
        <v>-694</v>
      </c>
      <c r="AJ118" s="367"/>
      <c r="AK118" s="2674">
        <f>ROUND(SUM((AC118-AF118)/ABS(AF118)),3)</f>
        <v>-9.4E-2</v>
      </c>
      <c r="AL118" s="2567"/>
    </row>
    <row r="119" spans="1:51" ht="15" customHeight="1">
      <c r="A119" s="351"/>
      <c r="B119" s="223"/>
      <c r="C119" s="223"/>
      <c r="D119" s="287"/>
      <c r="E119" s="260"/>
      <c r="F119" s="287"/>
      <c r="G119" s="260"/>
      <c r="H119" s="287"/>
      <c r="I119" s="260"/>
      <c r="J119" s="287"/>
      <c r="K119" s="260"/>
      <c r="L119" s="287"/>
      <c r="M119" s="260"/>
      <c r="N119" s="287"/>
      <c r="O119" s="260"/>
      <c r="P119" s="287"/>
      <c r="Q119" s="260"/>
      <c r="R119" s="287"/>
      <c r="S119" s="260"/>
      <c r="T119" s="287"/>
      <c r="U119" s="260"/>
      <c r="V119" s="287"/>
      <c r="W119" s="260"/>
      <c r="X119" s="287"/>
      <c r="Y119" s="260"/>
      <c r="Z119" s="287"/>
      <c r="AA119" s="260"/>
      <c r="AB119" s="249"/>
      <c r="AC119" s="287"/>
      <c r="AD119" s="248"/>
      <c r="AE119" s="251"/>
      <c r="AF119" s="326"/>
      <c r="AG119" s="513"/>
      <c r="AH119" s="248"/>
      <c r="AI119" s="1146"/>
      <c r="AJ119" s="1798"/>
      <c r="AK119" s="2670"/>
      <c r="AL119" s="1528"/>
    </row>
    <row r="120" spans="1:51" ht="15" customHeight="1">
      <c r="A120" s="351"/>
      <c r="B120" s="221" t="s">
        <v>171</v>
      </c>
      <c r="C120" s="223"/>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49"/>
      <c r="AC120" s="260"/>
      <c r="AD120" s="248"/>
      <c r="AE120" s="251"/>
      <c r="AF120" s="317"/>
      <c r="AG120" s="513"/>
      <c r="AH120" s="248"/>
      <c r="AI120" s="1146"/>
      <c r="AJ120" s="1798"/>
      <c r="AK120" s="2670"/>
      <c r="AL120" s="1528"/>
    </row>
    <row r="121" spans="1:51" ht="15" customHeight="1">
      <c r="A121" s="351"/>
      <c r="B121" s="221" t="s">
        <v>1392</v>
      </c>
      <c r="C121" s="223"/>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49"/>
      <c r="AC121" s="260"/>
      <c r="AD121" s="248"/>
      <c r="AE121" s="251"/>
      <c r="AF121" s="422"/>
      <c r="AG121" s="513"/>
      <c r="AH121" s="248"/>
      <c r="AI121" s="1146"/>
      <c r="AJ121" s="1798"/>
      <c r="AK121" s="2670"/>
      <c r="AL121" s="1528"/>
    </row>
    <row r="122" spans="1:51" ht="15" customHeight="1">
      <c r="A122" s="351"/>
      <c r="B122" s="221" t="s">
        <v>1320</v>
      </c>
      <c r="C122" s="223"/>
      <c r="D122" s="1656">
        <f>ROUND(SUM(D112+D118),1)</f>
        <v>580.1</v>
      </c>
      <c r="E122" s="1802"/>
      <c r="F122" s="1656">
        <f>ROUND(SUM(F112+F118),1)</f>
        <v>854.5</v>
      </c>
      <c r="G122" s="1802"/>
      <c r="H122" s="1656">
        <f>ROUND(SUM(H112+H118),1)</f>
        <v>-9</v>
      </c>
      <c r="I122" s="1802"/>
      <c r="J122" s="1656">
        <f>ROUND(SUM(J112+J118),1)</f>
        <v>606.20000000000005</v>
      </c>
      <c r="K122" s="1802"/>
      <c r="L122" s="1656">
        <f>ROUND(SUM(L112+L118),1)</f>
        <v>475.1</v>
      </c>
      <c r="M122" s="1802"/>
      <c r="N122" s="1656">
        <f>ROUND(SUM(N112+N118),1)</f>
        <v>-2092.9</v>
      </c>
      <c r="O122" s="1802"/>
      <c r="P122" s="1656">
        <f>ROUND(SUM(P112+P118),1)</f>
        <v>470.3</v>
      </c>
      <c r="Q122" s="1802"/>
      <c r="R122" s="1656">
        <f>ROUND(SUM(R112+R118),1)</f>
        <v>-866.3</v>
      </c>
      <c r="S122" s="1802"/>
      <c r="T122" s="1656">
        <f>ROUND(SUM(T112+T118),1)</f>
        <v>-13</v>
      </c>
      <c r="U122" s="1802"/>
      <c r="V122" s="1656">
        <f>ROUND(SUM(V112+V118),1)</f>
        <v>81.900000000000006</v>
      </c>
      <c r="W122" s="1802"/>
      <c r="X122" s="1656">
        <f>ROUND(SUM(X112+X118),1)</f>
        <v>0</v>
      </c>
      <c r="Y122" s="1802"/>
      <c r="Z122" s="1656">
        <f>ROUND(SUM(Z112+Z118),1)</f>
        <v>0</v>
      </c>
      <c r="AA122" s="1802"/>
      <c r="AB122" s="258"/>
      <c r="AC122" s="1656">
        <f>ROUND(SUM(AC112+AC118),1)</f>
        <v>86.9</v>
      </c>
      <c r="AD122" s="272"/>
      <c r="AE122" s="742"/>
      <c r="AF122" s="1656">
        <f>ROUND(SUM(AF112+AF118),1)</f>
        <v>696.7</v>
      </c>
      <c r="AG122" s="520"/>
      <c r="AH122" s="272"/>
      <c r="AI122" s="1656">
        <f>ROUND(SUM(AI112+AI118),1)</f>
        <v>-609.79999999999995</v>
      </c>
      <c r="AJ122" s="411"/>
      <c r="AK122" s="2676">
        <f>ROUND(IF(AF122=0,0,AI122/ABS(AF122)),3)</f>
        <v>-0.875</v>
      </c>
      <c r="AL122" s="1528"/>
    </row>
    <row r="123" spans="1:51" ht="15" customHeight="1">
      <c r="A123" s="351"/>
      <c r="B123" s="221"/>
      <c r="C123" s="223"/>
      <c r="D123" s="422"/>
      <c r="E123" s="1802"/>
      <c r="F123" s="422"/>
      <c r="G123" s="1802"/>
      <c r="H123" s="422"/>
      <c r="I123" s="1802"/>
      <c r="J123" s="422"/>
      <c r="K123" s="1802"/>
      <c r="L123" s="422"/>
      <c r="M123" s="1802"/>
      <c r="N123" s="422"/>
      <c r="O123" s="1802"/>
      <c r="P123" s="422"/>
      <c r="Q123" s="1802"/>
      <c r="R123" s="422"/>
      <c r="S123" s="1802"/>
      <c r="T123" s="422"/>
      <c r="U123" s="1802"/>
      <c r="V123" s="422"/>
      <c r="W123" s="1802"/>
      <c r="X123" s="422"/>
      <c r="Y123" s="1802"/>
      <c r="Z123" s="422"/>
      <c r="AA123" s="1802"/>
      <c r="AB123" s="258"/>
      <c r="AC123" s="422"/>
      <c r="AD123" s="2926"/>
      <c r="AE123" s="742"/>
      <c r="AF123" s="422"/>
      <c r="AG123" s="520"/>
      <c r="AH123" s="2926"/>
      <c r="AI123" s="422"/>
      <c r="AJ123" s="411"/>
      <c r="AK123" s="2688"/>
      <c r="AL123" s="1528"/>
    </row>
    <row r="124" spans="1:51" ht="15" customHeight="1" thickBot="1">
      <c r="A124" s="351"/>
      <c r="B124" s="488" t="s">
        <v>145</v>
      </c>
      <c r="C124" s="223"/>
      <c r="D124" s="3272">
        <f>ROUND(SUM(D14+D122),1)</f>
        <v>4127.5</v>
      </c>
      <c r="E124" s="366"/>
      <c r="F124" s="3272">
        <f>ROUND(SUM(F14+F122),1)</f>
        <v>4982</v>
      </c>
      <c r="G124" s="366"/>
      <c r="H124" s="3272">
        <f>ROUND(SUM(H14+H122),1)</f>
        <v>4973</v>
      </c>
      <c r="I124" s="366"/>
      <c r="J124" s="3272">
        <f>ROUND(SUM(J14+J122),1)</f>
        <v>5579.2</v>
      </c>
      <c r="K124" s="366"/>
      <c r="L124" s="3272">
        <f>ROUND(SUM(L14+L122),1)</f>
        <v>6054.3</v>
      </c>
      <c r="M124" s="366"/>
      <c r="N124" s="3272">
        <f>ROUND(SUM(N14+N122),1)</f>
        <v>3961.4</v>
      </c>
      <c r="O124" s="366"/>
      <c r="P124" s="3272">
        <f>ROUND(SUM(P14+P122),1)</f>
        <v>4431.7</v>
      </c>
      <c r="Q124" s="366"/>
      <c r="R124" s="3272">
        <f>ROUND(SUM(R14+R122),1)</f>
        <v>3565.4</v>
      </c>
      <c r="S124" s="366"/>
      <c r="T124" s="3272">
        <f>ROUND(SUM(T14+T122),1)</f>
        <v>3552.4</v>
      </c>
      <c r="U124" s="366"/>
      <c r="V124" s="3272">
        <f>ROUND(SUM(V14+V122),1)</f>
        <v>3634.3</v>
      </c>
      <c r="W124" s="366"/>
      <c r="X124" s="3272">
        <f>ROUND(SUM(X14+X122),1)</f>
        <v>0</v>
      </c>
      <c r="Y124" s="366"/>
      <c r="Z124" s="3272">
        <f>ROUND(SUM(Z14+Z122),1)</f>
        <v>0</v>
      </c>
      <c r="AA124" s="1802"/>
      <c r="AB124" s="258"/>
      <c r="AC124" s="3272">
        <f>ROUND(SUM(AC14+AC122),1)</f>
        <v>3634.3</v>
      </c>
      <c r="AD124" s="2926"/>
      <c r="AE124" s="742"/>
      <c r="AF124" s="3277">
        <f>ROUND(SUM(AF14+AF122),1)</f>
        <v>3169.3</v>
      </c>
      <c r="AG124" s="520"/>
      <c r="AH124" s="2926"/>
      <c r="AI124" s="501">
        <f>ROUND(SUM(AC124-AF124),1)</f>
        <v>465</v>
      </c>
      <c r="AJ124" s="412"/>
      <c r="AK124" s="2691">
        <f>ROUND(IF(AF124=0,0,AI124/ABS(AF124)),3)</f>
        <v>0.14699999999999999</v>
      </c>
      <c r="AL124" s="1528"/>
    </row>
    <row r="125" spans="1:51" ht="4.5" customHeight="1" thickTop="1">
      <c r="A125" s="351"/>
      <c r="B125" s="223"/>
      <c r="C125" s="223"/>
      <c r="D125" s="545"/>
      <c r="E125" s="545"/>
      <c r="F125" s="545"/>
      <c r="G125" s="545"/>
      <c r="H125" s="545"/>
      <c r="I125" s="545"/>
      <c r="J125" s="545"/>
      <c r="K125" s="545"/>
      <c r="L125" s="545"/>
      <c r="M125" s="545"/>
      <c r="N125" s="545"/>
      <c r="O125" s="545"/>
      <c r="P125" s="545"/>
      <c r="Q125" s="545"/>
      <c r="R125" s="545"/>
      <c r="S125" s="545"/>
      <c r="T125" s="545"/>
      <c r="U125" s="545"/>
      <c r="V125" s="545"/>
      <c r="W125" s="545"/>
      <c r="X125" s="545"/>
      <c r="Y125" s="545"/>
      <c r="Z125" s="545"/>
      <c r="AA125" s="1802"/>
      <c r="AB125" s="258"/>
      <c r="AC125" s="545"/>
      <c r="AD125" s="545"/>
      <c r="AE125" s="545"/>
      <c r="AF125" s="545"/>
      <c r="AG125" s="545"/>
      <c r="AH125" s="545"/>
      <c r="AI125" s="2625"/>
      <c r="AJ125" s="2625"/>
      <c r="AK125" s="2692"/>
      <c r="AL125" s="1528"/>
      <c r="AM125" s="546"/>
      <c r="AN125" s="546"/>
      <c r="AO125" s="546"/>
      <c r="AP125" s="546"/>
      <c r="AQ125" s="546"/>
      <c r="AR125" s="546"/>
      <c r="AS125" s="546"/>
      <c r="AT125" s="546"/>
      <c r="AU125" s="546"/>
      <c r="AV125" s="546"/>
      <c r="AW125" s="546"/>
      <c r="AX125" s="546"/>
      <c r="AY125" s="546"/>
    </row>
    <row r="126" spans="1:51" ht="15" customHeight="1">
      <c r="B126" s="1798" t="s">
        <v>15</v>
      </c>
      <c r="C126" s="222"/>
      <c r="D126" s="504"/>
      <c r="E126" s="504"/>
      <c r="F126" s="504"/>
      <c r="G126" s="504"/>
      <c r="H126" s="504"/>
      <c r="I126" s="504"/>
      <c r="J126" s="504"/>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2623"/>
      <c r="AJ126" s="2623"/>
      <c r="AK126" s="2670"/>
      <c r="AL126" s="1528"/>
      <c r="AM126" s="546"/>
      <c r="AN126" s="546"/>
      <c r="AO126" s="546"/>
      <c r="AP126" s="546"/>
      <c r="AQ126" s="546"/>
      <c r="AR126" s="546"/>
      <c r="AS126" s="546"/>
      <c r="AT126" s="546"/>
      <c r="AU126" s="546"/>
      <c r="AV126" s="546"/>
      <c r="AW126" s="546"/>
      <c r="AX126" s="546"/>
      <c r="AY126" s="546"/>
    </row>
    <row r="127" spans="1:51" ht="15" customHeight="1">
      <c r="B127" s="222"/>
      <c r="AK127" s="2693"/>
      <c r="AL127" s="1528"/>
    </row>
    <row r="128" spans="1:51" ht="15" customHeight="1">
      <c r="B128" s="222"/>
      <c r="AK128" s="2693"/>
      <c r="AL128" s="1528"/>
    </row>
    <row r="129" spans="4:38">
      <c r="AK129" s="2693"/>
      <c r="AL129" s="1528"/>
    </row>
    <row r="130" spans="4:38" ht="15" customHeight="1">
      <c r="AK130" s="2693"/>
      <c r="AL130" s="1528"/>
    </row>
    <row r="131" spans="4:38" ht="15" customHeight="1">
      <c r="D131" s="1798"/>
      <c r="F131" s="1798"/>
      <c r="H131" s="1798"/>
      <c r="AK131" s="2693"/>
      <c r="AL131" s="1528"/>
    </row>
    <row r="132" spans="4:38" ht="15" customHeight="1">
      <c r="AK132" s="1528"/>
      <c r="AL132" s="1528"/>
    </row>
    <row r="133" spans="4:38" ht="15" customHeight="1">
      <c r="AK133" s="1528"/>
      <c r="AL133" s="1528"/>
    </row>
    <row r="134" spans="4:38" ht="15" customHeight="1">
      <c r="AE134" s="455">
        <v>16739.599999999999</v>
      </c>
      <c r="AK134" s="1528"/>
      <c r="AL134" s="1528"/>
    </row>
    <row r="135" spans="4:38" ht="15" customHeight="1">
      <c r="AE135" s="455">
        <v>-16162.7</v>
      </c>
      <c r="AK135" s="1528"/>
      <c r="AL135" s="1528"/>
    </row>
    <row r="136" spans="4:38" ht="15" customHeight="1">
      <c r="AK136" s="1528"/>
      <c r="AL136" s="1528"/>
    </row>
    <row r="137" spans="4:38" ht="15" customHeight="1">
      <c r="AK137" s="1528"/>
      <c r="AL137" s="1528"/>
    </row>
    <row r="138" spans="4:38" ht="15" customHeight="1">
      <c r="AK138" s="1528"/>
      <c r="AL138" s="1528"/>
    </row>
    <row r="139" spans="4:38" ht="15" customHeight="1">
      <c r="AK139" s="1528"/>
      <c r="AL139" s="1528"/>
    </row>
    <row r="140" spans="4:38" ht="15" customHeight="1">
      <c r="AK140" s="1528"/>
      <c r="AL140" s="1528"/>
    </row>
    <row r="141" spans="4:38" ht="15" customHeight="1">
      <c r="AK141" s="1528"/>
      <c r="AL141" s="1528"/>
    </row>
    <row r="142" spans="4:38" ht="15" customHeight="1">
      <c r="AK142" s="1528"/>
      <c r="AL142" s="1528"/>
    </row>
    <row r="143" spans="4:38" ht="15" customHeight="1">
      <c r="AK143" s="1528"/>
      <c r="AL143" s="1528"/>
    </row>
    <row r="144" spans="4:38" ht="15" customHeight="1">
      <c r="AK144" s="1528"/>
      <c r="AL144" s="1528"/>
    </row>
    <row r="145" spans="37:38" ht="15" customHeight="1">
      <c r="AK145" s="1528"/>
      <c r="AL145" s="1528"/>
    </row>
    <row r="146" spans="37:38" ht="15" customHeight="1">
      <c r="AK146" s="1528"/>
      <c r="AL146" s="1528"/>
    </row>
    <row r="147" spans="37:38" ht="15" customHeight="1">
      <c r="AK147" s="1528"/>
      <c r="AL147" s="1528"/>
    </row>
    <row r="148" spans="37:38" ht="15" customHeight="1">
      <c r="AK148" s="1528"/>
      <c r="AL148" s="1528"/>
    </row>
    <row r="149" spans="37:38" ht="15" customHeight="1">
      <c r="AK149" s="1528"/>
      <c r="AL149" s="1528"/>
    </row>
    <row r="150" spans="37:38" ht="15" customHeight="1">
      <c r="AK150" s="1528"/>
      <c r="AL150" s="1528"/>
    </row>
    <row r="151" spans="37:38" ht="15" customHeight="1">
      <c r="AK151" s="1528"/>
      <c r="AL151" s="1528"/>
    </row>
    <row r="152" spans="37:38" ht="15" customHeight="1">
      <c r="AK152" s="1528"/>
      <c r="AL152" s="1528"/>
    </row>
    <row r="153" spans="37:38" ht="15" customHeight="1">
      <c r="AK153" s="1528"/>
      <c r="AL153" s="1528"/>
    </row>
    <row r="154" spans="37:38" ht="15" customHeight="1">
      <c r="AK154" s="1528"/>
      <c r="AL154" s="1528"/>
    </row>
    <row r="155" spans="37:38" ht="15" customHeight="1">
      <c r="AK155" s="1528"/>
      <c r="AL155" s="1528"/>
    </row>
    <row r="156" spans="37:38" ht="15" customHeight="1">
      <c r="AK156" s="1528"/>
      <c r="AL156" s="1528"/>
    </row>
    <row r="157" spans="37:38" ht="15" customHeight="1">
      <c r="AK157" s="1528"/>
      <c r="AL157" s="1528"/>
    </row>
    <row r="158" spans="37:38" ht="11.25" customHeight="1">
      <c r="AK158" s="1528"/>
      <c r="AL158" s="1528"/>
    </row>
    <row r="159" spans="37:38" ht="15" customHeight="1">
      <c r="AK159" s="1528"/>
      <c r="AL159" s="1528"/>
    </row>
    <row r="160" spans="37:38" ht="15" customHeight="1">
      <c r="AK160" s="1528"/>
      <c r="AL160" s="1528"/>
    </row>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39" firstPageNumber="25" orientation="landscape" useFirstPageNumber="1" r:id="rId2"/>
  <headerFooter scaleWithDoc="0" alignWithMargins="0">
    <oddFooter>&amp;C&amp;8&amp;P</oddFooter>
  </headerFooter>
  <rowBreaks count="1" manualBreakCount="1">
    <brk id="82" min="1" max="38" man="1"/>
  </rowBreaks>
  <ignoredErrors>
    <ignoredError sqref="AK47 AK60 AK52 AK65 AK72 AK41 AK43:AK45 AK26:AK27 AK22:AK24 AK29:AK38" unlockedFormula="1"/>
    <ignoredError sqref="AK84" evalError="1"/>
    <ignoredError sqref="AK77:AK79 AK25 AK67 AI25 AK28"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X141"/>
  <sheetViews>
    <sheetView showGridLines="0" zoomScale="70" zoomScaleNormal="70" workbookViewId="0"/>
  </sheetViews>
  <sheetFormatPr defaultColWidth="8.88671875" defaultRowHeight="12.75"/>
  <cols>
    <col min="1" max="1" width="1.6640625" style="455" customWidth="1"/>
    <col min="2" max="2" width="44.88671875" style="455" customWidth="1"/>
    <col min="3" max="3" width="1.6640625" style="455" customWidth="1"/>
    <col min="4" max="4" width="12.88671875" style="455" customWidth="1"/>
    <col min="5" max="5" width="1.6640625" style="455" customWidth="1"/>
    <col min="6" max="6" width="12" style="455" customWidth="1"/>
    <col min="7" max="7" width="1.6640625" style="455" customWidth="1"/>
    <col min="8" max="8" width="11.109375" style="455" bestFit="1" customWidth="1"/>
    <col min="9" max="9" width="1.6640625" style="455" customWidth="1"/>
    <col min="10" max="10" width="11" style="455" customWidth="1"/>
    <col min="11" max="11" width="1.6640625" style="455" customWidth="1"/>
    <col min="12" max="12" width="11.33203125" style="455" customWidth="1"/>
    <col min="13" max="13" width="1.6640625" style="455" customWidth="1"/>
    <col min="14" max="14" width="12.21875" style="455" customWidth="1"/>
    <col min="15" max="15" width="1.6640625" style="455" customWidth="1"/>
    <col min="16" max="16" width="11" style="455" bestFit="1" customWidth="1"/>
    <col min="17" max="17" width="1.6640625" style="455" customWidth="1"/>
    <col min="18" max="18" width="11.5546875" style="455" bestFit="1" customWidth="1"/>
    <col min="19" max="19" width="1.6640625" style="455" customWidth="1"/>
    <col min="20" max="20" width="11.44140625" style="455" customWidth="1"/>
    <col min="21" max="21" width="1.6640625" style="455" customWidth="1"/>
    <col min="22" max="22" width="11.21875" style="455" customWidth="1"/>
    <col min="23" max="23" width="1.6640625" style="455" customWidth="1"/>
    <col min="24" max="24" width="11.109375" style="455" bestFit="1" customWidth="1"/>
    <col min="25" max="25" width="1.6640625" style="455" customWidth="1"/>
    <col min="26" max="26" width="8.6640625" style="455" customWidth="1"/>
    <col min="27" max="28" width="1.6640625" style="455" customWidth="1"/>
    <col min="29" max="29" width="12.21875" style="1743" customWidth="1"/>
    <col min="30" max="31" width="1.33203125" style="455" customWidth="1"/>
    <col min="32" max="32" width="11.77734375" style="455" customWidth="1"/>
    <col min="33" max="33" width="1.44140625" style="455" customWidth="1"/>
    <col min="34" max="34" width="0.77734375" style="455" customWidth="1"/>
    <col min="35" max="35" width="13.109375" style="455" bestFit="1" customWidth="1"/>
    <col min="36" max="36" width="0.6640625" style="455" customWidth="1"/>
    <col min="37" max="37" width="13.6640625" style="1528" bestFit="1" customWidth="1"/>
    <col min="38" max="16384" width="8.88671875" style="455"/>
  </cols>
  <sheetData>
    <row r="1" spans="1:40" ht="15">
      <c r="B1" s="1159" t="s">
        <v>1090</v>
      </c>
    </row>
    <row r="2" spans="1:40" ht="15.75">
      <c r="A2" s="454"/>
      <c r="M2" s="221"/>
      <c r="N2" s="221"/>
      <c r="O2" s="499"/>
    </row>
    <row r="3" spans="1:40" ht="18">
      <c r="A3" s="454"/>
      <c r="B3" s="459" t="s">
        <v>0</v>
      </c>
      <c r="M3" s="221"/>
      <c r="N3" s="221"/>
      <c r="O3" s="499"/>
      <c r="AE3" s="532"/>
      <c r="AF3" s="532"/>
      <c r="AG3" s="532"/>
      <c r="AH3" s="532"/>
      <c r="AI3" s="532"/>
      <c r="AJ3" s="532"/>
      <c r="AK3" s="462" t="s">
        <v>174</v>
      </c>
    </row>
    <row r="4" spans="1:40" ht="18">
      <c r="A4" s="454"/>
      <c r="B4" s="459" t="s">
        <v>183</v>
      </c>
      <c r="L4" s="221"/>
      <c r="M4" s="221"/>
      <c r="O4" s="499"/>
    </row>
    <row r="5" spans="1:40" ht="18">
      <c r="A5" s="454"/>
      <c r="B5" s="464" t="s">
        <v>1305</v>
      </c>
      <c r="L5" s="499"/>
      <c r="M5" s="499"/>
      <c r="O5" s="499"/>
      <c r="X5" s="533"/>
    </row>
    <row r="6" spans="1:40" ht="20.25">
      <c r="A6" s="454"/>
      <c r="B6" s="2928" t="s">
        <v>1413</v>
      </c>
      <c r="L6" s="499"/>
      <c r="M6" s="499"/>
      <c r="O6" s="499"/>
      <c r="AK6" s="1529"/>
    </row>
    <row r="7" spans="1:40" ht="18">
      <c r="A7" s="454"/>
      <c r="B7" s="459" t="s">
        <v>1310</v>
      </c>
      <c r="AH7" s="351"/>
      <c r="AI7" s="351"/>
      <c r="AJ7" s="351"/>
      <c r="AK7" s="1530"/>
    </row>
    <row r="8" spans="1:40" ht="13.5" customHeight="1">
      <c r="A8" s="454"/>
      <c r="B8" s="547"/>
      <c r="AH8" s="351"/>
      <c r="AI8" s="351"/>
      <c r="AJ8" s="351"/>
      <c r="AK8" s="1530"/>
    </row>
    <row r="9" spans="1:40" ht="19.5" customHeight="1">
      <c r="A9" s="454"/>
      <c r="L9" s="499"/>
      <c r="M9" s="499"/>
      <c r="N9" s="499"/>
      <c r="O9" s="499"/>
      <c r="AB9" s="548"/>
      <c r="AC9" s="3305"/>
      <c r="AD9" s="535"/>
      <c r="AE9" s="3506" t="str">
        <f>+'Exhibit G'!AH10</f>
        <v>10 Months Ended January 31</v>
      </c>
      <c r="AF9" s="3506"/>
      <c r="AG9" s="3506"/>
      <c r="AH9" s="3506"/>
      <c r="AI9" s="3506"/>
      <c r="AJ9" s="534"/>
      <c r="AK9" s="1531"/>
    </row>
    <row r="10" spans="1:40" ht="19.5" customHeight="1">
      <c r="A10" s="454"/>
      <c r="B10" s="549"/>
      <c r="D10" s="1460"/>
      <c r="E10" s="1460"/>
      <c r="F10" s="1460"/>
      <c r="G10" s="1460"/>
      <c r="H10" s="1460"/>
      <c r="I10" s="1460"/>
      <c r="J10" s="1460"/>
      <c r="K10" s="1460"/>
      <c r="L10" s="1461"/>
      <c r="M10" s="1461"/>
      <c r="N10" s="1461"/>
      <c r="O10" s="1461"/>
      <c r="P10" s="1460"/>
      <c r="Q10" s="1460"/>
      <c r="R10" s="1460"/>
      <c r="S10" s="1460"/>
      <c r="T10" s="1460"/>
      <c r="U10" s="1460"/>
      <c r="V10" s="1460"/>
      <c r="W10" s="1460"/>
      <c r="X10" s="1460"/>
      <c r="Y10" s="1460"/>
      <c r="Z10" s="1460"/>
      <c r="AA10" s="1460"/>
      <c r="AB10" s="1464"/>
      <c r="AC10" s="3306"/>
      <c r="AD10" s="1460"/>
      <c r="AE10" s="1460"/>
      <c r="AF10" s="1460"/>
      <c r="AG10" s="1460"/>
      <c r="AH10" s="1460"/>
      <c r="AI10" s="1460"/>
      <c r="AJ10" s="1460"/>
      <c r="AK10" s="1532"/>
      <c r="AL10" s="1460"/>
      <c r="AM10" s="1460"/>
      <c r="AN10" s="1460"/>
    </row>
    <row r="11" spans="1:40" ht="13.5" customHeight="1">
      <c r="A11" s="454"/>
      <c r="B11" s="222"/>
      <c r="C11" s="222"/>
      <c r="D11" s="1448">
        <v>2016</v>
      </c>
      <c r="E11" s="221"/>
      <c r="F11" s="221"/>
      <c r="G11" s="221"/>
      <c r="H11" s="221"/>
      <c r="I11" s="221"/>
      <c r="J11" s="221"/>
      <c r="K11" s="221"/>
      <c r="L11" s="221"/>
      <c r="M11" s="221"/>
      <c r="N11" s="221"/>
      <c r="O11" s="221"/>
      <c r="P11" s="221"/>
      <c r="Q11" s="221"/>
      <c r="R11" s="221"/>
      <c r="S11" s="221"/>
      <c r="T11" s="221"/>
      <c r="U11" s="221"/>
      <c r="V11" s="1448">
        <v>2017</v>
      </c>
      <c r="W11" s="221"/>
      <c r="X11" s="221"/>
      <c r="Y11" s="221"/>
      <c r="Z11" s="221"/>
      <c r="AA11" s="221"/>
      <c r="AB11" s="221"/>
      <c r="AC11" s="2046"/>
      <c r="AD11" s="412"/>
      <c r="AE11" s="412"/>
      <c r="AF11" s="412"/>
      <c r="AG11" s="412"/>
      <c r="AH11" s="411"/>
      <c r="AI11" s="1455" t="s">
        <v>8</v>
      </c>
      <c r="AJ11" s="1455"/>
      <c r="AK11" s="1533" t="s">
        <v>9</v>
      </c>
      <c r="AL11" s="1460"/>
      <c r="AM11" s="1460"/>
      <c r="AN11" s="1460"/>
    </row>
    <row r="12" spans="1:40" ht="15.75">
      <c r="A12" s="454"/>
      <c r="B12" s="222"/>
      <c r="C12" s="222"/>
      <c r="D12" s="1435" t="s">
        <v>128</v>
      </c>
      <c r="E12" s="221"/>
      <c r="F12" s="1435" t="s">
        <v>129</v>
      </c>
      <c r="G12" s="221"/>
      <c r="H12" s="1435" t="s">
        <v>130</v>
      </c>
      <c r="I12" s="221"/>
      <c r="J12" s="1435" t="s">
        <v>131</v>
      </c>
      <c r="K12" s="221"/>
      <c r="L12" s="1435" t="s">
        <v>132</v>
      </c>
      <c r="M12" s="221"/>
      <c r="N12" s="1435" t="s">
        <v>133</v>
      </c>
      <c r="O12" s="221"/>
      <c r="P12" s="1435" t="s">
        <v>134</v>
      </c>
      <c r="Q12" s="221"/>
      <c r="R12" s="1435" t="s">
        <v>135</v>
      </c>
      <c r="S12" s="221"/>
      <c r="T12" s="1435" t="s">
        <v>136</v>
      </c>
      <c r="U12" s="221"/>
      <c r="V12" s="1435" t="s">
        <v>153</v>
      </c>
      <c r="W12" s="221"/>
      <c r="X12" s="1435" t="s">
        <v>138</v>
      </c>
      <c r="Y12" s="221"/>
      <c r="Z12" s="1435" t="s">
        <v>139</v>
      </c>
      <c r="AA12" s="221"/>
      <c r="AB12" s="221"/>
      <c r="AC12" s="1439">
        <v>2017</v>
      </c>
      <c r="AD12" s="1448"/>
      <c r="AE12" s="221" t="s">
        <v>15</v>
      </c>
      <c r="AF12" s="1448">
        <v>2016</v>
      </c>
      <c r="AG12" s="1434"/>
      <c r="AH12" s="411"/>
      <c r="AI12" s="1463" t="s">
        <v>12</v>
      </c>
      <c r="AJ12" s="1453"/>
      <c r="AK12" s="1534" t="s">
        <v>13</v>
      </c>
      <c r="AL12" s="1460"/>
      <c r="AM12" s="1460"/>
      <c r="AN12" s="1460"/>
    </row>
    <row r="13" spans="1:40" ht="7.9" customHeight="1">
      <c r="A13" s="454"/>
      <c r="B13" s="222"/>
      <c r="C13" s="222"/>
      <c r="D13" s="235"/>
      <c r="E13" s="222"/>
      <c r="F13" s="235"/>
      <c r="G13" s="222"/>
      <c r="H13" s="235"/>
      <c r="I13" s="222"/>
      <c r="J13" s="235"/>
      <c r="K13" s="222"/>
      <c r="L13" s="235"/>
      <c r="M13" s="222"/>
      <c r="N13" s="507"/>
      <c r="O13" s="222"/>
      <c r="P13" s="235"/>
      <c r="Q13" s="222"/>
      <c r="R13" s="235"/>
      <c r="S13" s="222"/>
      <c r="T13" s="235"/>
      <c r="U13" s="222"/>
      <c r="V13" s="235"/>
      <c r="W13" s="222"/>
      <c r="X13" s="235"/>
      <c r="Y13" s="222"/>
      <c r="Z13" s="235"/>
      <c r="AA13" s="222"/>
      <c r="AB13" s="2002"/>
      <c r="AC13" s="3307"/>
      <c r="AD13" s="235"/>
      <c r="AE13" s="2002"/>
      <c r="AF13" s="235"/>
      <c r="AG13" s="229"/>
      <c r="AH13" s="508"/>
      <c r="AI13" s="222"/>
      <c r="AJ13" s="222"/>
      <c r="AK13" s="497"/>
    </row>
    <row r="14" spans="1:40" ht="15.75">
      <c r="A14" s="454"/>
      <c r="B14" s="227" t="s">
        <v>140</v>
      </c>
      <c r="C14" s="222"/>
      <c r="D14" s="422">
        <v>59.7</v>
      </c>
      <c r="E14" s="293"/>
      <c r="F14" s="422">
        <f>D93</f>
        <v>-256.89999999999998</v>
      </c>
      <c r="G14" s="293"/>
      <c r="H14" s="422">
        <f>F93</f>
        <v>-213.9</v>
      </c>
      <c r="I14" s="293"/>
      <c r="J14" s="422">
        <f>H93</f>
        <v>323.3</v>
      </c>
      <c r="K14" s="293"/>
      <c r="L14" s="422">
        <f>+J93</f>
        <v>-24.3</v>
      </c>
      <c r="M14" s="293"/>
      <c r="N14" s="647">
        <f>+L93</f>
        <v>-476.6</v>
      </c>
      <c r="O14" s="293"/>
      <c r="P14" s="647">
        <f>+N93</f>
        <v>404.4</v>
      </c>
      <c r="Q14" s="293"/>
      <c r="R14" s="647">
        <f>+P93</f>
        <v>130.5</v>
      </c>
      <c r="S14" s="293"/>
      <c r="T14" s="422">
        <f>+R93</f>
        <v>-565.6</v>
      </c>
      <c r="U14" s="293"/>
      <c r="V14" s="422">
        <f>+T93</f>
        <v>628.9</v>
      </c>
      <c r="W14" s="293"/>
      <c r="X14" s="422"/>
      <c r="Y14" s="293"/>
      <c r="Z14" s="422"/>
      <c r="AA14" s="293"/>
      <c r="AB14" s="3268"/>
      <c r="AC14" s="339">
        <f>D14</f>
        <v>59.7</v>
      </c>
      <c r="AD14" s="422"/>
      <c r="AE14" s="3268"/>
      <c r="AF14" s="422">
        <v>189.2</v>
      </c>
      <c r="AG14" s="412"/>
      <c r="AH14" s="3269"/>
      <c r="AI14" s="335">
        <f>ROUND(SUM(+AC14-AF14),1)</f>
        <v>-129.5</v>
      </c>
      <c r="AJ14" s="2926"/>
      <c r="AK14" s="2669">
        <f>ROUND(IF(AF14=0,0,AI14/ABS(AF14)),3)</f>
        <v>-0.68400000000000005</v>
      </c>
    </row>
    <row r="15" spans="1:40" ht="15">
      <c r="A15" s="454"/>
      <c r="B15" s="222"/>
      <c r="C15" s="222"/>
      <c r="D15" s="229"/>
      <c r="E15" s="222"/>
      <c r="F15" s="229"/>
      <c r="G15" s="222"/>
      <c r="H15" s="229"/>
      <c r="I15" s="222"/>
      <c r="J15" s="229"/>
      <c r="K15" s="222"/>
      <c r="L15" s="229"/>
      <c r="M15" s="222"/>
      <c r="N15" s="2001"/>
      <c r="O15" s="222"/>
      <c r="P15" s="229"/>
      <c r="Q15" s="222"/>
      <c r="R15" s="229"/>
      <c r="S15" s="222"/>
      <c r="T15" s="229"/>
      <c r="U15" s="222"/>
      <c r="V15" s="229"/>
      <c r="W15" s="222"/>
      <c r="X15" s="229"/>
      <c r="Y15" s="222"/>
      <c r="Z15" s="229"/>
      <c r="AA15" s="222"/>
      <c r="AB15" s="2002"/>
      <c r="AC15" s="2065"/>
      <c r="AD15" s="229"/>
      <c r="AE15" s="2002"/>
      <c r="AF15" s="229"/>
      <c r="AG15" s="229"/>
      <c r="AH15" s="508"/>
      <c r="AI15" s="222"/>
      <c r="AJ15" s="222"/>
      <c r="AK15" s="497"/>
    </row>
    <row r="16" spans="1:40" ht="15" customHeight="1">
      <c r="A16" s="351"/>
      <c r="B16" s="221" t="s">
        <v>14</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414"/>
      <c r="AC16" s="305"/>
      <c r="AD16" s="222"/>
      <c r="AE16" s="537"/>
      <c r="AF16" s="222"/>
      <c r="AG16" s="512"/>
      <c r="AH16" s="229"/>
      <c r="AI16" s="538"/>
      <c r="AJ16" s="538"/>
      <c r="AK16" s="551"/>
    </row>
    <row r="17" spans="1:38" ht="7.5" customHeight="1">
      <c r="A17" s="351"/>
      <c r="B17" s="223"/>
      <c r="C17" s="223"/>
      <c r="D17" s="371"/>
      <c r="E17" s="366"/>
      <c r="F17" s="371"/>
      <c r="G17" s="366"/>
      <c r="H17" s="371"/>
      <c r="I17" s="366"/>
      <c r="J17" s="371"/>
      <c r="K17" s="366"/>
      <c r="L17" s="371"/>
      <c r="M17" s="366"/>
      <c r="N17" s="371"/>
      <c r="O17" s="366"/>
      <c r="P17" s="371"/>
      <c r="Q17" s="366"/>
      <c r="R17" s="371"/>
      <c r="S17" s="366"/>
      <c r="T17" s="371"/>
      <c r="U17" s="366"/>
      <c r="V17" s="371"/>
      <c r="W17" s="260"/>
      <c r="X17" s="371"/>
      <c r="Y17" s="260"/>
      <c r="Z17" s="371"/>
      <c r="AA17" s="366"/>
      <c r="AB17" s="471"/>
      <c r="AC17" s="317"/>
      <c r="AD17" s="481"/>
      <c r="AE17" s="539"/>
      <c r="AF17" s="371"/>
      <c r="AG17" s="541"/>
      <c r="AH17" s="229"/>
      <c r="AI17" s="1823"/>
      <c r="AJ17" s="1146"/>
      <c r="AK17" s="1780"/>
    </row>
    <row r="18" spans="1:38" ht="15" customHeight="1">
      <c r="A18" s="351"/>
      <c r="B18" s="488" t="s">
        <v>1157</v>
      </c>
      <c r="C18" s="223"/>
      <c r="D18" s="273"/>
      <c r="E18" s="366"/>
      <c r="F18" s="371"/>
      <c r="G18" s="366"/>
      <c r="H18" s="340"/>
      <c r="I18" s="366"/>
      <c r="J18" s="340"/>
      <c r="K18" s="366"/>
      <c r="L18" s="340"/>
      <c r="M18" s="366"/>
      <c r="N18" s="340"/>
      <c r="O18" s="366"/>
      <c r="P18" s="550"/>
      <c r="Q18" s="366"/>
      <c r="R18" s="370"/>
      <c r="S18" s="366"/>
      <c r="T18" s="371"/>
      <c r="U18" s="366"/>
      <c r="V18" s="273"/>
      <c r="W18" s="260"/>
      <c r="X18" s="273"/>
      <c r="Y18" s="260"/>
      <c r="Z18" s="273"/>
      <c r="AA18" s="366"/>
      <c r="AB18" s="471"/>
      <c r="AC18" s="317"/>
      <c r="AD18" s="260"/>
      <c r="AE18" s="251"/>
      <c r="AF18" s="260"/>
      <c r="AG18" s="513"/>
      <c r="AH18" s="248"/>
      <c r="AI18" s="1823"/>
      <c r="AJ18" s="1823"/>
      <c r="AK18" s="1241"/>
    </row>
    <row r="19" spans="1:38" ht="15" customHeight="1">
      <c r="A19" s="351"/>
      <c r="B19" s="1748" t="s">
        <v>1269</v>
      </c>
      <c r="C19" s="223"/>
      <c r="D19" s="273"/>
      <c r="E19" s="366"/>
      <c r="F19" s="371"/>
      <c r="G19" s="366"/>
      <c r="H19" s="340"/>
      <c r="I19" s="366"/>
      <c r="J19" s="340"/>
      <c r="K19" s="366"/>
      <c r="L19" s="340"/>
      <c r="M19" s="366"/>
      <c r="N19" s="340"/>
      <c r="O19" s="366"/>
      <c r="P19" s="550"/>
      <c r="Q19" s="366"/>
      <c r="R19" s="370"/>
      <c r="S19" s="366"/>
      <c r="T19" s="371"/>
      <c r="U19" s="366"/>
      <c r="V19" s="273"/>
      <c r="W19" s="260"/>
      <c r="X19" s="273"/>
      <c r="Y19" s="260"/>
      <c r="Z19" s="273"/>
      <c r="AA19" s="366"/>
      <c r="AB19" s="471"/>
      <c r="AC19" s="317"/>
      <c r="AD19" s="260"/>
      <c r="AE19" s="251"/>
      <c r="AF19" s="260"/>
      <c r="AG19" s="513"/>
      <c r="AH19" s="248"/>
      <c r="AI19" s="1823"/>
      <c r="AJ19" s="1823"/>
      <c r="AK19" s="1241"/>
    </row>
    <row r="20" spans="1:38" ht="15" customHeight="1">
      <c r="A20" s="351"/>
      <c r="B20" s="1748" t="s">
        <v>1174</v>
      </c>
      <c r="C20" s="223"/>
      <c r="D20" s="1314">
        <v>0</v>
      </c>
      <c r="E20" s="1751"/>
      <c r="F20" s="2152">
        <v>0</v>
      </c>
      <c r="G20" s="1751"/>
      <c r="H20" s="1751">
        <v>0</v>
      </c>
      <c r="I20" s="1751"/>
      <c r="J20" s="1751">
        <v>0</v>
      </c>
      <c r="K20" s="2925"/>
      <c r="L20" s="1751">
        <v>0</v>
      </c>
      <c r="M20" s="2925"/>
      <c r="N20" s="1751">
        <v>0</v>
      </c>
      <c r="O20" s="2925"/>
      <c r="P20" s="1751">
        <v>0</v>
      </c>
      <c r="Q20" s="2925"/>
      <c r="R20" s="1751">
        <v>0</v>
      </c>
      <c r="S20" s="2925"/>
      <c r="T20" s="1318">
        <v>0</v>
      </c>
      <c r="U20" s="2925"/>
      <c r="V20" s="1318">
        <v>0</v>
      </c>
      <c r="W20" s="2925"/>
      <c r="X20" s="1299"/>
      <c r="Y20" s="2925"/>
      <c r="Z20" s="1299"/>
      <c r="AA20" s="2925"/>
      <c r="AB20" s="2602"/>
      <c r="AC20" s="1751">
        <f>ROUND(SUM(D20:Z20),1)</f>
        <v>0</v>
      </c>
      <c r="AD20" s="2925"/>
      <c r="AE20" s="2611"/>
      <c r="AF20" s="1751">
        <v>0</v>
      </c>
      <c r="AG20" s="2578"/>
      <c r="AH20" s="1823"/>
      <c r="AI20" s="1751">
        <f>ROUND(SUM(+AC20-AF20),1)</f>
        <v>0</v>
      </c>
      <c r="AJ20" s="1823"/>
      <c r="AK20" s="2679">
        <f>ROUND(IF(AF20=0,0,AI20/ABS(AF20)),3)</f>
        <v>0</v>
      </c>
    </row>
    <row r="21" spans="1:38" ht="15" customHeight="1">
      <c r="A21" s="351"/>
      <c r="B21" s="1748" t="s">
        <v>1270</v>
      </c>
      <c r="C21" s="223"/>
      <c r="D21" s="273"/>
      <c r="E21" s="366"/>
      <c r="F21" s="371"/>
      <c r="G21" s="366"/>
      <c r="H21" s="340"/>
      <c r="I21" s="366"/>
      <c r="J21" s="340"/>
      <c r="K21" s="366"/>
      <c r="L21" s="340"/>
      <c r="M21" s="366"/>
      <c r="N21" s="273"/>
      <c r="O21" s="366"/>
      <c r="P21" s="550"/>
      <c r="Q21" s="366"/>
      <c r="R21" s="370"/>
      <c r="S21" s="366"/>
      <c r="T21" s="371"/>
      <c r="U21" s="366"/>
      <c r="V21" s="371"/>
      <c r="W21" s="260"/>
      <c r="X21" s="273"/>
      <c r="Y21" s="260"/>
      <c r="Z21" s="273"/>
      <c r="AA21" s="366"/>
      <c r="AB21" s="471"/>
      <c r="AC21" s="317"/>
      <c r="AD21" s="260"/>
      <c r="AE21" s="251"/>
      <c r="AF21" s="260"/>
      <c r="AG21" s="513"/>
      <c r="AH21" s="248"/>
      <c r="AI21" s="1823"/>
      <c r="AJ21" s="1823"/>
      <c r="AK21" s="2690"/>
    </row>
    <row r="22" spans="1:38" ht="15" customHeight="1">
      <c r="A22" s="351"/>
      <c r="B22" s="1748" t="s">
        <v>1176</v>
      </c>
      <c r="C22" s="223"/>
      <c r="D22" s="273">
        <v>3.9</v>
      </c>
      <c r="E22" s="366"/>
      <c r="F22" s="371">
        <v>33.4</v>
      </c>
      <c r="G22" s="366"/>
      <c r="H22" s="317">
        <v>0.1</v>
      </c>
      <c r="I22" s="366"/>
      <c r="J22" s="317">
        <v>2</v>
      </c>
      <c r="K22" s="366"/>
      <c r="L22" s="317">
        <v>10.199999999999999</v>
      </c>
      <c r="M22" s="366"/>
      <c r="N22" s="1177">
        <v>0.1</v>
      </c>
      <c r="O22" s="366"/>
      <c r="P22" s="1177">
        <v>1.5</v>
      </c>
      <c r="Q22" s="366"/>
      <c r="R22" s="1177">
        <v>6.8</v>
      </c>
      <c r="S22" s="366"/>
      <c r="T22" s="1318">
        <v>0.1</v>
      </c>
      <c r="U22" s="366"/>
      <c r="V22" s="1318">
        <v>1.1000000000000001</v>
      </c>
      <c r="W22" s="260"/>
      <c r="X22" s="273"/>
      <c r="Y22" s="260"/>
      <c r="Z22" s="273"/>
      <c r="AA22" s="366"/>
      <c r="AB22" s="471"/>
      <c r="AC22" s="317">
        <f>ROUND(SUM(D22:Z22),1)</f>
        <v>59.2</v>
      </c>
      <c r="AD22" s="260"/>
      <c r="AE22" s="251"/>
      <c r="AF22" s="260">
        <v>56.3</v>
      </c>
      <c r="AG22" s="513"/>
      <c r="AH22" s="248"/>
      <c r="AI22" s="1823">
        <f t="shared" ref="AI22:AI52" si="0">ROUND(SUM(+AC22-AF22),1)</f>
        <v>2.9</v>
      </c>
      <c r="AJ22" s="1823"/>
      <c r="AK22" s="2679">
        <f>ROUND(IF(AF22=0,0,AI22/ABS(AF22)),3)</f>
        <v>5.1999999999999998E-2</v>
      </c>
      <c r="AL22" s="2561"/>
    </row>
    <row r="23" spans="1:38" ht="15" customHeight="1">
      <c r="A23" s="351"/>
      <c r="B23" s="1748" t="s">
        <v>1177</v>
      </c>
      <c r="C23" s="223"/>
      <c r="D23" s="273">
        <v>0</v>
      </c>
      <c r="E23" s="366"/>
      <c r="F23" s="371">
        <v>0</v>
      </c>
      <c r="G23" s="366"/>
      <c r="H23" s="317">
        <v>0</v>
      </c>
      <c r="I23" s="366"/>
      <c r="J23" s="317">
        <v>0</v>
      </c>
      <c r="K23" s="366"/>
      <c r="L23" s="317">
        <v>0</v>
      </c>
      <c r="M23" s="366"/>
      <c r="N23" s="1177">
        <v>0</v>
      </c>
      <c r="O23" s="366"/>
      <c r="P23" s="1177">
        <v>0</v>
      </c>
      <c r="Q23" s="366"/>
      <c r="R23" s="2940">
        <v>0</v>
      </c>
      <c r="S23" s="366"/>
      <c r="T23" s="1318">
        <v>0</v>
      </c>
      <c r="U23" s="366"/>
      <c r="V23" s="1318">
        <v>0</v>
      </c>
      <c r="W23" s="260"/>
      <c r="X23" s="273"/>
      <c r="Y23" s="260"/>
      <c r="Z23" s="273"/>
      <c r="AA23" s="366"/>
      <c r="AB23" s="471"/>
      <c r="AC23" s="317">
        <f>ROUND(SUM(D23:Z23),1)</f>
        <v>0</v>
      </c>
      <c r="AD23" s="260"/>
      <c r="AE23" s="251"/>
      <c r="AF23" s="260">
        <v>0</v>
      </c>
      <c r="AG23" s="513"/>
      <c r="AH23" s="248"/>
      <c r="AI23" s="1823">
        <f t="shared" si="0"/>
        <v>0</v>
      </c>
      <c r="AJ23" s="1823"/>
      <c r="AK23" s="2679">
        <f>ROUND(IF(AF23=0,0,AI23/ABS(AF23)),3)</f>
        <v>0</v>
      </c>
    </row>
    <row r="24" spans="1:38" ht="15" customHeight="1">
      <c r="A24" s="351"/>
      <c r="B24" s="1748" t="s">
        <v>1178</v>
      </c>
      <c r="C24" s="223"/>
      <c r="D24" s="273">
        <v>0</v>
      </c>
      <c r="E24" s="366"/>
      <c r="F24" s="371">
        <v>0</v>
      </c>
      <c r="G24" s="366"/>
      <c r="H24" s="317">
        <v>0</v>
      </c>
      <c r="I24" s="366"/>
      <c r="J24" s="317">
        <v>0</v>
      </c>
      <c r="K24" s="366"/>
      <c r="L24" s="317">
        <v>0</v>
      </c>
      <c r="M24" s="366"/>
      <c r="N24" s="1177">
        <v>0</v>
      </c>
      <c r="O24" s="366"/>
      <c r="P24" s="1177">
        <v>0</v>
      </c>
      <c r="Q24" s="366"/>
      <c r="R24" s="2940">
        <v>0</v>
      </c>
      <c r="S24" s="366"/>
      <c r="T24" s="1318">
        <v>0</v>
      </c>
      <c r="U24" s="366"/>
      <c r="V24" s="1318">
        <v>0</v>
      </c>
      <c r="W24" s="260"/>
      <c r="X24" s="273"/>
      <c r="Y24" s="260"/>
      <c r="Z24" s="273"/>
      <c r="AA24" s="366"/>
      <c r="AB24" s="471"/>
      <c r="AC24" s="317">
        <f>ROUND(SUM(D24:Z24),1)</f>
        <v>0</v>
      </c>
      <c r="AD24" s="260"/>
      <c r="AE24" s="251"/>
      <c r="AF24" s="260">
        <v>0</v>
      </c>
      <c r="AG24" s="513"/>
      <c r="AH24" s="248"/>
      <c r="AI24" s="1823">
        <f t="shared" si="0"/>
        <v>0</v>
      </c>
      <c r="AJ24" s="1823"/>
      <c r="AK24" s="2679">
        <f>ROUND(IF(AF24=0,0,AI24/ABS(AF24)),3)</f>
        <v>0</v>
      </c>
    </row>
    <row r="25" spans="1:38" ht="15" customHeight="1">
      <c r="A25" s="351"/>
      <c r="B25" s="1748" t="s">
        <v>1179</v>
      </c>
      <c r="C25" s="223"/>
      <c r="D25" s="273">
        <v>0</v>
      </c>
      <c r="E25" s="366"/>
      <c r="F25" s="371">
        <v>0</v>
      </c>
      <c r="G25" s="366"/>
      <c r="H25" s="317">
        <v>0</v>
      </c>
      <c r="I25" s="366"/>
      <c r="J25" s="317">
        <v>0</v>
      </c>
      <c r="K25" s="366"/>
      <c r="L25" s="317">
        <v>0</v>
      </c>
      <c r="M25" s="366"/>
      <c r="N25" s="1177">
        <v>0</v>
      </c>
      <c r="O25" s="366"/>
      <c r="P25" s="1177">
        <v>0</v>
      </c>
      <c r="Q25" s="366"/>
      <c r="R25" s="2940">
        <v>0</v>
      </c>
      <c r="S25" s="366"/>
      <c r="T25" s="1318">
        <v>0</v>
      </c>
      <c r="U25" s="366"/>
      <c r="V25" s="1318">
        <v>0</v>
      </c>
      <c r="W25" s="260"/>
      <c r="X25" s="273"/>
      <c r="Y25" s="260"/>
      <c r="Z25" s="273"/>
      <c r="AA25" s="366"/>
      <c r="AB25" s="471"/>
      <c r="AC25" s="317">
        <f>ROUND(SUM(D25:Z25),1)</f>
        <v>0</v>
      </c>
      <c r="AD25" s="260"/>
      <c r="AE25" s="251"/>
      <c r="AF25" s="260">
        <v>0</v>
      </c>
      <c r="AG25" s="513"/>
      <c r="AH25" s="248"/>
      <c r="AI25" s="1823">
        <f t="shared" si="0"/>
        <v>0</v>
      </c>
      <c r="AJ25" s="1823"/>
      <c r="AK25" s="2679">
        <f>ROUND(IF(AF25=0,0,AI25/ABS(AF25)),3)</f>
        <v>0</v>
      </c>
    </row>
    <row r="26" spans="1:38" ht="15" customHeight="1">
      <c r="A26" s="351"/>
      <c r="B26" s="1748" t="s">
        <v>1274</v>
      </c>
      <c r="C26" s="223"/>
      <c r="D26" s="273"/>
      <c r="E26" s="366"/>
      <c r="F26" s="371"/>
      <c r="G26" s="366"/>
      <c r="H26" s="340"/>
      <c r="I26" s="366"/>
      <c r="J26" s="340"/>
      <c r="K26" s="366"/>
      <c r="L26" s="340"/>
      <c r="M26" s="366"/>
      <c r="N26" s="273"/>
      <c r="O26" s="366"/>
      <c r="P26" s="550"/>
      <c r="Q26" s="366"/>
      <c r="R26" s="370"/>
      <c r="S26" s="366"/>
      <c r="T26" s="371"/>
      <c r="U26" s="366"/>
      <c r="V26" s="371"/>
      <c r="W26" s="260"/>
      <c r="X26" s="273"/>
      <c r="Y26" s="260"/>
      <c r="Z26" s="273"/>
      <c r="AA26" s="366"/>
      <c r="AB26" s="471"/>
      <c r="AC26" s="317"/>
      <c r="AD26" s="260"/>
      <c r="AE26" s="251"/>
      <c r="AF26" s="260"/>
      <c r="AG26" s="513"/>
      <c r="AH26" s="248"/>
      <c r="AI26" s="1823"/>
      <c r="AJ26" s="1823"/>
      <c r="AK26" s="2679"/>
    </row>
    <row r="27" spans="1:38" ht="15" customHeight="1">
      <c r="A27" s="351"/>
      <c r="B27" s="1748" t="s">
        <v>1180</v>
      </c>
      <c r="C27" s="223"/>
      <c r="D27" s="273">
        <v>0</v>
      </c>
      <c r="E27" s="366"/>
      <c r="F27" s="371">
        <v>0</v>
      </c>
      <c r="G27" s="366"/>
      <c r="H27" s="317">
        <v>0</v>
      </c>
      <c r="I27" s="366"/>
      <c r="J27" s="317">
        <v>0</v>
      </c>
      <c r="K27" s="366"/>
      <c r="L27" s="317">
        <v>0</v>
      </c>
      <c r="M27" s="366"/>
      <c r="N27" s="1177">
        <v>0</v>
      </c>
      <c r="O27" s="366"/>
      <c r="P27" s="1177">
        <v>0</v>
      </c>
      <c r="Q27" s="366"/>
      <c r="R27" s="2940">
        <v>0</v>
      </c>
      <c r="S27" s="366"/>
      <c r="T27" s="1318">
        <v>0</v>
      </c>
      <c r="U27" s="366"/>
      <c r="V27" s="1318">
        <v>0</v>
      </c>
      <c r="W27" s="260"/>
      <c r="X27" s="273"/>
      <c r="Y27" s="260"/>
      <c r="Z27" s="273"/>
      <c r="AA27" s="366"/>
      <c r="AB27" s="471"/>
      <c r="AC27" s="317">
        <f t="shared" ref="AC27:AC33" si="1">ROUND(SUM(D27:Z27),1)</f>
        <v>0</v>
      </c>
      <c r="AD27" s="260"/>
      <c r="AE27" s="251"/>
      <c r="AF27" s="260">
        <v>0</v>
      </c>
      <c r="AG27" s="513"/>
      <c r="AH27" s="248"/>
      <c r="AI27" s="1823">
        <f t="shared" si="0"/>
        <v>0</v>
      </c>
      <c r="AJ27" s="1823"/>
      <c r="AK27" s="2679">
        <f>ROUND(IF(AF27=0,0,AI27/ABS(AF27)),3)</f>
        <v>0</v>
      </c>
    </row>
    <row r="28" spans="1:38" ht="15" customHeight="1">
      <c r="A28" s="351"/>
      <c r="B28" s="1748" t="s">
        <v>1181</v>
      </c>
      <c r="C28" s="223"/>
      <c r="D28" s="273">
        <v>0</v>
      </c>
      <c r="E28" s="366"/>
      <c r="F28" s="371">
        <v>0</v>
      </c>
      <c r="G28" s="366"/>
      <c r="H28" s="317">
        <v>0</v>
      </c>
      <c r="I28" s="366"/>
      <c r="J28" s="317">
        <v>0</v>
      </c>
      <c r="K28" s="366"/>
      <c r="L28" s="317">
        <v>0</v>
      </c>
      <c r="M28" s="366"/>
      <c r="N28" s="1177">
        <v>0</v>
      </c>
      <c r="O28" s="366"/>
      <c r="P28" s="1177">
        <v>0</v>
      </c>
      <c r="Q28" s="366"/>
      <c r="R28" s="2940">
        <v>0</v>
      </c>
      <c r="S28" s="366"/>
      <c r="T28" s="1318">
        <v>0</v>
      </c>
      <c r="U28" s="366"/>
      <c r="V28" s="1318">
        <v>0</v>
      </c>
      <c r="W28" s="260"/>
      <c r="X28" s="273"/>
      <c r="Y28" s="260"/>
      <c r="Z28" s="273"/>
      <c r="AA28" s="366"/>
      <c r="AB28" s="471"/>
      <c r="AC28" s="317">
        <f t="shared" si="1"/>
        <v>0</v>
      </c>
      <c r="AD28" s="260"/>
      <c r="AE28" s="251"/>
      <c r="AF28" s="260">
        <v>0</v>
      </c>
      <c r="AG28" s="513"/>
      <c r="AH28" s="248"/>
      <c r="AI28" s="1823">
        <f t="shared" si="0"/>
        <v>0</v>
      </c>
      <c r="AJ28" s="1823"/>
      <c r="AK28" s="2679">
        <f t="shared" ref="AK28:AK32" si="2">ROUND(IF(AF28=0,0,AI28/ABS(AF28)),3)</f>
        <v>0</v>
      </c>
    </row>
    <row r="29" spans="1:38" ht="15" customHeight="1">
      <c r="A29" s="351"/>
      <c r="B29" s="1748" t="s">
        <v>1182</v>
      </c>
      <c r="C29" s="223"/>
      <c r="D29" s="273">
        <v>0</v>
      </c>
      <c r="E29" s="366"/>
      <c r="F29" s="371">
        <v>0</v>
      </c>
      <c r="G29" s="366"/>
      <c r="H29" s="317">
        <v>0</v>
      </c>
      <c r="I29" s="366"/>
      <c r="J29" s="317">
        <v>0</v>
      </c>
      <c r="K29" s="366"/>
      <c r="L29" s="317">
        <v>0</v>
      </c>
      <c r="M29" s="366"/>
      <c r="N29" s="1177">
        <v>0</v>
      </c>
      <c r="O29" s="366"/>
      <c r="P29" s="1177">
        <v>0</v>
      </c>
      <c r="Q29" s="366"/>
      <c r="R29" s="2940">
        <v>0</v>
      </c>
      <c r="S29" s="366"/>
      <c r="T29" s="1318">
        <v>0</v>
      </c>
      <c r="U29" s="366"/>
      <c r="V29" s="1318">
        <v>0</v>
      </c>
      <c r="W29" s="260"/>
      <c r="X29" s="273"/>
      <c r="Y29" s="260"/>
      <c r="Z29" s="273"/>
      <c r="AA29" s="366"/>
      <c r="AB29" s="471"/>
      <c r="AC29" s="317">
        <f t="shared" si="1"/>
        <v>0</v>
      </c>
      <c r="AD29" s="260"/>
      <c r="AE29" s="251"/>
      <c r="AF29" s="260">
        <v>0</v>
      </c>
      <c r="AG29" s="513"/>
      <c r="AH29" s="248"/>
      <c r="AI29" s="1823">
        <f t="shared" si="0"/>
        <v>0</v>
      </c>
      <c r="AJ29" s="1823"/>
      <c r="AK29" s="2679">
        <f t="shared" si="2"/>
        <v>0</v>
      </c>
    </row>
    <row r="30" spans="1:38" ht="15" customHeight="1">
      <c r="A30" s="351"/>
      <c r="B30" s="1748" t="s">
        <v>1183</v>
      </c>
      <c r="C30" s="223"/>
      <c r="D30" s="273">
        <v>0</v>
      </c>
      <c r="E30" s="366"/>
      <c r="F30" s="371">
        <v>0</v>
      </c>
      <c r="G30" s="366"/>
      <c r="H30" s="317">
        <v>0</v>
      </c>
      <c r="I30" s="366"/>
      <c r="J30" s="317">
        <v>0</v>
      </c>
      <c r="K30" s="366"/>
      <c r="L30" s="317">
        <v>0</v>
      </c>
      <c r="M30" s="366"/>
      <c r="N30" s="1177">
        <v>0</v>
      </c>
      <c r="O30" s="366"/>
      <c r="P30" s="1177">
        <v>0</v>
      </c>
      <c r="Q30" s="366"/>
      <c r="R30" s="2940">
        <v>0</v>
      </c>
      <c r="S30" s="366"/>
      <c r="T30" s="1318">
        <v>0</v>
      </c>
      <c r="U30" s="366"/>
      <c r="V30" s="1318">
        <v>0</v>
      </c>
      <c r="W30" s="260"/>
      <c r="X30" s="273"/>
      <c r="Y30" s="260"/>
      <c r="Z30" s="273"/>
      <c r="AA30" s="366"/>
      <c r="AB30" s="471"/>
      <c r="AC30" s="317">
        <f t="shared" si="1"/>
        <v>0</v>
      </c>
      <c r="AD30" s="260"/>
      <c r="AE30" s="251"/>
      <c r="AF30" s="260">
        <v>0</v>
      </c>
      <c r="AG30" s="513"/>
      <c r="AH30" s="248"/>
      <c r="AI30" s="1823">
        <f t="shared" si="0"/>
        <v>0</v>
      </c>
      <c r="AJ30" s="1823"/>
      <c r="AK30" s="2679">
        <f t="shared" si="2"/>
        <v>0</v>
      </c>
    </row>
    <row r="31" spans="1:38" ht="15" customHeight="1">
      <c r="A31" s="351"/>
      <c r="B31" s="1748" t="s">
        <v>1184</v>
      </c>
      <c r="C31" s="223"/>
      <c r="D31" s="273">
        <v>0</v>
      </c>
      <c r="E31" s="366"/>
      <c r="F31" s="371">
        <v>0</v>
      </c>
      <c r="G31" s="366"/>
      <c r="H31" s="317">
        <v>0</v>
      </c>
      <c r="I31" s="366"/>
      <c r="J31" s="317">
        <v>0</v>
      </c>
      <c r="K31" s="366"/>
      <c r="L31" s="317">
        <v>0</v>
      </c>
      <c r="M31" s="366"/>
      <c r="N31" s="2940">
        <v>0</v>
      </c>
      <c r="O31" s="366"/>
      <c r="P31" s="1177">
        <v>0</v>
      </c>
      <c r="Q31" s="366"/>
      <c r="R31" s="2940">
        <v>0</v>
      </c>
      <c r="S31" s="366"/>
      <c r="T31" s="1318">
        <v>0</v>
      </c>
      <c r="U31" s="366"/>
      <c r="V31" s="1318">
        <v>0</v>
      </c>
      <c r="W31" s="260"/>
      <c r="X31" s="273"/>
      <c r="Y31" s="260"/>
      <c r="Z31" s="273"/>
      <c r="AA31" s="366"/>
      <c r="AB31" s="471"/>
      <c r="AC31" s="317">
        <f t="shared" si="1"/>
        <v>0</v>
      </c>
      <c r="AD31" s="260"/>
      <c r="AE31" s="251"/>
      <c r="AF31" s="260">
        <v>0</v>
      </c>
      <c r="AG31" s="513"/>
      <c r="AH31" s="248"/>
      <c r="AI31" s="1823">
        <f t="shared" si="0"/>
        <v>0</v>
      </c>
      <c r="AJ31" s="1823"/>
      <c r="AK31" s="2679">
        <f t="shared" si="2"/>
        <v>0</v>
      </c>
    </row>
    <row r="32" spans="1:38" ht="15" customHeight="1">
      <c r="A32" s="351"/>
      <c r="B32" s="1748" t="s">
        <v>1158</v>
      </c>
      <c r="C32" s="223"/>
      <c r="D32" s="273">
        <v>0.9</v>
      </c>
      <c r="E32" s="366"/>
      <c r="F32" s="371">
        <v>0.7</v>
      </c>
      <c r="G32" s="366"/>
      <c r="H32" s="317">
        <v>0.6</v>
      </c>
      <c r="I32" s="366"/>
      <c r="J32" s="317">
        <v>3.2</v>
      </c>
      <c r="K32" s="366"/>
      <c r="L32" s="317">
        <v>0.7</v>
      </c>
      <c r="M32" s="366"/>
      <c r="N32" s="2940">
        <v>1.4</v>
      </c>
      <c r="O32" s="366"/>
      <c r="P32" s="1177">
        <v>6.7</v>
      </c>
      <c r="Q32" s="366"/>
      <c r="R32" s="2940">
        <v>1.1000000000000001</v>
      </c>
      <c r="S32" s="366"/>
      <c r="T32" s="1318">
        <v>1.1000000000000001</v>
      </c>
      <c r="U32" s="366"/>
      <c r="V32" s="1318">
        <v>0.8</v>
      </c>
      <c r="W32" s="260"/>
      <c r="X32" s="273"/>
      <c r="Y32" s="260"/>
      <c r="Z32" s="273"/>
      <c r="AA32" s="366"/>
      <c r="AB32" s="471"/>
      <c r="AC32" s="317">
        <f t="shared" si="1"/>
        <v>17.2</v>
      </c>
      <c r="AD32" s="260"/>
      <c r="AE32" s="251"/>
      <c r="AF32" s="260">
        <v>22.7</v>
      </c>
      <c r="AG32" s="513"/>
      <c r="AH32" s="248"/>
      <c r="AI32" s="1823">
        <f>ROUND(SUM(+AC32-AF32),1)</f>
        <v>-5.5</v>
      </c>
      <c r="AJ32" s="1823"/>
      <c r="AK32" s="2679">
        <f t="shared" si="2"/>
        <v>-0.24199999999999999</v>
      </c>
    </row>
    <row r="33" spans="1:37" ht="15" customHeight="1">
      <c r="A33" s="351"/>
      <c r="B33" s="1748" t="s">
        <v>1159</v>
      </c>
      <c r="C33" s="223"/>
      <c r="D33" s="273">
        <v>0.2</v>
      </c>
      <c r="E33" s="366"/>
      <c r="F33" s="371">
        <v>0.2</v>
      </c>
      <c r="G33" s="366"/>
      <c r="H33" s="317">
        <v>0.2</v>
      </c>
      <c r="I33" s="366"/>
      <c r="J33" s="317">
        <v>0.1</v>
      </c>
      <c r="K33" s="366"/>
      <c r="L33" s="317">
        <v>0.3</v>
      </c>
      <c r="M33" s="366"/>
      <c r="N33" s="2940">
        <v>0.2</v>
      </c>
      <c r="O33" s="366"/>
      <c r="P33" s="1177">
        <v>0.2</v>
      </c>
      <c r="Q33" s="366"/>
      <c r="R33" s="2940">
        <v>0.4</v>
      </c>
      <c r="S33" s="366"/>
      <c r="T33" s="1318">
        <v>0.2</v>
      </c>
      <c r="U33" s="366"/>
      <c r="V33" s="1318">
        <v>0.4</v>
      </c>
      <c r="W33" s="260"/>
      <c r="X33" s="273"/>
      <c r="Y33" s="260"/>
      <c r="Z33" s="273"/>
      <c r="AA33" s="366"/>
      <c r="AB33" s="471"/>
      <c r="AC33" s="317">
        <f t="shared" si="1"/>
        <v>2.4</v>
      </c>
      <c r="AD33" s="260"/>
      <c r="AE33" s="251"/>
      <c r="AF33" s="260">
        <v>0.6</v>
      </c>
      <c r="AG33" s="513"/>
      <c r="AH33" s="248"/>
      <c r="AI33" s="1823">
        <f t="shared" si="0"/>
        <v>1.8</v>
      </c>
      <c r="AJ33" s="1823"/>
      <c r="AK33" s="2679">
        <f>ROUND(IF(AF33=0,1,AI33/ABS(AF33)),3)</f>
        <v>3</v>
      </c>
    </row>
    <row r="34" spans="1:37" ht="15" customHeight="1">
      <c r="A34" s="351"/>
      <c r="B34" s="1748" t="s">
        <v>1272</v>
      </c>
      <c r="C34" s="223"/>
      <c r="D34" s="273"/>
      <c r="E34" s="366"/>
      <c r="F34" s="371"/>
      <c r="G34" s="366"/>
      <c r="H34" s="340"/>
      <c r="I34" s="366"/>
      <c r="J34" s="340"/>
      <c r="K34" s="366"/>
      <c r="L34" s="340"/>
      <c r="M34" s="366"/>
      <c r="N34" s="273"/>
      <c r="O34" s="366"/>
      <c r="P34" s="550"/>
      <c r="Q34" s="366"/>
      <c r="R34" s="370"/>
      <c r="S34" s="366"/>
      <c r="T34" s="371"/>
      <c r="U34" s="366"/>
      <c r="V34" s="371"/>
      <c r="W34" s="260"/>
      <c r="X34" s="273"/>
      <c r="Y34" s="260"/>
      <c r="Z34" s="273"/>
      <c r="AA34" s="366"/>
      <c r="AB34" s="471"/>
      <c r="AC34" s="317"/>
      <c r="AD34" s="260"/>
      <c r="AE34" s="251"/>
      <c r="AF34" s="260"/>
      <c r="AG34" s="513"/>
      <c r="AH34" s="248"/>
      <c r="AI34" s="1823"/>
      <c r="AJ34" s="1823"/>
      <c r="AK34" s="2690"/>
    </row>
    <row r="35" spans="1:37" ht="15" customHeight="1">
      <c r="A35" s="351"/>
      <c r="B35" s="1748" t="s">
        <v>1188</v>
      </c>
      <c r="C35" s="223"/>
      <c r="D35" s="273">
        <v>0</v>
      </c>
      <c r="E35" s="366"/>
      <c r="F35" s="371">
        <v>0</v>
      </c>
      <c r="G35" s="366"/>
      <c r="H35" s="317">
        <v>0</v>
      </c>
      <c r="I35" s="366"/>
      <c r="J35" s="317">
        <v>0</v>
      </c>
      <c r="K35" s="366"/>
      <c r="L35" s="317">
        <v>0</v>
      </c>
      <c r="M35" s="366"/>
      <c r="N35" s="2940">
        <v>0</v>
      </c>
      <c r="O35" s="366"/>
      <c r="P35" s="1177">
        <v>0</v>
      </c>
      <c r="Q35" s="366"/>
      <c r="R35" s="2940">
        <v>0</v>
      </c>
      <c r="S35" s="366"/>
      <c r="T35" s="1318">
        <v>0</v>
      </c>
      <c r="U35" s="366"/>
      <c r="V35" s="1318">
        <v>0</v>
      </c>
      <c r="W35" s="260"/>
      <c r="X35" s="273"/>
      <c r="Y35" s="260"/>
      <c r="Z35" s="273"/>
      <c r="AA35" s="366"/>
      <c r="AB35" s="471"/>
      <c r="AC35" s="317">
        <f t="shared" ref="AC35:AC40" si="3">ROUND(SUM(D35:Z35),1)</f>
        <v>0</v>
      </c>
      <c r="AD35" s="260"/>
      <c r="AE35" s="251"/>
      <c r="AF35" s="260">
        <v>0</v>
      </c>
      <c r="AG35" s="513"/>
      <c r="AH35" s="248"/>
      <c r="AI35" s="1823">
        <f t="shared" si="0"/>
        <v>0</v>
      </c>
      <c r="AJ35" s="1823"/>
      <c r="AK35" s="2679">
        <f t="shared" ref="AK35:AK40" si="4">ROUND(IF(AF35=0,0,AI35/ABS(AF35)),3)</f>
        <v>0</v>
      </c>
    </row>
    <row r="36" spans="1:37" ht="15" customHeight="1">
      <c r="A36" s="351"/>
      <c r="B36" s="1748" t="s">
        <v>1189</v>
      </c>
      <c r="C36" s="223"/>
      <c r="D36" s="273">
        <v>0</v>
      </c>
      <c r="E36" s="366"/>
      <c r="F36" s="371">
        <v>0</v>
      </c>
      <c r="G36" s="366"/>
      <c r="H36" s="317">
        <v>0</v>
      </c>
      <c r="I36" s="366"/>
      <c r="J36" s="317">
        <v>0</v>
      </c>
      <c r="K36" s="366"/>
      <c r="L36" s="317">
        <v>0</v>
      </c>
      <c r="M36" s="366"/>
      <c r="N36" s="2940">
        <v>0</v>
      </c>
      <c r="O36" s="366"/>
      <c r="P36" s="1177">
        <v>0</v>
      </c>
      <c r="Q36" s="366"/>
      <c r="R36" s="2940">
        <v>0</v>
      </c>
      <c r="S36" s="366"/>
      <c r="T36" s="1318">
        <v>0</v>
      </c>
      <c r="U36" s="366"/>
      <c r="V36" s="1318">
        <v>0</v>
      </c>
      <c r="W36" s="260"/>
      <c r="X36" s="273"/>
      <c r="Y36" s="260"/>
      <c r="Z36" s="273"/>
      <c r="AA36" s="366"/>
      <c r="AB36" s="471"/>
      <c r="AC36" s="317">
        <f t="shared" si="3"/>
        <v>0</v>
      </c>
      <c r="AD36" s="260"/>
      <c r="AE36" s="251"/>
      <c r="AF36" s="260">
        <v>0</v>
      </c>
      <c r="AG36" s="513"/>
      <c r="AH36" s="248"/>
      <c r="AI36" s="1823">
        <f t="shared" si="0"/>
        <v>0</v>
      </c>
      <c r="AJ36" s="1823"/>
      <c r="AK36" s="2679">
        <f t="shared" si="4"/>
        <v>0</v>
      </c>
    </row>
    <row r="37" spans="1:37" ht="15" customHeight="1">
      <c r="A37" s="351"/>
      <c r="B37" s="1748" t="s">
        <v>1190</v>
      </c>
      <c r="C37" s="223"/>
      <c r="D37" s="273">
        <v>0</v>
      </c>
      <c r="E37" s="366"/>
      <c r="F37" s="371">
        <v>0</v>
      </c>
      <c r="G37" s="366"/>
      <c r="H37" s="317">
        <v>0</v>
      </c>
      <c r="I37" s="366"/>
      <c r="J37" s="317">
        <v>0</v>
      </c>
      <c r="K37" s="366"/>
      <c r="L37" s="317">
        <v>0</v>
      </c>
      <c r="M37" s="366"/>
      <c r="N37" s="2940">
        <v>0</v>
      </c>
      <c r="O37" s="366"/>
      <c r="P37" s="1177">
        <v>0</v>
      </c>
      <c r="Q37" s="366"/>
      <c r="R37" s="2940">
        <v>0</v>
      </c>
      <c r="S37" s="366"/>
      <c r="T37" s="1318">
        <v>0</v>
      </c>
      <c r="U37" s="366"/>
      <c r="V37" s="1318">
        <v>0</v>
      </c>
      <c r="W37" s="260"/>
      <c r="X37" s="273"/>
      <c r="Y37" s="260"/>
      <c r="Z37" s="273"/>
      <c r="AA37" s="366"/>
      <c r="AB37" s="471"/>
      <c r="AC37" s="317">
        <f t="shared" si="3"/>
        <v>0</v>
      </c>
      <c r="AD37" s="260"/>
      <c r="AE37" s="251"/>
      <c r="AF37" s="260">
        <v>0</v>
      </c>
      <c r="AG37" s="513"/>
      <c r="AH37" s="248"/>
      <c r="AI37" s="1823">
        <f t="shared" si="0"/>
        <v>0</v>
      </c>
      <c r="AJ37" s="1823"/>
      <c r="AK37" s="2679">
        <f t="shared" si="4"/>
        <v>0</v>
      </c>
    </row>
    <row r="38" spans="1:37" ht="15" customHeight="1">
      <c r="A38" s="351"/>
      <c r="B38" s="1748" t="s">
        <v>1191</v>
      </c>
      <c r="C38" s="223"/>
      <c r="D38" s="273">
        <v>0</v>
      </c>
      <c r="E38" s="366"/>
      <c r="F38" s="371">
        <v>0</v>
      </c>
      <c r="G38" s="366"/>
      <c r="H38" s="317">
        <v>0</v>
      </c>
      <c r="I38" s="366"/>
      <c r="J38" s="317">
        <v>0</v>
      </c>
      <c r="K38" s="366"/>
      <c r="L38" s="317">
        <v>0</v>
      </c>
      <c r="M38" s="366"/>
      <c r="N38" s="2940">
        <v>0</v>
      </c>
      <c r="O38" s="366"/>
      <c r="P38" s="1177">
        <v>0</v>
      </c>
      <c r="Q38" s="366"/>
      <c r="R38" s="2940">
        <v>0</v>
      </c>
      <c r="S38" s="366"/>
      <c r="T38" s="1318">
        <v>0</v>
      </c>
      <c r="U38" s="366"/>
      <c r="V38" s="1318">
        <v>0</v>
      </c>
      <c r="W38" s="260"/>
      <c r="X38" s="273"/>
      <c r="Y38" s="260"/>
      <c r="Z38" s="273"/>
      <c r="AA38" s="366"/>
      <c r="AB38" s="471"/>
      <c r="AC38" s="317">
        <f t="shared" si="3"/>
        <v>0</v>
      </c>
      <c r="AD38" s="260"/>
      <c r="AE38" s="251"/>
      <c r="AF38" s="260">
        <v>0</v>
      </c>
      <c r="AG38" s="513"/>
      <c r="AH38" s="248"/>
      <c r="AI38" s="1823">
        <f t="shared" si="0"/>
        <v>0</v>
      </c>
      <c r="AJ38" s="1823"/>
      <c r="AK38" s="2679">
        <f t="shared" si="4"/>
        <v>0</v>
      </c>
    </row>
    <row r="39" spans="1:37" ht="15" customHeight="1">
      <c r="A39" s="351"/>
      <c r="B39" s="1748" t="s">
        <v>1170</v>
      </c>
      <c r="C39" s="223"/>
      <c r="D39" s="273">
        <v>0</v>
      </c>
      <c r="E39" s="366"/>
      <c r="F39" s="371">
        <v>0</v>
      </c>
      <c r="G39" s="366"/>
      <c r="H39" s="317">
        <v>0</v>
      </c>
      <c r="I39" s="366"/>
      <c r="J39" s="317">
        <v>0</v>
      </c>
      <c r="K39" s="366"/>
      <c r="L39" s="317">
        <v>0</v>
      </c>
      <c r="M39" s="366"/>
      <c r="N39" s="2940">
        <v>0</v>
      </c>
      <c r="O39" s="366"/>
      <c r="P39" s="1177">
        <v>0</v>
      </c>
      <c r="Q39" s="366"/>
      <c r="R39" s="2940">
        <v>0</v>
      </c>
      <c r="S39" s="366"/>
      <c r="T39" s="1318">
        <v>0</v>
      </c>
      <c r="U39" s="366"/>
      <c r="V39" s="1318">
        <v>0</v>
      </c>
      <c r="W39" s="260"/>
      <c r="X39" s="273"/>
      <c r="Y39" s="260"/>
      <c r="Z39" s="273"/>
      <c r="AA39" s="366"/>
      <c r="AB39" s="471"/>
      <c r="AC39" s="317">
        <f t="shared" si="3"/>
        <v>0</v>
      </c>
      <c r="AD39" s="260"/>
      <c r="AE39" s="251"/>
      <c r="AF39" s="260">
        <v>0</v>
      </c>
      <c r="AG39" s="513"/>
      <c r="AH39" s="248"/>
      <c r="AI39" s="1823">
        <f t="shared" si="0"/>
        <v>0</v>
      </c>
      <c r="AJ39" s="1823"/>
      <c r="AK39" s="2679">
        <f t="shared" si="4"/>
        <v>0</v>
      </c>
    </row>
    <row r="40" spans="1:37" ht="15" customHeight="1">
      <c r="A40" s="351"/>
      <c r="B40" s="1748" t="s">
        <v>1171</v>
      </c>
      <c r="C40" s="223"/>
      <c r="D40" s="273">
        <v>0</v>
      </c>
      <c r="E40" s="366"/>
      <c r="F40" s="371">
        <v>0</v>
      </c>
      <c r="G40" s="366"/>
      <c r="H40" s="317">
        <v>0</v>
      </c>
      <c r="I40" s="366"/>
      <c r="J40" s="317">
        <v>0</v>
      </c>
      <c r="K40" s="366"/>
      <c r="L40" s="317">
        <v>0</v>
      </c>
      <c r="M40" s="366"/>
      <c r="N40" s="2940">
        <v>0</v>
      </c>
      <c r="O40" s="366"/>
      <c r="P40" s="1177">
        <v>0</v>
      </c>
      <c r="Q40" s="366"/>
      <c r="R40" s="2940">
        <v>0</v>
      </c>
      <c r="S40" s="366"/>
      <c r="T40" s="1318">
        <v>0</v>
      </c>
      <c r="U40" s="366"/>
      <c r="V40" s="1318">
        <v>0</v>
      </c>
      <c r="W40" s="260"/>
      <c r="X40" s="273"/>
      <c r="Y40" s="260"/>
      <c r="Z40" s="273"/>
      <c r="AA40" s="366"/>
      <c r="AB40" s="471"/>
      <c r="AC40" s="317">
        <f t="shared" si="3"/>
        <v>0</v>
      </c>
      <c r="AD40" s="260"/>
      <c r="AE40" s="251"/>
      <c r="AF40" s="260">
        <v>0</v>
      </c>
      <c r="AG40" s="513"/>
      <c r="AH40" s="248"/>
      <c r="AI40" s="1823">
        <f t="shared" si="0"/>
        <v>0</v>
      </c>
      <c r="AJ40" s="1823"/>
      <c r="AK40" s="2679">
        <f t="shared" si="4"/>
        <v>0</v>
      </c>
    </row>
    <row r="41" spans="1:37" ht="15" customHeight="1">
      <c r="A41" s="351"/>
      <c r="B41" s="1748" t="s">
        <v>1273</v>
      </c>
      <c r="C41" s="223"/>
      <c r="D41" s="273"/>
      <c r="E41" s="366"/>
      <c r="F41" s="371"/>
      <c r="G41" s="366"/>
      <c r="H41" s="340"/>
      <c r="I41" s="366"/>
      <c r="J41" s="340"/>
      <c r="K41" s="366"/>
      <c r="L41" s="340"/>
      <c r="M41" s="366"/>
      <c r="N41" s="2940"/>
      <c r="O41" s="366"/>
      <c r="P41" s="550"/>
      <c r="Q41" s="366"/>
      <c r="R41" s="1177"/>
      <c r="S41" s="366"/>
      <c r="T41" s="371"/>
      <c r="U41" s="366"/>
      <c r="V41" s="371"/>
      <c r="W41" s="260"/>
      <c r="X41" s="273"/>
      <c r="Y41" s="260"/>
      <c r="Z41" s="273"/>
      <c r="AA41" s="366"/>
      <c r="AB41" s="471"/>
      <c r="AC41" s="317"/>
      <c r="AD41" s="260"/>
      <c r="AE41" s="251"/>
      <c r="AF41" s="260"/>
      <c r="AG41" s="513"/>
      <c r="AH41" s="248"/>
      <c r="AI41" s="1823"/>
      <c r="AJ41" s="1823"/>
      <c r="AK41" s="2690"/>
    </row>
    <row r="42" spans="1:37" ht="15" customHeight="1">
      <c r="A42" s="351"/>
      <c r="B42" s="1748" t="s">
        <v>1192</v>
      </c>
      <c r="C42" s="223"/>
      <c r="D42" s="273">
        <v>0</v>
      </c>
      <c r="E42" s="366"/>
      <c r="F42" s="371">
        <v>0</v>
      </c>
      <c r="G42" s="366"/>
      <c r="H42" s="317">
        <v>0.1</v>
      </c>
      <c r="I42" s="366"/>
      <c r="J42" s="317">
        <v>0</v>
      </c>
      <c r="K42" s="366"/>
      <c r="L42" s="317">
        <v>0</v>
      </c>
      <c r="M42" s="366"/>
      <c r="N42" s="2940">
        <v>0</v>
      </c>
      <c r="O42" s="366"/>
      <c r="P42" s="1177">
        <v>0</v>
      </c>
      <c r="Q42" s="366"/>
      <c r="R42" s="2940">
        <v>0</v>
      </c>
      <c r="S42" s="366"/>
      <c r="T42" s="1318">
        <v>0</v>
      </c>
      <c r="U42" s="366"/>
      <c r="V42" s="1318">
        <v>0</v>
      </c>
      <c r="W42" s="260"/>
      <c r="X42" s="273"/>
      <c r="Y42" s="260"/>
      <c r="Z42" s="273"/>
      <c r="AA42" s="366"/>
      <c r="AB42" s="471"/>
      <c r="AC42" s="317">
        <f t="shared" ref="AC42:AC52" si="5">ROUND(SUM(D42:Z42),1)</f>
        <v>0.1</v>
      </c>
      <c r="AD42" s="260"/>
      <c r="AE42" s="251"/>
      <c r="AF42" s="260">
        <v>0.6</v>
      </c>
      <c r="AG42" s="513"/>
      <c r="AH42" s="248"/>
      <c r="AI42" s="1823">
        <f t="shared" si="0"/>
        <v>-0.5</v>
      </c>
      <c r="AJ42" s="1823"/>
      <c r="AK42" s="2679">
        <f>ROUND(IF(AF42=0,1,AI42/ABS(AF42)),3)</f>
        <v>-0.83299999999999996</v>
      </c>
    </row>
    <row r="43" spans="1:37" ht="15" customHeight="1">
      <c r="A43" s="351"/>
      <c r="B43" s="1748" t="s">
        <v>1193</v>
      </c>
      <c r="C43" s="223"/>
      <c r="D43" s="273">
        <v>0</v>
      </c>
      <c r="E43" s="366"/>
      <c r="F43" s="371">
        <v>0</v>
      </c>
      <c r="G43" s="366"/>
      <c r="H43" s="317">
        <v>0</v>
      </c>
      <c r="I43" s="366"/>
      <c r="J43" s="317">
        <v>0</v>
      </c>
      <c r="K43" s="366"/>
      <c r="L43" s="317">
        <v>0</v>
      </c>
      <c r="M43" s="366"/>
      <c r="N43" s="2940">
        <v>0</v>
      </c>
      <c r="O43" s="366"/>
      <c r="P43" s="1177">
        <v>0</v>
      </c>
      <c r="Q43" s="366"/>
      <c r="R43" s="2940">
        <v>0</v>
      </c>
      <c r="S43" s="366"/>
      <c r="T43" s="1318">
        <v>0</v>
      </c>
      <c r="U43" s="366"/>
      <c r="V43" s="1318">
        <v>0</v>
      </c>
      <c r="W43" s="260"/>
      <c r="X43" s="273"/>
      <c r="Y43" s="260"/>
      <c r="Z43" s="273"/>
      <c r="AA43" s="366"/>
      <c r="AB43" s="471"/>
      <c r="AC43" s="317">
        <f t="shared" si="5"/>
        <v>0</v>
      </c>
      <c r="AD43" s="260"/>
      <c r="AE43" s="251"/>
      <c r="AF43" s="260">
        <v>0</v>
      </c>
      <c r="AG43" s="513"/>
      <c r="AH43" s="248"/>
      <c r="AI43" s="1823">
        <f t="shared" si="0"/>
        <v>0</v>
      </c>
      <c r="AJ43" s="1823"/>
      <c r="AK43" s="2679">
        <f>ROUND(IF(AF43=0,0,AI43/ABS(AF43)),3)</f>
        <v>0</v>
      </c>
    </row>
    <row r="44" spans="1:37" ht="15" customHeight="1">
      <c r="A44" s="351"/>
      <c r="B44" s="1748" t="s">
        <v>1194</v>
      </c>
      <c r="C44" s="223"/>
      <c r="D44" s="273">
        <v>0</v>
      </c>
      <c r="E44" s="366"/>
      <c r="F44" s="371">
        <v>0</v>
      </c>
      <c r="G44" s="366"/>
      <c r="H44" s="317">
        <v>0</v>
      </c>
      <c r="I44" s="366"/>
      <c r="J44" s="317">
        <v>0</v>
      </c>
      <c r="K44" s="366"/>
      <c r="L44" s="317">
        <v>0</v>
      </c>
      <c r="M44" s="366"/>
      <c r="N44" s="2940">
        <v>0</v>
      </c>
      <c r="O44" s="366"/>
      <c r="P44" s="1177">
        <v>0</v>
      </c>
      <c r="Q44" s="366"/>
      <c r="R44" s="2940">
        <v>0</v>
      </c>
      <c r="S44" s="366"/>
      <c r="T44" s="1318">
        <v>0</v>
      </c>
      <c r="U44" s="366"/>
      <c r="V44" s="1318">
        <v>0</v>
      </c>
      <c r="W44" s="260"/>
      <c r="X44" s="273"/>
      <c r="Y44" s="260"/>
      <c r="Z44" s="273"/>
      <c r="AA44" s="366"/>
      <c r="AB44" s="471"/>
      <c r="AC44" s="317">
        <f t="shared" si="5"/>
        <v>0</v>
      </c>
      <c r="AD44" s="260"/>
      <c r="AE44" s="251"/>
      <c r="AF44" s="260">
        <v>0</v>
      </c>
      <c r="AG44" s="513"/>
      <c r="AH44" s="248"/>
      <c r="AI44" s="1823">
        <f t="shared" si="0"/>
        <v>0</v>
      </c>
      <c r="AJ44" s="1823"/>
      <c r="AK44" s="2679">
        <f>ROUND(IF(AF44=0,0,AI44/ABS(AF44)),3)</f>
        <v>0</v>
      </c>
    </row>
    <row r="45" spans="1:37" ht="15" customHeight="1">
      <c r="A45" s="351"/>
      <c r="B45" s="1748" t="s">
        <v>1195</v>
      </c>
      <c r="C45" s="223"/>
      <c r="D45" s="273">
        <v>0</v>
      </c>
      <c r="E45" s="366"/>
      <c r="F45" s="371">
        <v>0</v>
      </c>
      <c r="G45" s="366"/>
      <c r="H45" s="317">
        <v>0</v>
      </c>
      <c r="I45" s="366"/>
      <c r="J45" s="317">
        <v>0</v>
      </c>
      <c r="K45" s="366"/>
      <c r="L45" s="317">
        <v>0</v>
      </c>
      <c r="M45" s="366"/>
      <c r="N45" s="2940">
        <v>0</v>
      </c>
      <c r="O45" s="366"/>
      <c r="P45" s="1177">
        <v>0</v>
      </c>
      <c r="Q45" s="366"/>
      <c r="R45" s="2940">
        <v>0</v>
      </c>
      <c r="S45" s="366"/>
      <c r="T45" s="1318">
        <v>0</v>
      </c>
      <c r="U45" s="366"/>
      <c r="V45" s="1318">
        <v>0</v>
      </c>
      <c r="W45" s="260"/>
      <c r="X45" s="273"/>
      <c r="Y45" s="260"/>
      <c r="Z45" s="273"/>
      <c r="AA45" s="366"/>
      <c r="AB45" s="471"/>
      <c r="AC45" s="317">
        <f t="shared" si="5"/>
        <v>0</v>
      </c>
      <c r="AD45" s="260"/>
      <c r="AE45" s="251"/>
      <c r="AF45" s="260">
        <v>0</v>
      </c>
      <c r="AG45" s="513"/>
      <c r="AH45" s="248"/>
      <c r="AI45" s="1823">
        <f t="shared" si="0"/>
        <v>0</v>
      </c>
      <c r="AJ45" s="1823"/>
      <c r="AK45" s="2679">
        <f>ROUND(IF(AF45=0,0,AI45/ABS(AF45)),3)</f>
        <v>0</v>
      </c>
    </row>
    <row r="46" spans="1:37" ht="15" customHeight="1">
      <c r="A46" s="351"/>
      <c r="B46" s="1748" t="s">
        <v>1196</v>
      </c>
      <c r="C46" s="223"/>
      <c r="D46" s="273">
        <v>0</v>
      </c>
      <c r="E46" s="366"/>
      <c r="F46" s="371">
        <v>0</v>
      </c>
      <c r="G46" s="366"/>
      <c r="H46" s="317">
        <v>0</v>
      </c>
      <c r="I46" s="366"/>
      <c r="J46" s="317">
        <v>0</v>
      </c>
      <c r="K46" s="366"/>
      <c r="L46" s="317">
        <v>0</v>
      </c>
      <c r="M46" s="366"/>
      <c r="N46" s="2940">
        <v>0</v>
      </c>
      <c r="O46" s="366"/>
      <c r="P46" s="1177">
        <v>0</v>
      </c>
      <c r="Q46" s="366"/>
      <c r="R46" s="2940">
        <v>0</v>
      </c>
      <c r="S46" s="366"/>
      <c r="T46" s="1318">
        <v>0</v>
      </c>
      <c r="U46" s="366"/>
      <c r="V46" s="1318">
        <v>0</v>
      </c>
      <c r="W46" s="260"/>
      <c r="X46" s="273"/>
      <c r="Y46" s="260"/>
      <c r="Z46" s="273"/>
      <c r="AA46" s="366"/>
      <c r="AB46" s="471"/>
      <c r="AC46" s="317">
        <f t="shared" si="5"/>
        <v>0</v>
      </c>
      <c r="AD46" s="260"/>
      <c r="AE46" s="251"/>
      <c r="AF46" s="260">
        <v>0</v>
      </c>
      <c r="AG46" s="513"/>
      <c r="AH46" s="248"/>
      <c r="AI46" s="1823">
        <f t="shared" si="0"/>
        <v>0</v>
      </c>
      <c r="AJ46" s="1823"/>
      <c r="AK46" s="2679">
        <f>ROUND(IF(AF46=0,0,AI46/ABS(AF46)),3)</f>
        <v>0</v>
      </c>
    </row>
    <row r="47" spans="1:37" ht="15" customHeight="1">
      <c r="A47" s="351"/>
      <c r="B47" s="1748" t="s">
        <v>1197</v>
      </c>
      <c r="C47" s="223"/>
      <c r="D47" s="273">
        <v>7.9</v>
      </c>
      <c r="E47" s="366"/>
      <c r="F47" s="371">
        <v>9.1999999999999993</v>
      </c>
      <c r="G47" s="366"/>
      <c r="H47" s="317">
        <v>7.8</v>
      </c>
      <c r="I47" s="366"/>
      <c r="J47" s="317">
        <v>8.4</v>
      </c>
      <c r="K47" s="366"/>
      <c r="L47" s="317">
        <v>9.1</v>
      </c>
      <c r="M47" s="366"/>
      <c r="N47" s="2940">
        <v>8.5</v>
      </c>
      <c r="O47" s="366"/>
      <c r="P47" s="1177">
        <v>9.9</v>
      </c>
      <c r="Q47" s="366"/>
      <c r="R47" s="2940">
        <v>9.1</v>
      </c>
      <c r="S47" s="366"/>
      <c r="T47" s="1318">
        <v>9</v>
      </c>
      <c r="U47" s="366"/>
      <c r="V47" s="1318">
        <v>9.1999999999999993</v>
      </c>
      <c r="W47" s="260"/>
      <c r="X47" s="273"/>
      <c r="Y47" s="260"/>
      <c r="Z47" s="273"/>
      <c r="AA47" s="366"/>
      <c r="AB47" s="471"/>
      <c r="AC47" s="317">
        <f t="shared" si="5"/>
        <v>88.1</v>
      </c>
      <c r="AD47" s="260"/>
      <c r="AE47" s="251"/>
      <c r="AF47" s="260">
        <v>84.1</v>
      </c>
      <c r="AG47" s="513"/>
      <c r="AH47" s="248"/>
      <c r="AI47" s="1823">
        <f t="shared" si="0"/>
        <v>4</v>
      </c>
      <c r="AJ47" s="1823"/>
      <c r="AK47" s="2679">
        <f>ROUND(IF(AF47=0,0,AI47/ABS(AF47)),3)</f>
        <v>4.8000000000000001E-2</v>
      </c>
    </row>
    <row r="48" spans="1:37" ht="15" customHeight="1">
      <c r="A48" s="351"/>
      <c r="B48" s="1748" t="s">
        <v>1198</v>
      </c>
      <c r="C48" s="223"/>
      <c r="D48" s="273">
        <v>0</v>
      </c>
      <c r="E48" s="366"/>
      <c r="F48" s="371">
        <v>0</v>
      </c>
      <c r="G48" s="366"/>
      <c r="H48" s="1751">
        <v>0</v>
      </c>
      <c r="I48" s="366"/>
      <c r="J48" s="317">
        <v>0</v>
      </c>
      <c r="K48" s="366"/>
      <c r="L48" s="317">
        <v>0</v>
      </c>
      <c r="M48" s="366"/>
      <c r="N48" s="2940">
        <v>0</v>
      </c>
      <c r="O48" s="366"/>
      <c r="P48" s="1177">
        <v>0</v>
      </c>
      <c r="Q48" s="366"/>
      <c r="R48" s="2940">
        <v>0</v>
      </c>
      <c r="S48" s="366"/>
      <c r="T48" s="1318">
        <v>0</v>
      </c>
      <c r="U48" s="366"/>
      <c r="V48" s="1318">
        <v>0</v>
      </c>
      <c r="W48" s="260"/>
      <c r="X48" s="273"/>
      <c r="Y48" s="260"/>
      <c r="Z48" s="273"/>
      <c r="AA48" s="366"/>
      <c r="AB48" s="471"/>
      <c r="AC48" s="317">
        <f t="shared" si="5"/>
        <v>0</v>
      </c>
      <c r="AD48" s="260"/>
      <c r="AE48" s="251"/>
      <c r="AF48" s="260">
        <v>0.1</v>
      </c>
      <c r="AG48" s="513"/>
      <c r="AH48" s="248"/>
      <c r="AI48" s="1823">
        <f t="shared" si="0"/>
        <v>-0.1</v>
      </c>
      <c r="AJ48" s="1823"/>
      <c r="AK48" s="2679">
        <f>ROUND(IF(AF48=0,1,AI48/ABS(AF48)),3)</f>
        <v>-1</v>
      </c>
    </row>
    <row r="49" spans="1:37" ht="15" customHeight="1">
      <c r="A49" s="351"/>
      <c r="B49" s="1748" t="s">
        <v>1199</v>
      </c>
      <c r="C49" s="223"/>
      <c r="D49" s="273">
        <v>0</v>
      </c>
      <c r="E49" s="366"/>
      <c r="F49" s="371">
        <v>0</v>
      </c>
      <c r="G49" s="366"/>
      <c r="H49" s="317">
        <v>0</v>
      </c>
      <c r="I49" s="366"/>
      <c r="J49" s="317">
        <v>0</v>
      </c>
      <c r="K49" s="366"/>
      <c r="L49" s="317">
        <v>0</v>
      </c>
      <c r="M49" s="366"/>
      <c r="N49" s="2940">
        <v>0</v>
      </c>
      <c r="O49" s="366"/>
      <c r="P49" s="1177">
        <v>0</v>
      </c>
      <c r="Q49" s="366"/>
      <c r="R49" s="2940">
        <v>0</v>
      </c>
      <c r="S49" s="366"/>
      <c r="T49" s="1318">
        <v>0</v>
      </c>
      <c r="U49" s="366"/>
      <c r="V49" s="1318">
        <v>0</v>
      </c>
      <c r="W49" s="260"/>
      <c r="X49" s="273"/>
      <c r="Y49" s="260"/>
      <c r="Z49" s="273"/>
      <c r="AA49" s="366"/>
      <c r="AB49" s="471"/>
      <c r="AC49" s="317">
        <f t="shared" si="5"/>
        <v>0</v>
      </c>
      <c r="AD49" s="260"/>
      <c r="AE49" s="251"/>
      <c r="AF49" s="260">
        <v>0</v>
      </c>
      <c r="AG49" s="513"/>
      <c r="AH49" s="248"/>
      <c r="AI49" s="1823">
        <f t="shared" si="0"/>
        <v>0</v>
      </c>
      <c r="AJ49" s="1823"/>
      <c r="AK49" s="2679">
        <f>ROUND(IF(AF49=0,0,AI49/ABS(AF49)),3)</f>
        <v>0</v>
      </c>
    </row>
    <row r="50" spans="1:37" ht="15" customHeight="1">
      <c r="A50" s="351"/>
      <c r="B50" s="1748" t="s">
        <v>1200</v>
      </c>
      <c r="C50" s="223"/>
      <c r="D50" s="273">
        <v>0.1</v>
      </c>
      <c r="E50" s="366"/>
      <c r="F50" s="371">
        <v>0.4</v>
      </c>
      <c r="G50" s="366"/>
      <c r="H50" s="317">
        <v>-0.1</v>
      </c>
      <c r="I50" s="366"/>
      <c r="J50" s="317">
        <v>0</v>
      </c>
      <c r="K50" s="366"/>
      <c r="L50" s="317">
        <v>-3.8</v>
      </c>
      <c r="M50" s="366"/>
      <c r="N50" s="2557">
        <f>-1.1-0.1</f>
        <v>-1.2000000000000002</v>
      </c>
      <c r="O50" s="366"/>
      <c r="P50" s="1177">
        <v>-1.1000000000000001</v>
      </c>
      <c r="Q50" s="366"/>
      <c r="R50" s="2940">
        <v>-0.2</v>
      </c>
      <c r="S50" s="366"/>
      <c r="T50" s="1318">
        <v>-0.5</v>
      </c>
      <c r="U50" s="366"/>
      <c r="V50" s="1318">
        <v>0.2</v>
      </c>
      <c r="W50" s="260"/>
      <c r="X50" s="273"/>
      <c r="Y50" s="260"/>
      <c r="Z50" s="273"/>
      <c r="AA50" s="366"/>
      <c r="AB50" s="471"/>
      <c r="AC50" s="317">
        <f t="shared" si="5"/>
        <v>-6.2</v>
      </c>
      <c r="AD50" s="260"/>
      <c r="AE50" s="251"/>
      <c r="AF50" s="260">
        <v>1.1000000000000001</v>
      </c>
      <c r="AG50" s="513"/>
      <c r="AH50" s="248"/>
      <c r="AI50" s="1823">
        <f t="shared" si="0"/>
        <v>-7.3</v>
      </c>
      <c r="AJ50" s="1823"/>
      <c r="AK50" s="2734">
        <f>ROUND(IF(AF50=0,1,AI50/ABS(AF50)),3)</f>
        <v>-6.6360000000000001</v>
      </c>
    </row>
    <row r="51" spans="1:37" ht="15" customHeight="1">
      <c r="A51" s="351"/>
      <c r="B51" s="1748" t="s">
        <v>1172</v>
      </c>
      <c r="C51" s="223"/>
      <c r="D51" s="273">
        <v>0</v>
      </c>
      <c r="E51" s="366"/>
      <c r="F51" s="371">
        <v>0</v>
      </c>
      <c r="G51" s="366"/>
      <c r="H51" s="317">
        <v>0.2</v>
      </c>
      <c r="I51" s="366"/>
      <c r="J51" s="317">
        <v>0</v>
      </c>
      <c r="K51" s="366"/>
      <c r="L51" s="317">
        <v>0</v>
      </c>
      <c r="M51" s="366"/>
      <c r="N51" s="2940">
        <v>0</v>
      </c>
      <c r="O51" s="366"/>
      <c r="P51" s="1177">
        <v>0</v>
      </c>
      <c r="Q51" s="366"/>
      <c r="R51" s="2940">
        <v>0.1</v>
      </c>
      <c r="S51" s="366"/>
      <c r="T51" s="1318">
        <v>0</v>
      </c>
      <c r="U51" s="366"/>
      <c r="V51" s="1318">
        <v>0</v>
      </c>
      <c r="W51" s="260"/>
      <c r="X51" s="273"/>
      <c r="Y51" s="260"/>
      <c r="Z51" s="273"/>
      <c r="AA51" s="366"/>
      <c r="AB51" s="471"/>
      <c r="AC51" s="317">
        <f t="shared" si="5"/>
        <v>0.3</v>
      </c>
      <c r="AD51" s="260"/>
      <c r="AE51" s="251"/>
      <c r="AF51" s="260">
        <v>0.1</v>
      </c>
      <c r="AG51" s="513"/>
      <c r="AH51" s="248"/>
      <c r="AI51" s="1823">
        <f t="shared" si="0"/>
        <v>0.2</v>
      </c>
      <c r="AJ51" s="1823"/>
      <c r="AK51" s="2679">
        <f>ROUND(IF(AF51=0,1,AI51/ABS(AF51)),3)</f>
        <v>2</v>
      </c>
    </row>
    <row r="52" spans="1:37" ht="15" customHeight="1">
      <c r="A52" s="351"/>
      <c r="B52" s="1748" t="s">
        <v>1173</v>
      </c>
      <c r="C52" s="223"/>
      <c r="D52" s="273">
        <v>0</v>
      </c>
      <c r="E52" s="366"/>
      <c r="F52" s="371">
        <v>0</v>
      </c>
      <c r="G52" s="366"/>
      <c r="H52" s="317">
        <v>0</v>
      </c>
      <c r="I52" s="366"/>
      <c r="J52" s="317">
        <v>0</v>
      </c>
      <c r="K52" s="366"/>
      <c r="L52" s="317">
        <v>0</v>
      </c>
      <c r="M52" s="366"/>
      <c r="N52" s="2940">
        <v>0</v>
      </c>
      <c r="O52" s="366"/>
      <c r="P52" s="1177">
        <v>0</v>
      </c>
      <c r="Q52" s="366"/>
      <c r="R52" s="2940">
        <v>0</v>
      </c>
      <c r="S52" s="366"/>
      <c r="T52" s="1318">
        <v>0</v>
      </c>
      <c r="U52" s="366"/>
      <c r="V52" s="1318">
        <v>0</v>
      </c>
      <c r="W52" s="260"/>
      <c r="X52" s="273"/>
      <c r="Y52" s="260"/>
      <c r="Z52" s="273"/>
      <c r="AA52" s="366"/>
      <c r="AB52" s="471"/>
      <c r="AC52" s="317">
        <f t="shared" si="5"/>
        <v>0</v>
      </c>
      <c r="AD52" s="260"/>
      <c r="AE52" s="251"/>
      <c r="AF52" s="260">
        <v>0</v>
      </c>
      <c r="AG52" s="513"/>
      <c r="AH52" s="248"/>
      <c r="AI52" s="1823">
        <f t="shared" si="0"/>
        <v>0</v>
      </c>
      <c r="AJ52" s="1823"/>
      <c r="AK52" s="2679">
        <f>ROUND(IF(AF52=0,0,AI52/ABS(AF52)),3)</f>
        <v>0</v>
      </c>
    </row>
    <row r="53" spans="1:37" s="1743" customFormat="1" ht="15" customHeight="1">
      <c r="A53" s="2017"/>
      <c r="B53" s="587" t="s">
        <v>1322</v>
      </c>
      <c r="C53" s="306"/>
      <c r="D53" s="2022">
        <f>ROUND(SUM(D20:D52),1)</f>
        <v>13</v>
      </c>
      <c r="E53" s="340"/>
      <c r="F53" s="2022">
        <f>ROUND(SUM(F20:F52),1)</f>
        <v>43.9</v>
      </c>
      <c r="G53" s="340"/>
      <c r="H53" s="2022">
        <f>ROUND(SUM(H20:H52),1)</f>
        <v>8.9</v>
      </c>
      <c r="I53" s="340"/>
      <c r="J53" s="2022">
        <f>ROUND(SUM(J20:J52),1)</f>
        <v>13.7</v>
      </c>
      <c r="K53" s="340"/>
      <c r="L53" s="2022">
        <f>ROUND(SUM(L20:L52),1)</f>
        <v>16.5</v>
      </c>
      <c r="M53" s="340"/>
      <c r="N53" s="2022">
        <f>ROUND(SUM(N20:N52),1)</f>
        <v>9</v>
      </c>
      <c r="O53" s="340"/>
      <c r="P53" s="2022">
        <f>ROUND(SUM(P20:P52),1)</f>
        <v>17.2</v>
      </c>
      <c r="Q53" s="340"/>
      <c r="R53" s="2022">
        <f>ROUND(SUM(R20:R52),1)</f>
        <v>17.3</v>
      </c>
      <c r="S53" s="340"/>
      <c r="T53" s="2022">
        <f>ROUND(SUM(T20:T52),1)</f>
        <v>9.9</v>
      </c>
      <c r="U53" s="340"/>
      <c r="V53" s="2022">
        <f>ROUND(SUM(V20:V52),1)</f>
        <v>11.7</v>
      </c>
      <c r="W53" s="317"/>
      <c r="X53" s="2022">
        <f>ROUND(SUM(X20:X52),1)</f>
        <v>0</v>
      </c>
      <c r="Y53" s="317"/>
      <c r="Z53" s="2022">
        <f>ROUND(SUM(Z20:Z52),1)</f>
        <v>0</v>
      </c>
      <c r="AA53" s="340"/>
      <c r="AB53" s="2019"/>
      <c r="AC53" s="2022">
        <f>ROUND(SUM(AC20:AC52),1)</f>
        <v>161.1</v>
      </c>
      <c r="AD53" s="317"/>
      <c r="AE53" s="2020"/>
      <c r="AF53" s="2022">
        <f>ROUND(SUM(AF20:AF52),1)</f>
        <v>165.6</v>
      </c>
      <c r="AG53" s="2021"/>
      <c r="AH53" s="261"/>
      <c r="AI53" s="2022">
        <f>ROUND(SUM(AI20:AI52),1)</f>
        <v>-4.5</v>
      </c>
      <c r="AJ53" s="1959"/>
      <c r="AK53" s="2694">
        <f>ROUND(SUM((AC53-AF53)/ABS(AF53)),3)</f>
        <v>-2.7E-2</v>
      </c>
    </row>
    <row r="54" spans="1:37" s="1743" customFormat="1" ht="15" customHeight="1">
      <c r="A54" s="2017"/>
      <c r="B54" s="1748"/>
      <c r="C54" s="306"/>
      <c r="D54" s="318"/>
      <c r="E54" s="340"/>
      <c r="F54" s="685"/>
      <c r="G54" s="340"/>
      <c r="H54" s="317"/>
      <c r="I54" s="340"/>
      <c r="J54" s="317"/>
      <c r="K54" s="340"/>
      <c r="L54" s="317"/>
      <c r="M54" s="340"/>
      <c r="N54" s="340"/>
      <c r="O54" s="340"/>
      <c r="P54" s="550"/>
      <c r="Q54" s="340"/>
      <c r="R54" s="2018"/>
      <c r="S54" s="340"/>
      <c r="T54" s="685"/>
      <c r="U54" s="340"/>
      <c r="V54" s="318"/>
      <c r="W54" s="317"/>
      <c r="X54" s="318"/>
      <c r="Y54" s="317"/>
      <c r="Z54" s="318"/>
      <c r="AA54" s="340"/>
      <c r="AB54" s="2019"/>
      <c r="AC54" s="317"/>
      <c r="AD54" s="317"/>
      <c r="AE54" s="2020"/>
      <c r="AF54" s="317"/>
      <c r="AG54" s="2021"/>
      <c r="AH54" s="261"/>
      <c r="AI54" s="1959"/>
      <c r="AJ54" s="1959"/>
      <c r="AK54" s="2692"/>
    </row>
    <row r="55" spans="1:37" ht="15" customHeight="1">
      <c r="A55" s="351"/>
      <c r="B55" s="518" t="s">
        <v>154</v>
      </c>
      <c r="C55" s="223"/>
      <c r="D55" s="273">
        <v>3134.7</v>
      </c>
      <c r="E55" s="366"/>
      <c r="F55" s="371">
        <v>4040.4</v>
      </c>
      <c r="G55" s="366"/>
      <c r="H55" s="340">
        <v>4981</v>
      </c>
      <c r="I55" s="366"/>
      <c r="J55" s="340">
        <v>3492.3</v>
      </c>
      <c r="K55" s="366"/>
      <c r="L55" s="340">
        <v>3955.5</v>
      </c>
      <c r="M55" s="366"/>
      <c r="N55" s="317">
        <v>5019.5</v>
      </c>
      <c r="O55" s="366"/>
      <c r="P55" s="550">
        <v>3393.9</v>
      </c>
      <c r="Q55" s="366"/>
      <c r="R55" s="1177">
        <v>4006.9</v>
      </c>
      <c r="S55" s="366"/>
      <c r="T55" s="371">
        <v>5611.8</v>
      </c>
      <c r="U55" s="366"/>
      <c r="V55" s="273">
        <v>3933.8</v>
      </c>
      <c r="W55" s="260"/>
      <c r="X55" s="273"/>
      <c r="Y55" s="260"/>
      <c r="Z55" s="273"/>
      <c r="AA55" s="366"/>
      <c r="AB55" s="471"/>
      <c r="AC55" s="317">
        <f>ROUND(SUM(D55:Z55),1)</f>
        <v>41569.800000000003</v>
      </c>
      <c r="AD55" s="248"/>
      <c r="AE55" s="251"/>
      <c r="AF55" s="260">
        <v>39572.800000000003</v>
      </c>
      <c r="AG55" s="513"/>
      <c r="AH55" s="248"/>
      <c r="AI55" s="1823">
        <f>ROUND(SUM(+AC55-AF55),1)</f>
        <v>1997</v>
      </c>
      <c r="AJ55" s="1823"/>
      <c r="AK55" s="2695">
        <f>ROUND(SUM((AC55-AF55)/ABS(AF55)),3)</f>
        <v>0.05</v>
      </c>
    </row>
    <row r="56" spans="1:37" ht="15" customHeight="1">
      <c r="A56" s="351"/>
      <c r="B56" s="223"/>
      <c r="C56" s="223"/>
      <c r="D56" s="369"/>
      <c r="E56" s="366"/>
      <c r="F56" s="369"/>
      <c r="G56" s="366"/>
      <c r="H56" s="369"/>
      <c r="I56" s="366"/>
      <c r="J56" s="369"/>
      <c r="K56" s="366"/>
      <c r="L56" s="369"/>
      <c r="M56" s="366"/>
      <c r="N56" s="369"/>
      <c r="O56" s="366"/>
      <c r="P56" s="369"/>
      <c r="Q56" s="366"/>
      <c r="R56" s="369"/>
      <c r="S56" s="366"/>
      <c r="T56" s="287"/>
      <c r="U56" s="366"/>
      <c r="V56" s="287"/>
      <c r="W56" s="260"/>
      <c r="X56" s="287"/>
      <c r="Y56" s="260"/>
      <c r="Z56" s="287"/>
      <c r="AA56" s="366"/>
      <c r="AB56" s="471"/>
      <c r="AC56" s="326"/>
      <c r="AD56" s="248"/>
      <c r="AE56" s="251"/>
      <c r="AF56" s="287"/>
      <c r="AG56" s="513"/>
      <c r="AH56" s="248"/>
      <c r="AI56" s="2637"/>
      <c r="AJ56" s="2638"/>
      <c r="AK56" s="2696"/>
    </row>
    <row r="57" spans="1:37" ht="15" customHeight="1">
      <c r="A57" s="351"/>
      <c r="B57" s="221" t="s">
        <v>155</v>
      </c>
      <c r="C57" s="223"/>
      <c r="D57" s="256">
        <f>ROUND(SUM(+D53+D55),2)</f>
        <v>3147.7</v>
      </c>
      <c r="E57" s="408"/>
      <c r="F57" s="1802">
        <f>ROUND(SUM(+F53+F55),2)</f>
        <v>4084.3</v>
      </c>
      <c r="G57" s="408"/>
      <c r="H57" s="1802">
        <f>ROUND(SUM(+H53+H55),2)</f>
        <v>4989.8999999999996</v>
      </c>
      <c r="I57" s="408"/>
      <c r="J57" s="1802">
        <f>ROUND(SUM(+J53+J55),2)</f>
        <v>3506</v>
      </c>
      <c r="K57" s="408"/>
      <c r="L57" s="1802">
        <f>ROUND(SUM(+L53+L55),2)</f>
        <v>3972</v>
      </c>
      <c r="M57" s="408"/>
      <c r="N57" s="1802">
        <f>ROUND(SUM(+N53+N55),2)</f>
        <v>5028.5</v>
      </c>
      <c r="O57" s="408"/>
      <c r="P57" s="1802">
        <f>ROUND(SUM(+P53+P55),2)</f>
        <v>3411.1</v>
      </c>
      <c r="Q57" s="408"/>
      <c r="R57" s="1802">
        <f>ROUND(SUM(+R53+R55),2)</f>
        <v>4024.2</v>
      </c>
      <c r="S57" s="408"/>
      <c r="T57" s="1802">
        <f>ROUND(SUM(+T53+T55),2)</f>
        <v>5621.7</v>
      </c>
      <c r="U57" s="408"/>
      <c r="V57" s="1802">
        <f>ROUND(SUM(+V53+V55),2)</f>
        <v>3945.5</v>
      </c>
      <c r="W57" s="256"/>
      <c r="X57" s="1802">
        <f>ROUND(SUM(+X53+X55),2)</f>
        <v>0</v>
      </c>
      <c r="Y57" s="256"/>
      <c r="Z57" s="1802">
        <f>ROUND(SUM(+Z53+Z55),2)</f>
        <v>0</v>
      </c>
      <c r="AA57" s="408"/>
      <c r="AB57" s="478"/>
      <c r="AC57" s="311">
        <f>ROUND(SUM(+AC53+AC55),1)</f>
        <v>41730.9</v>
      </c>
      <c r="AD57" s="272"/>
      <c r="AE57" s="742"/>
      <c r="AF57" s="1802">
        <f>ROUND(SUM(+AF53+AF55),1)</f>
        <v>39738.400000000001</v>
      </c>
      <c r="AG57" s="520"/>
      <c r="AH57" s="272"/>
      <c r="AI57" s="1656">
        <f>ROUND(SUM(+AI53+AI55),1)</f>
        <v>1992.5</v>
      </c>
      <c r="AJ57" s="522"/>
      <c r="AK57" s="2697">
        <f>ROUND(SUM((AC57-AF57)/ABS(AF57)),3)</f>
        <v>0.05</v>
      </c>
    </row>
    <row r="58" spans="1:37" ht="15" customHeight="1">
      <c r="A58" s="351"/>
      <c r="B58" s="223"/>
      <c r="C58" s="223"/>
      <c r="D58" s="369"/>
      <c r="E58" s="366"/>
      <c r="F58" s="287"/>
      <c r="G58" s="366"/>
      <c r="H58" s="287"/>
      <c r="I58" s="366"/>
      <c r="J58" s="287"/>
      <c r="K58" s="366"/>
      <c r="L58" s="287"/>
      <c r="M58" s="366"/>
      <c r="N58" s="287"/>
      <c r="O58" s="366"/>
      <c r="P58" s="287"/>
      <c r="Q58" s="366"/>
      <c r="R58" s="287"/>
      <c r="S58" s="366"/>
      <c r="T58" s="287"/>
      <c r="U58" s="366"/>
      <c r="V58" s="287"/>
      <c r="W58" s="260"/>
      <c r="X58" s="287"/>
      <c r="Y58" s="260"/>
      <c r="Z58" s="287"/>
      <c r="AA58" s="366"/>
      <c r="AB58" s="471"/>
      <c r="AC58" s="3308"/>
      <c r="AD58" s="252"/>
      <c r="AE58" s="539"/>
      <c r="AF58" s="369"/>
      <c r="AG58" s="540"/>
      <c r="AH58" s="229"/>
      <c r="AI58" s="2638"/>
      <c r="AJ58" s="2638"/>
      <c r="AK58" s="2698"/>
    </row>
    <row r="59" spans="1:37" ht="15" customHeight="1">
      <c r="A59" s="351"/>
      <c r="B59" s="374" t="s">
        <v>23</v>
      </c>
      <c r="C59" s="223"/>
      <c r="D59" s="366"/>
      <c r="E59" s="366"/>
      <c r="F59" s="260"/>
      <c r="G59" s="366"/>
      <c r="H59" s="260"/>
      <c r="I59" s="366"/>
      <c r="J59" s="260"/>
      <c r="K59" s="366"/>
      <c r="L59" s="260"/>
      <c r="M59" s="366"/>
      <c r="N59" s="260"/>
      <c r="O59" s="366"/>
      <c r="P59" s="260"/>
      <c r="Q59" s="366"/>
      <c r="R59" s="260"/>
      <c r="S59" s="366"/>
      <c r="T59" s="260"/>
      <c r="U59" s="366"/>
      <c r="V59" s="260"/>
      <c r="W59" s="260"/>
      <c r="X59" s="260"/>
      <c r="Y59" s="260"/>
      <c r="Z59" s="260"/>
      <c r="AA59" s="366"/>
      <c r="AB59" s="471"/>
      <c r="AC59" s="340"/>
      <c r="AD59" s="252"/>
      <c r="AE59" s="539"/>
      <c r="AF59" s="366"/>
      <c r="AG59" s="540"/>
      <c r="AH59" s="229"/>
      <c r="AI59" s="2638"/>
      <c r="AJ59" s="2638"/>
      <c r="AK59" s="2698"/>
    </row>
    <row r="60" spans="1:37" ht="15" customHeight="1">
      <c r="A60" s="351"/>
      <c r="B60" s="1321" t="s">
        <v>156</v>
      </c>
      <c r="C60" s="223"/>
      <c r="D60" s="273"/>
      <c r="E60" s="366"/>
      <c r="F60" s="273"/>
      <c r="G60" s="366"/>
      <c r="H60" s="318"/>
      <c r="I60" s="366"/>
      <c r="J60" s="318"/>
      <c r="K60" s="366"/>
      <c r="L60" s="318"/>
      <c r="M60" s="366"/>
      <c r="N60" s="318"/>
      <c r="O60" s="366"/>
      <c r="P60" s="319"/>
      <c r="Q60" s="366"/>
      <c r="R60" s="273"/>
      <c r="S60" s="366"/>
      <c r="T60" s="273"/>
      <c r="U60" s="366"/>
      <c r="V60" s="260"/>
      <c r="W60" s="260"/>
      <c r="X60" s="260"/>
      <c r="Y60" s="260"/>
      <c r="Z60" s="260"/>
      <c r="AA60" s="366"/>
      <c r="AB60" s="471"/>
      <c r="AC60" s="340"/>
      <c r="AD60" s="252"/>
      <c r="AE60" s="539"/>
      <c r="AF60" s="366"/>
      <c r="AG60" s="540"/>
      <c r="AH60" s="229"/>
      <c r="AI60" s="2525"/>
      <c r="AJ60" s="2638"/>
      <c r="AK60" s="2696"/>
    </row>
    <row r="61" spans="1:37" ht="15" customHeight="1">
      <c r="A61" s="351"/>
      <c r="B61" s="380" t="s">
        <v>25</v>
      </c>
      <c r="C61" s="223"/>
      <c r="D61" s="273">
        <v>268.39999999999998</v>
      </c>
      <c r="E61" s="366"/>
      <c r="F61" s="371">
        <v>282.39999999999998</v>
      </c>
      <c r="G61" s="366"/>
      <c r="H61" s="327">
        <v>297.10000000000002</v>
      </c>
      <c r="I61" s="366"/>
      <c r="J61" s="327">
        <v>167.7</v>
      </c>
      <c r="K61" s="366"/>
      <c r="L61" s="327">
        <v>191.4</v>
      </c>
      <c r="M61" s="366"/>
      <c r="N61" s="327">
        <v>126.8</v>
      </c>
      <c r="O61" s="366"/>
      <c r="P61" s="1177">
        <v>348.20000000000005</v>
      </c>
      <c r="Q61" s="366"/>
      <c r="R61" s="1177">
        <v>169.5</v>
      </c>
      <c r="S61" s="366"/>
      <c r="T61" s="371">
        <v>180.5</v>
      </c>
      <c r="U61" s="366"/>
      <c r="V61" s="273">
        <v>188.6</v>
      </c>
      <c r="W61" s="260"/>
      <c r="X61" s="273"/>
      <c r="Y61" s="260"/>
      <c r="Z61" s="260"/>
      <c r="AA61" s="366"/>
      <c r="AB61" s="471"/>
      <c r="AC61" s="317">
        <f>ROUND(SUM(D61:Z61),1)</f>
        <v>2220.6</v>
      </c>
      <c r="AD61" s="248"/>
      <c r="AE61" s="251"/>
      <c r="AF61" s="317">
        <v>2982.8</v>
      </c>
      <c r="AG61" s="513"/>
      <c r="AH61" s="248"/>
      <c r="AI61" s="1146">
        <f>ROUND(SUM(+AC61-AF61),1)</f>
        <v>-762.2</v>
      </c>
      <c r="AJ61" s="1146"/>
      <c r="AK61" s="2679">
        <f>ROUND(IF(AF61=0,0,AI61/ABS(AF61)),3)</f>
        <v>-0.25600000000000001</v>
      </c>
    </row>
    <row r="62" spans="1:37" ht="15" customHeight="1">
      <c r="A62" s="351"/>
      <c r="B62" s="380" t="s">
        <v>26</v>
      </c>
      <c r="C62" s="223"/>
      <c r="D62" s="514">
        <v>0.6</v>
      </c>
      <c r="E62" s="366"/>
      <c r="F62" s="371">
        <v>0</v>
      </c>
      <c r="G62" s="366"/>
      <c r="H62" s="327">
        <v>0.7</v>
      </c>
      <c r="I62" s="366"/>
      <c r="J62" s="327">
        <v>0.2</v>
      </c>
      <c r="K62" s="366"/>
      <c r="L62" s="327">
        <v>0.5</v>
      </c>
      <c r="M62" s="366"/>
      <c r="N62" s="371">
        <v>0.3</v>
      </c>
      <c r="O62" s="366"/>
      <c r="P62" s="1177">
        <v>0.1</v>
      </c>
      <c r="Q62" s="366"/>
      <c r="R62" s="1177">
        <v>0.2</v>
      </c>
      <c r="S62" s="366"/>
      <c r="T62" s="371">
        <v>0.1</v>
      </c>
      <c r="U62" s="366"/>
      <c r="V62" s="371">
        <v>0.1</v>
      </c>
      <c r="W62" s="260"/>
      <c r="X62" s="273"/>
      <c r="Y62" s="260"/>
      <c r="Z62" s="260"/>
      <c r="AA62" s="366"/>
      <c r="AB62" s="471"/>
      <c r="AC62" s="317">
        <f>ROUND(SUM(D62:Z62),1)</f>
        <v>2.8</v>
      </c>
      <c r="AD62" s="248"/>
      <c r="AE62" s="251"/>
      <c r="AF62" s="1250">
        <v>2.5</v>
      </c>
      <c r="AG62" s="513"/>
      <c r="AH62" s="248"/>
      <c r="AI62" s="1146">
        <f>ROUND(SUM(+AC62-AF62),1)</f>
        <v>0.3</v>
      </c>
      <c r="AJ62" s="1146"/>
      <c r="AK62" s="2687">
        <f>ROUND(IF(AF62=0,1,AI62/ABS(AF62)),3)</f>
        <v>0.12</v>
      </c>
    </row>
    <row r="63" spans="1:37" ht="15" customHeight="1">
      <c r="A63" s="351"/>
      <c r="B63" s="380" t="s">
        <v>27</v>
      </c>
      <c r="C63" s="223"/>
      <c r="D63" s="514">
        <v>0.8</v>
      </c>
      <c r="E63" s="366"/>
      <c r="F63" s="371">
        <v>3.9</v>
      </c>
      <c r="G63" s="366"/>
      <c r="H63" s="327">
        <v>8.3000000000000007</v>
      </c>
      <c r="I63" s="366"/>
      <c r="J63" s="327">
        <v>1</v>
      </c>
      <c r="K63" s="366"/>
      <c r="L63" s="327">
        <v>3.1</v>
      </c>
      <c r="M63" s="366"/>
      <c r="N63" s="327">
        <v>1.6</v>
      </c>
      <c r="O63" s="366"/>
      <c r="P63" s="1177">
        <v>9</v>
      </c>
      <c r="Q63" s="366"/>
      <c r="R63" s="1177">
        <v>3.4</v>
      </c>
      <c r="S63" s="366"/>
      <c r="T63" s="371">
        <v>3</v>
      </c>
      <c r="U63" s="366"/>
      <c r="V63" s="273">
        <v>1.2</v>
      </c>
      <c r="W63" s="260"/>
      <c r="X63" s="273"/>
      <c r="Y63" s="260"/>
      <c r="Z63" s="260"/>
      <c r="AA63" s="366"/>
      <c r="AB63" s="471"/>
      <c r="AC63" s="317">
        <f>ROUND(SUM(D63:Z63),1)</f>
        <v>35.299999999999997</v>
      </c>
      <c r="AD63" s="248"/>
      <c r="AE63" s="251"/>
      <c r="AF63" s="1250">
        <v>42.9</v>
      </c>
      <c r="AG63" s="513"/>
      <c r="AH63" s="248"/>
      <c r="AI63" s="1146">
        <f>ROUND(SUM(+AC63-AF63),1)</f>
        <v>-7.6</v>
      </c>
      <c r="AJ63" s="1146"/>
      <c r="AK63" s="2679">
        <f>ROUND(IF(AF63=0,0,AI63/ABS(AF63)),3)</f>
        <v>-0.17699999999999999</v>
      </c>
    </row>
    <row r="64" spans="1:37" ht="15" customHeight="1">
      <c r="A64" s="351"/>
      <c r="B64" s="380" t="s">
        <v>28</v>
      </c>
      <c r="C64" s="223"/>
      <c r="D64" s="273"/>
      <c r="E64" s="366"/>
      <c r="F64" s="273"/>
      <c r="G64" s="366"/>
      <c r="H64" s="318"/>
      <c r="I64" s="366"/>
      <c r="J64" s="318"/>
      <c r="K64" s="366"/>
      <c r="L64" s="318"/>
      <c r="M64" s="366"/>
      <c r="N64" s="318"/>
      <c r="O64" s="366"/>
      <c r="P64" s="319"/>
      <c r="Q64" s="366"/>
      <c r="R64" s="273"/>
      <c r="S64" s="366"/>
      <c r="T64" s="273"/>
      <c r="U64" s="366"/>
      <c r="V64" s="273"/>
      <c r="W64" s="260"/>
      <c r="X64" s="273"/>
      <c r="Y64" s="260"/>
      <c r="Z64" s="260"/>
      <c r="AA64" s="366"/>
      <c r="AB64" s="471"/>
      <c r="AC64" s="317"/>
      <c r="AD64" s="248"/>
      <c r="AE64" s="251"/>
      <c r="AF64" s="317"/>
      <c r="AG64" s="513"/>
      <c r="AH64" s="248"/>
      <c r="AI64" s="1299"/>
      <c r="AJ64" s="2525"/>
      <c r="AK64" s="2696"/>
    </row>
    <row r="65" spans="1:37" ht="15" customHeight="1">
      <c r="A65" s="351"/>
      <c r="B65" s="1639" t="s">
        <v>29</v>
      </c>
      <c r="C65" s="223"/>
      <c r="D65" s="273">
        <v>2243.8000000000002</v>
      </c>
      <c r="E65" s="366"/>
      <c r="F65" s="371">
        <v>2627.1</v>
      </c>
      <c r="G65" s="366"/>
      <c r="H65" s="327">
        <v>3005.4</v>
      </c>
      <c r="I65" s="366"/>
      <c r="J65" s="327">
        <v>2555.6999999999998</v>
      </c>
      <c r="K65" s="366"/>
      <c r="L65" s="327">
        <v>2956.7</v>
      </c>
      <c r="M65" s="366"/>
      <c r="N65" s="327">
        <v>2146</v>
      </c>
      <c r="O65" s="366"/>
      <c r="P65" s="1177">
        <v>2298.9</v>
      </c>
      <c r="Q65" s="366"/>
      <c r="R65" s="1177">
        <v>3316.8</v>
      </c>
      <c r="S65" s="366"/>
      <c r="T65" s="371">
        <v>2762.6</v>
      </c>
      <c r="U65" s="366"/>
      <c r="V65" s="273">
        <v>2792.4</v>
      </c>
      <c r="W65" s="260"/>
      <c r="X65" s="273"/>
      <c r="Y65" s="260"/>
      <c r="Z65" s="260"/>
      <c r="AA65" s="366"/>
      <c r="AB65" s="471"/>
      <c r="AC65" s="317">
        <f t="shared" ref="AC65:AC70" si="6">ROUND(SUM(D65:Z65),1)</f>
        <v>26705.4</v>
      </c>
      <c r="AD65" s="248"/>
      <c r="AE65" s="251"/>
      <c r="AF65" s="317">
        <v>25446.3</v>
      </c>
      <c r="AG65" s="513"/>
      <c r="AH65" s="248"/>
      <c r="AI65" s="1146">
        <f t="shared" ref="AI65:AI70" si="7">ROUND(SUM(+AC65-AF65),1)</f>
        <v>1259.0999999999999</v>
      </c>
      <c r="AJ65" s="1146"/>
      <c r="AK65" s="2679">
        <f t="shared" ref="AK65:AK70" si="8">ROUND(IF(AF65=0,0,AI65/ABS(AF65)),3)</f>
        <v>4.9000000000000002E-2</v>
      </c>
    </row>
    <row r="66" spans="1:37" ht="15" customHeight="1">
      <c r="A66" s="351"/>
      <c r="B66" s="380" t="s">
        <v>30</v>
      </c>
      <c r="C66" s="223"/>
      <c r="D66" s="273">
        <v>420.2</v>
      </c>
      <c r="E66" s="366"/>
      <c r="F66" s="371">
        <v>384.6</v>
      </c>
      <c r="G66" s="366"/>
      <c r="H66" s="327">
        <v>204.9</v>
      </c>
      <c r="I66" s="366"/>
      <c r="J66" s="327">
        <v>490.3</v>
      </c>
      <c r="K66" s="366"/>
      <c r="L66" s="327">
        <v>431.4</v>
      </c>
      <c r="M66" s="366"/>
      <c r="N66" s="327">
        <v>369.6</v>
      </c>
      <c r="O66" s="366"/>
      <c r="P66" s="1177">
        <v>448.6</v>
      </c>
      <c r="Q66" s="366"/>
      <c r="R66" s="1177">
        <v>432.5</v>
      </c>
      <c r="S66" s="366"/>
      <c r="T66" s="371">
        <v>550</v>
      </c>
      <c r="U66" s="366"/>
      <c r="V66" s="273">
        <v>414.2</v>
      </c>
      <c r="W66" s="260"/>
      <c r="X66" s="273"/>
      <c r="Y66" s="260"/>
      <c r="Z66" s="260"/>
      <c r="AA66" s="366"/>
      <c r="AB66" s="471"/>
      <c r="AC66" s="317">
        <f t="shared" si="6"/>
        <v>4146.3</v>
      </c>
      <c r="AD66" s="248"/>
      <c r="AE66" s="251"/>
      <c r="AF66" s="317">
        <v>2514.1</v>
      </c>
      <c r="AG66" s="513"/>
      <c r="AH66" s="248"/>
      <c r="AI66" s="1146">
        <f t="shared" si="7"/>
        <v>1632.2</v>
      </c>
      <c r="AJ66" s="1146"/>
      <c r="AK66" s="2679">
        <f t="shared" si="8"/>
        <v>0.64900000000000002</v>
      </c>
    </row>
    <row r="67" spans="1:37" ht="15" customHeight="1">
      <c r="A67" s="351"/>
      <c r="B67" s="380" t="s">
        <v>31</v>
      </c>
      <c r="C67" s="223"/>
      <c r="D67" s="273">
        <v>73.2</v>
      </c>
      <c r="E67" s="366"/>
      <c r="F67" s="371">
        <v>121.7</v>
      </c>
      <c r="G67" s="366"/>
      <c r="H67" s="327">
        <v>87.8</v>
      </c>
      <c r="I67" s="366"/>
      <c r="J67" s="327">
        <v>112.2</v>
      </c>
      <c r="K67" s="366"/>
      <c r="L67" s="327">
        <v>186.6</v>
      </c>
      <c r="M67" s="366"/>
      <c r="N67" s="327">
        <v>93.5</v>
      </c>
      <c r="O67" s="366"/>
      <c r="P67" s="1177">
        <v>90.5</v>
      </c>
      <c r="Q67" s="366"/>
      <c r="R67" s="1177">
        <v>142.80000000000001</v>
      </c>
      <c r="S67" s="366"/>
      <c r="T67" s="371">
        <v>164.4</v>
      </c>
      <c r="U67" s="366"/>
      <c r="V67" s="273">
        <v>138.5</v>
      </c>
      <c r="W67" s="260"/>
      <c r="X67" s="273"/>
      <c r="Y67" s="260"/>
      <c r="Z67" s="260"/>
      <c r="AA67" s="366"/>
      <c r="AB67" s="471"/>
      <c r="AC67" s="317">
        <f t="shared" si="6"/>
        <v>1211.2</v>
      </c>
      <c r="AD67" s="248"/>
      <c r="AE67" s="251"/>
      <c r="AF67" s="317">
        <v>1466.1</v>
      </c>
      <c r="AG67" s="513"/>
      <c r="AH67" s="248"/>
      <c r="AI67" s="1146">
        <f t="shared" si="7"/>
        <v>-254.9</v>
      </c>
      <c r="AJ67" s="1146"/>
      <c r="AK67" s="2679">
        <f t="shared" si="8"/>
        <v>-0.17399999999999999</v>
      </c>
    </row>
    <row r="68" spans="1:37" ht="15" customHeight="1">
      <c r="A68" s="351"/>
      <c r="B68" s="380" t="s">
        <v>32</v>
      </c>
      <c r="C68" s="223"/>
      <c r="D68" s="273">
        <v>246.8</v>
      </c>
      <c r="E68" s="366"/>
      <c r="F68" s="371">
        <v>282.3</v>
      </c>
      <c r="G68" s="366"/>
      <c r="H68" s="327">
        <v>326.89999999999998</v>
      </c>
      <c r="I68" s="366"/>
      <c r="J68" s="327">
        <v>272.8</v>
      </c>
      <c r="K68" s="366"/>
      <c r="L68" s="327">
        <v>341</v>
      </c>
      <c r="M68" s="366"/>
      <c r="N68" s="327">
        <v>978.4</v>
      </c>
      <c r="O68" s="366"/>
      <c r="P68" s="1177">
        <v>269.89999999999998</v>
      </c>
      <c r="Q68" s="366"/>
      <c r="R68" s="1177">
        <v>257.39999999999998</v>
      </c>
      <c r="S68" s="366"/>
      <c r="T68" s="371">
        <v>390.8</v>
      </c>
      <c r="U68" s="366"/>
      <c r="V68" s="273">
        <v>183.7</v>
      </c>
      <c r="W68" s="260"/>
      <c r="X68" s="273"/>
      <c r="Y68" s="260"/>
      <c r="Z68" s="260"/>
      <c r="AA68" s="366"/>
      <c r="AB68" s="471"/>
      <c r="AC68" s="317">
        <f t="shared" si="6"/>
        <v>3550</v>
      </c>
      <c r="AD68" s="248"/>
      <c r="AE68" s="251"/>
      <c r="AF68" s="317">
        <v>3827.3</v>
      </c>
      <c r="AG68" s="513"/>
      <c r="AH68" s="248"/>
      <c r="AI68" s="1146">
        <f t="shared" si="7"/>
        <v>-277.3</v>
      </c>
      <c r="AJ68" s="1146"/>
      <c r="AK68" s="2679">
        <f t="shared" si="8"/>
        <v>-7.1999999999999995E-2</v>
      </c>
    </row>
    <row r="69" spans="1:37" ht="15" customHeight="1">
      <c r="A69" s="351"/>
      <c r="B69" s="380" t="s">
        <v>33</v>
      </c>
      <c r="C69" s="223"/>
      <c r="D69" s="514">
        <v>0</v>
      </c>
      <c r="E69" s="366"/>
      <c r="F69" s="371">
        <v>0</v>
      </c>
      <c r="G69" s="366"/>
      <c r="H69" s="327">
        <v>0</v>
      </c>
      <c r="I69" s="366"/>
      <c r="J69" s="327">
        <v>0.3</v>
      </c>
      <c r="K69" s="366"/>
      <c r="L69" s="327">
        <v>1.3</v>
      </c>
      <c r="M69" s="366"/>
      <c r="N69" s="327">
        <v>0</v>
      </c>
      <c r="O69" s="366"/>
      <c r="P69" s="1177">
        <v>0.1</v>
      </c>
      <c r="Q69" s="366"/>
      <c r="R69" s="1177">
        <v>0.9</v>
      </c>
      <c r="S69" s="366"/>
      <c r="T69" s="371">
        <v>0</v>
      </c>
      <c r="U69" s="366"/>
      <c r="V69" s="371">
        <v>0.1</v>
      </c>
      <c r="W69" s="260"/>
      <c r="X69" s="273"/>
      <c r="Y69" s="260"/>
      <c r="Z69" s="260"/>
      <c r="AA69" s="366"/>
      <c r="AB69" s="471"/>
      <c r="AC69" s="317">
        <f t="shared" si="6"/>
        <v>2.7</v>
      </c>
      <c r="AD69" s="248"/>
      <c r="AE69" s="251"/>
      <c r="AF69" s="1250">
        <v>5.6</v>
      </c>
      <c r="AG69" s="513"/>
      <c r="AH69" s="248"/>
      <c r="AI69" s="1146">
        <f t="shared" si="7"/>
        <v>-2.9</v>
      </c>
      <c r="AJ69" s="1146"/>
      <c r="AK69" s="2679">
        <f t="shared" si="8"/>
        <v>-0.51800000000000002</v>
      </c>
    </row>
    <row r="70" spans="1:37" ht="15" customHeight="1">
      <c r="A70" s="351"/>
      <c r="B70" s="380" t="s">
        <v>34</v>
      </c>
      <c r="C70" s="223"/>
      <c r="D70" s="273">
        <v>6.1</v>
      </c>
      <c r="E70" s="366"/>
      <c r="F70" s="371">
        <v>3.6</v>
      </c>
      <c r="G70" s="366"/>
      <c r="H70" s="327">
        <v>8.9</v>
      </c>
      <c r="I70" s="366"/>
      <c r="J70" s="327">
        <v>2.6</v>
      </c>
      <c r="K70" s="366"/>
      <c r="L70" s="327">
        <v>7.1</v>
      </c>
      <c r="M70" s="366"/>
      <c r="N70" s="327">
        <v>4.2</v>
      </c>
      <c r="O70" s="366"/>
      <c r="P70" s="1177">
        <v>3.3</v>
      </c>
      <c r="Q70" s="366"/>
      <c r="R70" s="1177">
        <v>5</v>
      </c>
      <c r="S70" s="366"/>
      <c r="T70" s="371">
        <v>7.9</v>
      </c>
      <c r="U70" s="366"/>
      <c r="V70" s="273">
        <v>4.3</v>
      </c>
      <c r="W70" s="260"/>
      <c r="X70" s="273"/>
      <c r="Y70" s="260"/>
      <c r="Z70" s="487"/>
      <c r="AA70" s="366"/>
      <c r="AB70" s="471"/>
      <c r="AC70" s="317">
        <f t="shared" si="6"/>
        <v>53</v>
      </c>
      <c r="AD70" s="248"/>
      <c r="AE70" s="251"/>
      <c r="AF70" s="524">
        <v>32.4</v>
      </c>
      <c r="AG70" s="513"/>
      <c r="AH70" s="248"/>
      <c r="AI70" s="1146">
        <f t="shared" si="7"/>
        <v>20.6</v>
      </c>
      <c r="AJ70" s="1823"/>
      <c r="AK70" s="2682">
        <f t="shared" si="8"/>
        <v>0.63600000000000001</v>
      </c>
    </row>
    <row r="71" spans="1:37" ht="15" customHeight="1">
      <c r="A71" s="351"/>
      <c r="B71" s="221" t="s">
        <v>1325</v>
      </c>
      <c r="C71" s="223"/>
      <c r="D71" s="543">
        <f>ROUND(SUM(D61:D70),2)</f>
        <v>3259.9</v>
      </c>
      <c r="E71" s="408"/>
      <c r="F71" s="543">
        <f>ROUND(SUM(F61:F70),2)</f>
        <v>3705.6</v>
      </c>
      <c r="G71" s="367"/>
      <c r="H71" s="543">
        <f>ROUND(SUM(H61:H70),2)</f>
        <v>3940</v>
      </c>
      <c r="I71" s="408"/>
      <c r="J71" s="543">
        <f>ROUND(SUM(J61:J70),2)</f>
        <v>3602.8</v>
      </c>
      <c r="K71" s="408"/>
      <c r="L71" s="543">
        <f>ROUND(SUM(L61:L70),2)</f>
        <v>4119.1000000000004</v>
      </c>
      <c r="M71" s="408"/>
      <c r="N71" s="543">
        <f>ROUND(SUM(N61:N70),2)</f>
        <v>3720.4</v>
      </c>
      <c r="O71" s="408"/>
      <c r="P71" s="543">
        <f>ROUND(SUM(P61:P70),2)</f>
        <v>3468.6</v>
      </c>
      <c r="Q71" s="408"/>
      <c r="R71" s="543">
        <f>ROUND(SUM(R61:R70),2)</f>
        <v>4328.5</v>
      </c>
      <c r="S71" s="408"/>
      <c r="T71" s="543">
        <f>ROUND(SUM(T61:T70),2)</f>
        <v>4059.3</v>
      </c>
      <c r="U71" s="408"/>
      <c r="V71" s="543">
        <f>ROUND(SUM(V61:V70),2)</f>
        <v>3723.1</v>
      </c>
      <c r="W71" s="256"/>
      <c r="X71" s="543">
        <f>ROUND(SUM(X61:X70),2)</f>
        <v>0</v>
      </c>
      <c r="Y71" s="256"/>
      <c r="Z71" s="543">
        <f>ROUND(SUM(Z61:Z70),2)</f>
        <v>0</v>
      </c>
      <c r="AA71" s="408"/>
      <c r="AB71" s="478"/>
      <c r="AC71" s="2077">
        <f>ROUND(SUM(AC61:AC70),2)</f>
        <v>37927.300000000003</v>
      </c>
      <c r="AD71" s="272"/>
      <c r="AE71" s="742"/>
      <c r="AF71" s="525">
        <f>ROUND(SUM(AF61:AF70),1)</f>
        <v>36320</v>
      </c>
      <c r="AG71" s="520"/>
      <c r="AH71" s="272"/>
      <c r="AI71" s="1322">
        <f>ROUND(SUM(AC71-AF71),1)</f>
        <v>1607.3</v>
      </c>
      <c r="AJ71" s="522"/>
      <c r="AK71" s="2694">
        <f>ROUND(SUM((AC71-AF71)/ABS(AF71)),3)</f>
        <v>4.3999999999999997E-2</v>
      </c>
    </row>
    <row r="72" spans="1:37" ht="15" customHeight="1">
      <c r="A72" s="351"/>
      <c r="B72" s="223" t="s">
        <v>157</v>
      </c>
      <c r="C72" s="223"/>
      <c r="D72" s="366"/>
      <c r="E72" s="366"/>
      <c r="F72" s="260"/>
      <c r="G72" s="366"/>
      <c r="H72" s="260"/>
      <c r="I72" s="366"/>
      <c r="J72" s="260"/>
      <c r="K72" s="366"/>
      <c r="L72" s="260"/>
      <c r="M72" s="366"/>
      <c r="N72" s="260"/>
      <c r="O72" s="366"/>
      <c r="P72" s="260"/>
      <c r="Q72" s="366"/>
      <c r="R72" s="260"/>
      <c r="S72" s="366"/>
      <c r="T72" s="260"/>
      <c r="U72" s="366"/>
      <c r="V72" s="260"/>
      <c r="W72" s="260"/>
      <c r="X72" s="260"/>
      <c r="Y72" s="260"/>
      <c r="Z72" s="260"/>
      <c r="AA72" s="366"/>
      <c r="AB72" s="471"/>
      <c r="AC72" s="340"/>
      <c r="AD72" s="252"/>
      <c r="AE72" s="539"/>
      <c r="AF72" s="366"/>
      <c r="AG72" s="540"/>
      <c r="AH72" s="229"/>
      <c r="AI72" s="2638"/>
      <c r="AJ72" s="2638"/>
      <c r="AK72" s="2698"/>
    </row>
    <row r="73" spans="1:37" ht="15" customHeight="1">
      <c r="A73" s="351"/>
      <c r="B73" s="223" t="s">
        <v>158</v>
      </c>
      <c r="C73" s="223"/>
      <c r="D73" s="273">
        <v>48.8</v>
      </c>
      <c r="E73" s="366"/>
      <c r="F73" s="371">
        <v>44.2</v>
      </c>
      <c r="G73" s="366"/>
      <c r="H73" s="327">
        <v>71.900000000000006</v>
      </c>
      <c r="I73" s="366"/>
      <c r="J73" s="327">
        <v>41.3</v>
      </c>
      <c r="K73" s="366"/>
      <c r="L73" s="327">
        <v>58.6</v>
      </c>
      <c r="M73" s="366"/>
      <c r="N73" s="327">
        <v>47.1</v>
      </c>
      <c r="O73" s="366"/>
      <c r="P73" s="1177">
        <v>45.2</v>
      </c>
      <c r="Q73" s="366"/>
      <c r="R73" s="1177">
        <v>69.5</v>
      </c>
      <c r="S73" s="366"/>
      <c r="T73" s="371">
        <v>48.6</v>
      </c>
      <c r="U73" s="366"/>
      <c r="V73" s="273">
        <v>44.3</v>
      </c>
      <c r="W73" s="260"/>
      <c r="X73" s="273"/>
      <c r="Y73" s="260"/>
      <c r="Z73" s="260"/>
      <c r="AA73" s="366"/>
      <c r="AB73" s="471"/>
      <c r="AC73" s="317">
        <f>ROUND(SUM(D73:Z73),1)</f>
        <v>519.5</v>
      </c>
      <c r="AD73" s="1323"/>
      <c r="AE73" s="251"/>
      <c r="AF73" s="260">
        <v>495.9</v>
      </c>
      <c r="AG73" s="513"/>
      <c r="AH73" s="248"/>
      <c r="AI73" s="1146">
        <f>ROUND(SUM(+AC73-AF73),1)</f>
        <v>23.6</v>
      </c>
      <c r="AJ73" s="1146"/>
      <c r="AK73" s="2679">
        <f>ROUND(IF(AF73=0,0,AI73/ABS(AF73)),3)</f>
        <v>4.8000000000000001E-2</v>
      </c>
    </row>
    <row r="74" spans="1:37" ht="15" customHeight="1">
      <c r="A74" s="351"/>
      <c r="B74" s="223" t="s">
        <v>185</v>
      </c>
      <c r="C74" s="223"/>
      <c r="D74" s="273">
        <v>45.6</v>
      </c>
      <c r="E74" s="366"/>
      <c r="F74" s="371">
        <v>94</v>
      </c>
      <c r="G74" s="366"/>
      <c r="H74" s="327">
        <v>116.7</v>
      </c>
      <c r="I74" s="366"/>
      <c r="J74" s="327">
        <v>79.400000000000006</v>
      </c>
      <c r="K74" s="366"/>
      <c r="L74" s="327">
        <v>152</v>
      </c>
      <c r="M74" s="366"/>
      <c r="N74" s="327">
        <v>178.7</v>
      </c>
      <c r="O74" s="366"/>
      <c r="P74" s="1177">
        <v>101.7</v>
      </c>
      <c r="Q74" s="366"/>
      <c r="R74" s="1177">
        <v>110.8</v>
      </c>
      <c r="S74" s="366"/>
      <c r="T74" s="371">
        <v>83.4</v>
      </c>
      <c r="U74" s="366"/>
      <c r="V74" s="273">
        <v>139.80000000000001</v>
      </c>
      <c r="W74" s="260"/>
      <c r="X74" s="273"/>
      <c r="Y74" s="260"/>
      <c r="Z74" s="260"/>
      <c r="AA74" s="366"/>
      <c r="AB74" s="471"/>
      <c r="AC74" s="317">
        <f>ROUND(SUM(D74:Z74),1)</f>
        <v>1102.0999999999999</v>
      </c>
      <c r="AD74" s="1323"/>
      <c r="AE74" s="251"/>
      <c r="AF74" s="260">
        <v>960.5</v>
      </c>
      <c r="AG74" s="513"/>
      <c r="AH74" s="248"/>
      <c r="AI74" s="1146">
        <f>ROUND(SUM(+AC74-AF74),1)</f>
        <v>141.6</v>
      </c>
      <c r="AJ74" s="1146"/>
      <c r="AK74" s="2679">
        <f>ROUND(IF(AF74=0,0,AI74/ABS(AF74)),3)</f>
        <v>0.14699999999999999</v>
      </c>
    </row>
    <row r="75" spans="1:37" ht="15" customHeight="1">
      <c r="A75" s="351"/>
      <c r="B75" s="223" t="s">
        <v>160</v>
      </c>
      <c r="C75" s="223"/>
      <c r="D75" s="514">
        <v>10.5</v>
      </c>
      <c r="E75" s="366"/>
      <c r="F75" s="371">
        <v>35.1</v>
      </c>
      <c r="G75" s="366"/>
      <c r="H75" s="327">
        <v>14.2</v>
      </c>
      <c r="I75" s="366"/>
      <c r="J75" s="327">
        <v>0.2</v>
      </c>
      <c r="K75" s="366"/>
      <c r="L75" s="327">
        <v>34.5</v>
      </c>
      <c r="M75" s="366"/>
      <c r="N75" s="327">
        <v>36.799999999999997</v>
      </c>
      <c r="O75" s="366"/>
      <c r="P75" s="1177">
        <v>3.7</v>
      </c>
      <c r="Q75" s="366"/>
      <c r="R75" s="1177">
        <v>29.7</v>
      </c>
      <c r="S75" s="366"/>
      <c r="T75" s="371">
        <v>40.200000000000003</v>
      </c>
      <c r="U75" s="366"/>
      <c r="V75" s="273">
        <v>23.8</v>
      </c>
      <c r="W75" s="260"/>
      <c r="X75" s="273"/>
      <c r="Y75" s="260"/>
      <c r="Z75" s="260"/>
      <c r="AA75" s="366"/>
      <c r="AB75" s="471"/>
      <c r="AC75" s="317">
        <f>ROUND(SUM(D75:Z75),1)</f>
        <v>228.7</v>
      </c>
      <c r="AD75" s="1323"/>
      <c r="AE75" s="251"/>
      <c r="AF75" s="263">
        <v>207</v>
      </c>
      <c r="AG75" s="513"/>
      <c r="AH75" s="248"/>
      <c r="AI75" s="1146">
        <f>ROUND(SUM(+AC75-AF75),1)</f>
        <v>21.7</v>
      </c>
      <c r="AJ75" s="1146"/>
      <c r="AK75" s="2679">
        <f>ROUND(IF(AF75=0,0,AI75/ABS(AF75)),3)</f>
        <v>0.105</v>
      </c>
    </row>
    <row r="76" spans="1:37" ht="15" customHeight="1">
      <c r="A76" s="351"/>
      <c r="B76" s="223" t="s">
        <v>186</v>
      </c>
      <c r="C76" s="223"/>
      <c r="D76" s="371">
        <v>0</v>
      </c>
      <c r="E76" s="366"/>
      <c r="F76" s="371">
        <v>0</v>
      </c>
      <c r="G76" s="366"/>
      <c r="H76" s="264">
        <v>0</v>
      </c>
      <c r="I76" s="366"/>
      <c r="J76" s="371">
        <v>0</v>
      </c>
      <c r="K76" s="366"/>
      <c r="L76" s="371">
        <v>0</v>
      </c>
      <c r="M76" s="366"/>
      <c r="N76" s="371">
        <v>0</v>
      </c>
      <c r="O76" s="366"/>
      <c r="P76" s="1177">
        <v>0</v>
      </c>
      <c r="Q76" s="366"/>
      <c r="R76" s="1177">
        <v>0</v>
      </c>
      <c r="S76" s="366"/>
      <c r="T76" s="371">
        <v>0</v>
      </c>
      <c r="U76" s="366"/>
      <c r="V76" s="371">
        <v>0</v>
      </c>
      <c r="W76" s="260"/>
      <c r="X76" s="273"/>
      <c r="Y76" s="260"/>
      <c r="Z76" s="278"/>
      <c r="AA76" s="366"/>
      <c r="AB76" s="471"/>
      <c r="AC76" s="317">
        <f>ROUND(SUM(D76:Z76),1)</f>
        <v>0</v>
      </c>
      <c r="AD76" s="254"/>
      <c r="AE76" s="1324"/>
      <c r="AF76" s="371">
        <v>0</v>
      </c>
      <c r="AG76" s="513"/>
      <c r="AH76" s="248"/>
      <c r="AI76" s="1146">
        <f>ROUND(SUM(+AC76-AF76),1)</f>
        <v>0</v>
      </c>
      <c r="AJ76" s="1823"/>
      <c r="AK76" s="2682">
        <f>ROUND(IF(AF76=0,0,AI76/ABS(AF76)),3)</f>
        <v>0</v>
      </c>
    </row>
    <row r="77" spans="1:37" ht="15" customHeight="1">
      <c r="A77" s="351"/>
      <c r="B77" s="223"/>
      <c r="C77" s="223"/>
      <c r="D77" s="369"/>
      <c r="E77" s="366"/>
      <c r="F77" s="287"/>
      <c r="G77" s="366"/>
      <c r="H77" s="287"/>
      <c r="I77" s="366"/>
      <c r="J77" s="287"/>
      <c r="K77" s="366"/>
      <c r="L77" s="287"/>
      <c r="M77" s="366"/>
      <c r="N77" s="287"/>
      <c r="O77" s="366"/>
      <c r="P77" s="287"/>
      <c r="Q77" s="366"/>
      <c r="R77" s="287"/>
      <c r="S77" s="366"/>
      <c r="T77" s="287"/>
      <c r="U77" s="366"/>
      <c r="V77" s="287"/>
      <c r="W77" s="260"/>
      <c r="X77" s="287"/>
      <c r="Y77" s="260"/>
      <c r="Z77" s="287"/>
      <c r="AA77" s="366"/>
      <c r="AB77" s="471"/>
      <c r="AC77" s="326"/>
      <c r="AD77" s="248"/>
      <c r="AE77" s="251"/>
      <c r="AF77" s="287"/>
      <c r="AG77" s="513"/>
      <c r="AH77" s="248"/>
      <c r="AI77" s="1319"/>
      <c r="AJ77" s="2638"/>
      <c r="AK77" s="2690"/>
    </row>
    <row r="78" spans="1:37" ht="15" customHeight="1">
      <c r="A78" s="351"/>
      <c r="B78" s="221" t="s">
        <v>161</v>
      </c>
      <c r="C78" s="223"/>
      <c r="D78" s="256">
        <f>ROUND(SUM(D71:D76),1)</f>
        <v>3364.8</v>
      </c>
      <c r="E78" s="408"/>
      <c r="F78" s="256">
        <f>ROUND(SUM(F71:F76),1)</f>
        <v>3878.9</v>
      </c>
      <c r="G78" s="408"/>
      <c r="H78" s="256">
        <f>ROUND(SUM(H71:H76),1)</f>
        <v>4142.8</v>
      </c>
      <c r="I78" s="408"/>
      <c r="J78" s="256">
        <f>ROUND(SUM(J71:J76),1)</f>
        <v>3723.7</v>
      </c>
      <c r="K78" s="408"/>
      <c r="L78" s="1802">
        <f>ROUND(SUM(L71:L76),1)</f>
        <v>4364.2</v>
      </c>
      <c r="M78" s="408"/>
      <c r="N78" s="256">
        <f>ROUND(SUM(N71:N76),1)</f>
        <v>3983</v>
      </c>
      <c r="O78" s="408"/>
      <c r="P78" s="256">
        <f>ROUND(SUM(P71:P76),1)</f>
        <v>3619.2</v>
      </c>
      <c r="Q78" s="408"/>
      <c r="R78" s="256">
        <f>ROUND(SUM(R71:R76),1)</f>
        <v>4538.5</v>
      </c>
      <c r="S78" s="408"/>
      <c r="T78" s="256">
        <f>ROUND(SUM(T71:T76),1)</f>
        <v>4231.5</v>
      </c>
      <c r="U78" s="408"/>
      <c r="V78" s="256">
        <f>ROUND(SUM(V71:V76),1)</f>
        <v>3931</v>
      </c>
      <c r="W78" s="256"/>
      <c r="X78" s="256">
        <f>ROUND(SUM(X71:X76),1)</f>
        <v>0</v>
      </c>
      <c r="Y78" s="256"/>
      <c r="Z78" s="256">
        <f>ROUND(SUM(Z71:Z76),1)</f>
        <v>0</v>
      </c>
      <c r="AA78" s="408"/>
      <c r="AB78" s="478"/>
      <c r="AC78" s="311">
        <f>ROUND(SUM(AC71:AC76),1)</f>
        <v>39777.599999999999</v>
      </c>
      <c r="AD78" s="272"/>
      <c r="AE78" s="742"/>
      <c r="AF78" s="256">
        <f>ROUND(SUM(AF71:AF76),1)</f>
        <v>37983.4</v>
      </c>
      <c r="AG78" s="520"/>
      <c r="AH78" s="272"/>
      <c r="AI78" s="521">
        <f>ROUND(SUM(AC78-AF78),1)</f>
        <v>1794.2</v>
      </c>
      <c r="AJ78" s="552"/>
      <c r="AK78" s="2699">
        <f>ROUND(SUM((AC78-AF78)/ABS(AF78)),3)</f>
        <v>4.7E-2</v>
      </c>
    </row>
    <row r="79" spans="1:37" ht="15" customHeight="1">
      <c r="A79" s="351"/>
      <c r="B79" s="223"/>
      <c r="C79" s="223"/>
      <c r="D79" s="369"/>
      <c r="E79" s="366"/>
      <c r="F79" s="287"/>
      <c r="G79" s="366"/>
      <c r="H79" s="287"/>
      <c r="I79" s="366"/>
      <c r="J79" s="287"/>
      <c r="K79" s="366"/>
      <c r="L79" s="287"/>
      <c r="M79" s="366"/>
      <c r="N79" s="287"/>
      <c r="O79" s="366"/>
      <c r="P79" s="287"/>
      <c r="Q79" s="366"/>
      <c r="R79" s="287"/>
      <c r="S79" s="366"/>
      <c r="T79" s="287"/>
      <c r="U79" s="366"/>
      <c r="V79" s="287"/>
      <c r="W79" s="260"/>
      <c r="X79" s="287"/>
      <c r="Y79" s="260"/>
      <c r="Z79" s="287"/>
      <c r="AA79" s="366"/>
      <c r="AB79" s="471"/>
      <c r="AC79" s="326"/>
      <c r="AD79" s="248"/>
      <c r="AE79" s="251"/>
      <c r="AF79" s="287"/>
      <c r="AG79" s="513"/>
      <c r="AH79" s="1325"/>
      <c r="AI79" s="1299"/>
      <c r="AJ79" s="2638"/>
      <c r="AK79" s="2698"/>
    </row>
    <row r="80" spans="1:37" ht="15" customHeight="1">
      <c r="A80" s="351"/>
      <c r="B80" s="221" t="s">
        <v>162</v>
      </c>
      <c r="C80" s="223"/>
      <c r="D80" s="366"/>
      <c r="E80" s="366"/>
      <c r="F80" s="260"/>
      <c r="G80" s="366"/>
      <c r="H80" s="260"/>
      <c r="I80" s="366"/>
      <c r="J80" s="260"/>
      <c r="K80" s="366"/>
      <c r="L80" s="260"/>
      <c r="M80" s="366"/>
      <c r="N80" s="260"/>
      <c r="O80" s="366"/>
      <c r="P80" s="260"/>
      <c r="Q80" s="366"/>
      <c r="R80" s="260"/>
      <c r="S80" s="366"/>
      <c r="T80" s="260"/>
      <c r="U80" s="366"/>
      <c r="V80" s="260"/>
      <c r="W80" s="260"/>
      <c r="X80" s="260"/>
      <c r="Y80" s="260"/>
      <c r="Z80" s="260"/>
      <c r="AA80" s="366"/>
      <c r="AB80" s="471"/>
      <c r="AC80" s="317" t="s">
        <v>163</v>
      </c>
      <c r="AD80" s="1539"/>
      <c r="AE80" s="1540"/>
      <c r="AF80" s="248"/>
      <c r="AG80" s="513"/>
      <c r="AH80" s="1536"/>
      <c r="AI80" s="1299"/>
      <c r="AJ80" s="2638"/>
      <c r="AK80" s="2698"/>
    </row>
    <row r="81" spans="1:50" ht="15" customHeight="1">
      <c r="A81" s="351"/>
      <c r="B81" s="221" t="s">
        <v>45</v>
      </c>
      <c r="C81" s="223"/>
      <c r="D81" s="256">
        <f>ROUND(SUM(D57-D78),1)</f>
        <v>-217.1</v>
      </c>
      <c r="E81" s="408"/>
      <c r="F81" s="1802">
        <f>ROUND(SUM(F57-F78),1)</f>
        <v>205.4</v>
      </c>
      <c r="G81" s="408"/>
      <c r="H81" s="1802">
        <f>ROUND(SUM(H57-H78),1)</f>
        <v>847.1</v>
      </c>
      <c r="I81" s="408"/>
      <c r="J81" s="1802">
        <f>ROUND(SUM(J57-J78),1)</f>
        <v>-217.7</v>
      </c>
      <c r="K81" s="408"/>
      <c r="L81" s="1802">
        <f>ROUND(SUM(L57-L78),1)</f>
        <v>-392.2</v>
      </c>
      <c r="M81" s="408"/>
      <c r="N81" s="1802">
        <f>ROUND(SUM(N57-N78),1)</f>
        <v>1045.5</v>
      </c>
      <c r="O81" s="408"/>
      <c r="P81" s="1802">
        <f>ROUND(SUM(P57-P78),1)</f>
        <v>-208.1</v>
      </c>
      <c r="Q81" s="408"/>
      <c r="R81" s="1802">
        <f>ROUND(SUM(R57-R78),1)</f>
        <v>-514.29999999999995</v>
      </c>
      <c r="S81" s="408"/>
      <c r="T81" s="1802">
        <f>ROUND(SUM(T57-T78),1)</f>
        <v>1390.2</v>
      </c>
      <c r="U81" s="408"/>
      <c r="V81" s="1802">
        <f>ROUND(SUM(V57-V78),1)</f>
        <v>14.5</v>
      </c>
      <c r="W81" s="256"/>
      <c r="X81" s="1802">
        <f>ROUND(SUM(X57-X78),1)</f>
        <v>0</v>
      </c>
      <c r="Y81" s="256"/>
      <c r="Z81" s="1802">
        <f>ROUND(SUM(Z57-Z78),1)</f>
        <v>0</v>
      </c>
      <c r="AA81" s="408"/>
      <c r="AB81" s="478"/>
      <c r="AC81" s="311">
        <f>ROUND(SUM(AC57-AC78),1)</f>
        <v>1953.3</v>
      </c>
      <c r="AD81" s="272"/>
      <c r="AE81" s="742"/>
      <c r="AF81" s="256">
        <f>ROUND(SUM(AF57-AF78),1)</f>
        <v>1755</v>
      </c>
      <c r="AG81" s="520"/>
      <c r="AH81" s="272"/>
      <c r="AI81" s="521">
        <f>ROUND(SUM(AC81-AF81),1)</f>
        <v>198.3</v>
      </c>
      <c r="AJ81" s="410"/>
      <c r="AK81" s="2699">
        <f>ROUND(SUM((AC81-AF81)/ABS(AF81)),3)</f>
        <v>0.113</v>
      </c>
    </row>
    <row r="82" spans="1:50" ht="15" customHeight="1">
      <c r="A82" s="351"/>
      <c r="B82" s="223"/>
      <c r="C82" s="223"/>
      <c r="D82" s="369"/>
      <c r="E82" s="366"/>
      <c r="F82" s="287"/>
      <c r="G82" s="366"/>
      <c r="H82" s="287"/>
      <c r="I82" s="366"/>
      <c r="J82" s="287"/>
      <c r="K82" s="366"/>
      <c r="L82" s="287"/>
      <c r="M82" s="366"/>
      <c r="N82" s="287"/>
      <c r="O82" s="366"/>
      <c r="P82" s="287"/>
      <c r="Q82" s="366"/>
      <c r="R82" s="287"/>
      <c r="S82" s="366"/>
      <c r="T82" s="287"/>
      <c r="U82" s="366"/>
      <c r="V82" s="287"/>
      <c r="W82" s="260"/>
      <c r="X82" s="287"/>
      <c r="Y82" s="260"/>
      <c r="Z82" s="287"/>
      <c r="AA82" s="366"/>
      <c r="AB82" s="471"/>
      <c r="AC82" s="326"/>
      <c r="AD82" s="248"/>
      <c r="AE82" s="251"/>
      <c r="AF82" s="287"/>
      <c r="AG82" s="513"/>
      <c r="AH82" s="248"/>
      <c r="AI82" s="1299"/>
      <c r="AJ82" s="2638"/>
      <c r="AK82" s="2698"/>
    </row>
    <row r="83" spans="1:50" ht="15" customHeight="1">
      <c r="A83" s="351"/>
      <c r="B83" s="221" t="s">
        <v>46</v>
      </c>
      <c r="C83" s="223"/>
      <c r="D83" s="366"/>
      <c r="E83" s="366"/>
      <c r="F83" s="260"/>
      <c r="G83" s="366"/>
      <c r="H83" s="260"/>
      <c r="I83" s="366"/>
      <c r="J83" s="260"/>
      <c r="K83" s="366"/>
      <c r="L83" s="260"/>
      <c r="M83" s="366"/>
      <c r="N83" s="260"/>
      <c r="O83" s="366"/>
      <c r="P83" s="260"/>
      <c r="Q83" s="366"/>
      <c r="R83" s="260"/>
      <c r="S83" s="366"/>
      <c r="T83" s="260"/>
      <c r="U83" s="366"/>
      <c r="V83" s="260"/>
      <c r="W83" s="260"/>
      <c r="X83" s="260"/>
      <c r="Y83" s="260"/>
      <c r="Z83" s="260"/>
      <c r="AA83" s="366"/>
      <c r="AB83" s="471"/>
      <c r="AC83" s="317"/>
      <c r="AD83" s="248"/>
      <c r="AE83" s="251"/>
      <c r="AF83" s="260"/>
      <c r="AG83" s="513"/>
      <c r="AH83" s="248"/>
      <c r="AI83" s="1299"/>
      <c r="AJ83" s="2638"/>
      <c r="AK83" s="2698"/>
    </row>
    <row r="84" spans="1:50" ht="15" customHeight="1">
      <c r="A84" s="351"/>
      <c r="B84" s="223" t="s">
        <v>187</v>
      </c>
      <c r="C84" s="223"/>
      <c r="D84" s="371">
        <v>0</v>
      </c>
      <c r="E84" s="366"/>
      <c r="F84" s="371">
        <v>0</v>
      </c>
      <c r="G84" s="366"/>
      <c r="H84" s="371">
        <v>0</v>
      </c>
      <c r="I84" s="366"/>
      <c r="J84" s="371">
        <v>0</v>
      </c>
      <c r="K84" s="366"/>
      <c r="L84" s="1226">
        <v>0</v>
      </c>
      <c r="M84" s="1632" t="s">
        <v>15</v>
      </c>
      <c r="N84" s="1226">
        <v>0</v>
      </c>
      <c r="O84" s="366"/>
      <c r="P84" s="1177">
        <v>0</v>
      </c>
      <c r="Q84" s="372"/>
      <c r="R84" s="1177">
        <v>0</v>
      </c>
      <c r="S84" s="366"/>
      <c r="T84" s="1226">
        <v>0</v>
      </c>
      <c r="U84" s="366"/>
      <c r="V84" s="1226">
        <v>0</v>
      </c>
      <c r="W84" s="260"/>
      <c r="X84" s="1299" t="s">
        <v>15</v>
      </c>
      <c r="Y84" s="260"/>
      <c r="Z84" s="371"/>
      <c r="AA84" s="366"/>
      <c r="AB84" s="471"/>
      <c r="AC84" s="317">
        <f>ROUND(SUM(D84:Z84),1)</f>
        <v>0</v>
      </c>
      <c r="AD84" s="254"/>
      <c r="AE84" s="251"/>
      <c r="AF84" s="371">
        <v>0</v>
      </c>
      <c r="AG84" s="513"/>
      <c r="AH84" s="248"/>
      <c r="AI84" s="1318">
        <f>ROUND(SUM(+AC84-AF84),1)</f>
        <v>0</v>
      </c>
      <c r="AJ84" s="1823"/>
      <c r="AK84" s="2679">
        <f>ROUND(IF(AF84=0,0,AI84/ABS(AF84)),3)</f>
        <v>0</v>
      </c>
    </row>
    <row r="85" spans="1:50" ht="15" customHeight="1">
      <c r="A85" s="351"/>
      <c r="B85" s="223" t="s">
        <v>188</v>
      </c>
      <c r="C85" s="223"/>
      <c r="D85" s="273">
        <v>-99.5</v>
      </c>
      <c r="E85" s="366"/>
      <c r="F85" s="371">
        <v>-162.4</v>
      </c>
      <c r="G85" s="366"/>
      <c r="H85" s="327">
        <v>-309.89999999999998</v>
      </c>
      <c r="I85" s="366"/>
      <c r="J85" s="1981">
        <v>-129.9</v>
      </c>
      <c r="K85" s="366"/>
      <c r="L85" s="327">
        <v>-60.1</v>
      </c>
      <c r="M85" s="366"/>
      <c r="N85" s="327">
        <f>-164.6+0.1</f>
        <v>-164.5</v>
      </c>
      <c r="O85" s="366"/>
      <c r="P85" s="1177">
        <v>-65.8</v>
      </c>
      <c r="Q85" s="366"/>
      <c r="R85" s="1177">
        <v>-181.8</v>
      </c>
      <c r="S85" s="366"/>
      <c r="T85" s="371">
        <v>-195.7</v>
      </c>
      <c r="U85" s="366"/>
      <c r="V85" s="273">
        <v>-156.5</v>
      </c>
      <c r="W85" s="260"/>
      <c r="X85" s="273"/>
      <c r="Y85" s="260"/>
      <c r="Z85" s="273"/>
      <c r="AA85" s="366"/>
      <c r="AB85" s="471"/>
      <c r="AC85" s="317">
        <f>ROUND(SUM(D85:Z85),1)</f>
        <v>-1526.1</v>
      </c>
      <c r="AD85" s="248"/>
      <c r="AE85" s="251"/>
      <c r="AF85" s="260">
        <v>-1719.2</v>
      </c>
      <c r="AG85" s="513"/>
      <c r="AH85" s="248"/>
      <c r="AI85" s="1823">
        <f>ROUND(SUM(+AC85-AF85)*-1,1)</f>
        <v>-193.1</v>
      </c>
      <c r="AJ85" s="1823"/>
      <c r="AK85" s="2679">
        <f>ROUND(IF(AF85=0,0,AI85/ABS(AF85)),3)</f>
        <v>-0.112</v>
      </c>
    </row>
    <row r="86" spans="1:50" ht="15" customHeight="1">
      <c r="A86" s="351"/>
      <c r="B86" s="223"/>
      <c r="C86" s="223"/>
      <c r="D86" s="369"/>
      <c r="E86" s="366"/>
      <c r="F86" s="287"/>
      <c r="G86" s="366"/>
      <c r="H86" s="287"/>
      <c r="I86" s="366"/>
      <c r="J86" s="287"/>
      <c r="K86" s="366"/>
      <c r="L86" s="287"/>
      <c r="M86" s="366"/>
      <c r="N86" s="287"/>
      <c r="O86" s="366"/>
      <c r="P86" s="287"/>
      <c r="Q86" s="366"/>
      <c r="R86" s="287"/>
      <c r="S86" s="366"/>
      <c r="T86" s="287"/>
      <c r="U86" s="366"/>
      <c r="V86" s="287"/>
      <c r="W86" s="260"/>
      <c r="X86" s="287"/>
      <c r="Y86" s="260"/>
      <c r="Z86" s="287"/>
      <c r="AA86" s="366"/>
      <c r="AB86" s="471"/>
      <c r="AC86" s="326"/>
      <c r="AD86" s="248"/>
      <c r="AE86" s="251"/>
      <c r="AF86" s="287"/>
      <c r="AG86" s="513"/>
      <c r="AH86" s="248"/>
      <c r="AI86" s="2637"/>
      <c r="AJ86" s="2638"/>
      <c r="AK86" s="2700"/>
    </row>
    <row r="87" spans="1:50" ht="15" customHeight="1">
      <c r="A87" s="351"/>
      <c r="B87" s="221" t="s">
        <v>1319</v>
      </c>
      <c r="C87" s="223"/>
      <c r="D87" s="256">
        <f>ROUND(SUM(D84:D86),1)</f>
        <v>-99.5</v>
      </c>
      <c r="E87" s="408"/>
      <c r="F87" s="256">
        <f>ROUND(SUM(F84:F86),1)</f>
        <v>-162.4</v>
      </c>
      <c r="G87" s="408"/>
      <c r="H87" s="256">
        <f>ROUND(SUM(H84:H86),1)</f>
        <v>-309.89999999999998</v>
      </c>
      <c r="I87" s="408"/>
      <c r="J87" s="256">
        <f>ROUND(SUM(J84:J86),1)</f>
        <v>-129.9</v>
      </c>
      <c r="K87" s="408"/>
      <c r="L87" s="1802">
        <f>ROUND(SUM(L84:L86),1)</f>
        <v>-60.1</v>
      </c>
      <c r="M87" s="408"/>
      <c r="N87" s="256">
        <f>ROUND(SUM(N84:N86),1)</f>
        <v>-164.5</v>
      </c>
      <c r="O87" s="408"/>
      <c r="P87" s="256">
        <f>ROUND(SUM(P84:P86),1)</f>
        <v>-65.8</v>
      </c>
      <c r="Q87" s="408"/>
      <c r="R87" s="256">
        <f>ROUND(SUM(R84:R86),1)</f>
        <v>-181.8</v>
      </c>
      <c r="S87" s="408"/>
      <c r="T87" s="256">
        <f>ROUND(SUM(T84:T86),1)</f>
        <v>-195.7</v>
      </c>
      <c r="U87" s="408"/>
      <c r="V87" s="256">
        <f>ROUND(SUM(V84:V86),1)</f>
        <v>-156.5</v>
      </c>
      <c r="W87" s="256"/>
      <c r="X87" s="256">
        <f>ROUND(SUM(X84:X86),1)</f>
        <v>0</v>
      </c>
      <c r="Y87" s="256"/>
      <c r="Z87" s="256">
        <f>ROUND(SUM(Z84:Z86),1)</f>
        <v>0</v>
      </c>
      <c r="AA87" s="408"/>
      <c r="AB87" s="478"/>
      <c r="AC87" s="311">
        <f>ROUND(SUM(AC84:AC86),1)</f>
        <v>-1526.1</v>
      </c>
      <c r="AD87" s="272"/>
      <c r="AE87" s="742"/>
      <c r="AF87" s="256">
        <f>ROUND(SUM(AF84:AF85),1)</f>
        <v>-1719.2</v>
      </c>
      <c r="AG87" s="520"/>
      <c r="AH87" s="272"/>
      <c r="AI87" s="521">
        <f>-ROUND(SUM(AC87-AF87),1)</f>
        <v>-193.1</v>
      </c>
      <c r="AJ87" s="522"/>
      <c r="AK87" s="2699">
        <f>ROUND(SUM((AC87-AF87)/(AF87)),3)</f>
        <v>-0.112</v>
      </c>
    </row>
    <row r="88" spans="1:50" ht="15" customHeight="1">
      <c r="A88" s="351"/>
      <c r="B88" s="223"/>
      <c r="C88" s="223"/>
      <c r="D88" s="369"/>
      <c r="E88" s="366"/>
      <c r="F88" s="369"/>
      <c r="G88" s="366"/>
      <c r="H88" s="369"/>
      <c r="I88" s="366"/>
      <c r="J88" s="369"/>
      <c r="K88" s="366"/>
      <c r="L88" s="369"/>
      <c r="M88" s="366"/>
      <c r="N88" s="369"/>
      <c r="O88" s="366"/>
      <c r="P88" s="369"/>
      <c r="Q88" s="366"/>
      <c r="R88" s="369"/>
      <c r="S88" s="366"/>
      <c r="T88" s="369"/>
      <c r="U88" s="366"/>
      <c r="V88" s="287"/>
      <c r="W88" s="260"/>
      <c r="X88" s="287"/>
      <c r="Y88" s="260"/>
      <c r="Z88" s="287"/>
      <c r="AA88" s="366"/>
      <c r="AB88" s="471"/>
      <c r="AC88" s="326"/>
      <c r="AD88" s="248"/>
      <c r="AE88" s="251"/>
      <c r="AF88" s="287"/>
      <c r="AG88" s="513"/>
      <c r="AH88" s="248"/>
      <c r="AI88" s="1299"/>
      <c r="AJ88" s="2638"/>
      <c r="AK88" s="2698"/>
    </row>
    <row r="89" spans="1:50" ht="15" customHeight="1">
      <c r="A89" s="351"/>
      <c r="B89" s="221" t="s">
        <v>171</v>
      </c>
      <c r="C89" s="223"/>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471"/>
      <c r="AC89" s="340"/>
      <c r="AD89" s="252"/>
      <c r="AE89" s="539"/>
      <c r="AF89" s="366"/>
      <c r="AG89" s="540"/>
      <c r="AH89" s="229"/>
      <c r="AI89" s="2638"/>
      <c r="AJ89" s="2638"/>
      <c r="AK89" s="2698"/>
    </row>
    <row r="90" spans="1:50" ht="15" customHeight="1">
      <c r="A90" s="351"/>
      <c r="B90" s="221" t="s">
        <v>172</v>
      </c>
      <c r="C90" s="223"/>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471"/>
      <c r="AC90" s="340"/>
      <c r="AD90" s="252"/>
      <c r="AE90" s="539"/>
      <c r="AF90" s="422"/>
      <c r="AG90" s="540"/>
      <c r="AH90" s="229"/>
      <c r="AI90" s="2638"/>
      <c r="AJ90" s="2638"/>
      <c r="AK90" s="2698"/>
    </row>
    <row r="91" spans="1:50" ht="15" customHeight="1">
      <c r="A91" s="351"/>
      <c r="B91" s="221" t="s">
        <v>1320</v>
      </c>
      <c r="C91" s="223"/>
      <c r="D91" s="1656">
        <f>ROUND(SUM(D81+D87),1)</f>
        <v>-316.60000000000002</v>
      </c>
      <c r="E91" s="366"/>
      <c r="F91" s="1656">
        <f>ROUND(SUM(F81+F87),1)</f>
        <v>43</v>
      </c>
      <c r="G91" s="366"/>
      <c r="H91" s="1656">
        <f>ROUND(SUM(H81+H87),1)</f>
        <v>537.20000000000005</v>
      </c>
      <c r="I91" s="366"/>
      <c r="J91" s="1656">
        <f>ROUND(SUM(J81+J87),1)</f>
        <v>-347.6</v>
      </c>
      <c r="K91" s="366"/>
      <c r="L91" s="1656">
        <f>ROUND(SUM(L81+L87),1)</f>
        <v>-452.3</v>
      </c>
      <c r="M91" s="260"/>
      <c r="N91" s="1656">
        <f>ROUND(SUM(N81+N87),1)</f>
        <v>881</v>
      </c>
      <c r="O91" s="260"/>
      <c r="P91" s="1656">
        <f>ROUND(SUM(P81+P87),1)</f>
        <v>-273.89999999999998</v>
      </c>
      <c r="Q91" s="260"/>
      <c r="R91" s="1656">
        <f>ROUND(SUM(R81+R87),1)</f>
        <v>-696.1</v>
      </c>
      <c r="S91" s="260"/>
      <c r="T91" s="1656">
        <f>ROUND(SUM(T81+T87),1)</f>
        <v>1194.5</v>
      </c>
      <c r="U91" s="260"/>
      <c r="V91" s="1656">
        <f>ROUND(SUM(V81+V87),1)</f>
        <v>-142</v>
      </c>
      <c r="W91" s="260"/>
      <c r="X91" s="1656">
        <f>ROUND(SUM(X81+X87),1)</f>
        <v>0</v>
      </c>
      <c r="Y91" s="260"/>
      <c r="Z91" s="1656">
        <f>ROUND(SUM(Z81+Z87),1)</f>
        <v>0</v>
      </c>
      <c r="AA91" s="366"/>
      <c r="AB91" s="471"/>
      <c r="AC91" s="2101">
        <f>ROUND(SUM(AC81+AC87),1)</f>
        <v>427.2</v>
      </c>
      <c r="AD91" s="252"/>
      <c r="AE91" s="539"/>
      <c r="AF91" s="1656">
        <f>ROUND(SUM(AF81+AF87),1)</f>
        <v>35.799999999999997</v>
      </c>
      <c r="AG91" s="540"/>
      <c r="AH91" s="229"/>
      <c r="AI91" s="1656">
        <f>ROUND(SUM(AI81-AI87),1)</f>
        <v>391.4</v>
      </c>
      <c r="AJ91" s="2638"/>
      <c r="AK91" s="3271">
        <f>ROUND(SUM((AC91-AF91)/ABS(AF91)),3)</f>
        <v>10.933</v>
      </c>
    </row>
    <row r="92" spans="1:50" ht="13.15" customHeight="1">
      <c r="A92" s="351"/>
      <c r="B92" s="221"/>
      <c r="C92" s="223"/>
      <c r="D92" s="422"/>
      <c r="E92" s="366"/>
      <c r="F92" s="422"/>
      <c r="G92" s="366"/>
      <c r="H92" s="422"/>
      <c r="I92" s="366"/>
      <c r="J92" s="422"/>
      <c r="K92" s="366"/>
      <c r="L92" s="422"/>
      <c r="M92" s="260"/>
      <c r="N92" s="422"/>
      <c r="O92" s="260"/>
      <c r="P92" s="422"/>
      <c r="Q92" s="260"/>
      <c r="R92" s="422"/>
      <c r="S92" s="260"/>
      <c r="T92" s="422"/>
      <c r="U92" s="260"/>
      <c r="V92" s="422"/>
      <c r="W92" s="260"/>
      <c r="X92" s="422"/>
      <c r="Y92" s="260"/>
      <c r="Z92" s="422"/>
      <c r="AA92" s="366"/>
      <c r="AB92" s="471"/>
      <c r="AC92" s="339"/>
      <c r="AD92" s="252"/>
      <c r="AE92" s="252"/>
      <c r="AF92" s="422"/>
      <c r="AG92" s="540"/>
      <c r="AH92" s="229"/>
      <c r="AI92" s="422"/>
      <c r="AJ92" s="2638"/>
      <c r="AK92" s="3270"/>
    </row>
    <row r="93" spans="1:50" ht="15" customHeight="1" thickBot="1">
      <c r="A93" s="351"/>
      <c r="B93" s="488" t="s">
        <v>145</v>
      </c>
      <c r="C93" s="223"/>
      <c r="D93" s="3272">
        <f>ROUND(SUM(D14+D91),1)</f>
        <v>-256.89999999999998</v>
      </c>
      <c r="E93" s="222"/>
      <c r="F93" s="3272">
        <f>ROUND(SUM(F14+F91),1)</f>
        <v>-213.9</v>
      </c>
      <c r="G93" s="222"/>
      <c r="H93" s="3272">
        <f>ROUND(SUM(H14+H91),1)</f>
        <v>323.3</v>
      </c>
      <c r="I93" s="222"/>
      <c r="J93" s="3272">
        <f>ROUND(SUM(J14+J91),1)</f>
        <v>-24.3</v>
      </c>
      <c r="K93" s="222"/>
      <c r="L93" s="3272">
        <f>ROUND(SUM(L14+L91),1)</f>
        <v>-476.6</v>
      </c>
      <c r="M93" s="222"/>
      <c r="N93" s="3272">
        <f>ROUND(SUM(N14+N91),1)</f>
        <v>404.4</v>
      </c>
      <c r="O93" s="222"/>
      <c r="P93" s="3272">
        <f>ROUND(SUM(P14+P91),1)</f>
        <v>130.5</v>
      </c>
      <c r="Q93" s="222"/>
      <c r="R93" s="3272">
        <f>ROUND(SUM(R14+R91),1)</f>
        <v>-565.6</v>
      </c>
      <c r="S93" s="222"/>
      <c r="T93" s="3272">
        <f>ROUND(SUM(T14+T91),1)</f>
        <v>628.9</v>
      </c>
      <c r="U93" s="222"/>
      <c r="V93" s="3272">
        <f>ROUND(SUM(V14+V91),1)</f>
        <v>486.9</v>
      </c>
      <c r="W93" s="222"/>
      <c r="X93" s="3272">
        <f>ROUND(SUM(X14+X91),1)</f>
        <v>0</v>
      </c>
      <c r="Y93" s="222"/>
      <c r="Z93" s="3272">
        <f>ROUND(SUM(Z14+Z91),1)</f>
        <v>0</v>
      </c>
      <c r="AA93" s="366"/>
      <c r="AB93" s="471"/>
      <c r="AC93" s="3277">
        <f>ROUND(SUM(AC14+AC91),1)</f>
        <v>486.9</v>
      </c>
      <c r="AD93" s="229"/>
      <c r="AE93" s="229"/>
      <c r="AF93" s="3272">
        <f>ROUND(SUM(AF14+AF91),1)</f>
        <v>225</v>
      </c>
      <c r="AG93" s="540"/>
      <c r="AH93" s="229"/>
      <c r="AI93" s="501">
        <f>ROUND(SUM(AC93-AF93),1)</f>
        <v>261.89999999999998</v>
      </c>
      <c r="AJ93" s="2638"/>
      <c r="AK93" s="3250">
        <f>ROUND(SUM((AC93-AF93)/ABS(AF93)),3)</f>
        <v>1.1639999999999999</v>
      </c>
    </row>
    <row r="94" spans="1:50" ht="15" customHeight="1" thickTop="1">
      <c r="B94" s="222"/>
      <c r="C94" s="222"/>
      <c r="D94" s="504"/>
      <c r="E94" s="504"/>
      <c r="F94" s="504"/>
      <c r="G94" s="504"/>
      <c r="H94" s="504"/>
      <c r="I94" s="504"/>
      <c r="J94" s="504"/>
      <c r="K94" s="504"/>
      <c r="L94" s="504"/>
      <c r="M94" s="504"/>
      <c r="N94" s="504"/>
      <c r="O94" s="504"/>
      <c r="P94" s="504"/>
      <c r="Q94" s="504"/>
      <c r="R94" s="504"/>
      <c r="S94" s="504"/>
      <c r="T94" s="504"/>
      <c r="U94" s="504"/>
      <c r="V94" s="504"/>
      <c r="W94" s="504"/>
      <c r="X94" s="504"/>
      <c r="Y94" s="504"/>
      <c r="Z94" s="504"/>
      <c r="AA94" s="504"/>
      <c r="AB94" s="504"/>
      <c r="AC94" s="3309"/>
      <c r="AD94" s="504"/>
      <c r="AE94" s="504"/>
      <c r="AF94" s="504"/>
      <c r="AG94" s="504"/>
      <c r="AH94" s="504"/>
      <c r="AI94" s="2623"/>
      <c r="AJ94" s="2623"/>
      <c r="AK94" s="2670"/>
      <c r="AL94" s="546"/>
      <c r="AM94" s="546"/>
      <c r="AN94" s="546"/>
      <c r="AO94" s="546"/>
      <c r="AP94" s="546"/>
      <c r="AQ94" s="546"/>
      <c r="AR94" s="546"/>
      <c r="AS94" s="546"/>
      <c r="AT94" s="546"/>
      <c r="AU94" s="546"/>
      <c r="AV94" s="546"/>
      <c r="AW94" s="546"/>
      <c r="AX94" s="546"/>
    </row>
    <row r="95" spans="1:50" ht="15" customHeight="1">
      <c r="B95" s="1798" t="s">
        <v>15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222"/>
      <c r="AB95" s="222"/>
      <c r="AC95" s="305"/>
      <c r="AD95" s="222"/>
      <c r="AE95" s="222"/>
      <c r="AF95" s="222"/>
      <c r="AG95" s="222"/>
      <c r="AH95" s="222"/>
      <c r="AI95" s="1798"/>
      <c r="AJ95" s="1798"/>
      <c r="AK95" s="2670"/>
    </row>
    <row r="96" spans="1:50" ht="15" customHeight="1">
      <c r="B96" s="222"/>
      <c r="AK96" s="2693"/>
    </row>
    <row r="97" spans="2:37" ht="15" customHeight="1">
      <c r="B97" s="222"/>
      <c r="AK97" s="2693"/>
    </row>
    <row r="98" spans="2:37" ht="15" customHeight="1">
      <c r="AK98" s="2693"/>
    </row>
    <row r="99" spans="2:37" ht="15" customHeight="1">
      <c r="AK99" s="2693"/>
    </row>
    <row r="100" spans="2:37" ht="15" customHeight="1">
      <c r="AK100" s="2693"/>
    </row>
    <row r="101" spans="2:37" ht="15" customHeight="1">
      <c r="AK101" s="2693"/>
    </row>
    <row r="102" spans="2:37" ht="15" customHeight="1">
      <c r="AK102" s="2693"/>
    </row>
    <row r="103" spans="2:37" ht="15" customHeight="1">
      <c r="AK103" s="2693"/>
    </row>
    <row r="104" spans="2:37" ht="15" customHeight="1">
      <c r="AK104" s="2693"/>
    </row>
    <row r="105" spans="2:37" ht="15" customHeight="1">
      <c r="AK105" s="2693"/>
    </row>
    <row r="106" spans="2:37" ht="15" customHeight="1">
      <c r="AK106" s="2693"/>
    </row>
    <row r="107" spans="2:37" ht="15" customHeight="1">
      <c r="AK107" s="2693"/>
    </row>
    <row r="108" spans="2:37" ht="15" customHeight="1">
      <c r="AK108" s="2693"/>
    </row>
    <row r="109" spans="2:37" ht="15" customHeight="1">
      <c r="AK109" s="2693"/>
    </row>
    <row r="110" spans="2:37" ht="15" customHeight="1">
      <c r="AK110" s="2693"/>
    </row>
    <row r="111" spans="2:37" ht="15" customHeight="1">
      <c r="AK111" s="2693"/>
    </row>
    <row r="112" spans="2:37" ht="15" customHeight="1">
      <c r="AK112" s="2693"/>
    </row>
    <row r="113" spans="37:37" ht="15" customHeight="1">
      <c r="AK113" s="2693"/>
    </row>
    <row r="114" spans="37:37" ht="15" customHeight="1">
      <c r="AK114" s="2693"/>
    </row>
    <row r="115" spans="37:37" ht="15" customHeight="1">
      <c r="AK115" s="2693"/>
    </row>
    <row r="116" spans="37:37" ht="15" customHeight="1">
      <c r="AK116" s="2693"/>
    </row>
    <row r="117" spans="37:37" ht="15" customHeight="1">
      <c r="AK117" s="2693"/>
    </row>
    <row r="118" spans="37:37" ht="15" customHeight="1">
      <c r="AK118" s="2693"/>
    </row>
    <row r="119" spans="37:37" ht="15" customHeight="1">
      <c r="AK119" s="2693"/>
    </row>
    <row r="120" spans="37:37" ht="15" customHeight="1">
      <c r="AK120" s="2693"/>
    </row>
    <row r="121" spans="37:37" ht="15" customHeight="1">
      <c r="AK121" s="2693"/>
    </row>
    <row r="122" spans="37:37" ht="15" customHeight="1">
      <c r="AK122" s="2693"/>
    </row>
    <row r="123" spans="37:37" ht="15" customHeight="1">
      <c r="AK123" s="2693"/>
    </row>
    <row r="124" spans="37:37" ht="15" customHeight="1">
      <c r="AK124" s="2693"/>
    </row>
    <row r="125" spans="37:37" ht="15" customHeight="1">
      <c r="AK125" s="2693"/>
    </row>
    <row r="126" spans="37:37" ht="15" customHeight="1">
      <c r="AK126" s="2693"/>
    </row>
    <row r="127" spans="37:37" ht="15" customHeight="1">
      <c r="AK127" s="2693"/>
    </row>
    <row r="128" spans="37:37" ht="15" customHeight="1">
      <c r="AK128" s="2693"/>
    </row>
    <row r="129" spans="31:37" ht="15" customHeight="1">
      <c r="AK129" s="2693"/>
    </row>
    <row r="130" spans="31:37" ht="15" customHeight="1">
      <c r="AK130" s="2693"/>
    </row>
    <row r="131" spans="31:37" ht="15" customHeight="1">
      <c r="AK131" s="2693"/>
    </row>
    <row r="132" spans="31:37" ht="15" customHeight="1">
      <c r="AK132" s="2693"/>
    </row>
    <row r="133" spans="31:37" ht="15" customHeight="1">
      <c r="AK133" s="2693"/>
    </row>
    <row r="134" spans="31:37" ht="15" customHeight="1">
      <c r="AE134" s="455">
        <v>16739.599999999999</v>
      </c>
    </row>
    <row r="135" spans="31:37" ht="15" customHeight="1">
      <c r="AE135" s="455">
        <v>-16162.7</v>
      </c>
    </row>
    <row r="136" spans="31:37" ht="15" customHeight="1"/>
    <row r="137" spans="31:37" ht="15" customHeight="1"/>
    <row r="138" spans="31:37" ht="15" customHeight="1"/>
    <row r="139" spans="31:37" ht="15" customHeight="1"/>
    <row r="140" spans="31:37" ht="15" customHeight="1"/>
    <row r="141" spans="31:37"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40" firstPageNumber="27" fitToHeight="2" orientation="landscape" useFirstPageNumber="1" r:id="rId2"/>
  <headerFooter scaleWithDoc="0" alignWithMargins="0">
    <oddFooter>&amp;C&amp;8&amp;P</oddFooter>
  </headerFooter>
  <rowBreaks count="1" manualBreakCount="1">
    <brk id="58" min="1" max="36" man="1"/>
  </rowBreaks>
  <ignoredErrors>
    <ignoredError sqref="AK17:AK19 AK21 AK34 AK41 AK54 AK58 AK56" unlockedFormula="1"/>
    <ignoredError sqref="AK62:AK68 AK48:AK50"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80" workbookViewId="0"/>
  </sheetViews>
  <sheetFormatPr defaultRowHeight="12.75"/>
  <cols>
    <col min="1" max="1" width="40.44140625" style="556" customWidth="1"/>
    <col min="2" max="2" width="10.44140625" style="556" customWidth="1"/>
    <col min="3" max="3" width="1.33203125" style="556" customWidth="1"/>
    <col min="4" max="4" width="10" style="556" customWidth="1"/>
    <col min="5" max="5" width="1.33203125" style="556" customWidth="1"/>
    <col min="6" max="6" width="9.33203125" style="555" customWidth="1"/>
    <col min="7" max="7" width="1.33203125" style="556" customWidth="1"/>
    <col min="8" max="8" width="10" style="556" customWidth="1"/>
    <col min="9" max="9" width="1.33203125" style="556" customWidth="1"/>
    <col min="10" max="10" width="9.44140625" style="556" customWidth="1"/>
    <col min="11" max="11" width="1.33203125" style="556" customWidth="1"/>
    <col min="12" max="12" width="11.33203125" style="556" customWidth="1"/>
    <col min="13" max="13" width="1.33203125" style="556" customWidth="1"/>
    <col min="14" max="14" width="9.109375" style="556" customWidth="1"/>
    <col min="15" max="15" width="1.6640625" style="556" customWidth="1"/>
    <col min="16" max="16" width="11" style="556" customWidth="1"/>
    <col min="17" max="17" width="1.33203125" style="556" customWidth="1"/>
    <col min="18" max="18" width="10.77734375" style="556" customWidth="1"/>
    <col min="19" max="19" width="1.33203125" style="556" customWidth="1"/>
    <col min="20" max="20" width="10" style="556" customWidth="1"/>
    <col min="21" max="21" width="1.33203125" style="556" customWidth="1"/>
    <col min="22" max="22" width="9.33203125" style="556" customWidth="1"/>
    <col min="23" max="23" width="1.33203125" style="556" customWidth="1"/>
    <col min="24" max="24" width="9.109375" style="556" bestFit="1" customWidth="1"/>
    <col min="25" max="25" width="1.33203125" style="556" customWidth="1"/>
    <col min="26" max="26" width="0.77734375" style="556" customWidth="1"/>
    <col min="27" max="27" width="10.5546875" style="556" customWidth="1"/>
    <col min="28" max="28" width="2.21875" style="556" customWidth="1"/>
    <col min="29" max="29" width="0.88671875" style="556" customWidth="1"/>
    <col min="30" max="30" width="11" style="556" bestFit="1" customWidth="1"/>
    <col min="31" max="32" width="0.6640625" style="556" customWidth="1"/>
    <col min="33" max="33" width="9.6640625" style="556" customWidth="1"/>
    <col min="34" max="34" width="1.109375" style="556" customWidth="1"/>
    <col min="35" max="35" width="11" style="556" customWidth="1"/>
    <col min="36" max="36" width="14.5546875" style="1010" customWidth="1"/>
    <col min="37" max="252" width="8.88671875" style="556"/>
    <col min="253" max="253" width="38.44140625" style="556" customWidth="1"/>
    <col min="254" max="254" width="8.5546875" style="556" customWidth="1"/>
    <col min="255" max="255" width="1.33203125" style="556" customWidth="1"/>
    <col min="256" max="256" width="8.88671875" style="556" customWidth="1"/>
    <col min="257" max="257" width="1.33203125" style="556" customWidth="1"/>
    <col min="258" max="258" width="9.33203125" style="556" customWidth="1"/>
    <col min="259" max="259" width="1.33203125" style="556" customWidth="1"/>
    <col min="260" max="260" width="10" style="556" customWidth="1"/>
    <col min="261" max="261" width="1.33203125" style="556" customWidth="1"/>
    <col min="262" max="262" width="9.109375" style="556" customWidth="1"/>
    <col min="263" max="263" width="1.33203125" style="556" customWidth="1"/>
    <col min="264" max="264" width="11.33203125" style="556" customWidth="1"/>
    <col min="265" max="265" width="1.33203125" style="556" customWidth="1"/>
    <col min="266" max="266" width="9.109375" style="556" customWidth="1"/>
    <col min="267" max="267" width="1.6640625" style="556" customWidth="1"/>
    <col min="268" max="268" width="11" style="556" customWidth="1"/>
    <col min="269" max="269" width="1.33203125" style="556" customWidth="1"/>
    <col min="270" max="270" width="10.77734375" style="556" customWidth="1"/>
    <col min="271" max="271" width="1.33203125" style="556" customWidth="1"/>
    <col min="272" max="272" width="10" style="556" customWidth="1"/>
    <col min="273" max="273" width="1.33203125" style="556" customWidth="1"/>
    <col min="274" max="274" width="9.33203125" style="556" customWidth="1"/>
    <col min="275" max="275" width="1.33203125" style="556" customWidth="1"/>
    <col min="276" max="276" width="7.77734375" style="556" customWidth="1"/>
    <col min="277" max="277" width="1.33203125" style="556" customWidth="1"/>
    <col min="278" max="278" width="0.77734375" style="556" customWidth="1"/>
    <col min="279" max="279" width="9.33203125" style="556" customWidth="1"/>
    <col min="280" max="280" width="1.33203125" style="556" customWidth="1"/>
    <col min="281" max="281" width="0.88671875" style="556" customWidth="1"/>
    <col min="282" max="282" width="9.5546875" style="556" bestFit="1" customWidth="1"/>
    <col min="283" max="284" width="0.6640625" style="556" customWidth="1"/>
    <col min="285" max="285" width="9.6640625" style="556" customWidth="1"/>
    <col min="286" max="286" width="1.109375" style="556" customWidth="1"/>
    <col min="287" max="287" width="8.5546875" style="556" customWidth="1"/>
    <col min="288" max="288" width="14.5546875" style="556" customWidth="1"/>
    <col min="289" max="289" width="10" style="556" customWidth="1"/>
    <col min="290" max="290" width="7.77734375" style="556" bestFit="1" customWidth="1"/>
    <col min="291" max="291" width="9.88671875" style="556" customWidth="1"/>
    <col min="292" max="508" width="8.88671875" style="556"/>
    <col min="509" max="509" width="38.44140625" style="556" customWidth="1"/>
    <col min="510" max="510" width="8.5546875" style="556" customWidth="1"/>
    <col min="511" max="511" width="1.33203125" style="556" customWidth="1"/>
    <col min="512" max="512" width="8.88671875" style="556" customWidth="1"/>
    <col min="513" max="513" width="1.33203125" style="556" customWidth="1"/>
    <col min="514" max="514" width="9.33203125" style="556" customWidth="1"/>
    <col min="515" max="515" width="1.33203125" style="556" customWidth="1"/>
    <col min="516" max="516" width="10" style="556" customWidth="1"/>
    <col min="517" max="517" width="1.33203125" style="556" customWidth="1"/>
    <col min="518" max="518" width="9.109375" style="556" customWidth="1"/>
    <col min="519" max="519" width="1.33203125" style="556" customWidth="1"/>
    <col min="520" max="520" width="11.33203125" style="556" customWidth="1"/>
    <col min="521" max="521" width="1.33203125" style="556" customWidth="1"/>
    <col min="522" max="522" width="9.109375" style="556" customWidth="1"/>
    <col min="523" max="523" width="1.6640625" style="556" customWidth="1"/>
    <col min="524" max="524" width="11" style="556" customWidth="1"/>
    <col min="525" max="525" width="1.33203125" style="556" customWidth="1"/>
    <col min="526" max="526" width="10.77734375" style="556" customWidth="1"/>
    <col min="527" max="527" width="1.33203125" style="556" customWidth="1"/>
    <col min="528" max="528" width="10" style="556" customWidth="1"/>
    <col min="529" max="529" width="1.33203125" style="556" customWidth="1"/>
    <col min="530" max="530" width="9.33203125" style="556" customWidth="1"/>
    <col min="531" max="531" width="1.33203125" style="556" customWidth="1"/>
    <col min="532" max="532" width="7.77734375" style="556" customWidth="1"/>
    <col min="533" max="533" width="1.33203125" style="556" customWidth="1"/>
    <col min="534" max="534" width="0.77734375" style="556" customWidth="1"/>
    <col min="535" max="535" width="9.33203125" style="556" customWidth="1"/>
    <col min="536" max="536" width="1.33203125" style="556" customWidth="1"/>
    <col min="537" max="537" width="0.88671875" style="556" customWidth="1"/>
    <col min="538" max="538" width="9.5546875" style="556" bestFit="1" customWidth="1"/>
    <col min="539" max="540" width="0.6640625" style="556" customWidth="1"/>
    <col min="541" max="541" width="9.6640625" style="556" customWidth="1"/>
    <col min="542" max="542" width="1.109375" style="556" customWidth="1"/>
    <col min="543" max="543" width="8.5546875" style="556" customWidth="1"/>
    <col min="544" max="544" width="14.5546875" style="556" customWidth="1"/>
    <col min="545" max="545" width="10" style="556" customWidth="1"/>
    <col min="546" max="546" width="7.77734375" style="556" bestFit="1" customWidth="1"/>
    <col min="547" max="547" width="9.88671875" style="556" customWidth="1"/>
    <col min="548" max="764" width="8.88671875" style="556"/>
    <col min="765" max="765" width="38.44140625" style="556" customWidth="1"/>
    <col min="766" max="766" width="8.5546875" style="556" customWidth="1"/>
    <col min="767" max="767" width="1.33203125" style="556" customWidth="1"/>
    <col min="768" max="768" width="8.88671875" style="556" customWidth="1"/>
    <col min="769" max="769" width="1.33203125" style="556" customWidth="1"/>
    <col min="770" max="770" width="9.33203125" style="556" customWidth="1"/>
    <col min="771" max="771" width="1.33203125" style="556" customWidth="1"/>
    <col min="772" max="772" width="10" style="556" customWidth="1"/>
    <col min="773" max="773" width="1.33203125" style="556" customWidth="1"/>
    <col min="774" max="774" width="9.109375" style="556" customWidth="1"/>
    <col min="775" max="775" width="1.33203125" style="556" customWidth="1"/>
    <col min="776" max="776" width="11.33203125" style="556" customWidth="1"/>
    <col min="777" max="777" width="1.33203125" style="556" customWidth="1"/>
    <col min="778" max="778" width="9.109375" style="556" customWidth="1"/>
    <col min="779" max="779" width="1.6640625" style="556" customWidth="1"/>
    <col min="780" max="780" width="11" style="556" customWidth="1"/>
    <col min="781" max="781" width="1.33203125" style="556" customWidth="1"/>
    <col min="782" max="782" width="10.77734375" style="556" customWidth="1"/>
    <col min="783" max="783" width="1.33203125" style="556" customWidth="1"/>
    <col min="784" max="784" width="10" style="556" customWidth="1"/>
    <col min="785" max="785" width="1.33203125" style="556" customWidth="1"/>
    <col min="786" max="786" width="9.33203125" style="556" customWidth="1"/>
    <col min="787" max="787" width="1.33203125" style="556" customWidth="1"/>
    <col min="788" max="788" width="7.77734375" style="556" customWidth="1"/>
    <col min="789" max="789" width="1.33203125" style="556" customWidth="1"/>
    <col min="790" max="790" width="0.77734375" style="556" customWidth="1"/>
    <col min="791" max="791" width="9.33203125" style="556" customWidth="1"/>
    <col min="792" max="792" width="1.33203125" style="556" customWidth="1"/>
    <col min="793" max="793" width="0.88671875" style="556" customWidth="1"/>
    <col min="794" max="794" width="9.5546875" style="556" bestFit="1" customWidth="1"/>
    <col min="795" max="796" width="0.6640625" style="556" customWidth="1"/>
    <col min="797" max="797" width="9.6640625" style="556" customWidth="1"/>
    <col min="798" max="798" width="1.109375" style="556" customWidth="1"/>
    <col min="799" max="799" width="8.5546875" style="556" customWidth="1"/>
    <col min="800" max="800" width="14.5546875" style="556" customWidth="1"/>
    <col min="801" max="801" width="10" style="556" customWidth="1"/>
    <col min="802" max="802" width="7.77734375" style="556" bestFit="1" customWidth="1"/>
    <col min="803" max="803" width="9.88671875" style="556" customWidth="1"/>
    <col min="804" max="1020" width="8.88671875" style="556"/>
    <col min="1021" max="1021" width="38.44140625" style="556" customWidth="1"/>
    <col min="1022" max="1022" width="8.5546875" style="556" customWidth="1"/>
    <col min="1023" max="1023" width="1.33203125" style="556" customWidth="1"/>
    <col min="1024" max="1024" width="8.88671875" style="556" customWidth="1"/>
    <col min="1025" max="1025" width="1.33203125" style="556" customWidth="1"/>
    <col min="1026" max="1026" width="9.33203125" style="556" customWidth="1"/>
    <col min="1027" max="1027" width="1.33203125" style="556" customWidth="1"/>
    <col min="1028" max="1028" width="10" style="556" customWidth="1"/>
    <col min="1029" max="1029" width="1.33203125" style="556" customWidth="1"/>
    <col min="1030" max="1030" width="9.109375" style="556" customWidth="1"/>
    <col min="1031" max="1031" width="1.33203125" style="556" customWidth="1"/>
    <col min="1032" max="1032" width="11.33203125" style="556" customWidth="1"/>
    <col min="1033" max="1033" width="1.33203125" style="556" customWidth="1"/>
    <col min="1034" max="1034" width="9.109375" style="556" customWidth="1"/>
    <col min="1035" max="1035" width="1.6640625" style="556" customWidth="1"/>
    <col min="1036" max="1036" width="11" style="556" customWidth="1"/>
    <col min="1037" max="1037" width="1.33203125" style="556" customWidth="1"/>
    <col min="1038" max="1038" width="10.77734375" style="556" customWidth="1"/>
    <col min="1039" max="1039" width="1.33203125" style="556" customWidth="1"/>
    <col min="1040" max="1040" width="10" style="556" customWidth="1"/>
    <col min="1041" max="1041" width="1.33203125" style="556" customWidth="1"/>
    <col min="1042" max="1042" width="9.33203125" style="556" customWidth="1"/>
    <col min="1043" max="1043" width="1.33203125" style="556" customWidth="1"/>
    <col min="1044" max="1044" width="7.77734375" style="556" customWidth="1"/>
    <col min="1045" max="1045" width="1.33203125" style="556" customWidth="1"/>
    <col min="1046" max="1046" width="0.77734375" style="556" customWidth="1"/>
    <col min="1047" max="1047" width="9.33203125" style="556" customWidth="1"/>
    <col min="1048" max="1048" width="1.33203125" style="556" customWidth="1"/>
    <col min="1049" max="1049" width="0.88671875" style="556" customWidth="1"/>
    <col min="1050" max="1050" width="9.5546875" style="556" bestFit="1" customWidth="1"/>
    <col min="1051" max="1052" width="0.6640625" style="556" customWidth="1"/>
    <col min="1053" max="1053" width="9.6640625" style="556" customWidth="1"/>
    <col min="1054" max="1054" width="1.109375" style="556" customWidth="1"/>
    <col min="1055" max="1055" width="8.5546875" style="556" customWidth="1"/>
    <col min="1056" max="1056" width="14.5546875" style="556" customWidth="1"/>
    <col min="1057" max="1057" width="10" style="556" customWidth="1"/>
    <col min="1058" max="1058" width="7.77734375" style="556" bestFit="1" customWidth="1"/>
    <col min="1059" max="1059" width="9.88671875" style="556" customWidth="1"/>
    <col min="1060" max="1276" width="8.88671875" style="556"/>
    <col min="1277" max="1277" width="38.44140625" style="556" customWidth="1"/>
    <col min="1278" max="1278" width="8.5546875" style="556" customWidth="1"/>
    <col min="1279" max="1279" width="1.33203125" style="556" customWidth="1"/>
    <col min="1280" max="1280" width="8.88671875" style="556" customWidth="1"/>
    <col min="1281" max="1281" width="1.33203125" style="556" customWidth="1"/>
    <col min="1282" max="1282" width="9.33203125" style="556" customWidth="1"/>
    <col min="1283" max="1283" width="1.33203125" style="556" customWidth="1"/>
    <col min="1284" max="1284" width="10" style="556" customWidth="1"/>
    <col min="1285" max="1285" width="1.33203125" style="556" customWidth="1"/>
    <col min="1286" max="1286" width="9.109375" style="556" customWidth="1"/>
    <col min="1287" max="1287" width="1.33203125" style="556" customWidth="1"/>
    <col min="1288" max="1288" width="11.33203125" style="556" customWidth="1"/>
    <col min="1289" max="1289" width="1.33203125" style="556" customWidth="1"/>
    <col min="1290" max="1290" width="9.109375" style="556" customWidth="1"/>
    <col min="1291" max="1291" width="1.6640625" style="556" customWidth="1"/>
    <col min="1292" max="1292" width="11" style="556" customWidth="1"/>
    <col min="1293" max="1293" width="1.33203125" style="556" customWidth="1"/>
    <col min="1294" max="1294" width="10.77734375" style="556" customWidth="1"/>
    <col min="1295" max="1295" width="1.33203125" style="556" customWidth="1"/>
    <col min="1296" max="1296" width="10" style="556" customWidth="1"/>
    <col min="1297" max="1297" width="1.33203125" style="556" customWidth="1"/>
    <col min="1298" max="1298" width="9.33203125" style="556" customWidth="1"/>
    <col min="1299" max="1299" width="1.33203125" style="556" customWidth="1"/>
    <col min="1300" max="1300" width="7.77734375" style="556" customWidth="1"/>
    <col min="1301" max="1301" width="1.33203125" style="556" customWidth="1"/>
    <col min="1302" max="1302" width="0.77734375" style="556" customWidth="1"/>
    <col min="1303" max="1303" width="9.33203125" style="556" customWidth="1"/>
    <col min="1304" max="1304" width="1.33203125" style="556" customWidth="1"/>
    <col min="1305" max="1305" width="0.88671875" style="556" customWidth="1"/>
    <col min="1306" max="1306" width="9.5546875" style="556" bestFit="1" customWidth="1"/>
    <col min="1307" max="1308" width="0.6640625" style="556" customWidth="1"/>
    <col min="1309" max="1309" width="9.6640625" style="556" customWidth="1"/>
    <col min="1310" max="1310" width="1.109375" style="556" customWidth="1"/>
    <col min="1311" max="1311" width="8.5546875" style="556" customWidth="1"/>
    <col min="1312" max="1312" width="14.5546875" style="556" customWidth="1"/>
    <col min="1313" max="1313" width="10" style="556" customWidth="1"/>
    <col min="1314" max="1314" width="7.77734375" style="556" bestFit="1" customWidth="1"/>
    <col min="1315" max="1315" width="9.88671875" style="556" customWidth="1"/>
    <col min="1316" max="1532" width="8.88671875" style="556"/>
    <col min="1533" max="1533" width="38.44140625" style="556" customWidth="1"/>
    <col min="1534" max="1534" width="8.5546875" style="556" customWidth="1"/>
    <col min="1535" max="1535" width="1.33203125" style="556" customWidth="1"/>
    <col min="1536" max="1536" width="8.88671875" style="556" customWidth="1"/>
    <col min="1537" max="1537" width="1.33203125" style="556" customWidth="1"/>
    <col min="1538" max="1538" width="9.33203125" style="556" customWidth="1"/>
    <col min="1539" max="1539" width="1.33203125" style="556" customWidth="1"/>
    <col min="1540" max="1540" width="10" style="556" customWidth="1"/>
    <col min="1541" max="1541" width="1.33203125" style="556" customWidth="1"/>
    <col min="1542" max="1542" width="9.109375" style="556" customWidth="1"/>
    <col min="1543" max="1543" width="1.33203125" style="556" customWidth="1"/>
    <col min="1544" max="1544" width="11.33203125" style="556" customWidth="1"/>
    <col min="1545" max="1545" width="1.33203125" style="556" customWidth="1"/>
    <col min="1546" max="1546" width="9.109375" style="556" customWidth="1"/>
    <col min="1547" max="1547" width="1.6640625" style="556" customWidth="1"/>
    <col min="1548" max="1548" width="11" style="556" customWidth="1"/>
    <col min="1549" max="1549" width="1.33203125" style="556" customWidth="1"/>
    <col min="1550" max="1550" width="10.77734375" style="556" customWidth="1"/>
    <col min="1551" max="1551" width="1.33203125" style="556" customWidth="1"/>
    <col min="1552" max="1552" width="10" style="556" customWidth="1"/>
    <col min="1553" max="1553" width="1.33203125" style="556" customWidth="1"/>
    <col min="1554" max="1554" width="9.33203125" style="556" customWidth="1"/>
    <col min="1555" max="1555" width="1.33203125" style="556" customWidth="1"/>
    <col min="1556" max="1556" width="7.77734375" style="556" customWidth="1"/>
    <col min="1557" max="1557" width="1.33203125" style="556" customWidth="1"/>
    <col min="1558" max="1558" width="0.77734375" style="556" customWidth="1"/>
    <col min="1559" max="1559" width="9.33203125" style="556" customWidth="1"/>
    <col min="1560" max="1560" width="1.33203125" style="556" customWidth="1"/>
    <col min="1561" max="1561" width="0.88671875" style="556" customWidth="1"/>
    <col min="1562" max="1562" width="9.5546875" style="556" bestFit="1" customWidth="1"/>
    <col min="1563" max="1564" width="0.6640625" style="556" customWidth="1"/>
    <col min="1565" max="1565" width="9.6640625" style="556" customWidth="1"/>
    <col min="1566" max="1566" width="1.109375" style="556" customWidth="1"/>
    <col min="1567" max="1567" width="8.5546875" style="556" customWidth="1"/>
    <col min="1568" max="1568" width="14.5546875" style="556" customWidth="1"/>
    <col min="1569" max="1569" width="10" style="556" customWidth="1"/>
    <col min="1570" max="1570" width="7.77734375" style="556" bestFit="1" customWidth="1"/>
    <col min="1571" max="1571" width="9.88671875" style="556" customWidth="1"/>
    <col min="1572" max="1788" width="8.88671875" style="556"/>
    <col min="1789" max="1789" width="38.44140625" style="556" customWidth="1"/>
    <col min="1790" max="1790" width="8.5546875" style="556" customWidth="1"/>
    <col min="1791" max="1791" width="1.33203125" style="556" customWidth="1"/>
    <col min="1792" max="1792" width="8.88671875" style="556" customWidth="1"/>
    <col min="1793" max="1793" width="1.33203125" style="556" customWidth="1"/>
    <col min="1794" max="1794" width="9.33203125" style="556" customWidth="1"/>
    <col min="1795" max="1795" width="1.33203125" style="556" customWidth="1"/>
    <col min="1796" max="1796" width="10" style="556" customWidth="1"/>
    <col min="1797" max="1797" width="1.33203125" style="556" customWidth="1"/>
    <col min="1798" max="1798" width="9.109375" style="556" customWidth="1"/>
    <col min="1799" max="1799" width="1.33203125" style="556" customWidth="1"/>
    <col min="1800" max="1800" width="11.33203125" style="556" customWidth="1"/>
    <col min="1801" max="1801" width="1.33203125" style="556" customWidth="1"/>
    <col min="1802" max="1802" width="9.109375" style="556" customWidth="1"/>
    <col min="1803" max="1803" width="1.6640625" style="556" customWidth="1"/>
    <col min="1804" max="1804" width="11" style="556" customWidth="1"/>
    <col min="1805" max="1805" width="1.33203125" style="556" customWidth="1"/>
    <col min="1806" max="1806" width="10.77734375" style="556" customWidth="1"/>
    <col min="1807" max="1807" width="1.33203125" style="556" customWidth="1"/>
    <col min="1808" max="1808" width="10" style="556" customWidth="1"/>
    <col min="1809" max="1809" width="1.33203125" style="556" customWidth="1"/>
    <col min="1810" max="1810" width="9.33203125" style="556" customWidth="1"/>
    <col min="1811" max="1811" width="1.33203125" style="556" customWidth="1"/>
    <col min="1812" max="1812" width="7.77734375" style="556" customWidth="1"/>
    <col min="1813" max="1813" width="1.33203125" style="556" customWidth="1"/>
    <col min="1814" max="1814" width="0.77734375" style="556" customWidth="1"/>
    <col min="1815" max="1815" width="9.33203125" style="556" customWidth="1"/>
    <col min="1816" max="1816" width="1.33203125" style="556" customWidth="1"/>
    <col min="1817" max="1817" width="0.88671875" style="556" customWidth="1"/>
    <col min="1818" max="1818" width="9.5546875" style="556" bestFit="1" customWidth="1"/>
    <col min="1819" max="1820" width="0.6640625" style="556" customWidth="1"/>
    <col min="1821" max="1821" width="9.6640625" style="556" customWidth="1"/>
    <col min="1822" max="1822" width="1.109375" style="556" customWidth="1"/>
    <col min="1823" max="1823" width="8.5546875" style="556" customWidth="1"/>
    <col min="1824" max="1824" width="14.5546875" style="556" customWidth="1"/>
    <col min="1825" max="1825" width="10" style="556" customWidth="1"/>
    <col min="1826" max="1826" width="7.77734375" style="556" bestFit="1" customWidth="1"/>
    <col min="1827" max="1827" width="9.88671875" style="556" customWidth="1"/>
    <col min="1828" max="2044" width="8.88671875" style="556"/>
    <col min="2045" max="2045" width="38.44140625" style="556" customWidth="1"/>
    <col min="2046" max="2046" width="8.5546875" style="556" customWidth="1"/>
    <col min="2047" max="2047" width="1.33203125" style="556" customWidth="1"/>
    <col min="2048" max="2048" width="8.88671875" style="556" customWidth="1"/>
    <col min="2049" max="2049" width="1.33203125" style="556" customWidth="1"/>
    <col min="2050" max="2050" width="9.33203125" style="556" customWidth="1"/>
    <col min="2051" max="2051" width="1.33203125" style="556" customWidth="1"/>
    <col min="2052" max="2052" width="10" style="556" customWidth="1"/>
    <col min="2053" max="2053" width="1.33203125" style="556" customWidth="1"/>
    <col min="2054" max="2054" width="9.109375" style="556" customWidth="1"/>
    <col min="2055" max="2055" width="1.33203125" style="556" customWidth="1"/>
    <col min="2056" max="2056" width="11.33203125" style="556" customWidth="1"/>
    <col min="2057" max="2057" width="1.33203125" style="556" customWidth="1"/>
    <col min="2058" max="2058" width="9.109375" style="556" customWidth="1"/>
    <col min="2059" max="2059" width="1.6640625" style="556" customWidth="1"/>
    <col min="2060" max="2060" width="11" style="556" customWidth="1"/>
    <col min="2061" max="2061" width="1.33203125" style="556" customWidth="1"/>
    <col min="2062" max="2062" width="10.77734375" style="556" customWidth="1"/>
    <col min="2063" max="2063" width="1.33203125" style="556" customWidth="1"/>
    <col min="2064" max="2064" width="10" style="556" customWidth="1"/>
    <col min="2065" max="2065" width="1.33203125" style="556" customWidth="1"/>
    <col min="2066" max="2066" width="9.33203125" style="556" customWidth="1"/>
    <col min="2067" max="2067" width="1.33203125" style="556" customWidth="1"/>
    <col min="2068" max="2068" width="7.77734375" style="556" customWidth="1"/>
    <col min="2069" max="2069" width="1.33203125" style="556" customWidth="1"/>
    <col min="2070" max="2070" width="0.77734375" style="556" customWidth="1"/>
    <col min="2071" max="2071" width="9.33203125" style="556" customWidth="1"/>
    <col min="2072" max="2072" width="1.33203125" style="556" customWidth="1"/>
    <col min="2073" max="2073" width="0.88671875" style="556" customWidth="1"/>
    <col min="2074" max="2074" width="9.5546875" style="556" bestFit="1" customWidth="1"/>
    <col min="2075" max="2076" width="0.6640625" style="556" customWidth="1"/>
    <col min="2077" max="2077" width="9.6640625" style="556" customWidth="1"/>
    <col min="2078" max="2078" width="1.109375" style="556" customWidth="1"/>
    <col min="2079" max="2079" width="8.5546875" style="556" customWidth="1"/>
    <col min="2080" max="2080" width="14.5546875" style="556" customWidth="1"/>
    <col min="2081" max="2081" width="10" style="556" customWidth="1"/>
    <col min="2082" max="2082" width="7.77734375" style="556" bestFit="1" customWidth="1"/>
    <col min="2083" max="2083" width="9.88671875" style="556" customWidth="1"/>
    <col min="2084" max="2300" width="8.88671875" style="556"/>
    <col min="2301" max="2301" width="38.44140625" style="556" customWidth="1"/>
    <col min="2302" max="2302" width="8.5546875" style="556" customWidth="1"/>
    <col min="2303" max="2303" width="1.33203125" style="556" customWidth="1"/>
    <col min="2304" max="2304" width="8.88671875" style="556" customWidth="1"/>
    <col min="2305" max="2305" width="1.33203125" style="556" customWidth="1"/>
    <col min="2306" max="2306" width="9.33203125" style="556" customWidth="1"/>
    <col min="2307" max="2307" width="1.33203125" style="556" customWidth="1"/>
    <col min="2308" max="2308" width="10" style="556" customWidth="1"/>
    <col min="2309" max="2309" width="1.33203125" style="556" customWidth="1"/>
    <col min="2310" max="2310" width="9.109375" style="556" customWidth="1"/>
    <col min="2311" max="2311" width="1.33203125" style="556" customWidth="1"/>
    <col min="2312" max="2312" width="11.33203125" style="556" customWidth="1"/>
    <col min="2313" max="2313" width="1.33203125" style="556" customWidth="1"/>
    <col min="2314" max="2314" width="9.109375" style="556" customWidth="1"/>
    <col min="2315" max="2315" width="1.6640625" style="556" customWidth="1"/>
    <col min="2316" max="2316" width="11" style="556" customWidth="1"/>
    <col min="2317" max="2317" width="1.33203125" style="556" customWidth="1"/>
    <col min="2318" max="2318" width="10.77734375" style="556" customWidth="1"/>
    <col min="2319" max="2319" width="1.33203125" style="556" customWidth="1"/>
    <col min="2320" max="2320" width="10" style="556" customWidth="1"/>
    <col min="2321" max="2321" width="1.33203125" style="556" customWidth="1"/>
    <col min="2322" max="2322" width="9.33203125" style="556" customWidth="1"/>
    <col min="2323" max="2323" width="1.33203125" style="556" customWidth="1"/>
    <col min="2324" max="2324" width="7.77734375" style="556" customWidth="1"/>
    <col min="2325" max="2325" width="1.33203125" style="556" customWidth="1"/>
    <col min="2326" max="2326" width="0.77734375" style="556" customWidth="1"/>
    <col min="2327" max="2327" width="9.33203125" style="556" customWidth="1"/>
    <col min="2328" max="2328" width="1.33203125" style="556" customWidth="1"/>
    <col min="2329" max="2329" width="0.88671875" style="556" customWidth="1"/>
    <col min="2330" max="2330" width="9.5546875" style="556" bestFit="1" customWidth="1"/>
    <col min="2331" max="2332" width="0.6640625" style="556" customWidth="1"/>
    <col min="2333" max="2333" width="9.6640625" style="556" customWidth="1"/>
    <col min="2334" max="2334" width="1.109375" style="556" customWidth="1"/>
    <col min="2335" max="2335" width="8.5546875" style="556" customWidth="1"/>
    <col min="2336" max="2336" width="14.5546875" style="556" customWidth="1"/>
    <col min="2337" max="2337" width="10" style="556" customWidth="1"/>
    <col min="2338" max="2338" width="7.77734375" style="556" bestFit="1" customWidth="1"/>
    <col min="2339" max="2339" width="9.88671875" style="556" customWidth="1"/>
    <col min="2340" max="2556" width="8.88671875" style="556"/>
    <col min="2557" max="2557" width="38.44140625" style="556" customWidth="1"/>
    <col min="2558" max="2558" width="8.5546875" style="556" customWidth="1"/>
    <col min="2559" max="2559" width="1.33203125" style="556" customWidth="1"/>
    <col min="2560" max="2560" width="8.88671875" style="556" customWidth="1"/>
    <col min="2561" max="2561" width="1.33203125" style="556" customWidth="1"/>
    <col min="2562" max="2562" width="9.33203125" style="556" customWidth="1"/>
    <col min="2563" max="2563" width="1.33203125" style="556" customWidth="1"/>
    <col min="2564" max="2564" width="10" style="556" customWidth="1"/>
    <col min="2565" max="2565" width="1.33203125" style="556" customWidth="1"/>
    <col min="2566" max="2566" width="9.109375" style="556" customWidth="1"/>
    <col min="2567" max="2567" width="1.33203125" style="556" customWidth="1"/>
    <col min="2568" max="2568" width="11.33203125" style="556" customWidth="1"/>
    <col min="2569" max="2569" width="1.33203125" style="556" customWidth="1"/>
    <col min="2570" max="2570" width="9.109375" style="556" customWidth="1"/>
    <col min="2571" max="2571" width="1.6640625" style="556" customWidth="1"/>
    <col min="2572" max="2572" width="11" style="556" customWidth="1"/>
    <col min="2573" max="2573" width="1.33203125" style="556" customWidth="1"/>
    <col min="2574" max="2574" width="10.77734375" style="556" customWidth="1"/>
    <col min="2575" max="2575" width="1.33203125" style="556" customWidth="1"/>
    <col min="2576" max="2576" width="10" style="556" customWidth="1"/>
    <col min="2577" max="2577" width="1.33203125" style="556" customWidth="1"/>
    <col min="2578" max="2578" width="9.33203125" style="556" customWidth="1"/>
    <col min="2579" max="2579" width="1.33203125" style="556" customWidth="1"/>
    <col min="2580" max="2580" width="7.77734375" style="556" customWidth="1"/>
    <col min="2581" max="2581" width="1.33203125" style="556" customWidth="1"/>
    <col min="2582" max="2582" width="0.77734375" style="556" customWidth="1"/>
    <col min="2583" max="2583" width="9.33203125" style="556" customWidth="1"/>
    <col min="2584" max="2584" width="1.33203125" style="556" customWidth="1"/>
    <col min="2585" max="2585" width="0.88671875" style="556" customWidth="1"/>
    <col min="2586" max="2586" width="9.5546875" style="556" bestFit="1" customWidth="1"/>
    <col min="2587" max="2588" width="0.6640625" style="556" customWidth="1"/>
    <col min="2589" max="2589" width="9.6640625" style="556" customWidth="1"/>
    <col min="2590" max="2590" width="1.109375" style="556" customWidth="1"/>
    <col min="2591" max="2591" width="8.5546875" style="556" customWidth="1"/>
    <col min="2592" max="2592" width="14.5546875" style="556" customWidth="1"/>
    <col min="2593" max="2593" width="10" style="556" customWidth="1"/>
    <col min="2594" max="2594" width="7.77734375" style="556" bestFit="1" customWidth="1"/>
    <col min="2595" max="2595" width="9.88671875" style="556" customWidth="1"/>
    <col min="2596" max="2812" width="8.88671875" style="556"/>
    <col min="2813" max="2813" width="38.44140625" style="556" customWidth="1"/>
    <col min="2814" max="2814" width="8.5546875" style="556" customWidth="1"/>
    <col min="2815" max="2815" width="1.33203125" style="556" customWidth="1"/>
    <col min="2816" max="2816" width="8.88671875" style="556" customWidth="1"/>
    <col min="2817" max="2817" width="1.33203125" style="556" customWidth="1"/>
    <col min="2818" max="2818" width="9.33203125" style="556" customWidth="1"/>
    <col min="2819" max="2819" width="1.33203125" style="556" customWidth="1"/>
    <col min="2820" max="2820" width="10" style="556" customWidth="1"/>
    <col min="2821" max="2821" width="1.33203125" style="556" customWidth="1"/>
    <col min="2822" max="2822" width="9.109375" style="556" customWidth="1"/>
    <col min="2823" max="2823" width="1.33203125" style="556" customWidth="1"/>
    <col min="2824" max="2824" width="11.33203125" style="556" customWidth="1"/>
    <col min="2825" max="2825" width="1.33203125" style="556" customWidth="1"/>
    <col min="2826" max="2826" width="9.109375" style="556" customWidth="1"/>
    <col min="2827" max="2827" width="1.6640625" style="556" customWidth="1"/>
    <col min="2828" max="2828" width="11" style="556" customWidth="1"/>
    <col min="2829" max="2829" width="1.33203125" style="556" customWidth="1"/>
    <col min="2830" max="2830" width="10.77734375" style="556" customWidth="1"/>
    <col min="2831" max="2831" width="1.33203125" style="556" customWidth="1"/>
    <col min="2832" max="2832" width="10" style="556" customWidth="1"/>
    <col min="2833" max="2833" width="1.33203125" style="556" customWidth="1"/>
    <col min="2834" max="2834" width="9.33203125" style="556" customWidth="1"/>
    <col min="2835" max="2835" width="1.33203125" style="556" customWidth="1"/>
    <col min="2836" max="2836" width="7.77734375" style="556" customWidth="1"/>
    <col min="2837" max="2837" width="1.33203125" style="556" customWidth="1"/>
    <col min="2838" max="2838" width="0.77734375" style="556" customWidth="1"/>
    <col min="2839" max="2839" width="9.33203125" style="556" customWidth="1"/>
    <col min="2840" max="2840" width="1.33203125" style="556" customWidth="1"/>
    <col min="2841" max="2841" width="0.88671875" style="556" customWidth="1"/>
    <col min="2842" max="2842" width="9.5546875" style="556" bestFit="1" customWidth="1"/>
    <col min="2843" max="2844" width="0.6640625" style="556" customWidth="1"/>
    <col min="2845" max="2845" width="9.6640625" style="556" customWidth="1"/>
    <col min="2846" max="2846" width="1.109375" style="556" customWidth="1"/>
    <col min="2847" max="2847" width="8.5546875" style="556" customWidth="1"/>
    <col min="2848" max="2848" width="14.5546875" style="556" customWidth="1"/>
    <col min="2849" max="2849" width="10" style="556" customWidth="1"/>
    <col min="2850" max="2850" width="7.77734375" style="556" bestFit="1" customWidth="1"/>
    <col min="2851" max="2851" width="9.88671875" style="556" customWidth="1"/>
    <col min="2852" max="3068" width="8.88671875" style="556"/>
    <col min="3069" max="3069" width="38.44140625" style="556" customWidth="1"/>
    <col min="3070" max="3070" width="8.5546875" style="556" customWidth="1"/>
    <col min="3071" max="3071" width="1.33203125" style="556" customWidth="1"/>
    <col min="3072" max="3072" width="8.88671875" style="556" customWidth="1"/>
    <col min="3073" max="3073" width="1.33203125" style="556" customWidth="1"/>
    <col min="3074" max="3074" width="9.33203125" style="556" customWidth="1"/>
    <col min="3075" max="3075" width="1.33203125" style="556" customWidth="1"/>
    <col min="3076" max="3076" width="10" style="556" customWidth="1"/>
    <col min="3077" max="3077" width="1.33203125" style="556" customWidth="1"/>
    <col min="3078" max="3078" width="9.109375" style="556" customWidth="1"/>
    <col min="3079" max="3079" width="1.33203125" style="556" customWidth="1"/>
    <col min="3080" max="3080" width="11.33203125" style="556" customWidth="1"/>
    <col min="3081" max="3081" width="1.33203125" style="556" customWidth="1"/>
    <col min="3082" max="3082" width="9.109375" style="556" customWidth="1"/>
    <col min="3083" max="3083" width="1.6640625" style="556" customWidth="1"/>
    <col min="3084" max="3084" width="11" style="556" customWidth="1"/>
    <col min="3085" max="3085" width="1.33203125" style="556" customWidth="1"/>
    <col min="3086" max="3086" width="10.77734375" style="556" customWidth="1"/>
    <col min="3087" max="3087" width="1.33203125" style="556" customWidth="1"/>
    <col min="3088" max="3088" width="10" style="556" customWidth="1"/>
    <col min="3089" max="3089" width="1.33203125" style="556" customWidth="1"/>
    <col min="3090" max="3090" width="9.33203125" style="556" customWidth="1"/>
    <col min="3091" max="3091" width="1.33203125" style="556" customWidth="1"/>
    <col min="3092" max="3092" width="7.77734375" style="556" customWidth="1"/>
    <col min="3093" max="3093" width="1.33203125" style="556" customWidth="1"/>
    <col min="3094" max="3094" width="0.77734375" style="556" customWidth="1"/>
    <col min="3095" max="3095" width="9.33203125" style="556" customWidth="1"/>
    <col min="3096" max="3096" width="1.33203125" style="556" customWidth="1"/>
    <col min="3097" max="3097" width="0.88671875" style="556" customWidth="1"/>
    <col min="3098" max="3098" width="9.5546875" style="556" bestFit="1" customWidth="1"/>
    <col min="3099" max="3100" width="0.6640625" style="556" customWidth="1"/>
    <col min="3101" max="3101" width="9.6640625" style="556" customWidth="1"/>
    <col min="3102" max="3102" width="1.109375" style="556" customWidth="1"/>
    <col min="3103" max="3103" width="8.5546875" style="556" customWidth="1"/>
    <col min="3104" max="3104" width="14.5546875" style="556" customWidth="1"/>
    <col min="3105" max="3105" width="10" style="556" customWidth="1"/>
    <col min="3106" max="3106" width="7.77734375" style="556" bestFit="1" customWidth="1"/>
    <col min="3107" max="3107" width="9.88671875" style="556" customWidth="1"/>
    <col min="3108" max="3324" width="8.88671875" style="556"/>
    <col min="3325" max="3325" width="38.44140625" style="556" customWidth="1"/>
    <col min="3326" max="3326" width="8.5546875" style="556" customWidth="1"/>
    <col min="3327" max="3327" width="1.33203125" style="556" customWidth="1"/>
    <col min="3328" max="3328" width="8.88671875" style="556" customWidth="1"/>
    <col min="3329" max="3329" width="1.33203125" style="556" customWidth="1"/>
    <col min="3330" max="3330" width="9.33203125" style="556" customWidth="1"/>
    <col min="3331" max="3331" width="1.33203125" style="556" customWidth="1"/>
    <col min="3332" max="3332" width="10" style="556" customWidth="1"/>
    <col min="3333" max="3333" width="1.33203125" style="556" customWidth="1"/>
    <col min="3334" max="3334" width="9.109375" style="556" customWidth="1"/>
    <col min="3335" max="3335" width="1.33203125" style="556" customWidth="1"/>
    <col min="3336" max="3336" width="11.33203125" style="556" customWidth="1"/>
    <col min="3337" max="3337" width="1.33203125" style="556" customWidth="1"/>
    <col min="3338" max="3338" width="9.109375" style="556" customWidth="1"/>
    <col min="3339" max="3339" width="1.6640625" style="556" customWidth="1"/>
    <col min="3340" max="3340" width="11" style="556" customWidth="1"/>
    <col min="3341" max="3341" width="1.33203125" style="556" customWidth="1"/>
    <col min="3342" max="3342" width="10.77734375" style="556" customWidth="1"/>
    <col min="3343" max="3343" width="1.33203125" style="556" customWidth="1"/>
    <col min="3344" max="3344" width="10" style="556" customWidth="1"/>
    <col min="3345" max="3345" width="1.33203125" style="556" customWidth="1"/>
    <col min="3346" max="3346" width="9.33203125" style="556" customWidth="1"/>
    <col min="3347" max="3347" width="1.33203125" style="556" customWidth="1"/>
    <col min="3348" max="3348" width="7.77734375" style="556" customWidth="1"/>
    <col min="3349" max="3349" width="1.33203125" style="556" customWidth="1"/>
    <col min="3350" max="3350" width="0.77734375" style="556" customWidth="1"/>
    <col min="3351" max="3351" width="9.33203125" style="556" customWidth="1"/>
    <col min="3352" max="3352" width="1.33203125" style="556" customWidth="1"/>
    <col min="3353" max="3353" width="0.88671875" style="556" customWidth="1"/>
    <col min="3354" max="3354" width="9.5546875" style="556" bestFit="1" customWidth="1"/>
    <col min="3355" max="3356" width="0.6640625" style="556" customWidth="1"/>
    <col min="3357" max="3357" width="9.6640625" style="556" customWidth="1"/>
    <col min="3358" max="3358" width="1.109375" style="556" customWidth="1"/>
    <col min="3359" max="3359" width="8.5546875" style="556" customWidth="1"/>
    <col min="3360" max="3360" width="14.5546875" style="556" customWidth="1"/>
    <col min="3361" max="3361" width="10" style="556" customWidth="1"/>
    <col min="3362" max="3362" width="7.77734375" style="556" bestFit="1" customWidth="1"/>
    <col min="3363" max="3363" width="9.88671875" style="556" customWidth="1"/>
    <col min="3364" max="3580" width="8.88671875" style="556"/>
    <col min="3581" max="3581" width="38.44140625" style="556" customWidth="1"/>
    <col min="3582" max="3582" width="8.5546875" style="556" customWidth="1"/>
    <col min="3583" max="3583" width="1.33203125" style="556" customWidth="1"/>
    <col min="3584" max="3584" width="8.88671875" style="556" customWidth="1"/>
    <col min="3585" max="3585" width="1.33203125" style="556" customWidth="1"/>
    <col min="3586" max="3586" width="9.33203125" style="556" customWidth="1"/>
    <col min="3587" max="3587" width="1.33203125" style="556" customWidth="1"/>
    <col min="3588" max="3588" width="10" style="556" customWidth="1"/>
    <col min="3589" max="3589" width="1.33203125" style="556" customWidth="1"/>
    <col min="3590" max="3590" width="9.109375" style="556" customWidth="1"/>
    <col min="3591" max="3591" width="1.33203125" style="556" customWidth="1"/>
    <col min="3592" max="3592" width="11.33203125" style="556" customWidth="1"/>
    <col min="3593" max="3593" width="1.33203125" style="556" customWidth="1"/>
    <col min="3594" max="3594" width="9.109375" style="556" customWidth="1"/>
    <col min="3595" max="3595" width="1.6640625" style="556" customWidth="1"/>
    <col min="3596" max="3596" width="11" style="556" customWidth="1"/>
    <col min="3597" max="3597" width="1.33203125" style="556" customWidth="1"/>
    <col min="3598" max="3598" width="10.77734375" style="556" customWidth="1"/>
    <col min="3599" max="3599" width="1.33203125" style="556" customWidth="1"/>
    <col min="3600" max="3600" width="10" style="556" customWidth="1"/>
    <col min="3601" max="3601" width="1.33203125" style="556" customWidth="1"/>
    <col min="3602" max="3602" width="9.33203125" style="556" customWidth="1"/>
    <col min="3603" max="3603" width="1.33203125" style="556" customWidth="1"/>
    <col min="3604" max="3604" width="7.77734375" style="556" customWidth="1"/>
    <col min="3605" max="3605" width="1.33203125" style="556" customWidth="1"/>
    <col min="3606" max="3606" width="0.77734375" style="556" customWidth="1"/>
    <col min="3607" max="3607" width="9.33203125" style="556" customWidth="1"/>
    <col min="3608" max="3608" width="1.33203125" style="556" customWidth="1"/>
    <col min="3609" max="3609" width="0.88671875" style="556" customWidth="1"/>
    <col min="3610" max="3610" width="9.5546875" style="556" bestFit="1" customWidth="1"/>
    <col min="3611" max="3612" width="0.6640625" style="556" customWidth="1"/>
    <col min="3613" max="3613" width="9.6640625" style="556" customWidth="1"/>
    <col min="3614" max="3614" width="1.109375" style="556" customWidth="1"/>
    <col min="3615" max="3615" width="8.5546875" style="556" customWidth="1"/>
    <col min="3616" max="3616" width="14.5546875" style="556" customWidth="1"/>
    <col min="3617" max="3617" width="10" style="556" customWidth="1"/>
    <col min="3618" max="3618" width="7.77734375" style="556" bestFit="1" customWidth="1"/>
    <col min="3619" max="3619" width="9.88671875" style="556" customWidth="1"/>
    <col min="3620" max="3836" width="8.88671875" style="556"/>
    <col min="3837" max="3837" width="38.44140625" style="556" customWidth="1"/>
    <col min="3838" max="3838" width="8.5546875" style="556" customWidth="1"/>
    <col min="3839" max="3839" width="1.33203125" style="556" customWidth="1"/>
    <col min="3840" max="3840" width="8.88671875" style="556" customWidth="1"/>
    <col min="3841" max="3841" width="1.33203125" style="556" customWidth="1"/>
    <col min="3842" max="3842" width="9.33203125" style="556" customWidth="1"/>
    <col min="3843" max="3843" width="1.33203125" style="556" customWidth="1"/>
    <col min="3844" max="3844" width="10" style="556" customWidth="1"/>
    <col min="3845" max="3845" width="1.33203125" style="556" customWidth="1"/>
    <col min="3846" max="3846" width="9.109375" style="556" customWidth="1"/>
    <col min="3847" max="3847" width="1.33203125" style="556" customWidth="1"/>
    <col min="3848" max="3848" width="11.33203125" style="556" customWidth="1"/>
    <col min="3849" max="3849" width="1.33203125" style="556" customWidth="1"/>
    <col min="3850" max="3850" width="9.109375" style="556" customWidth="1"/>
    <col min="3851" max="3851" width="1.6640625" style="556" customWidth="1"/>
    <col min="3852" max="3852" width="11" style="556" customWidth="1"/>
    <col min="3853" max="3853" width="1.33203125" style="556" customWidth="1"/>
    <col min="3854" max="3854" width="10.77734375" style="556" customWidth="1"/>
    <col min="3855" max="3855" width="1.33203125" style="556" customWidth="1"/>
    <col min="3856" max="3856" width="10" style="556" customWidth="1"/>
    <col min="3857" max="3857" width="1.33203125" style="556" customWidth="1"/>
    <col min="3858" max="3858" width="9.33203125" style="556" customWidth="1"/>
    <col min="3859" max="3859" width="1.33203125" style="556" customWidth="1"/>
    <col min="3860" max="3860" width="7.77734375" style="556" customWidth="1"/>
    <col min="3861" max="3861" width="1.33203125" style="556" customWidth="1"/>
    <col min="3862" max="3862" width="0.77734375" style="556" customWidth="1"/>
    <col min="3863" max="3863" width="9.33203125" style="556" customWidth="1"/>
    <col min="3864" max="3864" width="1.33203125" style="556" customWidth="1"/>
    <col min="3865" max="3865" width="0.88671875" style="556" customWidth="1"/>
    <col min="3866" max="3866" width="9.5546875" style="556" bestFit="1" customWidth="1"/>
    <col min="3867" max="3868" width="0.6640625" style="556" customWidth="1"/>
    <col min="3869" max="3869" width="9.6640625" style="556" customWidth="1"/>
    <col min="3870" max="3870" width="1.109375" style="556" customWidth="1"/>
    <col min="3871" max="3871" width="8.5546875" style="556" customWidth="1"/>
    <col min="3872" max="3872" width="14.5546875" style="556" customWidth="1"/>
    <col min="3873" max="3873" width="10" style="556" customWidth="1"/>
    <col min="3874" max="3874" width="7.77734375" style="556" bestFit="1" customWidth="1"/>
    <col min="3875" max="3875" width="9.88671875" style="556" customWidth="1"/>
    <col min="3876" max="4092" width="8.88671875" style="556"/>
    <col min="4093" max="4093" width="38.44140625" style="556" customWidth="1"/>
    <col min="4094" max="4094" width="8.5546875" style="556" customWidth="1"/>
    <col min="4095" max="4095" width="1.33203125" style="556" customWidth="1"/>
    <col min="4096" max="4096" width="8.88671875" style="556" customWidth="1"/>
    <col min="4097" max="4097" width="1.33203125" style="556" customWidth="1"/>
    <col min="4098" max="4098" width="9.33203125" style="556" customWidth="1"/>
    <col min="4099" max="4099" width="1.33203125" style="556" customWidth="1"/>
    <col min="4100" max="4100" width="10" style="556" customWidth="1"/>
    <col min="4101" max="4101" width="1.33203125" style="556" customWidth="1"/>
    <col min="4102" max="4102" width="9.109375" style="556" customWidth="1"/>
    <col min="4103" max="4103" width="1.33203125" style="556" customWidth="1"/>
    <col min="4104" max="4104" width="11.33203125" style="556" customWidth="1"/>
    <col min="4105" max="4105" width="1.33203125" style="556" customWidth="1"/>
    <col min="4106" max="4106" width="9.109375" style="556" customWidth="1"/>
    <col min="4107" max="4107" width="1.6640625" style="556" customWidth="1"/>
    <col min="4108" max="4108" width="11" style="556" customWidth="1"/>
    <col min="4109" max="4109" width="1.33203125" style="556" customWidth="1"/>
    <col min="4110" max="4110" width="10.77734375" style="556" customWidth="1"/>
    <col min="4111" max="4111" width="1.33203125" style="556" customWidth="1"/>
    <col min="4112" max="4112" width="10" style="556" customWidth="1"/>
    <col min="4113" max="4113" width="1.33203125" style="556" customWidth="1"/>
    <col min="4114" max="4114" width="9.33203125" style="556" customWidth="1"/>
    <col min="4115" max="4115" width="1.33203125" style="556" customWidth="1"/>
    <col min="4116" max="4116" width="7.77734375" style="556" customWidth="1"/>
    <col min="4117" max="4117" width="1.33203125" style="556" customWidth="1"/>
    <col min="4118" max="4118" width="0.77734375" style="556" customWidth="1"/>
    <col min="4119" max="4119" width="9.33203125" style="556" customWidth="1"/>
    <col min="4120" max="4120" width="1.33203125" style="556" customWidth="1"/>
    <col min="4121" max="4121" width="0.88671875" style="556" customWidth="1"/>
    <col min="4122" max="4122" width="9.5546875" style="556" bestFit="1" customWidth="1"/>
    <col min="4123" max="4124" width="0.6640625" style="556" customWidth="1"/>
    <col min="4125" max="4125" width="9.6640625" style="556" customWidth="1"/>
    <col min="4126" max="4126" width="1.109375" style="556" customWidth="1"/>
    <col min="4127" max="4127" width="8.5546875" style="556" customWidth="1"/>
    <col min="4128" max="4128" width="14.5546875" style="556" customWidth="1"/>
    <col min="4129" max="4129" width="10" style="556" customWidth="1"/>
    <col min="4130" max="4130" width="7.77734375" style="556" bestFit="1" customWidth="1"/>
    <col min="4131" max="4131" width="9.88671875" style="556" customWidth="1"/>
    <col min="4132" max="4348" width="8.88671875" style="556"/>
    <col min="4349" max="4349" width="38.44140625" style="556" customWidth="1"/>
    <col min="4350" max="4350" width="8.5546875" style="556" customWidth="1"/>
    <col min="4351" max="4351" width="1.33203125" style="556" customWidth="1"/>
    <col min="4352" max="4352" width="8.88671875" style="556" customWidth="1"/>
    <col min="4353" max="4353" width="1.33203125" style="556" customWidth="1"/>
    <col min="4354" max="4354" width="9.33203125" style="556" customWidth="1"/>
    <col min="4355" max="4355" width="1.33203125" style="556" customWidth="1"/>
    <col min="4356" max="4356" width="10" style="556" customWidth="1"/>
    <col min="4357" max="4357" width="1.33203125" style="556" customWidth="1"/>
    <col min="4358" max="4358" width="9.109375" style="556" customWidth="1"/>
    <col min="4359" max="4359" width="1.33203125" style="556" customWidth="1"/>
    <col min="4360" max="4360" width="11.33203125" style="556" customWidth="1"/>
    <col min="4361" max="4361" width="1.33203125" style="556" customWidth="1"/>
    <col min="4362" max="4362" width="9.109375" style="556" customWidth="1"/>
    <col min="4363" max="4363" width="1.6640625" style="556" customWidth="1"/>
    <col min="4364" max="4364" width="11" style="556" customWidth="1"/>
    <col min="4365" max="4365" width="1.33203125" style="556" customWidth="1"/>
    <col min="4366" max="4366" width="10.77734375" style="556" customWidth="1"/>
    <col min="4367" max="4367" width="1.33203125" style="556" customWidth="1"/>
    <col min="4368" max="4368" width="10" style="556" customWidth="1"/>
    <col min="4369" max="4369" width="1.33203125" style="556" customWidth="1"/>
    <col min="4370" max="4370" width="9.33203125" style="556" customWidth="1"/>
    <col min="4371" max="4371" width="1.33203125" style="556" customWidth="1"/>
    <col min="4372" max="4372" width="7.77734375" style="556" customWidth="1"/>
    <col min="4373" max="4373" width="1.33203125" style="556" customWidth="1"/>
    <col min="4374" max="4374" width="0.77734375" style="556" customWidth="1"/>
    <col min="4375" max="4375" width="9.33203125" style="556" customWidth="1"/>
    <col min="4376" max="4376" width="1.33203125" style="556" customWidth="1"/>
    <col min="4377" max="4377" width="0.88671875" style="556" customWidth="1"/>
    <col min="4378" max="4378" width="9.5546875" style="556" bestFit="1" customWidth="1"/>
    <col min="4379" max="4380" width="0.6640625" style="556" customWidth="1"/>
    <col min="4381" max="4381" width="9.6640625" style="556" customWidth="1"/>
    <col min="4382" max="4382" width="1.109375" style="556" customWidth="1"/>
    <col min="4383" max="4383" width="8.5546875" style="556" customWidth="1"/>
    <col min="4384" max="4384" width="14.5546875" style="556" customWidth="1"/>
    <col min="4385" max="4385" width="10" style="556" customWidth="1"/>
    <col min="4386" max="4386" width="7.77734375" style="556" bestFit="1" customWidth="1"/>
    <col min="4387" max="4387" width="9.88671875" style="556" customWidth="1"/>
    <col min="4388" max="4604" width="8.88671875" style="556"/>
    <col min="4605" max="4605" width="38.44140625" style="556" customWidth="1"/>
    <col min="4606" max="4606" width="8.5546875" style="556" customWidth="1"/>
    <col min="4607" max="4607" width="1.33203125" style="556" customWidth="1"/>
    <col min="4608" max="4608" width="8.88671875" style="556" customWidth="1"/>
    <col min="4609" max="4609" width="1.33203125" style="556" customWidth="1"/>
    <col min="4610" max="4610" width="9.33203125" style="556" customWidth="1"/>
    <col min="4611" max="4611" width="1.33203125" style="556" customWidth="1"/>
    <col min="4612" max="4612" width="10" style="556" customWidth="1"/>
    <col min="4613" max="4613" width="1.33203125" style="556" customWidth="1"/>
    <col min="4614" max="4614" width="9.109375" style="556" customWidth="1"/>
    <col min="4615" max="4615" width="1.33203125" style="556" customWidth="1"/>
    <col min="4616" max="4616" width="11.33203125" style="556" customWidth="1"/>
    <col min="4617" max="4617" width="1.33203125" style="556" customWidth="1"/>
    <col min="4618" max="4618" width="9.109375" style="556" customWidth="1"/>
    <col min="4619" max="4619" width="1.6640625" style="556" customWidth="1"/>
    <col min="4620" max="4620" width="11" style="556" customWidth="1"/>
    <col min="4621" max="4621" width="1.33203125" style="556" customWidth="1"/>
    <col min="4622" max="4622" width="10.77734375" style="556" customWidth="1"/>
    <col min="4623" max="4623" width="1.33203125" style="556" customWidth="1"/>
    <col min="4624" max="4624" width="10" style="556" customWidth="1"/>
    <col min="4625" max="4625" width="1.33203125" style="556" customWidth="1"/>
    <col min="4626" max="4626" width="9.33203125" style="556" customWidth="1"/>
    <col min="4627" max="4627" width="1.33203125" style="556" customWidth="1"/>
    <col min="4628" max="4628" width="7.77734375" style="556" customWidth="1"/>
    <col min="4629" max="4629" width="1.33203125" style="556" customWidth="1"/>
    <col min="4630" max="4630" width="0.77734375" style="556" customWidth="1"/>
    <col min="4631" max="4631" width="9.33203125" style="556" customWidth="1"/>
    <col min="4632" max="4632" width="1.33203125" style="556" customWidth="1"/>
    <col min="4633" max="4633" width="0.88671875" style="556" customWidth="1"/>
    <col min="4634" max="4634" width="9.5546875" style="556" bestFit="1" customWidth="1"/>
    <col min="4635" max="4636" width="0.6640625" style="556" customWidth="1"/>
    <col min="4637" max="4637" width="9.6640625" style="556" customWidth="1"/>
    <col min="4638" max="4638" width="1.109375" style="556" customWidth="1"/>
    <col min="4639" max="4639" width="8.5546875" style="556" customWidth="1"/>
    <col min="4640" max="4640" width="14.5546875" style="556" customWidth="1"/>
    <col min="4641" max="4641" width="10" style="556" customWidth="1"/>
    <col min="4642" max="4642" width="7.77734375" style="556" bestFit="1" customWidth="1"/>
    <col min="4643" max="4643" width="9.88671875" style="556" customWidth="1"/>
    <col min="4644" max="4860" width="8.88671875" style="556"/>
    <col min="4861" max="4861" width="38.44140625" style="556" customWidth="1"/>
    <col min="4862" max="4862" width="8.5546875" style="556" customWidth="1"/>
    <col min="4863" max="4863" width="1.33203125" style="556" customWidth="1"/>
    <col min="4864" max="4864" width="8.88671875" style="556" customWidth="1"/>
    <col min="4865" max="4865" width="1.33203125" style="556" customWidth="1"/>
    <col min="4866" max="4866" width="9.33203125" style="556" customWidth="1"/>
    <col min="4867" max="4867" width="1.33203125" style="556" customWidth="1"/>
    <col min="4868" max="4868" width="10" style="556" customWidth="1"/>
    <col min="4869" max="4869" width="1.33203125" style="556" customWidth="1"/>
    <col min="4870" max="4870" width="9.109375" style="556" customWidth="1"/>
    <col min="4871" max="4871" width="1.33203125" style="556" customWidth="1"/>
    <col min="4872" max="4872" width="11.33203125" style="556" customWidth="1"/>
    <col min="4873" max="4873" width="1.33203125" style="556" customWidth="1"/>
    <col min="4874" max="4874" width="9.109375" style="556" customWidth="1"/>
    <col min="4875" max="4875" width="1.6640625" style="556" customWidth="1"/>
    <col min="4876" max="4876" width="11" style="556" customWidth="1"/>
    <col min="4877" max="4877" width="1.33203125" style="556" customWidth="1"/>
    <col min="4878" max="4878" width="10.77734375" style="556" customWidth="1"/>
    <col min="4879" max="4879" width="1.33203125" style="556" customWidth="1"/>
    <col min="4880" max="4880" width="10" style="556" customWidth="1"/>
    <col min="4881" max="4881" width="1.33203125" style="556" customWidth="1"/>
    <col min="4882" max="4882" width="9.33203125" style="556" customWidth="1"/>
    <col min="4883" max="4883" width="1.33203125" style="556" customWidth="1"/>
    <col min="4884" max="4884" width="7.77734375" style="556" customWidth="1"/>
    <col min="4885" max="4885" width="1.33203125" style="556" customWidth="1"/>
    <col min="4886" max="4886" width="0.77734375" style="556" customWidth="1"/>
    <col min="4887" max="4887" width="9.33203125" style="556" customWidth="1"/>
    <col min="4888" max="4888" width="1.33203125" style="556" customWidth="1"/>
    <col min="4889" max="4889" width="0.88671875" style="556" customWidth="1"/>
    <col min="4890" max="4890" width="9.5546875" style="556" bestFit="1" customWidth="1"/>
    <col min="4891" max="4892" width="0.6640625" style="556" customWidth="1"/>
    <col min="4893" max="4893" width="9.6640625" style="556" customWidth="1"/>
    <col min="4894" max="4894" width="1.109375" style="556" customWidth="1"/>
    <col min="4895" max="4895" width="8.5546875" style="556" customWidth="1"/>
    <col min="4896" max="4896" width="14.5546875" style="556" customWidth="1"/>
    <col min="4897" max="4897" width="10" style="556" customWidth="1"/>
    <col min="4898" max="4898" width="7.77734375" style="556" bestFit="1" customWidth="1"/>
    <col min="4899" max="4899" width="9.88671875" style="556" customWidth="1"/>
    <col min="4900" max="5116" width="8.88671875" style="556"/>
    <col min="5117" max="5117" width="38.44140625" style="556" customWidth="1"/>
    <col min="5118" max="5118" width="8.5546875" style="556" customWidth="1"/>
    <col min="5119" max="5119" width="1.33203125" style="556" customWidth="1"/>
    <col min="5120" max="5120" width="8.88671875" style="556" customWidth="1"/>
    <col min="5121" max="5121" width="1.33203125" style="556" customWidth="1"/>
    <col min="5122" max="5122" width="9.33203125" style="556" customWidth="1"/>
    <col min="5123" max="5123" width="1.33203125" style="556" customWidth="1"/>
    <col min="5124" max="5124" width="10" style="556" customWidth="1"/>
    <col min="5125" max="5125" width="1.33203125" style="556" customWidth="1"/>
    <col min="5126" max="5126" width="9.109375" style="556" customWidth="1"/>
    <col min="5127" max="5127" width="1.33203125" style="556" customWidth="1"/>
    <col min="5128" max="5128" width="11.33203125" style="556" customWidth="1"/>
    <col min="5129" max="5129" width="1.33203125" style="556" customWidth="1"/>
    <col min="5130" max="5130" width="9.109375" style="556" customWidth="1"/>
    <col min="5131" max="5131" width="1.6640625" style="556" customWidth="1"/>
    <col min="5132" max="5132" width="11" style="556" customWidth="1"/>
    <col min="5133" max="5133" width="1.33203125" style="556" customWidth="1"/>
    <col min="5134" max="5134" width="10.77734375" style="556" customWidth="1"/>
    <col min="5135" max="5135" width="1.33203125" style="556" customWidth="1"/>
    <col min="5136" max="5136" width="10" style="556" customWidth="1"/>
    <col min="5137" max="5137" width="1.33203125" style="556" customWidth="1"/>
    <col min="5138" max="5138" width="9.33203125" style="556" customWidth="1"/>
    <col min="5139" max="5139" width="1.33203125" style="556" customWidth="1"/>
    <col min="5140" max="5140" width="7.77734375" style="556" customWidth="1"/>
    <col min="5141" max="5141" width="1.33203125" style="556" customWidth="1"/>
    <col min="5142" max="5142" width="0.77734375" style="556" customWidth="1"/>
    <col min="5143" max="5143" width="9.33203125" style="556" customWidth="1"/>
    <col min="5144" max="5144" width="1.33203125" style="556" customWidth="1"/>
    <col min="5145" max="5145" width="0.88671875" style="556" customWidth="1"/>
    <col min="5146" max="5146" width="9.5546875" style="556" bestFit="1" customWidth="1"/>
    <col min="5147" max="5148" width="0.6640625" style="556" customWidth="1"/>
    <col min="5149" max="5149" width="9.6640625" style="556" customWidth="1"/>
    <col min="5150" max="5150" width="1.109375" style="556" customWidth="1"/>
    <col min="5151" max="5151" width="8.5546875" style="556" customWidth="1"/>
    <col min="5152" max="5152" width="14.5546875" style="556" customWidth="1"/>
    <col min="5153" max="5153" width="10" style="556" customWidth="1"/>
    <col min="5154" max="5154" width="7.77734375" style="556" bestFit="1" customWidth="1"/>
    <col min="5155" max="5155" width="9.88671875" style="556" customWidth="1"/>
    <col min="5156" max="5372" width="8.88671875" style="556"/>
    <col min="5373" max="5373" width="38.44140625" style="556" customWidth="1"/>
    <col min="5374" max="5374" width="8.5546875" style="556" customWidth="1"/>
    <col min="5375" max="5375" width="1.33203125" style="556" customWidth="1"/>
    <col min="5376" max="5376" width="8.88671875" style="556" customWidth="1"/>
    <col min="5377" max="5377" width="1.33203125" style="556" customWidth="1"/>
    <col min="5378" max="5378" width="9.33203125" style="556" customWidth="1"/>
    <col min="5379" max="5379" width="1.33203125" style="556" customWidth="1"/>
    <col min="5380" max="5380" width="10" style="556" customWidth="1"/>
    <col min="5381" max="5381" width="1.33203125" style="556" customWidth="1"/>
    <col min="5382" max="5382" width="9.109375" style="556" customWidth="1"/>
    <col min="5383" max="5383" width="1.33203125" style="556" customWidth="1"/>
    <col min="5384" max="5384" width="11.33203125" style="556" customWidth="1"/>
    <col min="5385" max="5385" width="1.33203125" style="556" customWidth="1"/>
    <col min="5386" max="5386" width="9.109375" style="556" customWidth="1"/>
    <col min="5387" max="5387" width="1.6640625" style="556" customWidth="1"/>
    <col min="5388" max="5388" width="11" style="556" customWidth="1"/>
    <col min="5389" max="5389" width="1.33203125" style="556" customWidth="1"/>
    <col min="5390" max="5390" width="10.77734375" style="556" customWidth="1"/>
    <col min="5391" max="5391" width="1.33203125" style="556" customWidth="1"/>
    <col min="5392" max="5392" width="10" style="556" customWidth="1"/>
    <col min="5393" max="5393" width="1.33203125" style="556" customWidth="1"/>
    <col min="5394" max="5394" width="9.33203125" style="556" customWidth="1"/>
    <col min="5395" max="5395" width="1.33203125" style="556" customWidth="1"/>
    <col min="5396" max="5396" width="7.77734375" style="556" customWidth="1"/>
    <col min="5397" max="5397" width="1.33203125" style="556" customWidth="1"/>
    <col min="5398" max="5398" width="0.77734375" style="556" customWidth="1"/>
    <col min="5399" max="5399" width="9.33203125" style="556" customWidth="1"/>
    <col min="5400" max="5400" width="1.33203125" style="556" customWidth="1"/>
    <col min="5401" max="5401" width="0.88671875" style="556" customWidth="1"/>
    <col min="5402" max="5402" width="9.5546875" style="556" bestFit="1" customWidth="1"/>
    <col min="5403" max="5404" width="0.6640625" style="556" customWidth="1"/>
    <col min="5405" max="5405" width="9.6640625" style="556" customWidth="1"/>
    <col min="5406" max="5406" width="1.109375" style="556" customWidth="1"/>
    <col min="5407" max="5407" width="8.5546875" style="556" customWidth="1"/>
    <col min="5408" max="5408" width="14.5546875" style="556" customWidth="1"/>
    <col min="5409" max="5409" width="10" style="556" customWidth="1"/>
    <col min="5410" max="5410" width="7.77734375" style="556" bestFit="1" customWidth="1"/>
    <col min="5411" max="5411" width="9.88671875" style="556" customWidth="1"/>
    <col min="5412" max="5628" width="8.88671875" style="556"/>
    <col min="5629" max="5629" width="38.44140625" style="556" customWidth="1"/>
    <col min="5630" max="5630" width="8.5546875" style="556" customWidth="1"/>
    <col min="5631" max="5631" width="1.33203125" style="556" customWidth="1"/>
    <col min="5632" max="5632" width="8.88671875" style="556" customWidth="1"/>
    <col min="5633" max="5633" width="1.33203125" style="556" customWidth="1"/>
    <col min="5634" max="5634" width="9.33203125" style="556" customWidth="1"/>
    <col min="5635" max="5635" width="1.33203125" style="556" customWidth="1"/>
    <col min="5636" max="5636" width="10" style="556" customWidth="1"/>
    <col min="5637" max="5637" width="1.33203125" style="556" customWidth="1"/>
    <col min="5638" max="5638" width="9.109375" style="556" customWidth="1"/>
    <col min="5639" max="5639" width="1.33203125" style="556" customWidth="1"/>
    <col min="5640" max="5640" width="11.33203125" style="556" customWidth="1"/>
    <col min="5641" max="5641" width="1.33203125" style="556" customWidth="1"/>
    <col min="5642" max="5642" width="9.109375" style="556" customWidth="1"/>
    <col min="5643" max="5643" width="1.6640625" style="556" customWidth="1"/>
    <col min="5644" max="5644" width="11" style="556" customWidth="1"/>
    <col min="5645" max="5645" width="1.33203125" style="556" customWidth="1"/>
    <col min="5646" max="5646" width="10.77734375" style="556" customWidth="1"/>
    <col min="5647" max="5647" width="1.33203125" style="556" customWidth="1"/>
    <col min="5648" max="5648" width="10" style="556" customWidth="1"/>
    <col min="5649" max="5649" width="1.33203125" style="556" customWidth="1"/>
    <col min="5650" max="5650" width="9.33203125" style="556" customWidth="1"/>
    <col min="5651" max="5651" width="1.33203125" style="556" customWidth="1"/>
    <col min="5652" max="5652" width="7.77734375" style="556" customWidth="1"/>
    <col min="5653" max="5653" width="1.33203125" style="556" customWidth="1"/>
    <col min="5654" max="5654" width="0.77734375" style="556" customWidth="1"/>
    <col min="5655" max="5655" width="9.33203125" style="556" customWidth="1"/>
    <col min="5656" max="5656" width="1.33203125" style="556" customWidth="1"/>
    <col min="5657" max="5657" width="0.88671875" style="556" customWidth="1"/>
    <col min="5658" max="5658" width="9.5546875" style="556" bestFit="1" customWidth="1"/>
    <col min="5659" max="5660" width="0.6640625" style="556" customWidth="1"/>
    <col min="5661" max="5661" width="9.6640625" style="556" customWidth="1"/>
    <col min="5662" max="5662" width="1.109375" style="556" customWidth="1"/>
    <col min="5663" max="5663" width="8.5546875" style="556" customWidth="1"/>
    <col min="5664" max="5664" width="14.5546875" style="556" customWidth="1"/>
    <col min="5665" max="5665" width="10" style="556" customWidth="1"/>
    <col min="5666" max="5666" width="7.77734375" style="556" bestFit="1" customWidth="1"/>
    <col min="5667" max="5667" width="9.88671875" style="556" customWidth="1"/>
    <col min="5668" max="5884" width="8.88671875" style="556"/>
    <col min="5885" max="5885" width="38.44140625" style="556" customWidth="1"/>
    <col min="5886" max="5886" width="8.5546875" style="556" customWidth="1"/>
    <col min="5887" max="5887" width="1.33203125" style="556" customWidth="1"/>
    <col min="5888" max="5888" width="8.88671875" style="556" customWidth="1"/>
    <col min="5889" max="5889" width="1.33203125" style="556" customWidth="1"/>
    <col min="5890" max="5890" width="9.33203125" style="556" customWidth="1"/>
    <col min="5891" max="5891" width="1.33203125" style="556" customWidth="1"/>
    <col min="5892" max="5892" width="10" style="556" customWidth="1"/>
    <col min="5893" max="5893" width="1.33203125" style="556" customWidth="1"/>
    <col min="5894" max="5894" width="9.109375" style="556" customWidth="1"/>
    <col min="5895" max="5895" width="1.33203125" style="556" customWidth="1"/>
    <col min="5896" max="5896" width="11.33203125" style="556" customWidth="1"/>
    <col min="5897" max="5897" width="1.33203125" style="556" customWidth="1"/>
    <col min="5898" max="5898" width="9.109375" style="556" customWidth="1"/>
    <col min="5899" max="5899" width="1.6640625" style="556" customWidth="1"/>
    <col min="5900" max="5900" width="11" style="556" customWidth="1"/>
    <col min="5901" max="5901" width="1.33203125" style="556" customWidth="1"/>
    <col min="5902" max="5902" width="10.77734375" style="556" customWidth="1"/>
    <col min="5903" max="5903" width="1.33203125" style="556" customWidth="1"/>
    <col min="5904" max="5904" width="10" style="556" customWidth="1"/>
    <col min="5905" max="5905" width="1.33203125" style="556" customWidth="1"/>
    <col min="5906" max="5906" width="9.33203125" style="556" customWidth="1"/>
    <col min="5907" max="5907" width="1.33203125" style="556" customWidth="1"/>
    <col min="5908" max="5908" width="7.77734375" style="556" customWidth="1"/>
    <col min="5909" max="5909" width="1.33203125" style="556" customWidth="1"/>
    <col min="5910" max="5910" width="0.77734375" style="556" customWidth="1"/>
    <col min="5911" max="5911" width="9.33203125" style="556" customWidth="1"/>
    <col min="5912" max="5912" width="1.33203125" style="556" customWidth="1"/>
    <col min="5913" max="5913" width="0.88671875" style="556" customWidth="1"/>
    <col min="5914" max="5914" width="9.5546875" style="556" bestFit="1" customWidth="1"/>
    <col min="5915" max="5916" width="0.6640625" style="556" customWidth="1"/>
    <col min="5917" max="5917" width="9.6640625" style="556" customWidth="1"/>
    <col min="5918" max="5918" width="1.109375" style="556" customWidth="1"/>
    <col min="5919" max="5919" width="8.5546875" style="556" customWidth="1"/>
    <col min="5920" max="5920" width="14.5546875" style="556" customWidth="1"/>
    <col min="5921" max="5921" width="10" style="556" customWidth="1"/>
    <col min="5922" max="5922" width="7.77734375" style="556" bestFit="1" customWidth="1"/>
    <col min="5923" max="5923" width="9.88671875" style="556" customWidth="1"/>
    <col min="5924" max="6140" width="8.88671875" style="556"/>
    <col min="6141" max="6141" width="38.44140625" style="556" customWidth="1"/>
    <col min="6142" max="6142" width="8.5546875" style="556" customWidth="1"/>
    <col min="6143" max="6143" width="1.33203125" style="556" customWidth="1"/>
    <col min="6144" max="6144" width="8.88671875" style="556" customWidth="1"/>
    <col min="6145" max="6145" width="1.33203125" style="556" customWidth="1"/>
    <col min="6146" max="6146" width="9.33203125" style="556" customWidth="1"/>
    <col min="6147" max="6147" width="1.33203125" style="556" customWidth="1"/>
    <col min="6148" max="6148" width="10" style="556" customWidth="1"/>
    <col min="6149" max="6149" width="1.33203125" style="556" customWidth="1"/>
    <col min="6150" max="6150" width="9.109375" style="556" customWidth="1"/>
    <col min="6151" max="6151" width="1.33203125" style="556" customWidth="1"/>
    <col min="6152" max="6152" width="11.33203125" style="556" customWidth="1"/>
    <col min="6153" max="6153" width="1.33203125" style="556" customWidth="1"/>
    <col min="6154" max="6154" width="9.109375" style="556" customWidth="1"/>
    <col min="6155" max="6155" width="1.6640625" style="556" customWidth="1"/>
    <col min="6156" max="6156" width="11" style="556" customWidth="1"/>
    <col min="6157" max="6157" width="1.33203125" style="556" customWidth="1"/>
    <col min="6158" max="6158" width="10.77734375" style="556" customWidth="1"/>
    <col min="6159" max="6159" width="1.33203125" style="556" customWidth="1"/>
    <col min="6160" max="6160" width="10" style="556" customWidth="1"/>
    <col min="6161" max="6161" width="1.33203125" style="556" customWidth="1"/>
    <col min="6162" max="6162" width="9.33203125" style="556" customWidth="1"/>
    <col min="6163" max="6163" width="1.33203125" style="556" customWidth="1"/>
    <col min="6164" max="6164" width="7.77734375" style="556" customWidth="1"/>
    <col min="6165" max="6165" width="1.33203125" style="556" customWidth="1"/>
    <col min="6166" max="6166" width="0.77734375" style="556" customWidth="1"/>
    <col min="6167" max="6167" width="9.33203125" style="556" customWidth="1"/>
    <col min="6168" max="6168" width="1.33203125" style="556" customWidth="1"/>
    <col min="6169" max="6169" width="0.88671875" style="556" customWidth="1"/>
    <col min="6170" max="6170" width="9.5546875" style="556" bestFit="1" customWidth="1"/>
    <col min="6171" max="6172" width="0.6640625" style="556" customWidth="1"/>
    <col min="6173" max="6173" width="9.6640625" style="556" customWidth="1"/>
    <col min="6174" max="6174" width="1.109375" style="556" customWidth="1"/>
    <col min="6175" max="6175" width="8.5546875" style="556" customWidth="1"/>
    <col min="6176" max="6176" width="14.5546875" style="556" customWidth="1"/>
    <col min="6177" max="6177" width="10" style="556" customWidth="1"/>
    <col min="6178" max="6178" width="7.77734375" style="556" bestFit="1" customWidth="1"/>
    <col min="6179" max="6179" width="9.88671875" style="556" customWidth="1"/>
    <col min="6180" max="6396" width="8.88671875" style="556"/>
    <col min="6397" max="6397" width="38.44140625" style="556" customWidth="1"/>
    <col min="6398" max="6398" width="8.5546875" style="556" customWidth="1"/>
    <col min="6399" max="6399" width="1.33203125" style="556" customWidth="1"/>
    <col min="6400" max="6400" width="8.88671875" style="556" customWidth="1"/>
    <col min="6401" max="6401" width="1.33203125" style="556" customWidth="1"/>
    <col min="6402" max="6402" width="9.33203125" style="556" customWidth="1"/>
    <col min="6403" max="6403" width="1.33203125" style="556" customWidth="1"/>
    <col min="6404" max="6404" width="10" style="556" customWidth="1"/>
    <col min="6405" max="6405" width="1.33203125" style="556" customWidth="1"/>
    <col min="6406" max="6406" width="9.109375" style="556" customWidth="1"/>
    <col min="6407" max="6407" width="1.33203125" style="556" customWidth="1"/>
    <col min="6408" max="6408" width="11.33203125" style="556" customWidth="1"/>
    <col min="6409" max="6409" width="1.33203125" style="556" customWidth="1"/>
    <col min="6410" max="6410" width="9.109375" style="556" customWidth="1"/>
    <col min="6411" max="6411" width="1.6640625" style="556" customWidth="1"/>
    <col min="6412" max="6412" width="11" style="556" customWidth="1"/>
    <col min="6413" max="6413" width="1.33203125" style="556" customWidth="1"/>
    <col min="6414" max="6414" width="10.77734375" style="556" customWidth="1"/>
    <col min="6415" max="6415" width="1.33203125" style="556" customWidth="1"/>
    <col min="6416" max="6416" width="10" style="556" customWidth="1"/>
    <col min="6417" max="6417" width="1.33203125" style="556" customWidth="1"/>
    <col min="6418" max="6418" width="9.33203125" style="556" customWidth="1"/>
    <col min="6419" max="6419" width="1.33203125" style="556" customWidth="1"/>
    <col min="6420" max="6420" width="7.77734375" style="556" customWidth="1"/>
    <col min="6421" max="6421" width="1.33203125" style="556" customWidth="1"/>
    <col min="6422" max="6422" width="0.77734375" style="556" customWidth="1"/>
    <col min="6423" max="6423" width="9.33203125" style="556" customWidth="1"/>
    <col min="6424" max="6424" width="1.33203125" style="556" customWidth="1"/>
    <col min="6425" max="6425" width="0.88671875" style="556" customWidth="1"/>
    <col min="6426" max="6426" width="9.5546875" style="556" bestFit="1" customWidth="1"/>
    <col min="6427" max="6428" width="0.6640625" style="556" customWidth="1"/>
    <col min="6429" max="6429" width="9.6640625" style="556" customWidth="1"/>
    <col min="6430" max="6430" width="1.109375" style="556" customWidth="1"/>
    <col min="6431" max="6431" width="8.5546875" style="556" customWidth="1"/>
    <col min="6432" max="6432" width="14.5546875" style="556" customWidth="1"/>
    <col min="6433" max="6433" width="10" style="556" customWidth="1"/>
    <col min="6434" max="6434" width="7.77734375" style="556" bestFit="1" customWidth="1"/>
    <col min="6435" max="6435" width="9.88671875" style="556" customWidth="1"/>
    <col min="6436" max="6652" width="8.88671875" style="556"/>
    <col min="6653" max="6653" width="38.44140625" style="556" customWidth="1"/>
    <col min="6654" max="6654" width="8.5546875" style="556" customWidth="1"/>
    <col min="6655" max="6655" width="1.33203125" style="556" customWidth="1"/>
    <col min="6656" max="6656" width="8.88671875" style="556" customWidth="1"/>
    <col min="6657" max="6657" width="1.33203125" style="556" customWidth="1"/>
    <col min="6658" max="6658" width="9.33203125" style="556" customWidth="1"/>
    <col min="6659" max="6659" width="1.33203125" style="556" customWidth="1"/>
    <col min="6660" max="6660" width="10" style="556" customWidth="1"/>
    <col min="6661" max="6661" width="1.33203125" style="556" customWidth="1"/>
    <col min="6662" max="6662" width="9.109375" style="556" customWidth="1"/>
    <col min="6663" max="6663" width="1.33203125" style="556" customWidth="1"/>
    <col min="6664" max="6664" width="11.33203125" style="556" customWidth="1"/>
    <col min="6665" max="6665" width="1.33203125" style="556" customWidth="1"/>
    <col min="6666" max="6666" width="9.109375" style="556" customWidth="1"/>
    <col min="6667" max="6667" width="1.6640625" style="556" customWidth="1"/>
    <col min="6668" max="6668" width="11" style="556" customWidth="1"/>
    <col min="6669" max="6669" width="1.33203125" style="556" customWidth="1"/>
    <col min="6670" max="6670" width="10.77734375" style="556" customWidth="1"/>
    <col min="6671" max="6671" width="1.33203125" style="556" customWidth="1"/>
    <col min="6672" max="6672" width="10" style="556" customWidth="1"/>
    <col min="6673" max="6673" width="1.33203125" style="556" customWidth="1"/>
    <col min="6674" max="6674" width="9.33203125" style="556" customWidth="1"/>
    <col min="6675" max="6675" width="1.33203125" style="556" customWidth="1"/>
    <col min="6676" max="6676" width="7.77734375" style="556" customWidth="1"/>
    <col min="6677" max="6677" width="1.33203125" style="556" customWidth="1"/>
    <col min="6678" max="6678" width="0.77734375" style="556" customWidth="1"/>
    <col min="6679" max="6679" width="9.33203125" style="556" customWidth="1"/>
    <col min="6680" max="6680" width="1.33203125" style="556" customWidth="1"/>
    <col min="6681" max="6681" width="0.88671875" style="556" customWidth="1"/>
    <col min="6682" max="6682" width="9.5546875" style="556" bestFit="1" customWidth="1"/>
    <col min="6683" max="6684" width="0.6640625" style="556" customWidth="1"/>
    <col min="6685" max="6685" width="9.6640625" style="556" customWidth="1"/>
    <col min="6686" max="6686" width="1.109375" style="556" customWidth="1"/>
    <col min="6687" max="6687" width="8.5546875" style="556" customWidth="1"/>
    <col min="6688" max="6688" width="14.5546875" style="556" customWidth="1"/>
    <col min="6689" max="6689" width="10" style="556" customWidth="1"/>
    <col min="6690" max="6690" width="7.77734375" style="556" bestFit="1" customWidth="1"/>
    <col min="6691" max="6691" width="9.88671875" style="556" customWidth="1"/>
    <col min="6692" max="6908" width="8.88671875" style="556"/>
    <col min="6909" max="6909" width="38.44140625" style="556" customWidth="1"/>
    <col min="6910" max="6910" width="8.5546875" style="556" customWidth="1"/>
    <col min="6911" max="6911" width="1.33203125" style="556" customWidth="1"/>
    <col min="6912" max="6912" width="8.88671875" style="556" customWidth="1"/>
    <col min="6913" max="6913" width="1.33203125" style="556" customWidth="1"/>
    <col min="6914" max="6914" width="9.33203125" style="556" customWidth="1"/>
    <col min="6915" max="6915" width="1.33203125" style="556" customWidth="1"/>
    <col min="6916" max="6916" width="10" style="556" customWidth="1"/>
    <col min="6917" max="6917" width="1.33203125" style="556" customWidth="1"/>
    <col min="6918" max="6918" width="9.109375" style="556" customWidth="1"/>
    <col min="6919" max="6919" width="1.33203125" style="556" customWidth="1"/>
    <col min="6920" max="6920" width="11.33203125" style="556" customWidth="1"/>
    <col min="6921" max="6921" width="1.33203125" style="556" customWidth="1"/>
    <col min="6922" max="6922" width="9.109375" style="556" customWidth="1"/>
    <col min="6923" max="6923" width="1.6640625" style="556" customWidth="1"/>
    <col min="6924" max="6924" width="11" style="556" customWidth="1"/>
    <col min="6925" max="6925" width="1.33203125" style="556" customWidth="1"/>
    <col min="6926" max="6926" width="10.77734375" style="556" customWidth="1"/>
    <col min="6927" max="6927" width="1.33203125" style="556" customWidth="1"/>
    <col min="6928" max="6928" width="10" style="556" customWidth="1"/>
    <col min="6929" max="6929" width="1.33203125" style="556" customWidth="1"/>
    <col min="6930" max="6930" width="9.33203125" style="556" customWidth="1"/>
    <col min="6931" max="6931" width="1.33203125" style="556" customWidth="1"/>
    <col min="6932" max="6932" width="7.77734375" style="556" customWidth="1"/>
    <col min="6933" max="6933" width="1.33203125" style="556" customWidth="1"/>
    <col min="6934" max="6934" width="0.77734375" style="556" customWidth="1"/>
    <col min="6935" max="6935" width="9.33203125" style="556" customWidth="1"/>
    <col min="6936" max="6936" width="1.33203125" style="556" customWidth="1"/>
    <col min="6937" max="6937" width="0.88671875" style="556" customWidth="1"/>
    <col min="6938" max="6938" width="9.5546875" style="556" bestFit="1" customWidth="1"/>
    <col min="6939" max="6940" width="0.6640625" style="556" customWidth="1"/>
    <col min="6941" max="6941" width="9.6640625" style="556" customWidth="1"/>
    <col min="6942" max="6942" width="1.109375" style="556" customWidth="1"/>
    <col min="6943" max="6943" width="8.5546875" style="556" customWidth="1"/>
    <col min="6944" max="6944" width="14.5546875" style="556" customWidth="1"/>
    <col min="6945" max="6945" width="10" style="556" customWidth="1"/>
    <col min="6946" max="6946" width="7.77734375" style="556" bestFit="1" customWidth="1"/>
    <col min="6947" max="6947" width="9.88671875" style="556" customWidth="1"/>
    <col min="6948" max="7164" width="8.88671875" style="556"/>
    <col min="7165" max="7165" width="38.44140625" style="556" customWidth="1"/>
    <col min="7166" max="7166" width="8.5546875" style="556" customWidth="1"/>
    <col min="7167" max="7167" width="1.33203125" style="556" customWidth="1"/>
    <col min="7168" max="7168" width="8.88671875" style="556" customWidth="1"/>
    <col min="7169" max="7169" width="1.33203125" style="556" customWidth="1"/>
    <col min="7170" max="7170" width="9.33203125" style="556" customWidth="1"/>
    <col min="7171" max="7171" width="1.33203125" style="556" customWidth="1"/>
    <col min="7172" max="7172" width="10" style="556" customWidth="1"/>
    <col min="7173" max="7173" width="1.33203125" style="556" customWidth="1"/>
    <col min="7174" max="7174" width="9.109375" style="556" customWidth="1"/>
    <col min="7175" max="7175" width="1.33203125" style="556" customWidth="1"/>
    <col min="7176" max="7176" width="11.33203125" style="556" customWidth="1"/>
    <col min="7177" max="7177" width="1.33203125" style="556" customWidth="1"/>
    <col min="7178" max="7178" width="9.109375" style="556" customWidth="1"/>
    <col min="7179" max="7179" width="1.6640625" style="556" customWidth="1"/>
    <col min="7180" max="7180" width="11" style="556" customWidth="1"/>
    <col min="7181" max="7181" width="1.33203125" style="556" customWidth="1"/>
    <col min="7182" max="7182" width="10.77734375" style="556" customWidth="1"/>
    <col min="7183" max="7183" width="1.33203125" style="556" customWidth="1"/>
    <col min="7184" max="7184" width="10" style="556" customWidth="1"/>
    <col min="7185" max="7185" width="1.33203125" style="556" customWidth="1"/>
    <col min="7186" max="7186" width="9.33203125" style="556" customWidth="1"/>
    <col min="7187" max="7187" width="1.33203125" style="556" customWidth="1"/>
    <col min="7188" max="7188" width="7.77734375" style="556" customWidth="1"/>
    <col min="7189" max="7189" width="1.33203125" style="556" customWidth="1"/>
    <col min="7190" max="7190" width="0.77734375" style="556" customWidth="1"/>
    <col min="7191" max="7191" width="9.33203125" style="556" customWidth="1"/>
    <col min="7192" max="7192" width="1.33203125" style="556" customWidth="1"/>
    <col min="7193" max="7193" width="0.88671875" style="556" customWidth="1"/>
    <col min="7194" max="7194" width="9.5546875" style="556" bestFit="1" customWidth="1"/>
    <col min="7195" max="7196" width="0.6640625" style="556" customWidth="1"/>
    <col min="7197" max="7197" width="9.6640625" style="556" customWidth="1"/>
    <col min="7198" max="7198" width="1.109375" style="556" customWidth="1"/>
    <col min="7199" max="7199" width="8.5546875" style="556" customWidth="1"/>
    <col min="7200" max="7200" width="14.5546875" style="556" customWidth="1"/>
    <col min="7201" max="7201" width="10" style="556" customWidth="1"/>
    <col min="7202" max="7202" width="7.77734375" style="556" bestFit="1" customWidth="1"/>
    <col min="7203" max="7203" width="9.88671875" style="556" customWidth="1"/>
    <col min="7204" max="7420" width="8.88671875" style="556"/>
    <col min="7421" max="7421" width="38.44140625" style="556" customWidth="1"/>
    <col min="7422" max="7422" width="8.5546875" style="556" customWidth="1"/>
    <col min="7423" max="7423" width="1.33203125" style="556" customWidth="1"/>
    <col min="7424" max="7424" width="8.88671875" style="556" customWidth="1"/>
    <col min="7425" max="7425" width="1.33203125" style="556" customWidth="1"/>
    <col min="7426" max="7426" width="9.33203125" style="556" customWidth="1"/>
    <col min="7427" max="7427" width="1.33203125" style="556" customWidth="1"/>
    <col min="7428" max="7428" width="10" style="556" customWidth="1"/>
    <col min="7429" max="7429" width="1.33203125" style="556" customWidth="1"/>
    <col min="7430" max="7430" width="9.109375" style="556" customWidth="1"/>
    <col min="7431" max="7431" width="1.33203125" style="556" customWidth="1"/>
    <col min="7432" max="7432" width="11.33203125" style="556" customWidth="1"/>
    <col min="7433" max="7433" width="1.33203125" style="556" customWidth="1"/>
    <col min="7434" max="7434" width="9.109375" style="556" customWidth="1"/>
    <col min="7435" max="7435" width="1.6640625" style="556" customWidth="1"/>
    <col min="7436" max="7436" width="11" style="556" customWidth="1"/>
    <col min="7437" max="7437" width="1.33203125" style="556" customWidth="1"/>
    <col min="7438" max="7438" width="10.77734375" style="556" customWidth="1"/>
    <col min="7439" max="7439" width="1.33203125" style="556" customWidth="1"/>
    <col min="7440" max="7440" width="10" style="556" customWidth="1"/>
    <col min="7441" max="7441" width="1.33203125" style="556" customWidth="1"/>
    <col min="7442" max="7442" width="9.33203125" style="556" customWidth="1"/>
    <col min="7443" max="7443" width="1.33203125" style="556" customWidth="1"/>
    <col min="7444" max="7444" width="7.77734375" style="556" customWidth="1"/>
    <col min="7445" max="7445" width="1.33203125" style="556" customWidth="1"/>
    <col min="7446" max="7446" width="0.77734375" style="556" customWidth="1"/>
    <col min="7447" max="7447" width="9.33203125" style="556" customWidth="1"/>
    <col min="7448" max="7448" width="1.33203125" style="556" customWidth="1"/>
    <col min="7449" max="7449" width="0.88671875" style="556" customWidth="1"/>
    <col min="7450" max="7450" width="9.5546875" style="556" bestFit="1" customWidth="1"/>
    <col min="7451" max="7452" width="0.6640625" style="556" customWidth="1"/>
    <col min="7453" max="7453" width="9.6640625" style="556" customWidth="1"/>
    <col min="7454" max="7454" width="1.109375" style="556" customWidth="1"/>
    <col min="7455" max="7455" width="8.5546875" style="556" customWidth="1"/>
    <col min="7456" max="7456" width="14.5546875" style="556" customWidth="1"/>
    <col min="7457" max="7457" width="10" style="556" customWidth="1"/>
    <col min="7458" max="7458" width="7.77734375" style="556" bestFit="1" customWidth="1"/>
    <col min="7459" max="7459" width="9.88671875" style="556" customWidth="1"/>
    <col min="7460" max="7676" width="8.88671875" style="556"/>
    <col min="7677" max="7677" width="38.44140625" style="556" customWidth="1"/>
    <col min="7678" max="7678" width="8.5546875" style="556" customWidth="1"/>
    <col min="7679" max="7679" width="1.33203125" style="556" customWidth="1"/>
    <col min="7680" max="7680" width="8.88671875" style="556" customWidth="1"/>
    <col min="7681" max="7681" width="1.33203125" style="556" customWidth="1"/>
    <col min="7682" max="7682" width="9.33203125" style="556" customWidth="1"/>
    <col min="7683" max="7683" width="1.33203125" style="556" customWidth="1"/>
    <col min="7684" max="7684" width="10" style="556" customWidth="1"/>
    <col min="7685" max="7685" width="1.33203125" style="556" customWidth="1"/>
    <col min="7686" max="7686" width="9.109375" style="556" customWidth="1"/>
    <col min="7687" max="7687" width="1.33203125" style="556" customWidth="1"/>
    <col min="7688" max="7688" width="11.33203125" style="556" customWidth="1"/>
    <col min="7689" max="7689" width="1.33203125" style="556" customWidth="1"/>
    <col min="7690" max="7690" width="9.109375" style="556" customWidth="1"/>
    <col min="7691" max="7691" width="1.6640625" style="556" customWidth="1"/>
    <col min="7692" max="7692" width="11" style="556" customWidth="1"/>
    <col min="7693" max="7693" width="1.33203125" style="556" customWidth="1"/>
    <col min="7694" max="7694" width="10.77734375" style="556" customWidth="1"/>
    <col min="7695" max="7695" width="1.33203125" style="556" customWidth="1"/>
    <col min="7696" max="7696" width="10" style="556" customWidth="1"/>
    <col min="7697" max="7697" width="1.33203125" style="556" customWidth="1"/>
    <col min="7698" max="7698" width="9.33203125" style="556" customWidth="1"/>
    <col min="7699" max="7699" width="1.33203125" style="556" customWidth="1"/>
    <col min="7700" max="7700" width="7.77734375" style="556" customWidth="1"/>
    <col min="7701" max="7701" width="1.33203125" style="556" customWidth="1"/>
    <col min="7702" max="7702" width="0.77734375" style="556" customWidth="1"/>
    <col min="7703" max="7703" width="9.33203125" style="556" customWidth="1"/>
    <col min="7704" max="7704" width="1.33203125" style="556" customWidth="1"/>
    <col min="7705" max="7705" width="0.88671875" style="556" customWidth="1"/>
    <col min="7706" max="7706" width="9.5546875" style="556" bestFit="1" customWidth="1"/>
    <col min="7707" max="7708" width="0.6640625" style="556" customWidth="1"/>
    <col min="7709" max="7709" width="9.6640625" style="556" customWidth="1"/>
    <col min="7710" max="7710" width="1.109375" style="556" customWidth="1"/>
    <col min="7711" max="7711" width="8.5546875" style="556" customWidth="1"/>
    <col min="7712" max="7712" width="14.5546875" style="556" customWidth="1"/>
    <col min="7713" max="7713" width="10" style="556" customWidth="1"/>
    <col min="7714" max="7714" width="7.77734375" style="556" bestFit="1" customWidth="1"/>
    <col min="7715" max="7715" width="9.88671875" style="556" customWidth="1"/>
    <col min="7716" max="7932" width="8.88671875" style="556"/>
    <col min="7933" max="7933" width="38.44140625" style="556" customWidth="1"/>
    <col min="7934" max="7934" width="8.5546875" style="556" customWidth="1"/>
    <col min="7935" max="7935" width="1.33203125" style="556" customWidth="1"/>
    <col min="7936" max="7936" width="8.88671875" style="556" customWidth="1"/>
    <col min="7937" max="7937" width="1.33203125" style="556" customWidth="1"/>
    <col min="7938" max="7938" width="9.33203125" style="556" customWidth="1"/>
    <col min="7939" max="7939" width="1.33203125" style="556" customWidth="1"/>
    <col min="7940" max="7940" width="10" style="556" customWidth="1"/>
    <col min="7941" max="7941" width="1.33203125" style="556" customWidth="1"/>
    <col min="7942" max="7942" width="9.109375" style="556" customWidth="1"/>
    <col min="7943" max="7943" width="1.33203125" style="556" customWidth="1"/>
    <col min="7944" max="7944" width="11.33203125" style="556" customWidth="1"/>
    <col min="7945" max="7945" width="1.33203125" style="556" customWidth="1"/>
    <col min="7946" max="7946" width="9.109375" style="556" customWidth="1"/>
    <col min="7947" max="7947" width="1.6640625" style="556" customWidth="1"/>
    <col min="7948" max="7948" width="11" style="556" customWidth="1"/>
    <col min="7949" max="7949" width="1.33203125" style="556" customWidth="1"/>
    <col min="7950" max="7950" width="10.77734375" style="556" customWidth="1"/>
    <col min="7951" max="7951" width="1.33203125" style="556" customWidth="1"/>
    <col min="7952" max="7952" width="10" style="556" customWidth="1"/>
    <col min="7953" max="7953" width="1.33203125" style="556" customWidth="1"/>
    <col min="7954" max="7954" width="9.33203125" style="556" customWidth="1"/>
    <col min="7955" max="7955" width="1.33203125" style="556" customWidth="1"/>
    <col min="7956" max="7956" width="7.77734375" style="556" customWidth="1"/>
    <col min="7957" max="7957" width="1.33203125" style="556" customWidth="1"/>
    <col min="7958" max="7958" width="0.77734375" style="556" customWidth="1"/>
    <col min="7959" max="7959" width="9.33203125" style="556" customWidth="1"/>
    <col min="7960" max="7960" width="1.33203125" style="556" customWidth="1"/>
    <col min="7961" max="7961" width="0.88671875" style="556" customWidth="1"/>
    <col min="7962" max="7962" width="9.5546875" style="556" bestFit="1" customWidth="1"/>
    <col min="7963" max="7964" width="0.6640625" style="556" customWidth="1"/>
    <col min="7965" max="7965" width="9.6640625" style="556" customWidth="1"/>
    <col min="7966" max="7966" width="1.109375" style="556" customWidth="1"/>
    <col min="7967" max="7967" width="8.5546875" style="556" customWidth="1"/>
    <col min="7968" max="7968" width="14.5546875" style="556" customWidth="1"/>
    <col min="7969" max="7969" width="10" style="556" customWidth="1"/>
    <col min="7970" max="7970" width="7.77734375" style="556" bestFit="1" customWidth="1"/>
    <col min="7971" max="7971" width="9.88671875" style="556" customWidth="1"/>
    <col min="7972" max="8188" width="8.88671875" style="556"/>
    <col min="8189" max="8189" width="38.44140625" style="556" customWidth="1"/>
    <col min="8190" max="8190" width="8.5546875" style="556" customWidth="1"/>
    <col min="8191" max="8191" width="1.33203125" style="556" customWidth="1"/>
    <col min="8192" max="8192" width="8.88671875" style="556" customWidth="1"/>
    <col min="8193" max="8193" width="1.33203125" style="556" customWidth="1"/>
    <col min="8194" max="8194" width="9.33203125" style="556" customWidth="1"/>
    <col min="8195" max="8195" width="1.33203125" style="556" customWidth="1"/>
    <col min="8196" max="8196" width="10" style="556" customWidth="1"/>
    <col min="8197" max="8197" width="1.33203125" style="556" customWidth="1"/>
    <col min="8198" max="8198" width="9.109375" style="556" customWidth="1"/>
    <col min="8199" max="8199" width="1.33203125" style="556" customWidth="1"/>
    <col min="8200" max="8200" width="11.33203125" style="556" customWidth="1"/>
    <col min="8201" max="8201" width="1.33203125" style="556" customWidth="1"/>
    <col min="8202" max="8202" width="9.109375" style="556" customWidth="1"/>
    <col min="8203" max="8203" width="1.6640625" style="556" customWidth="1"/>
    <col min="8204" max="8204" width="11" style="556" customWidth="1"/>
    <col min="8205" max="8205" width="1.33203125" style="556" customWidth="1"/>
    <col min="8206" max="8206" width="10.77734375" style="556" customWidth="1"/>
    <col min="8207" max="8207" width="1.33203125" style="556" customWidth="1"/>
    <col min="8208" max="8208" width="10" style="556" customWidth="1"/>
    <col min="8209" max="8209" width="1.33203125" style="556" customWidth="1"/>
    <col min="8210" max="8210" width="9.33203125" style="556" customWidth="1"/>
    <col min="8211" max="8211" width="1.33203125" style="556" customWidth="1"/>
    <col min="8212" max="8212" width="7.77734375" style="556" customWidth="1"/>
    <col min="8213" max="8213" width="1.33203125" style="556" customWidth="1"/>
    <col min="8214" max="8214" width="0.77734375" style="556" customWidth="1"/>
    <col min="8215" max="8215" width="9.33203125" style="556" customWidth="1"/>
    <col min="8216" max="8216" width="1.33203125" style="556" customWidth="1"/>
    <col min="8217" max="8217" width="0.88671875" style="556" customWidth="1"/>
    <col min="8218" max="8218" width="9.5546875" style="556" bestFit="1" customWidth="1"/>
    <col min="8219" max="8220" width="0.6640625" style="556" customWidth="1"/>
    <col min="8221" max="8221" width="9.6640625" style="556" customWidth="1"/>
    <col min="8222" max="8222" width="1.109375" style="556" customWidth="1"/>
    <col min="8223" max="8223" width="8.5546875" style="556" customWidth="1"/>
    <col min="8224" max="8224" width="14.5546875" style="556" customWidth="1"/>
    <col min="8225" max="8225" width="10" style="556" customWidth="1"/>
    <col min="8226" max="8226" width="7.77734375" style="556" bestFit="1" customWidth="1"/>
    <col min="8227" max="8227" width="9.88671875" style="556" customWidth="1"/>
    <col min="8228" max="8444" width="8.88671875" style="556"/>
    <col min="8445" max="8445" width="38.44140625" style="556" customWidth="1"/>
    <col min="8446" max="8446" width="8.5546875" style="556" customWidth="1"/>
    <col min="8447" max="8447" width="1.33203125" style="556" customWidth="1"/>
    <col min="8448" max="8448" width="8.88671875" style="556" customWidth="1"/>
    <col min="8449" max="8449" width="1.33203125" style="556" customWidth="1"/>
    <col min="8450" max="8450" width="9.33203125" style="556" customWidth="1"/>
    <col min="8451" max="8451" width="1.33203125" style="556" customWidth="1"/>
    <col min="8452" max="8452" width="10" style="556" customWidth="1"/>
    <col min="8453" max="8453" width="1.33203125" style="556" customWidth="1"/>
    <col min="8454" max="8454" width="9.109375" style="556" customWidth="1"/>
    <col min="8455" max="8455" width="1.33203125" style="556" customWidth="1"/>
    <col min="8456" max="8456" width="11.33203125" style="556" customWidth="1"/>
    <col min="8457" max="8457" width="1.33203125" style="556" customWidth="1"/>
    <col min="8458" max="8458" width="9.109375" style="556" customWidth="1"/>
    <col min="8459" max="8459" width="1.6640625" style="556" customWidth="1"/>
    <col min="8460" max="8460" width="11" style="556" customWidth="1"/>
    <col min="8461" max="8461" width="1.33203125" style="556" customWidth="1"/>
    <col min="8462" max="8462" width="10.77734375" style="556" customWidth="1"/>
    <col min="8463" max="8463" width="1.33203125" style="556" customWidth="1"/>
    <col min="8464" max="8464" width="10" style="556" customWidth="1"/>
    <col min="8465" max="8465" width="1.33203125" style="556" customWidth="1"/>
    <col min="8466" max="8466" width="9.33203125" style="556" customWidth="1"/>
    <col min="8467" max="8467" width="1.33203125" style="556" customWidth="1"/>
    <col min="8468" max="8468" width="7.77734375" style="556" customWidth="1"/>
    <col min="8469" max="8469" width="1.33203125" style="556" customWidth="1"/>
    <col min="8470" max="8470" width="0.77734375" style="556" customWidth="1"/>
    <col min="8471" max="8471" width="9.33203125" style="556" customWidth="1"/>
    <col min="8472" max="8472" width="1.33203125" style="556" customWidth="1"/>
    <col min="8473" max="8473" width="0.88671875" style="556" customWidth="1"/>
    <col min="8474" max="8474" width="9.5546875" style="556" bestFit="1" customWidth="1"/>
    <col min="8475" max="8476" width="0.6640625" style="556" customWidth="1"/>
    <col min="8477" max="8477" width="9.6640625" style="556" customWidth="1"/>
    <col min="8478" max="8478" width="1.109375" style="556" customWidth="1"/>
    <col min="8479" max="8479" width="8.5546875" style="556" customWidth="1"/>
    <col min="8480" max="8480" width="14.5546875" style="556" customWidth="1"/>
    <col min="8481" max="8481" width="10" style="556" customWidth="1"/>
    <col min="8482" max="8482" width="7.77734375" style="556" bestFit="1" customWidth="1"/>
    <col min="8483" max="8483" width="9.88671875" style="556" customWidth="1"/>
    <col min="8484" max="8700" width="8.88671875" style="556"/>
    <col min="8701" max="8701" width="38.44140625" style="556" customWidth="1"/>
    <col min="8702" max="8702" width="8.5546875" style="556" customWidth="1"/>
    <col min="8703" max="8703" width="1.33203125" style="556" customWidth="1"/>
    <col min="8704" max="8704" width="8.88671875" style="556" customWidth="1"/>
    <col min="8705" max="8705" width="1.33203125" style="556" customWidth="1"/>
    <col min="8706" max="8706" width="9.33203125" style="556" customWidth="1"/>
    <col min="8707" max="8707" width="1.33203125" style="556" customWidth="1"/>
    <col min="8708" max="8708" width="10" style="556" customWidth="1"/>
    <col min="8709" max="8709" width="1.33203125" style="556" customWidth="1"/>
    <col min="8710" max="8710" width="9.109375" style="556" customWidth="1"/>
    <col min="8711" max="8711" width="1.33203125" style="556" customWidth="1"/>
    <col min="8712" max="8712" width="11.33203125" style="556" customWidth="1"/>
    <col min="8713" max="8713" width="1.33203125" style="556" customWidth="1"/>
    <col min="8714" max="8714" width="9.109375" style="556" customWidth="1"/>
    <col min="8715" max="8715" width="1.6640625" style="556" customWidth="1"/>
    <col min="8716" max="8716" width="11" style="556" customWidth="1"/>
    <col min="8717" max="8717" width="1.33203125" style="556" customWidth="1"/>
    <col min="8718" max="8718" width="10.77734375" style="556" customWidth="1"/>
    <col min="8719" max="8719" width="1.33203125" style="556" customWidth="1"/>
    <col min="8720" max="8720" width="10" style="556" customWidth="1"/>
    <col min="8721" max="8721" width="1.33203125" style="556" customWidth="1"/>
    <col min="8722" max="8722" width="9.33203125" style="556" customWidth="1"/>
    <col min="8723" max="8723" width="1.33203125" style="556" customWidth="1"/>
    <col min="8724" max="8724" width="7.77734375" style="556" customWidth="1"/>
    <col min="8725" max="8725" width="1.33203125" style="556" customWidth="1"/>
    <col min="8726" max="8726" width="0.77734375" style="556" customWidth="1"/>
    <col min="8727" max="8727" width="9.33203125" style="556" customWidth="1"/>
    <col min="8728" max="8728" width="1.33203125" style="556" customWidth="1"/>
    <col min="8729" max="8729" width="0.88671875" style="556" customWidth="1"/>
    <col min="8730" max="8730" width="9.5546875" style="556" bestFit="1" customWidth="1"/>
    <col min="8731" max="8732" width="0.6640625" style="556" customWidth="1"/>
    <col min="8733" max="8733" width="9.6640625" style="556" customWidth="1"/>
    <col min="8734" max="8734" width="1.109375" style="556" customWidth="1"/>
    <col min="8735" max="8735" width="8.5546875" style="556" customWidth="1"/>
    <col min="8736" max="8736" width="14.5546875" style="556" customWidth="1"/>
    <col min="8737" max="8737" width="10" style="556" customWidth="1"/>
    <col min="8738" max="8738" width="7.77734375" style="556" bestFit="1" customWidth="1"/>
    <col min="8739" max="8739" width="9.88671875" style="556" customWidth="1"/>
    <col min="8740" max="8956" width="8.88671875" style="556"/>
    <col min="8957" max="8957" width="38.44140625" style="556" customWidth="1"/>
    <col min="8958" max="8958" width="8.5546875" style="556" customWidth="1"/>
    <col min="8959" max="8959" width="1.33203125" style="556" customWidth="1"/>
    <col min="8960" max="8960" width="8.88671875" style="556" customWidth="1"/>
    <col min="8961" max="8961" width="1.33203125" style="556" customWidth="1"/>
    <col min="8962" max="8962" width="9.33203125" style="556" customWidth="1"/>
    <col min="8963" max="8963" width="1.33203125" style="556" customWidth="1"/>
    <col min="8964" max="8964" width="10" style="556" customWidth="1"/>
    <col min="8965" max="8965" width="1.33203125" style="556" customWidth="1"/>
    <col min="8966" max="8966" width="9.109375" style="556" customWidth="1"/>
    <col min="8967" max="8967" width="1.33203125" style="556" customWidth="1"/>
    <col min="8968" max="8968" width="11.33203125" style="556" customWidth="1"/>
    <col min="8969" max="8969" width="1.33203125" style="556" customWidth="1"/>
    <col min="8970" max="8970" width="9.109375" style="556" customWidth="1"/>
    <col min="8971" max="8971" width="1.6640625" style="556" customWidth="1"/>
    <col min="8972" max="8972" width="11" style="556" customWidth="1"/>
    <col min="8973" max="8973" width="1.33203125" style="556" customWidth="1"/>
    <col min="8974" max="8974" width="10.77734375" style="556" customWidth="1"/>
    <col min="8975" max="8975" width="1.33203125" style="556" customWidth="1"/>
    <col min="8976" max="8976" width="10" style="556" customWidth="1"/>
    <col min="8977" max="8977" width="1.33203125" style="556" customWidth="1"/>
    <col min="8978" max="8978" width="9.33203125" style="556" customWidth="1"/>
    <col min="8979" max="8979" width="1.33203125" style="556" customWidth="1"/>
    <col min="8980" max="8980" width="7.77734375" style="556" customWidth="1"/>
    <col min="8981" max="8981" width="1.33203125" style="556" customWidth="1"/>
    <col min="8982" max="8982" width="0.77734375" style="556" customWidth="1"/>
    <col min="8983" max="8983" width="9.33203125" style="556" customWidth="1"/>
    <col min="8984" max="8984" width="1.33203125" style="556" customWidth="1"/>
    <col min="8985" max="8985" width="0.88671875" style="556" customWidth="1"/>
    <col min="8986" max="8986" width="9.5546875" style="556" bestFit="1" customWidth="1"/>
    <col min="8987" max="8988" width="0.6640625" style="556" customWidth="1"/>
    <col min="8989" max="8989" width="9.6640625" style="556" customWidth="1"/>
    <col min="8990" max="8990" width="1.109375" style="556" customWidth="1"/>
    <col min="8991" max="8991" width="8.5546875" style="556" customWidth="1"/>
    <col min="8992" max="8992" width="14.5546875" style="556" customWidth="1"/>
    <col min="8993" max="8993" width="10" style="556" customWidth="1"/>
    <col min="8994" max="8994" width="7.77734375" style="556" bestFit="1" customWidth="1"/>
    <col min="8995" max="8995" width="9.88671875" style="556" customWidth="1"/>
    <col min="8996" max="9212" width="8.88671875" style="556"/>
    <col min="9213" max="9213" width="38.44140625" style="556" customWidth="1"/>
    <col min="9214" max="9214" width="8.5546875" style="556" customWidth="1"/>
    <col min="9215" max="9215" width="1.33203125" style="556" customWidth="1"/>
    <col min="9216" max="9216" width="8.88671875" style="556" customWidth="1"/>
    <col min="9217" max="9217" width="1.33203125" style="556" customWidth="1"/>
    <col min="9218" max="9218" width="9.33203125" style="556" customWidth="1"/>
    <col min="9219" max="9219" width="1.33203125" style="556" customWidth="1"/>
    <col min="9220" max="9220" width="10" style="556" customWidth="1"/>
    <col min="9221" max="9221" width="1.33203125" style="556" customWidth="1"/>
    <col min="9222" max="9222" width="9.109375" style="556" customWidth="1"/>
    <col min="9223" max="9223" width="1.33203125" style="556" customWidth="1"/>
    <col min="9224" max="9224" width="11.33203125" style="556" customWidth="1"/>
    <col min="9225" max="9225" width="1.33203125" style="556" customWidth="1"/>
    <col min="9226" max="9226" width="9.109375" style="556" customWidth="1"/>
    <col min="9227" max="9227" width="1.6640625" style="556" customWidth="1"/>
    <col min="9228" max="9228" width="11" style="556" customWidth="1"/>
    <col min="9229" max="9229" width="1.33203125" style="556" customWidth="1"/>
    <col min="9230" max="9230" width="10.77734375" style="556" customWidth="1"/>
    <col min="9231" max="9231" width="1.33203125" style="556" customWidth="1"/>
    <col min="9232" max="9232" width="10" style="556" customWidth="1"/>
    <col min="9233" max="9233" width="1.33203125" style="556" customWidth="1"/>
    <col min="9234" max="9234" width="9.33203125" style="556" customWidth="1"/>
    <col min="9235" max="9235" width="1.33203125" style="556" customWidth="1"/>
    <col min="9236" max="9236" width="7.77734375" style="556" customWidth="1"/>
    <col min="9237" max="9237" width="1.33203125" style="556" customWidth="1"/>
    <col min="9238" max="9238" width="0.77734375" style="556" customWidth="1"/>
    <col min="9239" max="9239" width="9.33203125" style="556" customWidth="1"/>
    <col min="9240" max="9240" width="1.33203125" style="556" customWidth="1"/>
    <col min="9241" max="9241" width="0.88671875" style="556" customWidth="1"/>
    <col min="9242" max="9242" width="9.5546875" style="556" bestFit="1" customWidth="1"/>
    <col min="9243" max="9244" width="0.6640625" style="556" customWidth="1"/>
    <col min="9245" max="9245" width="9.6640625" style="556" customWidth="1"/>
    <col min="9246" max="9246" width="1.109375" style="556" customWidth="1"/>
    <col min="9247" max="9247" width="8.5546875" style="556" customWidth="1"/>
    <col min="9248" max="9248" width="14.5546875" style="556" customWidth="1"/>
    <col min="9249" max="9249" width="10" style="556" customWidth="1"/>
    <col min="9250" max="9250" width="7.77734375" style="556" bestFit="1" customWidth="1"/>
    <col min="9251" max="9251" width="9.88671875" style="556" customWidth="1"/>
    <col min="9252" max="9468" width="8.88671875" style="556"/>
    <col min="9469" max="9469" width="38.44140625" style="556" customWidth="1"/>
    <col min="9470" max="9470" width="8.5546875" style="556" customWidth="1"/>
    <col min="9471" max="9471" width="1.33203125" style="556" customWidth="1"/>
    <col min="9472" max="9472" width="8.88671875" style="556" customWidth="1"/>
    <col min="9473" max="9473" width="1.33203125" style="556" customWidth="1"/>
    <col min="9474" max="9474" width="9.33203125" style="556" customWidth="1"/>
    <col min="9475" max="9475" width="1.33203125" style="556" customWidth="1"/>
    <col min="9476" max="9476" width="10" style="556" customWidth="1"/>
    <col min="9477" max="9477" width="1.33203125" style="556" customWidth="1"/>
    <col min="9478" max="9478" width="9.109375" style="556" customWidth="1"/>
    <col min="9479" max="9479" width="1.33203125" style="556" customWidth="1"/>
    <col min="9480" max="9480" width="11.33203125" style="556" customWidth="1"/>
    <col min="9481" max="9481" width="1.33203125" style="556" customWidth="1"/>
    <col min="9482" max="9482" width="9.109375" style="556" customWidth="1"/>
    <col min="9483" max="9483" width="1.6640625" style="556" customWidth="1"/>
    <col min="9484" max="9484" width="11" style="556" customWidth="1"/>
    <col min="9485" max="9485" width="1.33203125" style="556" customWidth="1"/>
    <col min="9486" max="9486" width="10.77734375" style="556" customWidth="1"/>
    <col min="9487" max="9487" width="1.33203125" style="556" customWidth="1"/>
    <col min="9488" max="9488" width="10" style="556" customWidth="1"/>
    <col min="9489" max="9489" width="1.33203125" style="556" customWidth="1"/>
    <col min="9490" max="9490" width="9.33203125" style="556" customWidth="1"/>
    <col min="9491" max="9491" width="1.33203125" style="556" customWidth="1"/>
    <col min="9492" max="9492" width="7.77734375" style="556" customWidth="1"/>
    <col min="9493" max="9493" width="1.33203125" style="556" customWidth="1"/>
    <col min="9494" max="9494" width="0.77734375" style="556" customWidth="1"/>
    <col min="9495" max="9495" width="9.33203125" style="556" customWidth="1"/>
    <col min="9496" max="9496" width="1.33203125" style="556" customWidth="1"/>
    <col min="9497" max="9497" width="0.88671875" style="556" customWidth="1"/>
    <col min="9498" max="9498" width="9.5546875" style="556" bestFit="1" customWidth="1"/>
    <col min="9499" max="9500" width="0.6640625" style="556" customWidth="1"/>
    <col min="9501" max="9501" width="9.6640625" style="556" customWidth="1"/>
    <col min="9502" max="9502" width="1.109375" style="556" customWidth="1"/>
    <col min="9503" max="9503" width="8.5546875" style="556" customWidth="1"/>
    <col min="9504" max="9504" width="14.5546875" style="556" customWidth="1"/>
    <col min="9505" max="9505" width="10" style="556" customWidth="1"/>
    <col min="9506" max="9506" width="7.77734375" style="556" bestFit="1" customWidth="1"/>
    <col min="9507" max="9507" width="9.88671875" style="556" customWidth="1"/>
    <col min="9508" max="9724" width="8.88671875" style="556"/>
    <col min="9725" max="9725" width="38.44140625" style="556" customWidth="1"/>
    <col min="9726" max="9726" width="8.5546875" style="556" customWidth="1"/>
    <col min="9727" max="9727" width="1.33203125" style="556" customWidth="1"/>
    <col min="9728" max="9728" width="8.88671875" style="556" customWidth="1"/>
    <col min="9729" max="9729" width="1.33203125" style="556" customWidth="1"/>
    <col min="9730" max="9730" width="9.33203125" style="556" customWidth="1"/>
    <col min="9731" max="9731" width="1.33203125" style="556" customWidth="1"/>
    <col min="9732" max="9732" width="10" style="556" customWidth="1"/>
    <col min="9733" max="9733" width="1.33203125" style="556" customWidth="1"/>
    <col min="9734" max="9734" width="9.109375" style="556" customWidth="1"/>
    <col min="9735" max="9735" width="1.33203125" style="556" customWidth="1"/>
    <col min="9736" max="9736" width="11.33203125" style="556" customWidth="1"/>
    <col min="9737" max="9737" width="1.33203125" style="556" customWidth="1"/>
    <col min="9738" max="9738" width="9.109375" style="556" customWidth="1"/>
    <col min="9739" max="9739" width="1.6640625" style="556" customWidth="1"/>
    <col min="9740" max="9740" width="11" style="556" customWidth="1"/>
    <col min="9741" max="9741" width="1.33203125" style="556" customWidth="1"/>
    <col min="9742" max="9742" width="10.77734375" style="556" customWidth="1"/>
    <col min="9743" max="9743" width="1.33203125" style="556" customWidth="1"/>
    <col min="9744" max="9744" width="10" style="556" customWidth="1"/>
    <col min="9745" max="9745" width="1.33203125" style="556" customWidth="1"/>
    <col min="9746" max="9746" width="9.33203125" style="556" customWidth="1"/>
    <col min="9747" max="9747" width="1.33203125" style="556" customWidth="1"/>
    <col min="9748" max="9748" width="7.77734375" style="556" customWidth="1"/>
    <col min="9749" max="9749" width="1.33203125" style="556" customWidth="1"/>
    <col min="9750" max="9750" width="0.77734375" style="556" customWidth="1"/>
    <col min="9751" max="9751" width="9.33203125" style="556" customWidth="1"/>
    <col min="9752" max="9752" width="1.33203125" style="556" customWidth="1"/>
    <col min="9753" max="9753" width="0.88671875" style="556" customWidth="1"/>
    <col min="9754" max="9754" width="9.5546875" style="556" bestFit="1" customWidth="1"/>
    <col min="9755" max="9756" width="0.6640625" style="556" customWidth="1"/>
    <col min="9757" max="9757" width="9.6640625" style="556" customWidth="1"/>
    <col min="9758" max="9758" width="1.109375" style="556" customWidth="1"/>
    <col min="9759" max="9759" width="8.5546875" style="556" customWidth="1"/>
    <col min="9760" max="9760" width="14.5546875" style="556" customWidth="1"/>
    <col min="9761" max="9761" width="10" style="556" customWidth="1"/>
    <col min="9762" max="9762" width="7.77734375" style="556" bestFit="1" customWidth="1"/>
    <col min="9763" max="9763" width="9.88671875" style="556" customWidth="1"/>
    <col min="9764" max="9980" width="8.88671875" style="556"/>
    <col min="9981" max="9981" width="38.44140625" style="556" customWidth="1"/>
    <col min="9982" max="9982" width="8.5546875" style="556" customWidth="1"/>
    <col min="9983" max="9983" width="1.33203125" style="556" customWidth="1"/>
    <col min="9984" max="9984" width="8.88671875" style="556" customWidth="1"/>
    <col min="9985" max="9985" width="1.33203125" style="556" customWidth="1"/>
    <col min="9986" max="9986" width="9.33203125" style="556" customWidth="1"/>
    <col min="9987" max="9987" width="1.33203125" style="556" customWidth="1"/>
    <col min="9988" max="9988" width="10" style="556" customWidth="1"/>
    <col min="9989" max="9989" width="1.33203125" style="556" customWidth="1"/>
    <col min="9990" max="9990" width="9.109375" style="556" customWidth="1"/>
    <col min="9991" max="9991" width="1.33203125" style="556" customWidth="1"/>
    <col min="9992" max="9992" width="11.33203125" style="556" customWidth="1"/>
    <col min="9993" max="9993" width="1.33203125" style="556" customWidth="1"/>
    <col min="9994" max="9994" width="9.109375" style="556" customWidth="1"/>
    <col min="9995" max="9995" width="1.6640625" style="556" customWidth="1"/>
    <col min="9996" max="9996" width="11" style="556" customWidth="1"/>
    <col min="9997" max="9997" width="1.33203125" style="556" customWidth="1"/>
    <col min="9998" max="9998" width="10.77734375" style="556" customWidth="1"/>
    <col min="9999" max="9999" width="1.33203125" style="556" customWidth="1"/>
    <col min="10000" max="10000" width="10" style="556" customWidth="1"/>
    <col min="10001" max="10001" width="1.33203125" style="556" customWidth="1"/>
    <col min="10002" max="10002" width="9.33203125" style="556" customWidth="1"/>
    <col min="10003" max="10003" width="1.33203125" style="556" customWidth="1"/>
    <col min="10004" max="10004" width="7.77734375" style="556" customWidth="1"/>
    <col min="10005" max="10005" width="1.33203125" style="556" customWidth="1"/>
    <col min="10006" max="10006" width="0.77734375" style="556" customWidth="1"/>
    <col min="10007" max="10007" width="9.33203125" style="556" customWidth="1"/>
    <col min="10008" max="10008" width="1.33203125" style="556" customWidth="1"/>
    <col min="10009" max="10009" width="0.88671875" style="556" customWidth="1"/>
    <col min="10010" max="10010" width="9.5546875" style="556" bestFit="1" customWidth="1"/>
    <col min="10011" max="10012" width="0.6640625" style="556" customWidth="1"/>
    <col min="10013" max="10013" width="9.6640625" style="556" customWidth="1"/>
    <col min="10014" max="10014" width="1.109375" style="556" customWidth="1"/>
    <col min="10015" max="10015" width="8.5546875" style="556" customWidth="1"/>
    <col min="10016" max="10016" width="14.5546875" style="556" customWidth="1"/>
    <col min="10017" max="10017" width="10" style="556" customWidth="1"/>
    <col min="10018" max="10018" width="7.77734375" style="556" bestFit="1" customWidth="1"/>
    <col min="10019" max="10019" width="9.88671875" style="556" customWidth="1"/>
    <col min="10020" max="10236" width="8.88671875" style="556"/>
    <col min="10237" max="10237" width="38.44140625" style="556" customWidth="1"/>
    <col min="10238" max="10238" width="8.5546875" style="556" customWidth="1"/>
    <col min="10239" max="10239" width="1.33203125" style="556" customWidth="1"/>
    <col min="10240" max="10240" width="8.88671875" style="556" customWidth="1"/>
    <col min="10241" max="10241" width="1.33203125" style="556" customWidth="1"/>
    <col min="10242" max="10242" width="9.33203125" style="556" customWidth="1"/>
    <col min="10243" max="10243" width="1.33203125" style="556" customWidth="1"/>
    <col min="10244" max="10244" width="10" style="556" customWidth="1"/>
    <col min="10245" max="10245" width="1.33203125" style="556" customWidth="1"/>
    <col min="10246" max="10246" width="9.109375" style="556" customWidth="1"/>
    <col min="10247" max="10247" width="1.33203125" style="556" customWidth="1"/>
    <col min="10248" max="10248" width="11.33203125" style="556" customWidth="1"/>
    <col min="10249" max="10249" width="1.33203125" style="556" customWidth="1"/>
    <col min="10250" max="10250" width="9.109375" style="556" customWidth="1"/>
    <col min="10251" max="10251" width="1.6640625" style="556" customWidth="1"/>
    <col min="10252" max="10252" width="11" style="556" customWidth="1"/>
    <col min="10253" max="10253" width="1.33203125" style="556" customWidth="1"/>
    <col min="10254" max="10254" width="10.77734375" style="556" customWidth="1"/>
    <col min="10255" max="10255" width="1.33203125" style="556" customWidth="1"/>
    <col min="10256" max="10256" width="10" style="556" customWidth="1"/>
    <col min="10257" max="10257" width="1.33203125" style="556" customWidth="1"/>
    <col min="10258" max="10258" width="9.33203125" style="556" customWidth="1"/>
    <col min="10259" max="10259" width="1.33203125" style="556" customWidth="1"/>
    <col min="10260" max="10260" width="7.77734375" style="556" customWidth="1"/>
    <col min="10261" max="10261" width="1.33203125" style="556" customWidth="1"/>
    <col min="10262" max="10262" width="0.77734375" style="556" customWidth="1"/>
    <col min="10263" max="10263" width="9.33203125" style="556" customWidth="1"/>
    <col min="10264" max="10264" width="1.33203125" style="556" customWidth="1"/>
    <col min="10265" max="10265" width="0.88671875" style="556" customWidth="1"/>
    <col min="10266" max="10266" width="9.5546875" style="556" bestFit="1" customWidth="1"/>
    <col min="10267" max="10268" width="0.6640625" style="556" customWidth="1"/>
    <col min="10269" max="10269" width="9.6640625" style="556" customWidth="1"/>
    <col min="10270" max="10270" width="1.109375" style="556" customWidth="1"/>
    <col min="10271" max="10271" width="8.5546875" style="556" customWidth="1"/>
    <col min="10272" max="10272" width="14.5546875" style="556" customWidth="1"/>
    <col min="10273" max="10273" width="10" style="556" customWidth="1"/>
    <col min="10274" max="10274" width="7.77734375" style="556" bestFit="1" customWidth="1"/>
    <col min="10275" max="10275" width="9.88671875" style="556" customWidth="1"/>
    <col min="10276" max="10492" width="8.88671875" style="556"/>
    <col min="10493" max="10493" width="38.44140625" style="556" customWidth="1"/>
    <col min="10494" max="10494" width="8.5546875" style="556" customWidth="1"/>
    <col min="10495" max="10495" width="1.33203125" style="556" customWidth="1"/>
    <col min="10496" max="10496" width="8.88671875" style="556" customWidth="1"/>
    <col min="10497" max="10497" width="1.33203125" style="556" customWidth="1"/>
    <col min="10498" max="10498" width="9.33203125" style="556" customWidth="1"/>
    <col min="10499" max="10499" width="1.33203125" style="556" customWidth="1"/>
    <col min="10500" max="10500" width="10" style="556" customWidth="1"/>
    <col min="10501" max="10501" width="1.33203125" style="556" customWidth="1"/>
    <col min="10502" max="10502" width="9.109375" style="556" customWidth="1"/>
    <col min="10503" max="10503" width="1.33203125" style="556" customWidth="1"/>
    <col min="10504" max="10504" width="11.33203125" style="556" customWidth="1"/>
    <col min="10505" max="10505" width="1.33203125" style="556" customWidth="1"/>
    <col min="10506" max="10506" width="9.109375" style="556" customWidth="1"/>
    <col min="10507" max="10507" width="1.6640625" style="556" customWidth="1"/>
    <col min="10508" max="10508" width="11" style="556" customWidth="1"/>
    <col min="10509" max="10509" width="1.33203125" style="556" customWidth="1"/>
    <col min="10510" max="10510" width="10.77734375" style="556" customWidth="1"/>
    <col min="10511" max="10511" width="1.33203125" style="556" customWidth="1"/>
    <col min="10512" max="10512" width="10" style="556" customWidth="1"/>
    <col min="10513" max="10513" width="1.33203125" style="556" customWidth="1"/>
    <col min="10514" max="10514" width="9.33203125" style="556" customWidth="1"/>
    <col min="10515" max="10515" width="1.33203125" style="556" customWidth="1"/>
    <col min="10516" max="10516" width="7.77734375" style="556" customWidth="1"/>
    <col min="10517" max="10517" width="1.33203125" style="556" customWidth="1"/>
    <col min="10518" max="10518" width="0.77734375" style="556" customWidth="1"/>
    <col min="10519" max="10519" width="9.33203125" style="556" customWidth="1"/>
    <col min="10520" max="10520" width="1.33203125" style="556" customWidth="1"/>
    <col min="10521" max="10521" width="0.88671875" style="556" customWidth="1"/>
    <col min="10522" max="10522" width="9.5546875" style="556" bestFit="1" customWidth="1"/>
    <col min="10523" max="10524" width="0.6640625" style="556" customWidth="1"/>
    <col min="10525" max="10525" width="9.6640625" style="556" customWidth="1"/>
    <col min="10526" max="10526" width="1.109375" style="556" customWidth="1"/>
    <col min="10527" max="10527" width="8.5546875" style="556" customWidth="1"/>
    <col min="10528" max="10528" width="14.5546875" style="556" customWidth="1"/>
    <col min="10529" max="10529" width="10" style="556" customWidth="1"/>
    <col min="10530" max="10530" width="7.77734375" style="556" bestFit="1" customWidth="1"/>
    <col min="10531" max="10531" width="9.88671875" style="556" customWidth="1"/>
    <col min="10532" max="10748" width="8.88671875" style="556"/>
    <col min="10749" max="10749" width="38.44140625" style="556" customWidth="1"/>
    <col min="10750" max="10750" width="8.5546875" style="556" customWidth="1"/>
    <col min="10751" max="10751" width="1.33203125" style="556" customWidth="1"/>
    <col min="10752" max="10752" width="8.88671875" style="556" customWidth="1"/>
    <col min="10753" max="10753" width="1.33203125" style="556" customWidth="1"/>
    <col min="10754" max="10754" width="9.33203125" style="556" customWidth="1"/>
    <col min="10755" max="10755" width="1.33203125" style="556" customWidth="1"/>
    <col min="10756" max="10756" width="10" style="556" customWidth="1"/>
    <col min="10757" max="10757" width="1.33203125" style="556" customWidth="1"/>
    <col min="10758" max="10758" width="9.109375" style="556" customWidth="1"/>
    <col min="10759" max="10759" width="1.33203125" style="556" customWidth="1"/>
    <col min="10760" max="10760" width="11.33203125" style="556" customWidth="1"/>
    <col min="10761" max="10761" width="1.33203125" style="556" customWidth="1"/>
    <col min="10762" max="10762" width="9.109375" style="556" customWidth="1"/>
    <col min="10763" max="10763" width="1.6640625" style="556" customWidth="1"/>
    <col min="10764" max="10764" width="11" style="556" customWidth="1"/>
    <col min="10765" max="10765" width="1.33203125" style="556" customWidth="1"/>
    <col min="10766" max="10766" width="10.77734375" style="556" customWidth="1"/>
    <col min="10767" max="10767" width="1.33203125" style="556" customWidth="1"/>
    <col min="10768" max="10768" width="10" style="556" customWidth="1"/>
    <col min="10769" max="10769" width="1.33203125" style="556" customWidth="1"/>
    <col min="10770" max="10770" width="9.33203125" style="556" customWidth="1"/>
    <col min="10771" max="10771" width="1.33203125" style="556" customWidth="1"/>
    <col min="10772" max="10772" width="7.77734375" style="556" customWidth="1"/>
    <col min="10773" max="10773" width="1.33203125" style="556" customWidth="1"/>
    <col min="10774" max="10774" width="0.77734375" style="556" customWidth="1"/>
    <col min="10775" max="10775" width="9.33203125" style="556" customWidth="1"/>
    <col min="10776" max="10776" width="1.33203125" style="556" customWidth="1"/>
    <col min="10777" max="10777" width="0.88671875" style="556" customWidth="1"/>
    <col min="10778" max="10778" width="9.5546875" style="556" bestFit="1" customWidth="1"/>
    <col min="10779" max="10780" width="0.6640625" style="556" customWidth="1"/>
    <col min="10781" max="10781" width="9.6640625" style="556" customWidth="1"/>
    <col min="10782" max="10782" width="1.109375" style="556" customWidth="1"/>
    <col min="10783" max="10783" width="8.5546875" style="556" customWidth="1"/>
    <col min="10784" max="10784" width="14.5546875" style="556" customWidth="1"/>
    <col min="10785" max="10785" width="10" style="556" customWidth="1"/>
    <col min="10786" max="10786" width="7.77734375" style="556" bestFit="1" customWidth="1"/>
    <col min="10787" max="10787" width="9.88671875" style="556" customWidth="1"/>
    <col min="10788" max="11004" width="8.88671875" style="556"/>
    <col min="11005" max="11005" width="38.44140625" style="556" customWidth="1"/>
    <col min="11006" max="11006" width="8.5546875" style="556" customWidth="1"/>
    <col min="11007" max="11007" width="1.33203125" style="556" customWidth="1"/>
    <col min="11008" max="11008" width="8.88671875" style="556" customWidth="1"/>
    <col min="11009" max="11009" width="1.33203125" style="556" customWidth="1"/>
    <col min="11010" max="11010" width="9.33203125" style="556" customWidth="1"/>
    <col min="11011" max="11011" width="1.33203125" style="556" customWidth="1"/>
    <col min="11012" max="11012" width="10" style="556" customWidth="1"/>
    <col min="11013" max="11013" width="1.33203125" style="556" customWidth="1"/>
    <col min="11014" max="11014" width="9.109375" style="556" customWidth="1"/>
    <col min="11015" max="11015" width="1.33203125" style="556" customWidth="1"/>
    <col min="11016" max="11016" width="11.33203125" style="556" customWidth="1"/>
    <col min="11017" max="11017" width="1.33203125" style="556" customWidth="1"/>
    <col min="11018" max="11018" width="9.109375" style="556" customWidth="1"/>
    <col min="11019" max="11019" width="1.6640625" style="556" customWidth="1"/>
    <col min="11020" max="11020" width="11" style="556" customWidth="1"/>
    <col min="11021" max="11021" width="1.33203125" style="556" customWidth="1"/>
    <col min="11022" max="11022" width="10.77734375" style="556" customWidth="1"/>
    <col min="11023" max="11023" width="1.33203125" style="556" customWidth="1"/>
    <col min="11024" max="11024" width="10" style="556" customWidth="1"/>
    <col min="11025" max="11025" width="1.33203125" style="556" customWidth="1"/>
    <col min="11026" max="11026" width="9.33203125" style="556" customWidth="1"/>
    <col min="11027" max="11027" width="1.33203125" style="556" customWidth="1"/>
    <col min="11028" max="11028" width="7.77734375" style="556" customWidth="1"/>
    <col min="11029" max="11029" width="1.33203125" style="556" customWidth="1"/>
    <col min="11030" max="11030" width="0.77734375" style="556" customWidth="1"/>
    <col min="11031" max="11031" width="9.33203125" style="556" customWidth="1"/>
    <col min="11032" max="11032" width="1.33203125" style="556" customWidth="1"/>
    <col min="11033" max="11033" width="0.88671875" style="556" customWidth="1"/>
    <col min="11034" max="11034" width="9.5546875" style="556" bestFit="1" customWidth="1"/>
    <col min="11035" max="11036" width="0.6640625" style="556" customWidth="1"/>
    <col min="11037" max="11037" width="9.6640625" style="556" customWidth="1"/>
    <col min="11038" max="11038" width="1.109375" style="556" customWidth="1"/>
    <col min="11039" max="11039" width="8.5546875" style="556" customWidth="1"/>
    <col min="11040" max="11040" width="14.5546875" style="556" customWidth="1"/>
    <col min="11041" max="11041" width="10" style="556" customWidth="1"/>
    <col min="11042" max="11042" width="7.77734375" style="556" bestFit="1" customWidth="1"/>
    <col min="11043" max="11043" width="9.88671875" style="556" customWidth="1"/>
    <col min="11044" max="11260" width="8.88671875" style="556"/>
    <col min="11261" max="11261" width="38.44140625" style="556" customWidth="1"/>
    <col min="11262" max="11262" width="8.5546875" style="556" customWidth="1"/>
    <col min="11263" max="11263" width="1.33203125" style="556" customWidth="1"/>
    <col min="11264" max="11264" width="8.88671875" style="556" customWidth="1"/>
    <col min="11265" max="11265" width="1.33203125" style="556" customWidth="1"/>
    <col min="11266" max="11266" width="9.33203125" style="556" customWidth="1"/>
    <col min="11267" max="11267" width="1.33203125" style="556" customWidth="1"/>
    <col min="11268" max="11268" width="10" style="556" customWidth="1"/>
    <col min="11269" max="11269" width="1.33203125" style="556" customWidth="1"/>
    <col min="11270" max="11270" width="9.109375" style="556" customWidth="1"/>
    <col min="11271" max="11271" width="1.33203125" style="556" customWidth="1"/>
    <col min="11272" max="11272" width="11.33203125" style="556" customWidth="1"/>
    <col min="11273" max="11273" width="1.33203125" style="556" customWidth="1"/>
    <col min="11274" max="11274" width="9.109375" style="556" customWidth="1"/>
    <col min="11275" max="11275" width="1.6640625" style="556" customWidth="1"/>
    <col min="11276" max="11276" width="11" style="556" customWidth="1"/>
    <col min="11277" max="11277" width="1.33203125" style="556" customWidth="1"/>
    <col min="11278" max="11278" width="10.77734375" style="556" customWidth="1"/>
    <col min="11279" max="11279" width="1.33203125" style="556" customWidth="1"/>
    <col min="11280" max="11280" width="10" style="556" customWidth="1"/>
    <col min="11281" max="11281" width="1.33203125" style="556" customWidth="1"/>
    <col min="11282" max="11282" width="9.33203125" style="556" customWidth="1"/>
    <col min="11283" max="11283" width="1.33203125" style="556" customWidth="1"/>
    <col min="11284" max="11284" width="7.77734375" style="556" customWidth="1"/>
    <col min="11285" max="11285" width="1.33203125" style="556" customWidth="1"/>
    <col min="11286" max="11286" width="0.77734375" style="556" customWidth="1"/>
    <col min="11287" max="11287" width="9.33203125" style="556" customWidth="1"/>
    <col min="11288" max="11288" width="1.33203125" style="556" customWidth="1"/>
    <col min="11289" max="11289" width="0.88671875" style="556" customWidth="1"/>
    <col min="11290" max="11290" width="9.5546875" style="556" bestFit="1" customWidth="1"/>
    <col min="11291" max="11292" width="0.6640625" style="556" customWidth="1"/>
    <col min="11293" max="11293" width="9.6640625" style="556" customWidth="1"/>
    <col min="11294" max="11294" width="1.109375" style="556" customWidth="1"/>
    <col min="11295" max="11295" width="8.5546875" style="556" customWidth="1"/>
    <col min="11296" max="11296" width="14.5546875" style="556" customWidth="1"/>
    <col min="11297" max="11297" width="10" style="556" customWidth="1"/>
    <col min="11298" max="11298" width="7.77734375" style="556" bestFit="1" customWidth="1"/>
    <col min="11299" max="11299" width="9.88671875" style="556" customWidth="1"/>
    <col min="11300" max="11516" width="8.88671875" style="556"/>
    <col min="11517" max="11517" width="38.44140625" style="556" customWidth="1"/>
    <col min="11518" max="11518" width="8.5546875" style="556" customWidth="1"/>
    <col min="11519" max="11519" width="1.33203125" style="556" customWidth="1"/>
    <col min="11520" max="11520" width="8.88671875" style="556" customWidth="1"/>
    <col min="11521" max="11521" width="1.33203125" style="556" customWidth="1"/>
    <col min="11522" max="11522" width="9.33203125" style="556" customWidth="1"/>
    <col min="11523" max="11523" width="1.33203125" style="556" customWidth="1"/>
    <col min="11524" max="11524" width="10" style="556" customWidth="1"/>
    <col min="11525" max="11525" width="1.33203125" style="556" customWidth="1"/>
    <col min="11526" max="11526" width="9.109375" style="556" customWidth="1"/>
    <col min="11527" max="11527" width="1.33203125" style="556" customWidth="1"/>
    <col min="11528" max="11528" width="11.33203125" style="556" customWidth="1"/>
    <col min="11529" max="11529" width="1.33203125" style="556" customWidth="1"/>
    <col min="11530" max="11530" width="9.109375" style="556" customWidth="1"/>
    <col min="11531" max="11531" width="1.6640625" style="556" customWidth="1"/>
    <col min="11532" max="11532" width="11" style="556" customWidth="1"/>
    <col min="11533" max="11533" width="1.33203125" style="556" customWidth="1"/>
    <col min="11534" max="11534" width="10.77734375" style="556" customWidth="1"/>
    <col min="11535" max="11535" width="1.33203125" style="556" customWidth="1"/>
    <col min="11536" max="11536" width="10" style="556" customWidth="1"/>
    <col min="11537" max="11537" width="1.33203125" style="556" customWidth="1"/>
    <col min="11538" max="11538" width="9.33203125" style="556" customWidth="1"/>
    <col min="11539" max="11539" width="1.33203125" style="556" customWidth="1"/>
    <col min="11540" max="11540" width="7.77734375" style="556" customWidth="1"/>
    <col min="11541" max="11541" width="1.33203125" style="556" customWidth="1"/>
    <col min="11542" max="11542" width="0.77734375" style="556" customWidth="1"/>
    <col min="11543" max="11543" width="9.33203125" style="556" customWidth="1"/>
    <col min="11544" max="11544" width="1.33203125" style="556" customWidth="1"/>
    <col min="11545" max="11545" width="0.88671875" style="556" customWidth="1"/>
    <col min="11546" max="11546" width="9.5546875" style="556" bestFit="1" customWidth="1"/>
    <col min="11547" max="11548" width="0.6640625" style="556" customWidth="1"/>
    <col min="11549" max="11549" width="9.6640625" style="556" customWidth="1"/>
    <col min="11550" max="11550" width="1.109375" style="556" customWidth="1"/>
    <col min="11551" max="11551" width="8.5546875" style="556" customWidth="1"/>
    <col min="11552" max="11552" width="14.5546875" style="556" customWidth="1"/>
    <col min="11553" max="11553" width="10" style="556" customWidth="1"/>
    <col min="11554" max="11554" width="7.77734375" style="556" bestFit="1" customWidth="1"/>
    <col min="11555" max="11555" width="9.88671875" style="556" customWidth="1"/>
    <col min="11556" max="11772" width="8.88671875" style="556"/>
    <col min="11773" max="11773" width="38.44140625" style="556" customWidth="1"/>
    <col min="11774" max="11774" width="8.5546875" style="556" customWidth="1"/>
    <col min="11775" max="11775" width="1.33203125" style="556" customWidth="1"/>
    <col min="11776" max="11776" width="8.88671875" style="556" customWidth="1"/>
    <col min="11777" max="11777" width="1.33203125" style="556" customWidth="1"/>
    <col min="11778" max="11778" width="9.33203125" style="556" customWidth="1"/>
    <col min="11779" max="11779" width="1.33203125" style="556" customWidth="1"/>
    <col min="11780" max="11780" width="10" style="556" customWidth="1"/>
    <col min="11781" max="11781" width="1.33203125" style="556" customWidth="1"/>
    <col min="11782" max="11782" width="9.109375" style="556" customWidth="1"/>
    <col min="11783" max="11783" width="1.33203125" style="556" customWidth="1"/>
    <col min="11784" max="11784" width="11.33203125" style="556" customWidth="1"/>
    <col min="11785" max="11785" width="1.33203125" style="556" customWidth="1"/>
    <col min="11786" max="11786" width="9.109375" style="556" customWidth="1"/>
    <col min="11787" max="11787" width="1.6640625" style="556" customWidth="1"/>
    <col min="11788" max="11788" width="11" style="556" customWidth="1"/>
    <col min="11789" max="11789" width="1.33203125" style="556" customWidth="1"/>
    <col min="11790" max="11790" width="10.77734375" style="556" customWidth="1"/>
    <col min="11791" max="11791" width="1.33203125" style="556" customWidth="1"/>
    <col min="11792" max="11792" width="10" style="556" customWidth="1"/>
    <col min="11793" max="11793" width="1.33203125" style="556" customWidth="1"/>
    <col min="11794" max="11794" width="9.33203125" style="556" customWidth="1"/>
    <col min="11795" max="11795" width="1.33203125" style="556" customWidth="1"/>
    <col min="11796" max="11796" width="7.77734375" style="556" customWidth="1"/>
    <col min="11797" max="11797" width="1.33203125" style="556" customWidth="1"/>
    <col min="11798" max="11798" width="0.77734375" style="556" customWidth="1"/>
    <col min="11799" max="11799" width="9.33203125" style="556" customWidth="1"/>
    <col min="11800" max="11800" width="1.33203125" style="556" customWidth="1"/>
    <col min="11801" max="11801" width="0.88671875" style="556" customWidth="1"/>
    <col min="11802" max="11802" width="9.5546875" style="556" bestFit="1" customWidth="1"/>
    <col min="11803" max="11804" width="0.6640625" style="556" customWidth="1"/>
    <col min="11805" max="11805" width="9.6640625" style="556" customWidth="1"/>
    <col min="11806" max="11806" width="1.109375" style="556" customWidth="1"/>
    <col min="11807" max="11807" width="8.5546875" style="556" customWidth="1"/>
    <col min="11808" max="11808" width="14.5546875" style="556" customWidth="1"/>
    <col min="11809" max="11809" width="10" style="556" customWidth="1"/>
    <col min="11810" max="11810" width="7.77734375" style="556" bestFit="1" customWidth="1"/>
    <col min="11811" max="11811" width="9.88671875" style="556" customWidth="1"/>
    <col min="11812" max="12028" width="8.88671875" style="556"/>
    <col min="12029" max="12029" width="38.44140625" style="556" customWidth="1"/>
    <col min="12030" max="12030" width="8.5546875" style="556" customWidth="1"/>
    <col min="12031" max="12031" width="1.33203125" style="556" customWidth="1"/>
    <col min="12032" max="12032" width="8.88671875" style="556" customWidth="1"/>
    <col min="12033" max="12033" width="1.33203125" style="556" customWidth="1"/>
    <col min="12034" max="12034" width="9.33203125" style="556" customWidth="1"/>
    <col min="12035" max="12035" width="1.33203125" style="556" customWidth="1"/>
    <col min="12036" max="12036" width="10" style="556" customWidth="1"/>
    <col min="12037" max="12037" width="1.33203125" style="556" customWidth="1"/>
    <col min="12038" max="12038" width="9.109375" style="556" customWidth="1"/>
    <col min="12039" max="12039" width="1.33203125" style="556" customWidth="1"/>
    <col min="12040" max="12040" width="11.33203125" style="556" customWidth="1"/>
    <col min="12041" max="12041" width="1.33203125" style="556" customWidth="1"/>
    <col min="12042" max="12042" width="9.109375" style="556" customWidth="1"/>
    <col min="12043" max="12043" width="1.6640625" style="556" customWidth="1"/>
    <col min="12044" max="12044" width="11" style="556" customWidth="1"/>
    <col min="12045" max="12045" width="1.33203125" style="556" customWidth="1"/>
    <col min="12046" max="12046" width="10.77734375" style="556" customWidth="1"/>
    <col min="12047" max="12047" width="1.33203125" style="556" customWidth="1"/>
    <col min="12048" max="12048" width="10" style="556" customWidth="1"/>
    <col min="12049" max="12049" width="1.33203125" style="556" customWidth="1"/>
    <col min="12050" max="12050" width="9.33203125" style="556" customWidth="1"/>
    <col min="12051" max="12051" width="1.33203125" style="556" customWidth="1"/>
    <col min="12052" max="12052" width="7.77734375" style="556" customWidth="1"/>
    <col min="12053" max="12053" width="1.33203125" style="556" customWidth="1"/>
    <col min="12054" max="12054" width="0.77734375" style="556" customWidth="1"/>
    <col min="12055" max="12055" width="9.33203125" style="556" customWidth="1"/>
    <col min="12056" max="12056" width="1.33203125" style="556" customWidth="1"/>
    <col min="12057" max="12057" width="0.88671875" style="556" customWidth="1"/>
    <col min="12058" max="12058" width="9.5546875" style="556" bestFit="1" customWidth="1"/>
    <col min="12059" max="12060" width="0.6640625" style="556" customWidth="1"/>
    <col min="12061" max="12061" width="9.6640625" style="556" customWidth="1"/>
    <col min="12062" max="12062" width="1.109375" style="556" customWidth="1"/>
    <col min="12063" max="12063" width="8.5546875" style="556" customWidth="1"/>
    <col min="12064" max="12064" width="14.5546875" style="556" customWidth="1"/>
    <col min="12065" max="12065" width="10" style="556" customWidth="1"/>
    <col min="12066" max="12066" width="7.77734375" style="556" bestFit="1" customWidth="1"/>
    <col min="12067" max="12067" width="9.88671875" style="556" customWidth="1"/>
    <col min="12068" max="12284" width="8.88671875" style="556"/>
    <col min="12285" max="12285" width="38.44140625" style="556" customWidth="1"/>
    <col min="12286" max="12286" width="8.5546875" style="556" customWidth="1"/>
    <col min="12287" max="12287" width="1.33203125" style="556" customWidth="1"/>
    <col min="12288" max="12288" width="8.88671875" style="556" customWidth="1"/>
    <col min="12289" max="12289" width="1.33203125" style="556" customWidth="1"/>
    <col min="12290" max="12290" width="9.33203125" style="556" customWidth="1"/>
    <col min="12291" max="12291" width="1.33203125" style="556" customWidth="1"/>
    <col min="12292" max="12292" width="10" style="556" customWidth="1"/>
    <col min="12293" max="12293" width="1.33203125" style="556" customWidth="1"/>
    <col min="12294" max="12294" width="9.109375" style="556" customWidth="1"/>
    <col min="12295" max="12295" width="1.33203125" style="556" customWidth="1"/>
    <col min="12296" max="12296" width="11.33203125" style="556" customWidth="1"/>
    <col min="12297" max="12297" width="1.33203125" style="556" customWidth="1"/>
    <col min="12298" max="12298" width="9.109375" style="556" customWidth="1"/>
    <col min="12299" max="12299" width="1.6640625" style="556" customWidth="1"/>
    <col min="12300" max="12300" width="11" style="556" customWidth="1"/>
    <col min="12301" max="12301" width="1.33203125" style="556" customWidth="1"/>
    <col min="12302" max="12302" width="10.77734375" style="556" customWidth="1"/>
    <col min="12303" max="12303" width="1.33203125" style="556" customWidth="1"/>
    <col min="12304" max="12304" width="10" style="556" customWidth="1"/>
    <col min="12305" max="12305" width="1.33203125" style="556" customWidth="1"/>
    <col min="12306" max="12306" width="9.33203125" style="556" customWidth="1"/>
    <col min="12307" max="12307" width="1.33203125" style="556" customWidth="1"/>
    <col min="12308" max="12308" width="7.77734375" style="556" customWidth="1"/>
    <col min="12309" max="12309" width="1.33203125" style="556" customWidth="1"/>
    <col min="12310" max="12310" width="0.77734375" style="556" customWidth="1"/>
    <col min="12311" max="12311" width="9.33203125" style="556" customWidth="1"/>
    <col min="12312" max="12312" width="1.33203125" style="556" customWidth="1"/>
    <col min="12313" max="12313" width="0.88671875" style="556" customWidth="1"/>
    <col min="12314" max="12314" width="9.5546875" style="556" bestFit="1" customWidth="1"/>
    <col min="12315" max="12316" width="0.6640625" style="556" customWidth="1"/>
    <col min="12317" max="12317" width="9.6640625" style="556" customWidth="1"/>
    <col min="12318" max="12318" width="1.109375" style="556" customWidth="1"/>
    <col min="12319" max="12319" width="8.5546875" style="556" customWidth="1"/>
    <col min="12320" max="12320" width="14.5546875" style="556" customWidth="1"/>
    <col min="12321" max="12321" width="10" style="556" customWidth="1"/>
    <col min="12322" max="12322" width="7.77734375" style="556" bestFit="1" customWidth="1"/>
    <col min="12323" max="12323" width="9.88671875" style="556" customWidth="1"/>
    <col min="12324" max="12540" width="8.88671875" style="556"/>
    <col min="12541" max="12541" width="38.44140625" style="556" customWidth="1"/>
    <col min="12542" max="12542" width="8.5546875" style="556" customWidth="1"/>
    <col min="12543" max="12543" width="1.33203125" style="556" customWidth="1"/>
    <col min="12544" max="12544" width="8.88671875" style="556" customWidth="1"/>
    <col min="12545" max="12545" width="1.33203125" style="556" customWidth="1"/>
    <col min="12546" max="12546" width="9.33203125" style="556" customWidth="1"/>
    <col min="12547" max="12547" width="1.33203125" style="556" customWidth="1"/>
    <col min="12548" max="12548" width="10" style="556" customWidth="1"/>
    <col min="12549" max="12549" width="1.33203125" style="556" customWidth="1"/>
    <col min="12550" max="12550" width="9.109375" style="556" customWidth="1"/>
    <col min="12551" max="12551" width="1.33203125" style="556" customWidth="1"/>
    <col min="12552" max="12552" width="11.33203125" style="556" customWidth="1"/>
    <col min="12553" max="12553" width="1.33203125" style="556" customWidth="1"/>
    <col min="12554" max="12554" width="9.109375" style="556" customWidth="1"/>
    <col min="12555" max="12555" width="1.6640625" style="556" customWidth="1"/>
    <col min="12556" max="12556" width="11" style="556" customWidth="1"/>
    <col min="12557" max="12557" width="1.33203125" style="556" customWidth="1"/>
    <col min="12558" max="12558" width="10.77734375" style="556" customWidth="1"/>
    <col min="12559" max="12559" width="1.33203125" style="556" customWidth="1"/>
    <col min="12560" max="12560" width="10" style="556" customWidth="1"/>
    <col min="12561" max="12561" width="1.33203125" style="556" customWidth="1"/>
    <col min="12562" max="12562" width="9.33203125" style="556" customWidth="1"/>
    <col min="12563" max="12563" width="1.33203125" style="556" customWidth="1"/>
    <col min="12564" max="12564" width="7.77734375" style="556" customWidth="1"/>
    <col min="12565" max="12565" width="1.33203125" style="556" customWidth="1"/>
    <col min="12566" max="12566" width="0.77734375" style="556" customWidth="1"/>
    <col min="12567" max="12567" width="9.33203125" style="556" customWidth="1"/>
    <col min="12568" max="12568" width="1.33203125" style="556" customWidth="1"/>
    <col min="12569" max="12569" width="0.88671875" style="556" customWidth="1"/>
    <col min="12570" max="12570" width="9.5546875" style="556" bestFit="1" customWidth="1"/>
    <col min="12571" max="12572" width="0.6640625" style="556" customWidth="1"/>
    <col min="12573" max="12573" width="9.6640625" style="556" customWidth="1"/>
    <col min="12574" max="12574" width="1.109375" style="556" customWidth="1"/>
    <col min="12575" max="12575" width="8.5546875" style="556" customWidth="1"/>
    <col min="12576" max="12576" width="14.5546875" style="556" customWidth="1"/>
    <col min="12577" max="12577" width="10" style="556" customWidth="1"/>
    <col min="12578" max="12578" width="7.77734375" style="556" bestFit="1" customWidth="1"/>
    <col min="12579" max="12579" width="9.88671875" style="556" customWidth="1"/>
    <col min="12580" max="12796" width="8.88671875" style="556"/>
    <col min="12797" max="12797" width="38.44140625" style="556" customWidth="1"/>
    <col min="12798" max="12798" width="8.5546875" style="556" customWidth="1"/>
    <col min="12799" max="12799" width="1.33203125" style="556" customWidth="1"/>
    <col min="12800" max="12800" width="8.88671875" style="556" customWidth="1"/>
    <col min="12801" max="12801" width="1.33203125" style="556" customWidth="1"/>
    <col min="12802" max="12802" width="9.33203125" style="556" customWidth="1"/>
    <col min="12803" max="12803" width="1.33203125" style="556" customWidth="1"/>
    <col min="12804" max="12804" width="10" style="556" customWidth="1"/>
    <col min="12805" max="12805" width="1.33203125" style="556" customWidth="1"/>
    <col min="12806" max="12806" width="9.109375" style="556" customWidth="1"/>
    <col min="12807" max="12807" width="1.33203125" style="556" customWidth="1"/>
    <col min="12808" max="12808" width="11.33203125" style="556" customWidth="1"/>
    <col min="12809" max="12809" width="1.33203125" style="556" customWidth="1"/>
    <col min="12810" max="12810" width="9.109375" style="556" customWidth="1"/>
    <col min="12811" max="12811" width="1.6640625" style="556" customWidth="1"/>
    <col min="12812" max="12812" width="11" style="556" customWidth="1"/>
    <col min="12813" max="12813" width="1.33203125" style="556" customWidth="1"/>
    <col min="12814" max="12814" width="10.77734375" style="556" customWidth="1"/>
    <col min="12815" max="12815" width="1.33203125" style="556" customWidth="1"/>
    <col min="12816" max="12816" width="10" style="556" customWidth="1"/>
    <col min="12817" max="12817" width="1.33203125" style="556" customWidth="1"/>
    <col min="12818" max="12818" width="9.33203125" style="556" customWidth="1"/>
    <col min="12819" max="12819" width="1.33203125" style="556" customWidth="1"/>
    <col min="12820" max="12820" width="7.77734375" style="556" customWidth="1"/>
    <col min="12821" max="12821" width="1.33203125" style="556" customWidth="1"/>
    <col min="12822" max="12822" width="0.77734375" style="556" customWidth="1"/>
    <col min="12823" max="12823" width="9.33203125" style="556" customWidth="1"/>
    <col min="12824" max="12824" width="1.33203125" style="556" customWidth="1"/>
    <col min="12825" max="12825" width="0.88671875" style="556" customWidth="1"/>
    <col min="12826" max="12826" width="9.5546875" style="556" bestFit="1" customWidth="1"/>
    <col min="12827" max="12828" width="0.6640625" style="556" customWidth="1"/>
    <col min="12829" max="12829" width="9.6640625" style="556" customWidth="1"/>
    <col min="12830" max="12830" width="1.109375" style="556" customWidth="1"/>
    <col min="12831" max="12831" width="8.5546875" style="556" customWidth="1"/>
    <col min="12832" max="12832" width="14.5546875" style="556" customWidth="1"/>
    <col min="12833" max="12833" width="10" style="556" customWidth="1"/>
    <col min="12834" max="12834" width="7.77734375" style="556" bestFit="1" customWidth="1"/>
    <col min="12835" max="12835" width="9.88671875" style="556" customWidth="1"/>
    <col min="12836" max="13052" width="8.88671875" style="556"/>
    <col min="13053" max="13053" width="38.44140625" style="556" customWidth="1"/>
    <col min="13054" max="13054" width="8.5546875" style="556" customWidth="1"/>
    <col min="13055" max="13055" width="1.33203125" style="556" customWidth="1"/>
    <col min="13056" max="13056" width="8.88671875" style="556" customWidth="1"/>
    <col min="13057" max="13057" width="1.33203125" style="556" customWidth="1"/>
    <col min="13058" max="13058" width="9.33203125" style="556" customWidth="1"/>
    <col min="13059" max="13059" width="1.33203125" style="556" customWidth="1"/>
    <col min="13060" max="13060" width="10" style="556" customWidth="1"/>
    <col min="13061" max="13061" width="1.33203125" style="556" customWidth="1"/>
    <col min="13062" max="13062" width="9.109375" style="556" customWidth="1"/>
    <col min="13063" max="13063" width="1.33203125" style="556" customWidth="1"/>
    <col min="13064" max="13064" width="11.33203125" style="556" customWidth="1"/>
    <col min="13065" max="13065" width="1.33203125" style="556" customWidth="1"/>
    <col min="13066" max="13066" width="9.109375" style="556" customWidth="1"/>
    <col min="13067" max="13067" width="1.6640625" style="556" customWidth="1"/>
    <col min="13068" max="13068" width="11" style="556" customWidth="1"/>
    <col min="13069" max="13069" width="1.33203125" style="556" customWidth="1"/>
    <col min="13070" max="13070" width="10.77734375" style="556" customWidth="1"/>
    <col min="13071" max="13071" width="1.33203125" style="556" customWidth="1"/>
    <col min="13072" max="13072" width="10" style="556" customWidth="1"/>
    <col min="13073" max="13073" width="1.33203125" style="556" customWidth="1"/>
    <col min="13074" max="13074" width="9.33203125" style="556" customWidth="1"/>
    <col min="13075" max="13075" width="1.33203125" style="556" customWidth="1"/>
    <col min="13076" max="13076" width="7.77734375" style="556" customWidth="1"/>
    <col min="13077" max="13077" width="1.33203125" style="556" customWidth="1"/>
    <col min="13078" max="13078" width="0.77734375" style="556" customWidth="1"/>
    <col min="13079" max="13079" width="9.33203125" style="556" customWidth="1"/>
    <col min="13080" max="13080" width="1.33203125" style="556" customWidth="1"/>
    <col min="13081" max="13081" width="0.88671875" style="556" customWidth="1"/>
    <col min="13082" max="13082" width="9.5546875" style="556" bestFit="1" customWidth="1"/>
    <col min="13083" max="13084" width="0.6640625" style="556" customWidth="1"/>
    <col min="13085" max="13085" width="9.6640625" style="556" customWidth="1"/>
    <col min="13086" max="13086" width="1.109375" style="556" customWidth="1"/>
    <col min="13087" max="13087" width="8.5546875" style="556" customWidth="1"/>
    <col min="13088" max="13088" width="14.5546875" style="556" customWidth="1"/>
    <col min="13089" max="13089" width="10" style="556" customWidth="1"/>
    <col min="13090" max="13090" width="7.77734375" style="556" bestFit="1" customWidth="1"/>
    <col min="13091" max="13091" width="9.88671875" style="556" customWidth="1"/>
    <col min="13092" max="13308" width="8.88671875" style="556"/>
    <col min="13309" max="13309" width="38.44140625" style="556" customWidth="1"/>
    <col min="13310" max="13310" width="8.5546875" style="556" customWidth="1"/>
    <col min="13311" max="13311" width="1.33203125" style="556" customWidth="1"/>
    <col min="13312" max="13312" width="8.88671875" style="556" customWidth="1"/>
    <col min="13313" max="13313" width="1.33203125" style="556" customWidth="1"/>
    <col min="13314" max="13314" width="9.33203125" style="556" customWidth="1"/>
    <col min="13315" max="13315" width="1.33203125" style="556" customWidth="1"/>
    <col min="13316" max="13316" width="10" style="556" customWidth="1"/>
    <col min="13317" max="13317" width="1.33203125" style="556" customWidth="1"/>
    <col min="13318" max="13318" width="9.109375" style="556" customWidth="1"/>
    <col min="13319" max="13319" width="1.33203125" style="556" customWidth="1"/>
    <col min="13320" max="13320" width="11.33203125" style="556" customWidth="1"/>
    <col min="13321" max="13321" width="1.33203125" style="556" customWidth="1"/>
    <col min="13322" max="13322" width="9.109375" style="556" customWidth="1"/>
    <col min="13323" max="13323" width="1.6640625" style="556" customWidth="1"/>
    <col min="13324" max="13324" width="11" style="556" customWidth="1"/>
    <col min="13325" max="13325" width="1.33203125" style="556" customWidth="1"/>
    <col min="13326" max="13326" width="10.77734375" style="556" customWidth="1"/>
    <col min="13327" max="13327" width="1.33203125" style="556" customWidth="1"/>
    <col min="13328" max="13328" width="10" style="556" customWidth="1"/>
    <col min="13329" max="13329" width="1.33203125" style="556" customWidth="1"/>
    <col min="13330" max="13330" width="9.33203125" style="556" customWidth="1"/>
    <col min="13331" max="13331" width="1.33203125" style="556" customWidth="1"/>
    <col min="13332" max="13332" width="7.77734375" style="556" customWidth="1"/>
    <col min="13333" max="13333" width="1.33203125" style="556" customWidth="1"/>
    <col min="13334" max="13334" width="0.77734375" style="556" customWidth="1"/>
    <col min="13335" max="13335" width="9.33203125" style="556" customWidth="1"/>
    <col min="13336" max="13336" width="1.33203125" style="556" customWidth="1"/>
    <col min="13337" max="13337" width="0.88671875" style="556" customWidth="1"/>
    <col min="13338" max="13338" width="9.5546875" style="556" bestFit="1" customWidth="1"/>
    <col min="13339" max="13340" width="0.6640625" style="556" customWidth="1"/>
    <col min="13341" max="13341" width="9.6640625" style="556" customWidth="1"/>
    <col min="13342" max="13342" width="1.109375" style="556" customWidth="1"/>
    <col min="13343" max="13343" width="8.5546875" style="556" customWidth="1"/>
    <col min="13344" max="13344" width="14.5546875" style="556" customWidth="1"/>
    <col min="13345" max="13345" width="10" style="556" customWidth="1"/>
    <col min="13346" max="13346" width="7.77734375" style="556" bestFit="1" customWidth="1"/>
    <col min="13347" max="13347" width="9.88671875" style="556" customWidth="1"/>
    <col min="13348" max="13564" width="8.88671875" style="556"/>
    <col min="13565" max="13565" width="38.44140625" style="556" customWidth="1"/>
    <col min="13566" max="13566" width="8.5546875" style="556" customWidth="1"/>
    <col min="13567" max="13567" width="1.33203125" style="556" customWidth="1"/>
    <col min="13568" max="13568" width="8.88671875" style="556" customWidth="1"/>
    <col min="13569" max="13569" width="1.33203125" style="556" customWidth="1"/>
    <col min="13570" max="13570" width="9.33203125" style="556" customWidth="1"/>
    <col min="13571" max="13571" width="1.33203125" style="556" customWidth="1"/>
    <col min="13572" max="13572" width="10" style="556" customWidth="1"/>
    <col min="13573" max="13573" width="1.33203125" style="556" customWidth="1"/>
    <col min="13574" max="13574" width="9.109375" style="556" customWidth="1"/>
    <col min="13575" max="13575" width="1.33203125" style="556" customWidth="1"/>
    <col min="13576" max="13576" width="11.33203125" style="556" customWidth="1"/>
    <col min="13577" max="13577" width="1.33203125" style="556" customWidth="1"/>
    <col min="13578" max="13578" width="9.109375" style="556" customWidth="1"/>
    <col min="13579" max="13579" width="1.6640625" style="556" customWidth="1"/>
    <col min="13580" max="13580" width="11" style="556" customWidth="1"/>
    <col min="13581" max="13581" width="1.33203125" style="556" customWidth="1"/>
    <col min="13582" max="13582" width="10.77734375" style="556" customWidth="1"/>
    <col min="13583" max="13583" width="1.33203125" style="556" customWidth="1"/>
    <col min="13584" max="13584" width="10" style="556" customWidth="1"/>
    <col min="13585" max="13585" width="1.33203125" style="556" customWidth="1"/>
    <col min="13586" max="13586" width="9.33203125" style="556" customWidth="1"/>
    <col min="13587" max="13587" width="1.33203125" style="556" customWidth="1"/>
    <col min="13588" max="13588" width="7.77734375" style="556" customWidth="1"/>
    <col min="13589" max="13589" width="1.33203125" style="556" customWidth="1"/>
    <col min="13590" max="13590" width="0.77734375" style="556" customWidth="1"/>
    <col min="13591" max="13591" width="9.33203125" style="556" customWidth="1"/>
    <col min="13592" max="13592" width="1.33203125" style="556" customWidth="1"/>
    <col min="13593" max="13593" width="0.88671875" style="556" customWidth="1"/>
    <col min="13594" max="13594" width="9.5546875" style="556" bestFit="1" customWidth="1"/>
    <col min="13595" max="13596" width="0.6640625" style="556" customWidth="1"/>
    <col min="13597" max="13597" width="9.6640625" style="556" customWidth="1"/>
    <col min="13598" max="13598" width="1.109375" style="556" customWidth="1"/>
    <col min="13599" max="13599" width="8.5546875" style="556" customWidth="1"/>
    <col min="13600" max="13600" width="14.5546875" style="556" customWidth="1"/>
    <col min="13601" max="13601" width="10" style="556" customWidth="1"/>
    <col min="13602" max="13602" width="7.77734375" style="556" bestFit="1" customWidth="1"/>
    <col min="13603" max="13603" width="9.88671875" style="556" customWidth="1"/>
    <col min="13604" max="13820" width="8.88671875" style="556"/>
    <col min="13821" max="13821" width="38.44140625" style="556" customWidth="1"/>
    <col min="13822" max="13822" width="8.5546875" style="556" customWidth="1"/>
    <col min="13823" max="13823" width="1.33203125" style="556" customWidth="1"/>
    <col min="13824" max="13824" width="8.88671875" style="556" customWidth="1"/>
    <col min="13825" max="13825" width="1.33203125" style="556" customWidth="1"/>
    <col min="13826" max="13826" width="9.33203125" style="556" customWidth="1"/>
    <col min="13827" max="13827" width="1.33203125" style="556" customWidth="1"/>
    <col min="13828" max="13828" width="10" style="556" customWidth="1"/>
    <col min="13829" max="13829" width="1.33203125" style="556" customWidth="1"/>
    <col min="13830" max="13830" width="9.109375" style="556" customWidth="1"/>
    <col min="13831" max="13831" width="1.33203125" style="556" customWidth="1"/>
    <col min="13832" max="13832" width="11.33203125" style="556" customWidth="1"/>
    <col min="13833" max="13833" width="1.33203125" style="556" customWidth="1"/>
    <col min="13834" max="13834" width="9.109375" style="556" customWidth="1"/>
    <col min="13835" max="13835" width="1.6640625" style="556" customWidth="1"/>
    <col min="13836" max="13836" width="11" style="556" customWidth="1"/>
    <col min="13837" max="13837" width="1.33203125" style="556" customWidth="1"/>
    <col min="13838" max="13838" width="10.77734375" style="556" customWidth="1"/>
    <col min="13839" max="13839" width="1.33203125" style="556" customWidth="1"/>
    <col min="13840" max="13840" width="10" style="556" customWidth="1"/>
    <col min="13841" max="13841" width="1.33203125" style="556" customWidth="1"/>
    <col min="13842" max="13842" width="9.33203125" style="556" customWidth="1"/>
    <col min="13843" max="13843" width="1.33203125" style="556" customWidth="1"/>
    <col min="13844" max="13844" width="7.77734375" style="556" customWidth="1"/>
    <col min="13845" max="13845" width="1.33203125" style="556" customWidth="1"/>
    <col min="13846" max="13846" width="0.77734375" style="556" customWidth="1"/>
    <col min="13847" max="13847" width="9.33203125" style="556" customWidth="1"/>
    <col min="13848" max="13848" width="1.33203125" style="556" customWidth="1"/>
    <col min="13849" max="13849" width="0.88671875" style="556" customWidth="1"/>
    <col min="13850" max="13850" width="9.5546875" style="556" bestFit="1" customWidth="1"/>
    <col min="13851" max="13852" width="0.6640625" style="556" customWidth="1"/>
    <col min="13853" max="13853" width="9.6640625" style="556" customWidth="1"/>
    <col min="13854" max="13854" width="1.109375" style="556" customWidth="1"/>
    <col min="13855" max="13855" width="8.5546875" style="556" customWidth="1"/>
    <col min="13856" max="13856" width="14.5546875" style="556" customWidth="1"/>
    <col min="13857" max="13857" width="10" style="556" customWidth="1"/>
    <col min="13858" max="13858" width="7.77734375" style="556" bestFit="1" customWidth="1"/>
    <col min="13859" max="13859" width="9.88671875" style="556" customWidth="1"/>
    <col min="13860" max="14076" width="8.88671875" style="556"/>
    <col min="14077" max="14077" width="38.44140625" style="556" customWidth="1"/>
    <col min="14078" max="14078" width="8.5546875" style="556" customWidth="1"/>
    <col min="14079" max="14079" width="1.33203125" style="556" customWidth="1"/>
    <col min="14080" max="14080" width="8.88671875" style="556" customWidth="1"/>
    <col min="14081" max="14081" width="1.33203125" style="556" customWidth="1"/>
    <col min="14082" max="14082" width="9.33203125" style="556" customWidth="1"/>
    <col min="14083" max="14083" width="1.33203125" style="556" customWidth="1"/>
    <col min="14084" max="14084" width="10" style="556" customWidth="1"/>
    <col min="14085" max="14085" width="1.33203125" style="556" customWidth="1"/>
    <col min="14086" max="14086" width="9.109375" style="556" customWidth="1"/>
    <col min="14087" max="14087" width="1.33203125" style="556" customWidth="1"/>
    <col min="14088" max="14088" width="11.33203125" style="556" customWidth="1"/>
    <col min="14089" max="14089" width="1.33203125" style="556" customWidth="1"/>
    <col min="14090" max="14090" width="9.109375" style="556" customWidth="1"/>
    <col min="14091" max="14091" width="1.6640625" style="556" customWidth="1"/>
    <col min="14092" max="14092" width="11" style="556" customWidth="1"/>
    <col min="14093" max="14093" width="1.33203125" style="556" customWidth="1"/>
    <col min="14094" max="14094" width="10.77734375" style="556" customWidth="1"/>
    <col min="14095" max="14095" width="1.33203125" style="556" customWidth="1"/>
    <col min="14096" max="14096" width="10" style="556" customWidth="1"/>
    <col min="14097" max="14097" width="1.33203125" style="556" customWidth="1"/>
    <col min="14098" max="14098" width="9.33203125" style="556" customWidth="1"/>
    <col min="14099" max="14099" width="1.33203125" style="556" customWidth="1"/>
    <col min="14100" max="14100" width="7.77734375" style="556" customWidth="1"/>
    <col min="14101" max="14101" width="1.33203125" style="556" customWidth="1"/>
    <col min="14102" max="14102" width="0.77734375" style="556" customWidth="1"/>
    <col min="14103" max="14103" width="9.33203125" style="556" customWidth="1"/>
    <col min="14104" max="14104" width="1.33203125" style="556" customWidth="1"/>
    <col min="14105" max="14105" width="0.88671875" style="556" customWidth="1"/>
    <col min="14106" max="14106" width="9.5546875" style="556" bestFit="1" customWidth="1"/>
    <col min="14107" max="14108" width="0.6640625" style="556" customWidth="1"/>
    <col min="14109" max="14109" width="9.6640625" style="556" customWidth="1"/>
    <col min="14110" max="14110" width="1.109375" style="556" customWidth="1"/>
    <col min="14111" max="14111" width="8.5546875" style="556" customWidth="1"/>
    <col min="14112" max="14112" width="14.5546875" style="556" customWidth="1"/>
    <col min="14113" max="14113" width="10" style="556" customWidth="1"/>
    <col min="14114" max="14114" width="7.77734375" style="556" bestFit="1" customWidth="1"/>
    <col min="14115" max="14115" width="9.88671875" style="556" customWidth="1"/>
    <col min="14116" max="14332" width="8.88671875" style="556"/>
    <col min="14333" max="14333" width="38.44140625" style="556" customWidth="1"/>
    <col min="14334" max="14334" width="8.5546875" style="556" customWidth="1"/>
    <col min="14335" max="14335" width="1.33203125" style="556" customWidth="1"/>
    <col min="14336" max="14336" width="8.88671875" style="556" customWidth="1"/>
    <col min="14337" max="14337" width="1.33203125" style="556" customWidth="1"/>
    <col min="14338" max="14338" width="9.33203125" style="556" customWidth="1"/>
    <col min="14339" max="14339" width="1.33203125" style="556" customWidth="1"/>
    <col min="14340" max="14340" width="10" style="556" customWidth="1"/>
    <col min="14341" max="14341" width="1.33203125" style="556" customWidth="1"/>
    <col min="14342" max="14342" width="9.109375" style="556" customWidth="1"/>
    <col min="14343" max="14343" width="1.33203125" style="556" customWidth="1"/>
    <col min="14344" max="14344" width="11.33203125" style="556" customWidth="1"/>
    <col min="14345" max="14345" width="1.33203125" style="556" customWidth="1"/>
    <col min="14346" max="14346" width="9.109375" style="556" customWidth="1"/>
    <col min="14347" max="14347" width="1.6640625" style="556" customWidth="1"/>
    <col min="14348" max="14348" width="11" style="556" customWidth="1"/>
    <col min="14349" max="14349" width="1.33203125" style="556" customWidth="1"/>
    <col min="14350" max="14350" width="10.77734375" style="556" customWidth="1"/>
    <col min="14351" max="14351" width="1.33203125" style="556" customWidth="1"/>
    <col min="14352" max="14352" width="10" style="556" customWidth="1"/>
    <col min="14353" max="14353" width="1.33203125" style="556" customWidth="1"/>
    <col min="14354" max="14354" width="9.33203125" style="556" customWidth="1"/>
    <col min="14355" max="14355" width="1.33203125" style="556" customWidth="1"/>
    <col min="14356" max="14356" width="7.77734375" style="556" customWidth="1"/>
    <col min="14357" max="14357" width="1.33203125" style="556" customWidth="1"/>
    <col min="14358" max="14358" width="0.77734375" style="556" customWidth="1"/>
    <col min="14359" max="14359" width="9.33203125" style="556" customWidth="1"/>
    <col min="14360" max="14360" width="1.33203125" style="556" customWidth="1"/>
    <col min="14361" max="14361" width="0.88671875" style="556" customWidth="1"/>
    <col min="14362" max="14362" width="9.5546875" style="556" bestFit="1" customWidth="1"/>
    <col min="14363" max="14364" width="0.6640625" style="556" customWidth="1"/>
    <col min="14365" max="14365" width="9.6640625" style="556" customWidth="1"/>
    <col min="14366" max="14366" width="1.109375" style="556" customWidth="1"/>
    <col min="14367" max="14367" width="8.5546875" style="556" customWidth="1"/>
    <col min="14368" max="14368" width="14.5546875" style="556" customWidth="1"/>
    <col min="14369" max="14369" width="10" style="556" customWidth="1"/>
    <col min="14370" max="14370" width="7.77734375" style="556" bestFit="1" customWidth="1"/>
    <col min="14371" max="14371" width="9.88671875" style="556" customWidth="1"/>
    <col min="14372" max="14588" width="8.88671875" style="556"/>
    <col min="14589" max="14589" width="38.44140625" style="556" customWidth="1"/>
    <col min="14590" max="14590" width="8.5546875" style="556" customWidth="1"/>
    <col min="14591" max="14591" width="1.33203125" style="556" customWidth="1"/>
    <col min="14592" max="14592" width="8.88671875" style="556" customWidth="1"/>
    <col min="14593" max="14593" width="1.33203125" style="556" customWidth="1"/>
    <col min="14594" max="14594" width="9.33203125" style="556" customWidth="1"/>
    <col min="14595" max="14595" width="1.33203125" style="556" customWidth="1"/>
    <col min="14596" max="14596" width="10" style="556" customWidth="1"/>
    <col min="14597" max="14597" width="1.33203125" style="556" customWidth="1"/>
    <col min="14598" max="14598" width="9.109375" style="556" customWidth="1"/>
    <col min="14599" max="14599" width="1.33203125" style="556" customWidth="1"/>
    <col min="14600" max="14600" width="11.33203125" style="556" customWidth="1"/>
    <col min="14601" max="14601" width="1.33203125" style="556" customWidth="1"/>
    <col min="14602" max="14602" width="9.109375" style="556" customWidth="1"/>
    <col min="14603" max="14603" width="1.6640625" style="556" customWidth="1"/>
    <col min="14604" max="14604" width="11" style="556" customWidth="1"/>
    <col min="14605" max="14605" width="1.33203125" style="556" customWidth="1"/>
    <col min="14606" max="14606" width="10.77734375" style="556" customWidth="1"/>
    <col min="14607" max="14607" width="1.33203125" style="556" customWidth="1"/>
    <col min="14608" max="14608" width="10" style="556" customWidth="1"/>
    <col min="14609" max="14609" width="1.33203125" style="556" customWidth="1"/>
    <col min="14610" max="14610" width="9.33203125" style="556" customWidth="1"/>
    <col min="14611" max="14611" width="1.33203125" style="556" customWidth="1"/>
    <col min="14612" max="14612" width="7.77734375" style="556" customWidth="1"/>
    <col min="14613" max="14613" width="1.33203125" style="556" customWidth="1"/>
    <col min="14614" max="14614" width="0.77734375" style="556" customWidth="1"/>
    <col min="14615" max="14615" width="9.33203125" style="556" customWidth="1"/>
    <col min="14616" max="14616" width="1.33203125" style="556" customWidth="1"/>
    <col min="14617" max="14617" width="0.88671875" style="556" customWidth="1"/>
    <col min="14618" max="14618" width="9.5546875" style="556" bestFit="1" customWidth="1"/>
    <col min="14619" max="14620" width="0.6640625" style="556" customWidth="1"/>
    <col min="14621" max="14621" width="9.6640625" style="556" customWidth="1"/>
    <col min="14622" max="14622" width="1.109375" style="556" customWidth="1"/>
    <col min="14623" max="14623" width="8.5546875" style="556" customWidth="1"/>
    <col min="14624" max="14624" width="14.5546875" style="556" customWidth="1"/>
    <col min="14625" max="14625" width="10" style="556" customWidth="1"/>
    <col min="14626" max="14626" width="7.77734375" style="556" bestFit="1" customWidth="1"/>
    <col min="14627" max="14627" width="9.88671875" style="556" customWidth="1"/>
    <col min="14628" max="14844" width="8.88671875" style="556"/>
    <col min="14845" max="14845" width="38.44140625" style="556" customWidth="1"/>
    <col min="14846" max="14846" width="8.5546875" style="556" customWidth="1"/>
    <col min="14847" max="14847" width="1.33203125" style="556" customWidth="1"/>
    <col min="14848" max="14848" width="8.88671875" style="556" customWidth="1"/>
    <col min="14849" max="14849" width="1.33203125" style="556" customWidth="1"/>
    <col min="14850" max="14850" width="9.33203125" style="556" customWidth="1"/>
    <col min="14851" max="14851" width="1.33203125" style="556" customWidth="1"/>
    <col min="14852" max="14852" width="10" style="556" customWidth="1"/>
    <col min="14853" max="14853" width="1.33203125" style="556" customWidth="1"/>
    <col min="14854" max="14854" width="9.109375" style="556" customWidth="1"/>
    <col min="14855" max="14855" width="1.33203125" style="556" customWidth="1"/>
    <col min="14856" max="14856" width="11.33203125" style="556" customWidth="1"/>
    <col min="14857" max="14857" width="1.33203125" style="556" customWidth="1"/>
    <col min="14858" max="14858" width="9.109375" style="556" customWidth="1"/>
    <col min="14859" max="14859" width="1.6640625" style="556" customWidth="1"/>
    <col min="14860" max="14860" width="11" style="556" customWidth="1"/>
    <col min="14861" max="14861" width="1.33203125" style="556" customWidth="1"/>
    <col min="14862" max="14862" width="10.77734375" style="556" customWidth="1"/>
    <col min="14863" max="14863" width="1.33203125" style="556" customWidth="1"/>
    <col min="14864" max="14864" width="10" style="556" customWidth="1"/>
    <col min="14865" max="14865" width="1.33203125" style="556" customWidth="1"/>
    <col min="14866" max="14866" width="9.33203125" style="556" customWidth="1"/>
    <col min="14867" max="14867" width="1.33203125" style="556" customWidth="1"/>
    <col min="14868" max="14868" width="7.77734375" style="556" customWidth="1"/>
    <col min="14869" max="14869" width="1.33203125" style="556" customWidth="1"/>
    <col min="14870" max="14870" width="0.77734375" style="556" customWidth="1"/>
    <col min="14871" max="14871" width="9.33203125" style="556" customWidth="1"/>
    <col min="14872" max="14872" width="1.33203125" style="556" customWidth="1"/>
    <col min="14873" max="14873" width="0.88671875" style="556" customWidth="1"/>
    <col min="14874" max="14874" width="9.5546875" style="556" bestFit="1" customWidth="1"/>
    <col min="14875" max="14876" width="0.6640625" style="556" customWidth="1"/>
    <col min="14877" max="14877" width="9.6640625" style="556" customWidth="1"/>
    <col min="14878" max="14878" width="1.109375" style="556" customWidth="1"/>
    <col min="14879" max="14879" width="8.5546875" style="556" customWidth="1"/>
    <col min="14880" max="14880" width="14.5546875" style="556" customWidth="1"/>
    <col min="14881" max="14881" width="10" style="556" customWidth="1"/>
    <col min="14882" max="14882" width="7.77734375" style="556" bestFit="1" customWidth="1"/>
    <col min="14883" max="14883" width="9.88671875" style="556" customWidth="1"/>
    <col min="14884" max="15100" width="8.88671875" style="556"/>
    <col min="15101" max="15101" width="38.44140625" style="556" customWidth="1"/>
    <col min="15102" max="15102" width="8.5546875" style="556" customWidth="1"/>
    <col min="15103" max="15103" width="1.33203125" style="556" customWidth="1"/>
    <col min="15104" max="15104" width="8.88671875" style="556" customWidth="1"/>
    <col min="15105" max="15105" width="1.33203125" style="556" customWidth="1"/>
    <col min="15106" max="15106" width="9.33203125" style="556" customWidth="1"/>
    <col min="15107" max="15107" width="1.33203125" style="556" customWidth="1"/>
    <col min="15108" max="15108" width="10" style="556" customWidth="1"/>
    <col min="15109" max="15109" width="1.33203125" style="556" customWidth="1"/>
    <col min="15110" max="15110" width="9.109375" style="556" customWidth="1"/>
    <col min="15111" max="15111" width="1.33203125" style="556" customWidth="1"/>
    <col min="15112" max="15112" width="11.33203125" style="556" customWidth="1"/>
    <col min="15113" max="15113" width="1.33203125" style="556" customWidth="1"/>
    <col min="15114" max="15114" width="9.109375" style="556" customWidth="1"/>
    <col min="15115" max="15115" width="1.6640625" style="556" customWidth="1"/>
    <col min="15116" max="15116" width="11" style="556" customWidth="1"/>
    <col min="15117" max="15117" width="1.33203125" style="556" customWidth="1"/>
    <col min="15118" max="15118" width="10.77734375" style="556" customWidth="1"/>
    <col min="15119" max="15119" width="1.33203125" style="556" customWidth="1"/>
    <col min="15120" max="15120" width="10" style="556" customWidth="1"/>
    <col min="15121" max="15121" width="1.33203125" style="556" customWidth="1"/>
    <col min="15122" max="15122" width="9.33203125" style="556" customWidth="1"/>
    <col min="15123" max="15123" width="1.33203125" style="556" customWidth="1"/>
    <col min="15124" max="15124" width="7.77734375" style="556" customWidth="1"/>
    <col min="15125" max="15125" width="1.33203125" style="556" customWidth="1"/>
    <col min="15126" max="15126" width="0.77734375" style="556" customWidth="1"/>
    <col min="15127" max="15127" width="9.33203125" style="556" customWidth="1"/>
    <col min="15128" max="15128" width="1.33203125" style="556" customWidth="1"/>
    <col min="15129" max="15129" width="0.88671875" style="556" customWidth="1"/>
    <col min="15130" max="15130" width="9.5546875" style="556" bestFit="1" customWidth="1"/>
    <col min="15131" max="15132" width="0.6640625" style="556" customWidth="1"/>
    <col min="15133" max="15133" width="9.6640625" style="556" customWidth="1"/>
    <col min="15134" max="15134" width="1.109375" style="556" customWidth="1"/>
    <col min="15135" max="15135" width="8.5546875" style="556" customWidth="1"/>
    <col min="15136" max="15136" width="14.5546875" style="556" customWidth="1"/>
    <col min="15137" max="15137" width="10" style="556" customWidth="1"/>
    <col min="15138" max="15138" width="7.77734375" style="556" bestFit="1" customWidth="1"/>
    <col min="15139" max="15139" width="9.88671875" style="556" customWidth="1"/>
    <col min="15140" max="15356" width="8.88671875" style="556"/>
    <col min="15357" max="15357" width="38.44140625" style="556" customWidth="1"/>
    <col min="15358" max="15358" width="8.5546875" style="556" customWidth="1"/>
    <col min="15359" max="15359" width="1.33203125" style="556" customWidth="1"/>
    <col min="15360" max="15360" width="8.88671875" style="556" customWidth="1"/>
    <col min="15361" max="15361" width="1.33203125" style="556" customWidth="1"/>
    <col min="15362" max="15362" width="9.33203125" style="556" customWidth="1"/>
    <col min="15363" max="15363" width="1.33203125" style="556" customWidth="1"/>
    <col min="15364" max="15364" width="10" style="556" customWidth="1"/>
    <col min="15365" max="15365" width="1.33203125" style="556" customWidth="1"/>
    <col min="15366" max="15366" width="9.109375" style="556" customWidth="1"/>
    <col min="15367" max="15367" width="1.33203125" style="556" customWidth="1"/>
    <col min="15368" max="15368" width="11.33203125" style="556" customWidth="1"/>
    <col min="15369" max="15369" width="1.33203125" style="556" customWidth="1"/>
    <col min="15370" max="15370" width="9.109375" style="556" customWidth="1"/>
    <col min="15371" max="15371" width="1.6640625" style="556" customWidth="1"/>
    <col min="15372" max="15372" width="11" style="556" customWidth="1"/>
    <col min="15373" max="15373" width="1.33203125" style="556" customWidth="1"/>
    <col min="15374" max="15374" width="10.77734375" style="556" customWidth="1"/>
    <col min="15375" max="15375" width="1.33203125" style="556" customWidth="1"/>
    <col min="15376" max="15376" width="10" style="556" customWidth="1"/>
    <col min="15377" max="15377" width="1.33203125" style="556" customWidth="1"/>
    <col min="15378" max="15378" width="9.33203125" style="556" customWidth="1"/>
    <col min="15379" max="15379" width="1.33203125" style="556" customWidth="1"/>
    <col min="15380" max="15380" width="7.77734375" style="556" customWidth="1"/>
    <col min="15381" max="15381" width="1.33203125" style="556" customWidth="1"/>
    <col min="15382" max="15382" width="0.77734375" style="556" customWidth="1"/>
    <col min="15383" max="15383" width="9.33203125" style="556" customWidth="1"/>
    <col min="15384" max="15384" width="1.33203125" style="556" customWidth="1"/>
    <col min="15385" max="15385" width="0.88671875" style="556" customWidth="1"/>
    <col min="15386" max="15386" width="9.5546875" style="556" bestFit="1" customWidth="1"/>
    <col min="15387" max="15388" width="0.6640625" style="556" customWidth="1"/>
    <col min="15389" max="15389" width="9.6640625" style="556" customWidth="1"/>
    <col min="15390" max="15390" width="1.109375" style="556" customWidth="1"/>
    <col min="15391" max="15391" width="8.5546875" style="556" customWidth="1"/>
    <col min="15392" max="15392" width="14.5546875" style="556" customWidth="1"/>
    <col min="15393" max="15393" width="10" style="556" customWidth="1"/>
    <col min="15394" max="15394" width="7.77734375" style="556" bestFit="1" customWidth="1"/>
    <col min="15395" max="15395" width="9.88671875" style="556" customWidth="1"/>
    <col min="15396" max="15612" width="8.88671875" style="556"/>
    <col min="15613" max="15613" width="38.44140625" style="556" customWidth="1"/>
    <col min="15614" max="15614" width="8.5546875" style="556" customWidth="1"/>
    <col min="15615" max="15615" width="1.33203125" style="556" customWidth="1"/>
    <col min="15616" max="15616" width="8.88671875" style="556" customWidth="1"/>
    <col min="15617" max="15617" width="1.33203125" style="556" customWidth="1"/>
    <col min="15618" max="15618" width="9.33203125" style="556" customWidth="1"/>
    <col min="15619" max="15619" width="1.33203125" style="556" customWidth="1"/>
    <col min="15620" max="15620" width="10" style="556" customWidth="1"/>
    <col min="15621" max="15621" width="1.33203125" style="556" customWidth="1"/>
    <col min="15622" max="15622" width="9.109375" style="556" customWidth="1"/>
    <col min="15623" max="15623" width="1.33203125" style="556" customWidth="1"/>
    <col min="15624" max="15624" width="11.33203125" style="556" customWidth="1"/>
    <col min="15625" max="15625" width="1.33203125" style="556" customWidth="1"/>
    <col min="15626" max="15626" width="9.109375" style="556" customWidth="1"/>
    <col min="15627" max="15627" width="1.6640625" style="556" customWidth="1"/>
    <col min="15628" max="15628" width="11" style="556" customWidth="1"/>
    <col min="15629" max="15629" width="1.33203125" style="556" customWidth="1"/>
    <col min="15630" max="15630" width="10.77734375" style="556" customWidth="1"/>
    <col min="15631" max="15631" width="1.33203125" style="556" customWidth="1"/>
    <col min="15632" max="15632" width="10" style="556" customWidth="1"/>
    <col min="15633" max="15633" width="1.33203125" style="556" customWidth="1"/>
    <col min="15634" max="15634" width="9.33203125" style="556" customWidth="1"/>
    <col min="15635" max="15635" width="1.33203125" style="556" customWidth="1"/>
    <col min="15636" max="15636" width="7.77734375" style="556" customWidth="1"/>
    <col min="15637" max="15637" width="1.33203125" style="556" customWidth="1"/>
    <col min="15638" max="15638" width="0.77734375" style="556" customWidth="1"/>
    <col min="15639" max="15639" width="9.33203125" style="556" customWidth="1"/>
    <col min="15640" max="15640" width="1.33203125" style="556" customWidth="1"/>
    <col min="15641" max="15641" width="0.88671875" style="556" customWidth="1"/>
    <col min="15642" max="15642" width="9.5546875" style="556" bestFit="1" customWidth="1"/>
    <col min="15643" max="15644" width="0.6640625" style="556" customWidth="1"/>
    <col min="15645" max="15645" width="9.6640625" style="556" customWidth="1"/>
    <col min="15646" max="15646" width="1.109375" style="556" customWidth="1"/>
    <col min="15647" max="15647" width="8.5546875" style="556" customWidth="1"/>
    <col min="15648" max="15648" width="14.5546875" style="556" customWidth="1"/>
    <col min="15649" max="15649" width="10" style="556" customWidth="1"/>
    <col min="15650" max="15650" width="7.77734375" style="556" bestFit="1" customWidth="1"/>
    <col min="15651" max="15651" width="9.88671875" style="556" customWidth="1"/>
    <col min="15652" max="15868" width="8.88671875" style="556"/>
    <col min="15869" max="15869" width="38.44140625" style="556" customWidth="1"/>
    <col min="15870" max="15870" width="8.5546875" style="556" customWidth="1"/>
    <col min="15871" max="15871" width="1.33203125" style="556" customWidth="1"/>
    <col min="15872" max="15872" width="8.88671875" style="556" customWidth="1"/>
    <col min="15873" max="15873" width="1.33203125" style="556" customWidth="1"/>
    <col min="15874" max="15874" width="9.33203125" style="556" customWidth="1"/>
    <col min="15875" max="15875" width="1.33203125" style="556" customWidth="1"/>
    <col min="15876" max="15876" width="10" style="556" customWidth="1"/>
    <col min="15877" max="15877" width="1.33203125" style="556" customWidth="1"/>
    <col min="15878" max="15878" width="9.109375" style="556" customWidth="1"/>
    <col min="15879" max="15879" width="1.33203125" style="556" customWidth="1"/>
    <col min="15880" max="15880" width="11.33203125" style="556" customWidth="1"/>
    <col min="15881" max="15881" width="1.33203125" style="556" customWidth="1"/>
    <col min="15882" max="15882" width="9.109375" style="556" customWidth="1"/>
    <col min="15883" max="15883" width="1.6640625" style="556" customWidth="1"/>
    <col min="15884" max="15884" width="11" style="556" customWidth="1"/>
    <col min="15885" max="15885" width="1.33203125" style="556" customWidth="1"/>
    <col min="15886" max="15886" width="10.77734375" style="556" customWidth="1"/>
    <col min="15887" max="15887" width="1.33203125" style="556" customWidth="1"/>
    <col min="15888" max="15888" width="10" style="556" customWidth="1"/>
    <col min="15889" max="15889" width="1.33203125" style="556" customWidth="1"/>
    <col min="15890" max="15890" width="9.33203125" style="556" customWidth="1"/>
    <col min="15891" max="15891" width="1.33203125" style="556" customWidth="1"/>
    <col min="15892" max="15892" width="7.77734375" style="556" customWidth="1"/>
    <col min="15893" max="15893" width="1.33203125" style="556" customWidth="1"/>
    <col min="15894" max="15894" width="0.77734375" style="556" customWidth="1"/>
    <col min="15895" max="15895" width="9.33203125" style="556" customWidth="1"/>
    <col min="15896" max="15896" width="1.33203125" style="556" customWidth="1"/>
    <col min="15897" max="15897" width="0.88671875" style="556" customWidth="1"/>
    <col min="15898" max="15898" width="9.5546875" style="556" bestFit="1" customWidth="1"/>
    <col min="15899" max="15900" width="0.6640625" style="556" customWidth="1"/>
    <col min="15901" max="15901" width="9.6640625" style="556" customWidth="1"/>
    <col min="15902" max="15902" width="1.109375" style="556" customWidth="1"/>
    <col min="15903" max="15903" width="8.5546875" style="556" customWidth="1"/>
    <col min="15904" max="15904" width="14.5546875" style="556" customWidth="1"/>
    <col min="15905" max="15905" width="10" style="556" customWidth="1"/>
    <col min="15906" max="15906" width="7.77734375" style="556" bestFit="1" customWidth="1"/>
    <col min="15907" max="15907" width="9.88671875" style="556" customWidth="1"/>
    <col min="15908" max="16124" width="8.88671875" style="556"/>
    <col min="16125" max="16125" width="38.44140625" style="556" customWidth="1"/>
    <col min="16126" max="16126" width="8.5546875" style="556" customWidth="1"/>
    <col min="16127" max="16127" width="1.33203125" style="556" customWidth="1"/>
    <col min="16128" max="16128" width="8.88671875" style="556" customWidth="1"/>
    <col min="16129" max="16129" width="1.33203125" style="556" customWidth="1"/>
    <col min="16130" max="16130" width="9.33203125" style="556" customWidth="1"/>
    <col min="16131" max="16131" width="1.33203125" style="556" customWidth="1"/>
    <col min="16132" max="16132" width="10" style="556" customWidth="1"/>
    <col min="16133" max="16133" width="1.33203125" style="556" customWidth="1"/>
    <col min="16134" max="16134" width="9.109375" style="556" customWidth="1"/>
    <col min="16135" max="16135" width="1.33203125" style="556" customWidth="1"/>
    <col min="16136" max="16136" width="11.33203125" style="556" customWidth="1"/>
    <col min="16137" max="16137" width="1.33203125" style="556" customWidth="1"/>
    <col min="16138" max="16138" width="9.109375" style="556" customWidth="1"/>
    <col min="16139" max="16139" width="1.6640625" style="556" customWidth="1"/>
    <col min="16140" max="16140" width="11" style="556" customWidth="1"/>
    <col min="16141" max="16141" width="1.33203125" style="556" customWidth="1"/>
    <col min="16142" max="16142" width="10.77734375" style="556" customWidth="1"/>
    <col min="16143" max="16143" width="1.33203125" style="556" customWidth="1"/>
    <col min="16144" max="16144" width="10" style="556" customWidth="1"/>
    <col min="16145" max="16145" width="1.33203125" style="556" customWidth="1"/>
    <col min="16146" max="16146" width="9.33203125" style="556" customWidth="1"/>
    <col min="16147" max="16147" width="1.33203125" style="556" customWidth="1"/>
    <col min="16148" max="16148" width="7.77734375" style="556" customWidth="1"/>
    <col min="16149" max="16149" width="1.33203125" style="556" customWidth="1"/>
    <col min="16150" max="16150" width="0.77734375" style="556" customWidth="1"/>
    <col min="16151" max="16151" width="9.33203125" style="556" customWidth="1"/>
    <col min="16152" max="16152" width="1.33203125" style="556" customWidth="1"/>
    <col min="16153" max="16153" width="0.88671875" style="556" customWidth="1"/>
    <col min="16154" max="16154" width="9.5546875" style="556" bestFit="1" customWidth="1"/>
    <col min="16155" max="16156" width="0.6640625" style="556" customWidth="1"/>
    <col min="16157" max="16157" width="9.6640625" style="556" customWidth="1"/>
    <col min="16158" max="16158" width="1.109375" style="556" customWidth="1"/>
    <col min="16159" max="16159" width="8.5546875" style="556" customWidth="1"/>
    <col min="16160" max="16160" width="14.5546875" style="556" customWidth="1"/>
    <col min="16161" max="16161" width="10" style="556" customWidth="1"/>
    <col min="16162" max="16162" width="7.77734375" style="556" bestFit="1" customWidth="1"/>
    <col min="16163" max="16163" width="9.88671875" style="556" customWidth="1"/>
    <col min="16164" max="16384" width="8.88671875" style="556"/>
  </cols>
  <sheetData>
    <row r="1" spans="1:36" ht="15">
      <c r="A1" s="1159" t="s">
        <v>1090</v>
      </c>
    </row>
    <row r="2" spans="1:36" ht="10.5" customHeight="1">
      <c r="A2" s="554"/>
      <c r="B2" s="554"/>
      <c r="C2" s="554"/>
      <c r="D2" s="554"/>
      <c r="E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row>
    <row r="3" spans="1:36" ht="18">
      <c r="A3" s="557" t="s">
        <v>0</v>
      </c>
      <c r="B3" s="554"/>
      <c r="C3" s="554"/>
      <c r="D3" s="554"/>
      <c r="E3" s="554"/>
      <c r="G3" s="554"/>
      <c r="H3" s="554"/>
      <c r="I3" s="554"/>
      <c r="J3" s="554"/>
      <c r="K3" s="554"/>
      <c r="L3" s="554"/>
      <c r="M3" s="554"/>
      <c r="N3" s="554"/>
      <c r="O3" s="554"/>
      <c r="P3" s="554"/>
      <c r="Q3" s="554"/>
      <c r="R3" s="554"/>
      <c r="S3" s="554"/>
      <c r="T3" s="554"/>
      <c r="U3" s="554"/>
      <c r="V3" s="554"/>
      <c r="W3" s="554"/>
      <c r="X3" s="554"/>
      <c r="Y3" s="554"/>
      <c r="Z3" s="554"/>
      <c r="AA3" s="554"/>
      <c r="AB3" s="554"/>
      <c r="AC3" s="554"/>
      <c r="AD3" s="554"/>
      <c r="AE3" s="554"/>
      <c r="AF3" s="554"/>
      <c r="AG3" s="554"/>
      <c r="AI3" s="2289" t="s">
        <v>1283</v>
      </c>
    </row>
    <row r="4" spans="1:36" ht="18">
      <c r="A4" s="559" t="s">
        <v>190</v>
      </c>
      <c r="B4" s="554"/>
      <c r="C4" s="554"/>
      <c r="D4" s="554"/>
      <c r="E4" s="554"/>
      <c r="G4" s="554"/>
      <c r="H4" s="554"/>
      <c r="I4" s="554"/>
      <c r="J4" s="554"/>
      <c r="K4" s="554"/>
      <c r="L4" s="554"/>
      <c r="M4" s="554"/>
      <c r="N4" s="554"/>
      <c r="O4" s="554"/>
      <c r="P4" s="554"/>
      <c r="Q4" s="554"/>
      <c r="R4" s="554"/>
      <c r="S4" s="554"/>
      <c r="T4" s="554"/>
      <c r="U4" s="554"/>
      <c r="V4" s="554"/>
      <c r="W4" s="554"/>
      <c r="X4" s="554"/>
      <c r="Y4" s="554"/>
      <c r="Z4" s="554"/>
      <c r="AC4" s="554"/>
      <c r="AD4" s="554"/>
      <c r="AE4" s="554"/>
      <c r="AF4" s="554"/>
    </row>
    <row r="5" spans="1:36" ht="18">
      <c r="A5" s="559" t="s">
        <v>152</v>
      </c>
      <c r="B5" s="554"/>
      <c r="C5" s="554"/>
      <c r="D5" s="554"/>
      <c r="E5" s="554"/>
      <c r="G5" s="554"/>
      <c r="H5" s="554"/>
      <c r="I5" s="554"/>
      <c r="J5" s="554"/>
      <c r="K5" s="554"/>
      <c r="L5" s="554"/>
      <c r="M5" s="554"/>
      <c r="N5" s="554"/>
      <c r="O5" s="554"/>
      <c r="P5" s="554"/>
      <c r="Q5" s="554"/>
      <c r="R5" s="554"/>
      <c r="S5" s="554"/>
      <c r="T5" s="554"/>
      <c r="U5" s="554"/>
      <c r="V5" s="554"/>
      <c r="W5" s="554"/>
      <c r="X5" s="554"/>
      <c r="Y5" s="554"/>
      <c r="Z5" s="554"/>
      <c r="AA5" s="554"/>
      <c r="AB5" s="3508"/>
      <c r="AC5" s="3509"/>
      <c r="AD5" s="3509"/>
      <c r="AE5" s="558"/>
      <c r="AF5" s="558"/>
      <c r="AG5" s="558"/>
      <c r="AH5" s="558"/>
      <c r="AI5" s="558"/>
      <c r="AJ5" s="1011"/>
    </row>
    <row r="6" spans="1:36" ht="18">
      <c r="A6" s="557" t="s">
        <v>1410</v>
      </c>
      <c r="B6" s="554"/>
      <c r="C6" s="554"/>
      <c r="D6" s="554"/>
      <c r="E6" s="554"/>
      <c r="G6" s="554"/>
      <c r="H6" s="554"/>
      <c r="I6" s="554"/>
      <c r="J6" s="554"/>
      <c r="K6" s="554"/>
      <c r="L6" s="554"/>
      <c r="M6" s="554"/>
      <c r="N6" s="554"/>
      <c r="O6" s="554"/>
      <c r="P6" s="554"/>
      <c r="Q6" s="554"/>
      <c r="R6" s="554"/>
      <c r="S6" s="554"/>
      <c r="T6" s="554"/>
      <c r="U6" s="554"/>
      <c r="V6" s="554"/>
      <c r="W6" s="554"/>
      <c r="X6" s="554"/>
      <c r="Y6" s="554"/>
      <c r="Z6" s="554"/>
      <c r="AA6" s="554"/>
      <c r="AB6" s="554"/>
      <c r="AC6" s="554"/>
      <c r="AD6" s="554"/>
      <c r="AE6" s="554"/>
      <c r="AF6" s="554"/>
      <c r="AG6" s="554"/>
    </row>
    <row r="7" spans="1:36" ht="18">
      <c r="A7" s="559" t="s">
        <v>979</v>
      </c>
      <c r="B7" s="554"/>
      <c r="C7" s="554"/>
      <c r="D7" s="554"/>
      <c r="E7" s="554"/>
      <c r="G7" s="554"/>
      <c r="H7" s="554"/>
      <c r="I7" s="554"/>
      <c r="J7" s="554"/>
      <c r="K7" s="554"/>
      <c r="L7" s="554"/>
      <c r="M7" s="554"/>
      <c r="N7" s="554"/>
      <c r="O7" s="554"/>
      <c r="P7" s="554"/>
      <c r="Q7" s="554"/>
      <c r="R7" s="554"/>
      <c r="S7" s="554"/>
      <c r="T7" s="554"/>
      <c r="U7" s="554"/>
      <c r="V7" s="554"/>
      <c r="W7" s="554"/>
      <c r="X7" s="554"/>
      <c r="Y7" s="554"/>
      <c r="Z7" s="554"/>
      <c r="AA7" s="554"/>
      <c r="AB7" s="554"/>
      <c r="AC7" s="554"/>
      <c r="AD7" s="554"/>
      <c r="AE7" s="554"/>
      <c r="AF7" s="554"/>
      <c r="AG7" s="554"/>
    </row>
    <row r="8" spans="1:36" ht="15.75">
      <c r="A8" s="554"/>
      <c r="B8" s="554"/>
      <c r="C8" s="554"/>
      <c r="D8" s="554"/>
      <c r="E8" s="554"/>
      <c r="G8" s="554"/>
      <c r="H8" s="554"/>
      <c r="I8" s="554"/>
      <c r="J8" s="554"/>
      <c r="K8" s="554"/>
      <c r="L8" s="554"/>
      <c r="M8" s="554"/>
      <c r="N8" s="554"/>
      <c r="O8" s="554"/>
      <c r="P8" s="554"/>
      <c r="Q8" s="554"/>
      <c r="R8" s="554"/>
      <c r="S8" s="554"/>
      <c r="T8" s="554"/>
      <c r="U8" s="554"/>
      <c r="V8" s="554"/>
      <c r="W8" s="554"/>
      <c r="X8" s="554"/>
      <c r="Y8" s="554"/>
      <c r="Z8" s="554"/>
      <c r="AA8" s="3510" t="s">
        <v>1558</v>
      </c>
      <c r="AB8" s="3511"/>
      <c r="AC8" s="3511"/>
      <c r="AD8" s="3511"/>
      <c r="AE8" s="3511"/>
      <c r="AF8" s="3511"/>
      <c r="AG8" s="3511"/>
      <c r="AH8" s="3511"/>
      <c r="AI8" s="3511"/>
    </row>
    <row r="9" spans="1:36" ht="15.75">
      <c r="A9" s="554"/>
      <c r="B9" s="1465">
        <v>2016</v>
      </c>
      <c r="C9" s="587"/>
      <c r="D9" s="587"/>
      <c r="E9" s="587"/>
      <c r="F9" s="1466"/>
      <c r="G9" s="587"/>
      <c r="H9" s="587"/>
      <c r="I9" s="587"/>
      <c r="J9" s="587"/>
      <c r="K9" s="587"/>
      <c r="L9" s="587"/>
      <c r="M9" s="587"/>
      <c r="N9" s="587"/>
      <c r="O9" s="587"/>
      <c r="P9" s="587"/>
      <c r="Q9" s="587"/>
      <c r="R9" s="587"/>
      <c r="S9" s="587"/>
      <c r="T9" s="1465">
        <v>2017</v>
      </c>
      <c r="U9" s="587"/>
      <c r="V9" s="587"/>
      <c r="W9" s="587"/>
      <c r="X9" s="562"/>
      <c r="Y9" s="587"/>
      <c r="Z9" s="587"/>
      <c r="AA9" s="587"/>
      <c r="AB9" s="587"/>
      <c r="AC9" s="587"/>
      <c r="AD9" s="587"/>
      <c r="AE9" s="1467"/>
      <c r="AF9" s="587"/>
      <c r="AG9" s="1468" t="s">
        <v>8</v>
      </c>
      <c r="AH9" s="1469"/>
      <c r="AI9" s="1470" t="s">
        <v>9</v>
      </c>
      <c r="AJ9" s="1011"/>
    </row>
    <row r="10" spans="1:36" ht="15.75">
      <c r="A10" s="554"/>
      <c r="B10" s="1433" t="s">
        <v>128</v>
      </c>
      <c r="C10" s="587"/>
      <c r="D10" s="1433" t="s">
        <v>129</v>
      </c>
      <c r="E10" s="562"/>
      <c r="F10" s="1471" t="s">
        <v>130</v>
      </c>
      <c r="G10" s="562"/>
      <c r="H10" s="1433" t="s">
        <v>131</v>
      </c>
      <c r="I10" s="562"/>
      <c r="J10" s="1433" t="s">
        <v>132</v>
      </c>
      <c r="K10" s="562"/>
      <c r="L10" s="1432" t="s">
        <v>147</v>
      </c>
      <c r="M10" s="562"/>
      <c r="N10" s="3407" t="s">
        <v>148</v>
      </c>
      <c r="O10" s="562"/>
      <c r="P10" s="1433" t="s">
        <v>135</v>
      </c>
      <c r="Q10" s="562"/>
      <c r="R10" s="1433" t="s">
        <v>136</v>
      </c>
      <c r="S10" s="587"/>
      <c r="T10" s="1433" t="s">
        <v>137</v>
      </c>
      <c r="U10" s="562"/>
      <c r="V10" s="1433" t="s">
        <v>138</v>
      </c>
      <c r="W10" s="562"/>
      <c r="X10" s="1433" t="s">
        <v>191</v>
      </c>
      <c r="Y10" s="562"/>
      <c r="Z10" s="562"/>
      <c r="AA10" s="1472">
        <v>2017</v>
      </c>
      <c r="AB10" s="562"/>
      <c r="AC10" s="562"/>
      <c r="AD10" s="1472">
        <v>2016</v>
      </c>
      <c r="AE10" s="1473"/>
      <c r="AF10" s="1473"/>
      <c r="AG10" s="1474" t="s">
        <v>12</v>
      </c>
      <c r="AH10" s="1475"/>
      <c r="AI10" s="1474" t="s">
        <v>13</v>
      </c>
      <c r="AJ10" s="1011"/>
    </row>
    <row r="11" spans="1:36" ht="3" customHeight="1">
      <c r="A11" s="554"/>
      <c r="B11" s="566"/>
      <c r="C11" s="560"/>
      <c r="D11" s="566"/>
      <c r="E11" s="564"/>
      <c r="F11" s="567"/>
      <c r="G11" s="564"/>
      <c r="H11" s="566"/>
      <c r="I11" s="564"/>
      <c r="J11" s="566"/>
      <c r="K11" s="564"/>
      <c r="L11" s="568"/>
      <c r="M11" s="564"/>
      <c r="N11" s="566"/>
      <c r="O11" s="564"/>
      <c r="P11" s="566"/>
      <c r="Q11" s="564"/>
      <c r="R11" s="566"/>
      <c r="S11" s="560"/>
      <c r="T11" s="569"/>
      <c r="U11" s="564"/>
      <c r="V11" s="566"/>
      <c r="W11" s="564"/>
      <c r="X11" s="566"/>
      <c r="Y11" s="564"/>
      <c r="Z11" s="564"/>
      <c r="AA11" s="565"/>
      <c r="AB11" s="564"/>
      <c r="AC11" s="564"/>
      <c r="AD11" s="565"/>
      <c r="AE11" s="565"/>
      <c r="AF11" s="570"/>
      <c r="AG11" s="565"/>
      <c r="AH11" s="571"/>
      <c r="AI11" s="572"/>
    </row>
    <row r="12" spans="1:36" ht="15.75">
      <c r="A12" s="573" t="s">
        <v>192</v>
      </c>
      <c r="B12" s="574">
        <v>159.69999999999999</v>
      </c>
      <c r="C12" s="574"/>
      <c r="D12" s="575">
        <f>B73</f>
        <v>324.89999999999998</v>
      </c>
      <c r="E12" s="574"/>
      <c r="F12" s="575">
        <f>D73</f>
        <v>418</v>
      </c>
      <c r="G12" s="574"/>
      <c r="H12" s="575">
        <f>F73</f>
        <v>365.9</v>
      </c>
      <c r="I12" s="574"/>
      <c r="J12" s="575">
        <f>H73</f>
        <v>807.4</v>
      </c>
      <c r="K12" s="574"/>
      <c r="L12" s="575">
        <f>J73</f>
        <v>1108.5999999999999</v>
      </c>
      <c r="M12" s="574"/>
      <c r="N12" s="575">
        <f>L73</f>
        <v>374.5</v>
      </c>
      <c r="O12" s="574"/>
      <c r="P12" s="575">
        <f>N73</f>
        <v>572.9</v>
      </c>
      <c r="Q12" s="574"/>
      <c r="R12" s="575">
        <f>P73</f>
        <v>876.4</v>
      </c>
      <c r="S12" s="574"/>
      <c r="T12" s="575">
        <f>R73</f>
        <v>719.7</v>
      </c>
      <c r="U12" s="574"/>
      <c r="V12" s="575"/>
      <c r="W12" s="574"/>
      <c r="X12" s="576"/>
      <c r="Y12" s="577"/>
      <c r="Z12" s="574"/>
      <c r="AA12" s="574">
        <v>159.69999999999999</v>
      </c>
      <c r="AB12" s="577"/>
      <c r="AC12" s="574"/>
      <c r="AD12" s="2932">
        <v>118.7</v>
      </c>
      <c r="AE12" s="578"/>
      <c r="AF12" s="579"/>
      <c r="AG12" s="580">
        <f>ROUND(SUM(AA12-AD12),1)</f>
        <v>41</v>
      </c>
      <c r="AH12" s="581"/>
      <c r="AI12" s="582">
        <f>ROUND(SUM(AG12/AD12),3)</f>
        <v>0.34499999999999997</v>
      </c>
      <c r="AJ12" s="1011"/>
    </row>
    <row r="13" spans="1:36" ht="12.75" customHeight="1">
      <c r="A13" s="560"/>
      <c r="B13" s="560"/>
      <c r="C13" s="560"/>
      <c r="D13" s="560"/>
      <c r="E13" s="560"/>
      <c r="F13" s="561"/>
      <c r="G13" s="560"/>
      <c r="H13" s="560"/>
      <c r="I13" s="560"/>
      <c r="J13" s="560"/>
      <c r="K13" s="560"/>
      <c r="L13" s="560"/>
      <c r="M13" s="560"/>
      <c r="N13" s="560"/>
      <c r="O13" s="560"/>
      <c r="P13" s="560"/>
      <c r="Q13" s="560"/>
      <c r="R13" s="560"/>
      <c r="S13" s="560"/>
      <c r="T13" s="560"/>
      <c r="U13" s="560"/>
      <c r="V13" s="560"/>
      <c r="W13" s="560"/>
      <c r="X13" s="560"/>
      <c r="Y13" s="583"/>
      <c r="Z13" s="560"/>
      <c r="AA13" s="561"/>
      <c r="AB13" s="584"/>
      <c r="AC13" s="561"/>
      <c r="AD13" s="2930"/>
      <c r="AE13" s="565"/>
      <c r="AF13" s="585"/>
      <c r="AG13" s="586"/>
      <c r="AH13" s="571"/>
      <c r="AI13" s="572"/>
    </row>
    <row r="14" spans="1:36" ht="14.25" customHeight="1">
      <c r="A14" s="587" t="s">
        <v>14</v>
      </c>
      <c r="B14" s="560"/>
      <c r="C14" s="560"/>
      <c r="D14" s="560"/>
      <c r="E14" s="560"/>
      <c r="F14" s="561"/>
      <c r="G14" s="560"/>
      <c r="H14" s="560"/>
      <c r="I14" s="560"/>
      <c r="J14" s="560"/>
      <c r="K14" s="560"/>
      <c r="L14" s="560"/>
      <c r="M14" s="560"/>
      <c r="N14" s="560"/>
      <c r="O14" s="560"/>
      <c r="P14" s="560"/>
      <c r="Q14" s="560"/>
      <c r="R14" s="560"/>
      <c r="S14" s="560"/>
      <c r="T14" s="560"/>
      <c r="U14" s="560"/>
      <c r="V14" s="560"/>
      <c r="W14" s="560"/>
      <c r="X14" s="560"/>
      <c r="Y14" s="583"/>
      <c r="Z14" s="560"/>
      <c r="AA14" s="561"/>
      <c r="AB14" s="584"/>
      <c r="AC14" s="561"/>
      <c r="AD14" s="2930"/>
      <c r="AE14" s="565"/>
      <c r="AF14" s="585"/>
      <c r="AG14" s="586"/>
      <c r="AH14" s="571"/>
      <c r="AI14" s="572"/>
    </row>
    <row r="15" spans="1:36" ht="14.25" customHeight="1">
      <c r="A15" s="488" t="s">
        <v>1206</v>
      </c>
      <c r="B15" s="428"/>
      <c r="C15" s="428"/>
      <c r="D15" s="428"/>
      <c r="E15" s="973"/>
      <c r="F15" s="428"/>
      <c r="G15" s="973"/>
      <c r="H15" s="560"/>
      <c r="I15" s="560"/>
      <c r="J15" s="560"/>
      <c r="K15" s="560"/>
      <c r="L15" s="560"/>
      <c r="M15" s="560"/>
      <c r="N15" s="560"/>
      <c r="O15" s="560"/>
      <c r="P15" s="560"/>
      <c r="Q15" s="560"/>
      <c r="R15" s="560"/>
      <c r="S15" s="560"/>
      <c r="T15" s="560"/>
      <c r="U15" s="560"/>
      <c r="V15" s="560"/>
      <c r="W15" s="560"/>
      <c r="X15" s="560"/>
      <c r="Y15" s="1992"/>
      <c r="Z15" s="560"/>
      <c r="AA15" s="561"/>
      <c r="AB15" s="1993"/>
      <c r="AC15" s="561"/>
      <c r="AD15" s="2927"/>
      <c r="AE15" s="565"/>
      <c r="AF15" s="585"/>
      <c r="AG15" s="586"/>
      <c r="AH15" s="571"/>
      <c r="AI15" s="572"/>
    </row>
    <row r="16" spans="1:36" ht="14.25" customHeight="1">
      <c r="A16" s="2286" t="s">
        <v>1211</v>
      </c>
      <c r="B16" s="1177">
        <v>1595.9</v>
      </c>
      <c r="C16" s="1111"/>
      <c r="D16" s="1177">
        <v>546.5</v>
      </c>
      <c r="E16" s="1111"/>
      <c r="F16" s="2557">
        <f>1181-0.1</f>
        <v>1180.9000000000001</v>
      </c>
      <c r="G16" s="223"/>
      <c r="H16" s="1177">
        <v>640.5</v>
      </c>
      <c r="I16" s="560"/>
      <c r="J16" s="1177">
        <v>734.9</v>
      </c>
      <c r="K16" s="560"/>
      <c r="L16" s="1177">
        <v>1176.0999999999999</v>
      </c>
      <c r="M16" s="560"/>
      <c r="N16" s="3337">
        <v>633.20000000000005</v>
      </c>
      <c r="O16" s="560"/>
      <c r="P16" s="1177">
        <v>523.4</v>
      </c>
      <c r="Q16" s="560"/>
      <c r="R16" s="1177">
        <v>1188.1000000000004</v>
      </c>
      <c r="S16" s="560"/>
      <c r="T16" s="1177">
        <v>1898.7000000000007</v>
      </c>
      <c r="U16" s="560"/>
      <c r="V16" s="1177"/>
      <c r="W16" s="560"/>
      <c r="X16" s="1177"/>
      <c r="Y16" s="1992"/>
      <c r="Z16" s="560"/>
      <c r="AA16" s="317">
        <f>ROUND(SUM(B16:X16),1)</f>
        <v>10118.200000000001</v>
      </c>
      <c r="AB16" s="1993"/>
      <c r="AC16" s="561"/>
      <c r="AD16" s="2940">
        <v>10310.4</v>
      </c>
      <c r="AE16" s="565"/>
      <c r="AF16" s="585"/>
      <c r="AG16" s="595">
        <f>ROUND(SUM(AA16-AD16),1)</f>
        <v>-192.2</v>
      </c>
      <c r="AH16" s="571"/>
      <c r="AI16" s="2664">
        <f>ROUND(IF(AD16=0,0,AG16/ABS(AD16)),3)</f>
        <v>-1.9E-2</v>
      </c>
    </row>
    <row r="17" spans="1:35" ht="6" customHeight="1">
      <c r="A17" s="2286"/>
      <c r="B17" s="1177"/>
      <c r="C17" s="1111"/>
      <c r="D17" s="1177"/>
      <c r="E17" s="1111"/>
      <c r="F17" s="1177"/>
      <c r="G17" s="223"/>
      <c r="H17" s="1177"/>
      <c r="I17" s="560"/>
      <c r="J17" s="1177"/>
      <c r="K17" s="560"/>
      <c r="L17" s="1177"/>
      <c r="M17" s="560"/>
      <c r="N17" s="3337"/>
      <c r="O17" s="560"/>
      <c r="P17" s="1177"/>
      <c r="Q17" s="560"/>
      <c r="R17" s="1177"/>
      <c r="S17" s="560"/>
      <c r="T17" s="1177"/>
      <c r="U17" s="560"/>
      <c r="V17" s="1177"/>
      <c r="W17" s="560"/>
      <c r="X17" s="1177"/>
      <c r="Y17" s="2581"/>
      <c r="Z17" s="560"/>
      <c r="AA17" s="317"/>
      <c r="AB17" s="2584"/>
      <c r="AC17" s="561"/>
      <c r="AD17" s="2940"/>
      <c r="AE17" s="565"/>
      <c r="AF17" s="585"/>
      <c r="AG17" s="595"/>
      <c r="AH17" s="571"/>
      <c r="AI17" s="2664"/>
    </row>
    <row r="18" spans="1:35" ht="14.25" customHeight="1">
      <c r="A18" s="1990" t="s">
        <v>1276</v>
      </c>
      <c r="B18" s="272"/>
      <c r="C18" s="260"/>
      <c r="D18" s="272"/>
      <c r="E18" s="260"/>
      <c r="F18" s="272"/>
      <c r="G18" s="260"/>
      <c r="H18" s="272"/>
      <c r="I18" s="560"/>
      <c r="J18" s="272"/>
      <c r="K18" s="560"/>
      <c r="L18" s="272"/>
      <c r="M18" s="560"/>
      <c r="N18" s="314"/>
      <c r="O18" s="560"/>
      <c r="P18" s="272"/>
      <c r="Q18" s="560"/>
      <c r="R18" s="272"/>
      <c r="S18" s="560"/>
      <c r="T18" s="272"/>
      <c r="U18" s="560"/>
      <c r="V18" s="272"/>
      <c r="W18" s="560"/>
      <c r="X18" s="272"/>
      <c r="Y18" s="1992"/>
      <c r="Z18" s="560"/>
      <c r="AA18" s="314"/>
      <c r="AB18" s="1993"/>
      <c r="AC18" s="561"/>
      <c r="AD18" s="2926"/>
      <c r="AE18" s="565"/>
      <c r="AF18" s="585"/>
      <c r="AG18" s="586"/>
      <c r="AH18" s="571"/>
      <c r="AI18" s="2701"/>
    </row>
    <row r="19" spans="1:35" ht="14.25" customHeight="1">
      <c r="A19" s="1243" t="s">
        <v>1226</v>
      </c>
      <c r="B19" s="1111">
        <v>498.2</v>
      </c>
      <c r="C19" s="1111"/>
      <c r="D19" s="1111">
        <v>474.3</v>
      </c>
      <c r="E19" s="1111"/>
      <c r="F19" s="1111">
        <v>655.1</v>
      </c>
      <c r="G19" s="260"/>
      <c r="H19" s="1111">
        <v>508.3</v>
      </c>
      <c r="I19" s="560"/>
      <c r="J19" s="1111">
        <v>485.4</v>
      </c>
      <c r="K19" s="560"/>
      <c r="L19" s="1111">
        <v>652.5</v>
      </c>
      <c r="M19" s="560"/>
      <c r="N19" s="3301">
        <v>499.9</v>
      </c>
      <c r="O19" s="560"/>
      <c r="P19" s="1111">
        <v>498.7</v>
      </c>
      <c r="Q19" s="560"/>
      <c r="R19" s="1111">
        <v>632.9</v>
      </c>
      <c r="S19" s="560"/>
      <c r="T19" s="1111">
        <v>535</v>
      </c>
      <c r="U19" s="560"/>
      <c r="V19" s="1111"/>
      <c r="W19" s="560"/>
      <c r="X19" s="1111"/>
      <c r="Y19" s="1992"/>
      <c r="Z19" s="560"/>
      <c r="AA19" s="317">
        <f>ROUND(SUM(B19:X19),1)</f>
        <v>5440.3</v>
      </c>
      <c r="AB19" s="1993"/>
      <c r="AC19" s="561"/>
      <c r="AD19" s="2924">
        <v>5227.6000000000004</v>
      </c>
      <c r="AE19" s="565"/>
      <c r="AF19" s="585"/>
      <c r="AG19" s="595">
        <f>ROUND(SUM(AA19-AD19),1)</f>
        <v>212.7</v>
      </c>
      <c r="AH19" s="571"/>
      <c r="AI19" s="2664">
        <f>ROUND(IF(AD19=0,0,AG19/ABS(AD19)),3)</f>
        <v>4.1000000000000002E-2</v>
      </c>
    </row>
    <row r="20" spans="1:35" ht="14.25" customHeight="1">
      <c r="A20" s="587" t="s">
        <v>1225</v>
      </c>
      <c r="B20" s="1256">
        <f>ROUND(SUM(B19:B19),1)</f>
        <v>498.2</v>
      </c>
      <c r="C20" s="1802"/>
      <c r="D20" s="1256">
        <f>ROUND(SUM(D19:D19),1)</f>
        <v>474.3</v>
      </c>
      <c r="E20" s="1802"/>
      <c r="F20" s="1256">
        <f>ROUND(SUM(F19:F19),1)</f>
        <v>655.1</v>
      </c>
      <c r="G20" s="1802"/>
      <c r="H20" s="1256">
        <f>ROUND(SUM(H19:H19),1)</f>
        <v>508.3</v>
      </c>
      <c r="I20" s="560"/>
      <c r="J20" s="1256">
        <f>ROUND(SUM(J19:J19),1)</f>
        <v>485.4</v>
      </c>
      <c r="K20" s="560"/>
      <c r="L20" s="1256">
        <f>ROUND(SUM(L19:L19),1)</f>
        <v>652.5</v>
      </c>
      <c r="M20" s="560"/>
      <c r="N20" s="2941">
        <f>ROUND(SUM(N19:N19),1)</f>
        <v>499.9</v>
      </c>
      <c r="O20" s="560"/>
      <c r="P20" s="1256">
        <f>ROUND(SUM(P19:P19),1)</f>
        <v>498.7</v>
      </c>
      <c r="Q20" s="560"/>
      <c r="R20" s="1256">
        <f>ROUND(SUM(R19:R19),1)</f>
        <v>632.9</v>
      </c>
      <c r="S20" s="560"/>
      <c r="T20" s="1256">
        <f>ROUND(SUM(T19:T19),1)</f>
        <v>535</v>
      </c>
      <c r="U20" s="560"/>
      <c r="V20" s="1256">
        <f>ROUND(SUM(V19:V19),1)</f>
        <v>0</v>
      </c>
      <c r="W20" s="560"/>
      <c r="X20" s="1256">
        <f>ROUND(SUM(X19:X19),1)</f>
        <v>0</v>
      </c>
      <c r="Y20" s="1992"/>
      <c r="Z20" s="560"/>
      <c r="AA20" s="1256">
        <f>ROUND(SUM(AA19:AA19),1)</f>
        <v>5440.3</v>
      </c>
      <c r="AB20" s="1993"/>
      <c r="AC20" s="561"/>
      <c r="AD20" s="2941">
        <f>ROUND(SUM(AD19:AD19),1)</f>
        <v>5227.6000000000004</v>
      </c>
      <c r="AE20" s="565"/>
      <c r="AF20" s="585"/>
      <c r="AG20" s="2147">
        <f>ROUND(SUM(AA20-AD20),1)</f>
        <v>212.7</v>
      </c>
      <c r="AH20" s="581"/>
      <c r="AI20" s="2683">
        <f>ROUND(IF(AD20=0,0,AG20/ABS(AD20)),3)</f>
        <v>4.1000000000000002E-2</v>
      </c>
    </row>
    <row r="21" spans="1:35" ht="14.25" customHeight="1">
      <c r="A21" s="1990" t="s">
        <v>1278</v>
      </c>
      <c r="B21" s="272"/>
      <c r="C21" s="1802"/>
      <c r="D21" s="272"/>
      <c r="E21" s="1802"/>
      <c r="F21" s="272"/>
      <c r="G21" s="1802"/>
      <c r="H21" s="272"/>
      <c r="I21" s="560"/>
      <c r="J21" s="272"/>
      <c r="K21" s="560"/>
      <c r="L21" s="272"/>
      <c r="M21" s="560"/>
      <c r="N21" s="314"/>
      <c r="O21" s="560"/>
      <c r="P21" s="272"/>
      <c r="Q21" s="560"/>
      <c r="R21" s="272"/>
      <c r="S21" s="560"/>
      <c r="T21" s="272"/>
      <c r="U21" s="560"/>
      <c r="V21" s="272"/>
      <c r="W21" s="560"/>
      <c r="X21" s="272"/>
      <c r="Y21" s="1992"/>
      <c r="Z21" s="560"/>
      <c r="AA21" s="314"/>
      <c r="AB21" s="1993"/>
      <c r="AC21" s="561"/>
      <c r="AD21" s="2926"/>
      <c r="AE21" s="565"/>
      <c r="AF21" s="585"/>
      <c r="AG21" s="586"/>
      <c r="AH21" s="571"/>
      <c r="AI21" s="2701"/>
    </row>
    <row r="22" spans="1:35" ht="14.25" customHeight="1">
      <c r="A22" s="1243" t="s">
        <v>1244</v>
      </c>
      <c r="B22" s="1177">
        <v>90.4</v>
      </c>
      <c r="C22" s="1111"/>
      <c r="D22" s="1177">
        <v>74</v>
      </c>
      <c r="E22" s="1111"/>
      <c r="F22" s="1177">
        <v>91.1</v>
      </c>
      <c r="G22" s="1802"/>
      <c r="H22" s="1177">
        <v>102</v>
      </c>
      <c r="I22" s="560"/>
      <c r="J22" s="1177">
        <v>90.5</v>
      </c>
      <c r="K22" s="560"/>
      <c r="L22" s="1177">
        <v>88.8</v>
      </c>
      <c r="M22" s="560"/>
      <c r="N22" s="3337">
        <v>84.6</v>
      </c>
      <c r="O22" s="560"/>
      <c r="P22" s="1177">
        <v>82.6</v>
      </c>
      <c r="Q22" s="560"/>
      <c r="R22" s="1177">
        <v>76.900000000000006</v>
      </c>
      <c r="S22" s="560"/>
      <c r="T22" s="1177">
        <v>83.399999999999977</v>
      </c>
      <c r="U22" s="560"/>
      <c r="V22" s="1177"/>
      <c r="W22" s="560"/>
      <c r="X22" s="1177"/>
      <c r="Y22" s="1992"/>
      <c r="Z22" s="560"/>
      <c r="AA22" s="317">
        <f>ROUND(SUM(B22:X22),1)</f>
        <v>864.3</v>
      </c>
      <c r="AB22" s="1993"/>
      <c r="AC22" s="561"/>
      <c r="AD22" s="2940">
        <v>883.8</v>
      </c>
      <c r="AE22" s="565"/>
      <c r="AF22" s="585"/>
      <c r="AG22" s="595">
        <f>ROUND(SUM(AA22-AD22),1)</f>
        <v>-19.5</v>
      </c>
      <c r="AH22" s="571"/>
      <c r="AI22" s="2664">
        <f>ROUND(IF(AD22=0,0,AG22/ABS(AD22)),3)</f>
        <v>-2.1999999999999999E-2</v>
      </c>
    </row>
    <row r="23" spans="1:35" ht="14.25" customHeight="1">
      <c r="A23" s="587" t="s">
        <v>1239</v>
      </c>
      <c r="B23" s="2254">
        <f>ROUND(SUM(B22:B22),1)</f>
        <v>90.4</v>
      </c>
      <c r="C23" s="1802"/>
      <c r="D23" s="482">
        <f>ROUND(SUM(D22:D22),1)</f>
        <v>74</v>
      </c>
      <c r="E23" s="1802"/>
      <c r="F23" s="482">
        <f>ROUND(SUM(F22:F22),1)</f>
        <v>91.1</v>
      </c>
      <c r="G23" s="1802"/>
      <c r="H23" s="482">
        <f>ROUND(SUM(H22:H22),1)</f>
        <v>102</v>
      </c>
      <c r="I23" s="560"/>
      <c r="J23" s="482">
        <f>ROUND(SUM(J22:J22),1)</f>
        <v>90.5</v>
      </c>
      <c r="K23" s="560"/>
      <c r="L23" s="482">
        <f>ROUND(SUM(L22:L22),1)</f>
        <v>88.8</v>
      </c>
      <c r="M23" s="560"/>
      <c r="N23" s="2941">
        <f>ROUND(SUM(N22:N22),1)</f>
        <v>84.6</v>
      </c>
      <c r="O23" s="560"/>
      <c r="P23" s="482">
        <f>ROUND(SUM(P22:P22),1)</f>
        <v>82.6</v>
      </c>
      <c r="Q23" s="560"/>
      <c r="R23" s="482">
        <f>ROUND(SUM(R22:R22),1)</f>
        <v>76.900000000000006</v>
      </c>
      <c r="S23" s="560"/>
      <c r="T23" s="482">
        <f>ROUND(SUM(T22:T22),1)</f>
        <v>83.4</v>
      </c>
      <c r="U23" s="560"/>
      <c r="V23" s="482">
        <f>ROUND(SUM(V22:V22),1)</f>
        <v>0</v>
      </c>
      <c r="W23" s="560"/>
      <c r="X23" s="482">
        <f>ROUND(SUM(X22:X22),1)</f>
        <v>0</v>
      </c>
      <c r="Y23" s="1992"/>
      <c r="Z23" s="560"/>
      <c r="AA23" s="1256">
        <f>SUM(AA22:AA22)</f>
        <v>864.3</v>
      </c>
      <c r="AB23" s="1993"/>
      <c r="AC23" s="561"/>
      <c r="AD23" s="2941">
        <f>SUM(AD22:AD22)</f>
        <v>883.8</v>
      </c>
      <c r="AE23" s="565"/>
      <c r="AF23" s="585"/>
      <c r="AG23" s="2256">
        <f>ROUND(SUM(AA23-AD23),1)</f>
        <v>-19.5</v>
      </c>
      <c r="AH23" s="581"/>
      <c r="AI23" s="2702">
        <f>ROUND(IF(AD23=0,0,AG23/ABS(AD23)),3)</f>
        <v>-2.1999999999999999E-2</v>
      </c>
    </row>
    <row r="24" spans="1:35" ht="14.25" customHeight="1">
      <c r="A24" s="587"/>
      <c r="B24" s="2254"/>
      <c r="C24" s="1802"/>
      <c r="D24" s="272"/>
      <c r="E24" s="1802"/>
      <c r="F24" s="272"/>
      <c r="G24" s="272"/>
      <c r="H24" s="272"/>
      <c r="I24" s="563"/>
      <c r="J24" s="272"/>
      <c r="K24" s="563"/>
      <c r="L24" s="272"/>
      <c r="M24" s="563"/>
      <c r="N24" s="314"/>
      <c r="O24" s="563"/>
      <c r="P24" s="272"/>
      <c r="Q24" s="563"/>
      <c r="R24" s="272"/>
      <c r="S24" s="563"/>
      <c r="T24" s="272"/>
      <c r="U24" s="563"/>
      <c r="V24" s="272"/>
      <c r="W24" s="563"/>
      <c r="X24" s="272"/>
      <c r="Y24" s="1992"/>
      <c r="Z24" s="560"/>
      <c r="AA24" s="314"/>
      <c r="AB24" s="1993"/>
      <c r="AC24" s="561"/>
      <c r="AD24" s="2943"/>
      <c r="AE24" s="565"/>
      <c r="AF24" s="585"/>
      <c r="AG24" s="586"/>
      <c r="AH24" s="571"/>
      <c r="AI24" s="2703"/>
    </row>
    <row r="25" spans="1:35" ht="14.25" customHeight="1">
      <c r="A25" s="587" t="s">
        <v>1240</v>
      </c>
      <c r="B25" s="614">
        <f>ROUND(SUM(B16+B20+B23),1)</f>
        <v>2184.5</v>
      </c>
      <c r="C25" s="260"/>
      <c r="D25" s="614">
        <f>ROUND(SUM(D16+D20+D23),1)</f>
        <v>1094.8</v>
      </c>
      <c r="E25" s="260"/>
      <c r="F25" s="614">
        <f>ROUND(SUM(F16+F20+F23),1)</f>
        <v>1927.1</v>
      </c>
      <c r="G25" s="260"/>
      <c r="H25" s="614">
        <f>ROUND(SUM(H16+H20+H23),1)</f>
        <v>1250.8</v>
      </c>
      <c r="I25" s="560"/>
      <c r="J25" s="614">
        <f>ROUND(SUM(J16+J20+J23),1)</f>
        <v>1310.8</v>
      </c>
      <c r="K25" s="560"/>
      <c r="L25" s="614">
        <f>ROUND(SUM(L16+L20+L23),1)</f>
        <v>1917.4</v>
      </c>
      <c r="M25" s="560"/>
      <c r="N25" s="614">
        <f>ROUND(SUM(N16+N20+N23),1)</f>
        <v>1217.7</v>
      </c>
      <c r="O25" s="560"/>
      <c r="P25" s="614">
        <f>ROUND(SUM(P16+P20+P23),1)</f>
        <v>1104.7</v>
      </c>
      <c r="Q25" s="560"/>
      <c r="R25" s="614">
        <f>ROUND(SUM(R16+R20+R23),1)</f>
        <v>1897.9</v>
      </c>
      <c r="S25" s="560"/>
      <c r="T25" s="614">
        <f>ROUND(SUM(T16+T20+T23),1)</f>
        <v>2517.1</v>
      </c>
      <c r="U25" s="560"/>
      <c r="V25" s="614">
        <f>ROUND(SUM(V16+V20+V23),1)</f>
        <v>0</v>
      </c>
      <c r="W25" s="560"/>
      <c r="X25" s="614">
        <f>ROUND(SUM(X16+X20+X23),1)</f>
        <v>0</v>
      </c>
      <c r="Y25" s="1992"/>
      <c r="Z25" s="560"/>
      <c r="AA25" s="614">
        <f>ROUND(SUM(AA16+AA20+AA23),1)</f>
        <v>16422.8</v>
      </c>
      <c r="AB25" s="1993"/>
      <c r="AC25" s="561"/>
      <c r="AD25" s="614">
        <f>ROUND(SUM(AD16+AD20+AD23),1)</f>
        <v>16421.8</v>
      </c>
      <c r="AE25" s="565"/>
      <c r="AF25" s="585"/>
      <c r="AG25" s="614">
        <f>ROUND(SUM(AG16+AG20+AG23),1)</f>
        <v>1</v>
      </c>
      <c r="AH25" s="581"/>
      <c r="AI25" s="2704">
        <f>ROUND(IF(AD25=0,0,AG25/ABS(AD25)),3)</f>
        <v>0</v>
      </c>
    </row>
    <row r="26" spans="1:35" ht="14.25" customHeight="1">
      <c r="A26" s="488"/>
      <c r="B26" s="260"/>
      <c r="C26" s="260"/>
      <c r="D26" s="260"/>
      <c r="E26" s="260"/>
      <c r="F26" s="260"/>
      <c r="G26" s="260"/>
      <c r="H26" s="260"/>
      <c r="I26" s="560"/>
      <c r="J26" s="260"/>
      <c r="K26" s="560"/>
      <c r="L26" s="260"/>
      <c r="M26" s="560"/>
      <c r="N26" s="317"/>
      <c r="O26" s="560"/>
      <c r="P26" s="260"/>
      <c r="Q26" s="560"/>
      <c r="R26" s="260"/>
      <c r="S26" s="560"/>
      <c r="T26" s="260"/>
      <c r="U26" s="560"/>
      <c r="V26" s="260"/>
      <c r="W26" s="560"/>
      <c r="X26" s="260"/>
      <c r="Y26" s="1992"/>
      <c r="Z26" s="560"/>
      <c r="AA26" s="561"/>
      <c r="AB26" s="1993"/>
      <c r="AC26" s="561"/>
      <c r="AD26" s="2925"/>
      <c r="AE26" s="565"/>
      <c r="AF26" s="585"/>
      <c r="AG26" s="586"/>
      <c r="AH26" s="571"/>
      <c r="AI26" s="2701"/>
    </row>
    <row r="27" spans="1:35" ht="14.25" customHeight="1">
      <c r="A27" s="488" t="s">
        <v>1157</v>
      </c>
      <c r="B27" s="597"/>
      <c r="C27" s="590"/>
      <c r="D27" s="590"/>
      <c r="E27" s="590"/>
      <c r="F27" s="590"/>
      <c r="G27" s="590"/>
      <c r="H27" s="590"/>
      <c r="I27" s="590"/>
      <c r="J27" s="590"/>
      <c r="K27" s="590"/>
      <c r="L27" s="590"/>
      <c r="M27" s="590"/>
      <c r="N27" s="590"/>
      <c r="O27" s="590"/>
      <c r="P27" s="590"/>
      <c r="Q27" s="590"/>
      <c r="R27" s="590"/>
      <c r="S27" s="590"/>
      <c r="T27" s="590"/>
      <c r="U27" s="590"/>
      <c r="V27" s="590"/>
      <c r="W27" s="590"/>
      <c r="X27" s="590"/>
      <c r="Y27" s="1895"/>
      <c r="Z27" s="590"/>
      <c r="AA27" s="589"/>
      <c r="AB27" s="1895"/>
      <c r="AC27" s="590"/>
      <c r="AD27" s="2935"/>
      <c r="AE27" s="593"/>
      <c r="AF27" s="594"/>
      <c r="AG27" s="595"/>
      <c r="AH27" s="571"/>
      <c r="AI27" s="2705"/>
    </row>
    <row r="28" spans="1:35" ht="14.25" customHeight="1">
      <c r="A28" s="1748" t="s">
        <v>1270</v>
      </c>
      <c r="B28" s="597"/>
      <c r="C28" s="590"/>
      <c r="D28" s="590"/>
      <c r="E28" s="590"/>
      <c r="F28" s="590"/>
      <c r="G28" s="590"/>
      <c r="H28" s="590"/>
      <c r="I28" s="590"/>
      <c r="J28" s="590"/>
      <c r="K28" s="590"/>
      <c r="L28" s="590"/>
      <c r="M28" s="590"/>
      <c r="N28" s="590"/>
      <c r="O28" s="590"/>
      <c r="P28" s="590"/>
      <c r="Q28" s="590"/>
      <c r="R28" s="590"/>
      <c r="S28" s="590"/>
      <c r="T28" s="590"/>
      <c r="U28" s="590"/>
      <c r="V28" s="590"/>
      <c r="W28" s="590"/>
      <c r="X28" s="590"/>
      <c r="Y28" s="2743"/>
      <c r="Z28" s="590"/>
      <c r="AA28" s="589"/>
      <c r="AB28" s="2743"/>
      <c r="AC28" s="590"/>
      <c r="AD28" s="2935"/>
      <c r="AE28" s="593"/>
      <c r="AF28" s="594"/>
      <c r="AG28" s="595"/>
      <c r="AH28" s="571"/>
      <c r="AI28" s="2705"/>
    </row>
    <row r="29" spans="1:35" ht="14.25" customHeight="1">
      <c r="A29" s="1748" t="s">
        <v>1160</v>
      </c>
      <c r="B29" s="597">
        <v>0</v>
      </c>
      <c r="C29" s="590"/>
      <c r="D29" s="590">
        <v>0</v>
      </c>
      <c r="E29" s="590"/>
      <c r="F29" s="590">
        <v>0</v>
      </c>
      <c r="G29" s="590"/>
      <c r="H29" s="590">
        <v>0</v>
      </c>
      <c r="I29" s="590"/>
      <c r="J29" s="590">
        <v>0</v>
      </c>
      <c r="K29" s="590"/>
      <c r="L29" s="590">
        <v>0</v>
      </c>
      <c r="M29" s="590"/>
      <c r="N29" s="590">
        <v>0</v>
      </c>
      <c r="O29" s="590"/>
      <c r="P29" s="590">
        <v>0</v>
      </c>
      <c r="Q29" s="590"/>
      <c r="R29" s="590">
        <v>0</v>
      </c>
      <c r="S29" s="590"/>
      <c r="T29" s="590">
        <v>0</v>
      </c>
      <c r="U29" s="590"/>
      <c r="V29" s="590"/>
      <c r="W29" s="590"/>
      <c r="X29" s="590"/>
      <c r="Y29" s="2743"/>
      <c r="Z29" s="590"/>
      <c r="AA29" s="589">
        <f t="shared" ref="AA29:AA36" si="0">ROUND(SUM(B29:X29),1)</f>
        <v>0</v>
      </c>
      <c r="AB29" s="2743"/>
      <c r="AC29" s="590"/>
      <c r="AD29" s="2935">
        <v>0</v>
      </c>
      <c r="AE29" s="593"/>
      <c r="AF29" s="594"/>
      <c r="AG29" s="595">
        <f>ROUND(SUM(AA29-AD29),1)</f>
        <v>0</v>
      </c>
      <c r="AH29" s="571"/>
      <c r="AI29" s="2664">
        <f>ROUND(IF(AD29=0,0,AG29/ABS(AD29)),3)</f>
        <v>0</v>
      </c>
    </row>
    <row r="30" spans="1:35" ht="14.25" customHeight="1">
      <c r="A30" s="1748" t="s">
        <v>1274</v>
      </c>
      <c r="B30" s="597"/>
      <c r="C30" s="590"/>
      <c r="D30" s="590"/>
      <c r="E30" s="590"/>
      <c r="F30" s="590"/>
      <c r="G30" s="590"/>
      <c r="H30" s="590"/>
      <c r="I30" s="590"/>
      <c r="J30" s="590"/>
      <c r="K30" s="590"/>
      <c r="L30" s="590"/>
      <c r="M30" s="590"/>
      <c r="N30" s="590"/>
      <c r="O30" s="590"/>
      <c r="P30" s="590"/>
      <c r="Q30" s="590"/>
      <c r="R30" s="590"/>
      <c r="S30" s="590"/>
      <c r="T30" s="590"/>
      <c r="U30" s="590"/>
      <c r="V30" s="590"/>
      <c r="W30" s="590"/>
      <c r="X30" s="590"/>
      <c r="Y30" s="2579"/>
      <c r="Z30" s="590"/>
      <c r="AA30" s="589"/>
      <c r="AB30" s="2579"/>
      <c r="AC30" s="590"/>
      <c r="AD30" s="2935"/>
      <c r="AE30" s="593"/>
      <c r="AF30" s="594"/>
      <c r="AG30" s="595"/>
      <c r="AH30" s="571"/>
      <c r="AI30" s="2705"/>
    </row>
    <row r="31" spans="1:35" ht="14.25" customHeight="1">
      <c r="A31" s="1748" t="s">
        <v>1161</v>
      </c>
      <c r="B31" s="597">
        <v>0</v>
      </c>
      <c r="C31" s="590"/>
      <c r="D31" s="597">
        <v>0</v>
      </c>
      <c r="E31" s="590"/>
      <c r="F31" s="597">
        <v>0</v>
      </c>
      <c r="G31" s="590"/>
      <c r="H31" s="597">
        <v>0</v>
      </c>
      <c r="I31" s="590"/>
      <c r="J31" s="597">
        <v>0</v>
      </c>
      <c r="K31" s="590"/>
      <c r="L31" s="597">
        <v>0</v>
      </c>
      <c r="M31" s="590"/>
      <c r="N31" s="597">
        <v>0</v>
      </c>
      <c r="O31" s="590"/>
      <c r="P31" s="597">
        <v>0</v>
      </c>
      <c r="Q31" s="590"/>
      <c r="R31" s="597">
        <v>0</v>
      </c>
      <c r="S31" s="590"/>
      <c r="T31" s="597">
        <v>0</v>
      </c>
      <c r="U31" s="590"/>
      <c r="V31" s="597"/>
      <c r="W31" s="590"/>
      <c r="X31" s="597"/>
      <c r="Y31" s="2579"/>
      <c r="Z31" s="590"/>
      <c r="AA31" s="589">
        <f t="shared" si="0"/>
        <v>0</v>
      </c>
      <c r="AB31" s="2579"/>
      <c r="AC31" s="590"/>
      <c r="AD31" s="2935">
        <v>0</v>
      </c>
      <c r="AE31" s="593"/>
      <c r="AF31" s="594"/>
      <c r="AG31" s="595">
        <f t="shared" ref="AG31:AG39" si="1">ROUND(SUM(AA31-AD31),1)</f>
        <v>0</v>
      </c>
      <c r="AH31" s="571"/>
      <c r="AI31" s="2664">
        <f t="shared" ref="AI31:AI39" si="2">ROUND(IF(AD31=0,0,AG31/ABS(AD31)),3)</f>
        <v>0</v>
      </c>
    </row>
    <row r="32" spans="1:35" ht="14.25" customHeight="1">
      <c r="A32" s="1748" t="s">
        <v>1162</v>
      </c>
      <c r="B32" s="597">
        <v>0</v>
      </c>
      <c r="C32" s="590"/>
      <c r="D32" s="597">
        <v>0</v>
      </c>
      <c r="E32" s="590"/>
      <c r="F32" s="597">
        <v>0</v>
      </c>
      <c r="G32" s="590"/>
      <c r="H32" s="597">
        <v>0</v>
      </c>
      <c r="I32" s="590"/>
      <c r="J32" s="597">
        <v>0</v>
      </c>
      <c r="K32" s="590"/>
      <c r="L32" s="597">
        <v>0</v>
      </c>
      <c r="M32" s="590"/>
      <c r="N32" s="597">
        <v>0</v>
      </c>
      <c r="O32" s="590"/>
      <c r="P32" s="597">
        <v>0</v>
      </c>
      <c r="Q32" s="590"/>
      <c r="R32" s="597">
        <v>0</v>
      </c>
      <c r="S32" s="590"/>
      <c r="T32" s="597">
        <v>0</v>
      </c>
      <c r="U32" s="590"/>
      <c r="V32" s="597"/>
      <c r="W32" s="590"/>
      <c r="X32" s="597"/>
      <c r="Y32" s="2579"/>
      <c r="Z32" s="590"/>
      <c r="AA32" s="589">
        <f t="shared" si="0"/>
        <v>0</v>
      </c>
      <c r="AB32" s="2579"/>
      <c r="AC32" s="590"/>
      <c r="AD32" s="2935">
        <v>0</v>
      </c>
      <c r="AE32" s="593"/>
      <c r="AF32" s="594"/>
      <c r="AG32" s="595">
        <f t="shared" si="1"/>
        <v>0</v>
      </c>
      <c r="AH32" s="571"/>
      <c r="AI32" s="2664">
        <f t="shared" si="2"/>
        <v>0</v>
      </c>
    </row>
    <row r="33" spans="1:36" ht="14.25" customHeight="1">
      <c r="A33" s="1748" t="s">
        <v>1163</v>
      </c>
      <c r="B33" s="597">
        <v>0</v>
      </c>
      <c r="C33" s="590"/>
      <c r="D33" s="597">
        <v>0</v>
      </c>
      <c r="E33" s="590"/>
      <c r="F33" s="597">
        <v>0</v>
      </c>
      <c r="G33" s="590"/>
      <c r="H33" s="597">
        <v>0</v>
      </c>
      <c r="I33" s="590"/>
      <c r="J33" s="597">
        <v>0</v>
      </c>
      <c r="K33" s="590"/>
      <c r="L33" s="597">
        <v>0</v>
      </c>
      <c r="M33" s="590"/>
      <c r="N33" s="597">
        <v>0</v>
      </c>
      <c r="O33" s="590"/>
      <c r="P33" s="597">
        <v>0</v>
      </c>
      <c r="Q33" s="590"/>
      <c r="R33" s="597">
        <v>0</v>
      </c>
      <c r="S33" s="590"/>
      <c r="T33" s="597">
        <v>0</v>
      </c>
      <c r="U33" s="590"/>
      <c r="V33" s="597"/>
      <c r="W33" s="590"/>
      <c r="X33" s="597"/>
      <c r="Y33" s="2579"/>
      <c r="Z33" s="590"/>
      <c r="AA33" s="589">
        <f t="shared" si="0"/>
        <v>0</v>
      </c>
      <c r="AB33" s="2579"/>
      <c r="AC33" s="590"/>
      <c r="AD33" s="2935">
        <v>0</v>
      </c>
      <c r="AE33" s="593"/>
      <c r="AF33" s="594"/>
      <c r="AG33" s="595">
        <f t="shared" si="1"/>
        <v>0</v>
      </c>
      <c r="AH33" s="571"/>
      <c r="AI33" s="2664">
        <f t="shared" si="2"/>
        <v>0</v>
      </c>
    </row>
    <row r="34" spans="1:36" ht="14.25" customHeight="1">
      <c r="A34" s="1748" t="s">
        <v>1164</v>
      </c>
      <c r="B34" s="597">
        <v>0</v>
      </c>
      <c r="C34" s="590"/>
      <c r="D34" s="597">
        <v>0</v>
      </c>
      <c r="E34" s="590"/>
      <c r="F34" s="597">
        <v>0</v>
      </c>
      <c r="G34" s="590"/>
      <c r="H34" s="597">
        <v>0</v>
      </c>
      <c r="I34" s="590"/>
      <c r="J34" s="597">
        <v>0</v>
      </c>
      <c r="K34" s="590"/>
      <c r="L34" s="597">
        <v>0</v>
      </c>
      <c r="M34" s="590"/>
      <c r="N34" s="597">
        <v>0</v>
      </c>
      <c r="O34" s="590"/>
      <c r="P34" s="597">
        <v>0</v>
      </c>
      <c r="Q34" s="590"/>
      <c r="R34" s="597">
        <v>0</v>
      </c>
      <c r="S34" s="590"/>
      <c r="T34" s="597">
        <v>0</v>
      </c>
      <c r="U34" s="590"/>
      <c r="V34" s="597"/>
      <c r="W34" s="590"/>
      <c r="X34" s="597"/>
      <c r="Y34" s="2579"/>
      <c r="Z34" s="590"/>
      <c r="AA34" s="589">
        <f t="shared" si="0"/>
        <v>0</v>
      </c>
      <c r="AB34" s="2579"/>
      <c r="AC34" s="590"/>
      <c r="AD34" s="2935">
        <v>0</v>
      </c>
      <c r="AE34" s="593"/>
      <c r="AF34" s="594"/>
      <c r="AG34" s="595">
        <f t="shared" si="1"/>
        <v>0</v>
      </c>
      <c r="AH34" s="571"/>
      <c r="AI34" s="2664">
        <f t="shared" si="2"/>
        <v>0</v>
      </c>
    </row>
    <row r="35" spans="1:36" ht="14.25" customHeight="1">
      <c r="A35" s="1748" t="s">
        <v>1165</v>
      </c>
      <c r="B35" s="597">
        <v>0</v>
      </c>
      <c r="C35" s="590"/>
      <c r="D35" s="597">
        <v>0</v>
      </c>
      <c r="E35" s="590"/>
      <c r="F35" s="597">
        <v>0</v>
      </c>
      <c r="G35" s="590"/>
      <c r="H35" s="597">
        <v>0</v>
      </c>
      <c r="I35" s="590"/>
      <c r="J35" s="597">
        <v>0</v>
      </c>
      <c r="K35" s="590"/>
      <c r="L35" s="597">
        <v>0</v>
      </c>
      <c r="M35" s="590"/>
      <c r="N35" s="597">
        <v>0</v>
      </c>
      <c r="O35" s="590"/>
      <c r="P35" s="597">
        <v>0</v>
      </c>
      <c r="Q35" s="590"/>
      <c r="R35" s="597">
        <v>0</v>
      </c>
      <c r="S35" s="590"/>
      <c r="T35" s="597">
        <v>0</v>
      </c>
      <c r="U35" s="590"/>
      <c r="V35" s="597"/>
      <c r="W35" s="590"/>
      <c r="X35" s="597"/>
      <c r="Y35" s="2579"/>
      <c r="Z35" s="590"/>
      <c r="AA35" s="589">
        <f t="shared" si="0"/>
        <v>0</v>
      </c>
      <c r="AB35" s="2579"/>
      <c r="AC35" s="590"/>
      <c r="AD35" s="2935">
        <v>0</v>
      </c>
      <c r="AE35" s="593"/>
      <c r="AF35" s="594"/>
      <c r="AG35" s="595">
        <f t="shared" si="1"/>
        <v>0</v>
      </c>
      <c r="AH35" s="571"/>
      <c r="AI35" s="2664">
        <f t="shared" si="2"/>
        <v>0</v>
      </c>
    </row>
    <row r="36" spans="1:36" ht="14.25" customHeight="1">
      <c r="A36" s="1748" t="s">
        <v>1166</v>
      </c>
      <c r="B36" s="597">
        <v>0</v>
      </c>
      <c r="C36" s="590"/>
      <c r="D36" s="597">
        <v>0</v>
      </c>
      <c r="E36" s="590"/>
      <c r="F36" s="597">
        <v>0</v>
      </c>
      <c r="G36" s="590"/>
      <c r="H36" s="597">
        <v>0</v>
      </c>
      <c r="I36" s="590"/>
      <c r="J36" s="597">
        <v>0</v>
      </c>
      <c r="K36" s="590"/>
      <c r="L36" s="597">
        <v>0</v>
      </c>
      <c r="M36" s="590"/>
      <c r="N36" s="597">
        <v>0</v>
      </c>
      <c r="O36" s="590"/>
      <c r="P36" s="597">
        <v>0</v>
      </c>
      <c r="Q36" s="590"/>
      <c r="R36" s="597">
        <v>0</v>
      </c>
      <c r="S36" s="590"/>
      <c r="T36" s="597">
        <v>0</v>
      </c>
      <c r="U36" s="590"/>
      <c r="V36" s="597"/>
      <c r="W36" s="590"/>
      <c r="X36" s="597"/>
      <c r="Y36" s="2579"/>
      <c r="Z36" s="590"/>
      <c r="AA36" s="589">
        <f t="shared" si="0"/>
        <v>0</v>
      </c>
      <c r="AB36" s="2579"/>
      <c r="AC36" s="590"/>
      <c r="AD36" s="2935">
        <v>0</v>
      </c>
      <c r="AE36" s="593"/>
      <c r="AF36" s="594"/>
      <c r="AG36" s="595">
        <f t="shared" si="1"/>
        <v>0</v>
      </c>
      <c r="AH36" s="571"/>
      <c r="AI36" s="2664">
        <f t="shared" si="2"/>
        <v>0</v>
      </c>
    </row>
    <row r="37" spans="1:36" ht="14.25" customHeight="1">
      <c r="A37" s="1748" t="s">
        <v>1159</v>
      </c>
      <c r="B37" s="597">
        <v>0</v>
      </c>
      <c r="C37" s="590"/>
      <c r="D37" s="597">
        <v>0</v>
      </c>
      <c r="E37" s="590"/>
      <c r="F37" s="597">
        <v>0</v>
      </c>
      <c r="G37" s="590"/>
      <c r="H37" s="597">
        <v>0.1</v>
      </c>
      <c r="I37" s="590"/>
      <c r="J37" s="597">
        <v>0.1</v>
      </c>
      <c r="K37" s="590"/>
      <c r="L37" s="597">
        <v>0</v>
      </c>
      <c r="M37" s="590"/>
      <c r="N37" s="597">
        <v>0</v>
      </c>
      <c r="O37" s="590"/>
      <c r="P37" s="597">
        <v>0.1</v>
      </c>
      <c r="Q37" s="590"/>
      <c r="R37" s="597">
        <v>0</v>
      </c>
      <c r="S37" s="590"/>
      <c r="T37" s="597">
        <v>0</v>
      </c>
      <c r="U37" s="590"/>
      <c r="V37" s="597"/>
      <c r="W37" s="590"/>
      <c r="X37" s="597"/>
      <c r="Y37" s="1895"/>
      <c r="Z37" s="590"/>
      <c r="AA37" s="589">
        <f>ROUND(SUM(B37:X37),1)</f>
        <v>0.3</v>
      </c>
      <c r="AB37" s="1895"/>
      <c r="AC37" s="590"/>
      <c r="AD37" s="2935">
        <v>0.1</v>
      </c>
      <c r="AE37" s="593"/>
      <c r="AF37" s="594"/>
      <c r="AG37" s="595">
        <f t="shared" si="1"/>
        <v>0.2</v>
      </c>
      <c r="AH37" s="571"/>
      <c r="AI37" s="2664">
        <f>ROUND(IF(AD37=0,1,AG37/ABS(AD37)),3)</f>
        <v>2</v>
      </c>
    </row>
    <row r="38" spans="1:36" ht="14.25" customHeight="1">
      <c r="A38" s="1748" t="s">
        <v>1170</v>
      </c>
      <c r="B38" s="597">
        <v>0</v>
      </c>
      <c r="C38" s="590"/>
      <c r="D38" s="597">
        <v>0.4</v>
      </c>
      <c r="E38" s="590"/>
      <c r="F38" s="597">
        <v>0.1</v>
      </c>
      <c r="G38" s="590"/>
      <c r="H38" s="597">
        <v>0</v>
      </c>
      <c r="I38" s="590"/>
      <c r="J38" s="597">
        <v>0.8</v>
      </c>
      <c r="K38" s="590"/>
      <c r="L38" s="597">
        <v>1.1000000000000001</v>
      </c>
      <c r="M38" s="590"/>
      <c r="N38" s="597">
        <v>1.2000000000000002</v>
      </c>
      <c r="O38" s="590"/>
      <c r="P38" s="597">
        <v>0.3</v>
      </c>
      <c r="Q38" s="590"/>
      <c r="R38" s="597">
        <v>0.1</v>
      </c>
      <c r="S38" s="590"/>
      <c r="T38" s="597">
        <v>0.1</v>
      </c>
      <c r="U38" s="590"/>
      <c r="V38" s="597"/>
      <c r="W38" s="590"/>
      <c r="X38" s="597"/>
      <c r="Y38" s="1895"/>
      <c r="Z38" s="590"/>
      <c r="AA38" s="589">
        <f>ROUND(SUM(B38:X38),1)</f>
        <v>4.0999999999999996</v>
      </c>
      <c r="AB38" s="1895"/>
      <c r="AC38" s="590"/>
      <c r="AD38" s="2935">
        <v>5.3</v>
      </c>
      <c r="AE38" s="593"/>
      <c r="AF38" s="594"/>
      <c r="AG38" s="595">
        <f t="shared" si="1"/>
        <v>-1.2</v>
      </c>
      <c r="AH38" s="571"/>
      <c r="AI38" s="2664">
        <f>ROUND(IF(AD38=0,1,AG38/ABS(AD38)),3)</f>
        <v>-0.22600000000000001</v>
      </c>
    </row>
    <row r="39" spans="1:36" ht="14.25" customHeight="1">
      <c r="A39" s="1748" t="s">
        <v>1171</v>
      </c>
      <c r="B39" s="597">
        <v>0</v>
      </c>
      <c r="C39" s="590"/>
      <c r="D39" s="597">
        <v>0</v>
      </c>
      <c r="E39" s="590"/>
      <c r="F39" s="597">
        <v>0</v>
      </c>
      <c r="G39" s="590"/>
      <c r="H39" s="597">
        <v>0</v>
      </c>
      <c r="I39" s="590"/>
      <c r="J39" s="597">
        <v>0</v>
      </c>
      <c r="K39" s="590"/>
      <c r="L39" s="597">
        <v>0</v>
      </c>
      <c r="M39" s="590"/>
      <c r="N39" s="597">
        <v>0</v>
      </c>
      <c r="O39" s="590"/>
      <c r="P39" s="597">
        <v>0</v>
      </c>
      <c r="Q39" s="590"/>
      <c r="R39" s="597">
        <v>0</v>
      </c>
      <c r="S39" s="590"/>
      <c r="T39" s="597">
        <v>0</v>
      </c>
      <c r="U39" s="590"/>
      <c r="V39" s="597"/>
      <c r="W39" s="590"/>
      <c r="X39" s="597"/>
      <c r="Y39" s="1895"/>
      <c r="Z39" s="590"/>
      <c r="AA39" s="589">
        <f>ROUND(SUM(B39:X39),1)</f>
        <v>0</v>
      </c>
      <c r="AB39" s="1895"/>
      <c r="AC39" s="590"/>
      <c r="AD39" s="2935">
        <v>0</v>
      </c>
      <c r="AE39" s="593"/>
      <c r="AF39" s="594"/>
      <c r="AG39" s="595">
        <f t="shared" si="1"/>
        <v>0</v>
      </c>
      <c r="AH39" s="571"/>
      <c r="AI39" s="45">
        <f t="shared" si="2"/>
        <v>0</v>
      </c>
    </row>
    <row r="40" spans="1:36" ht="14.25" customHeight="1">
      <c r="A40" s="1748" t="s">
        <v>1273</v>
      </c>
      <c r="B40" s="597"/>
      <c r="C40" s="590"/>
      <c r="D40" s="597"/>
      <c r="E40" s="590"/>
      <c r="F40" s="597"/>
      <c r="G40" s="590"/>
      <c r="H40" s="597"/>
      <c r="I40" s="590"/>
      <c r="J40" s="597"/>
      <c r="K40" s="590"/>
      <c r="L40" s="597"/>
      <c r="M40" s="590"/>
      <c r="N40" s="597"/>
      <c r="O40" s="590"/>
      <c r="P40" s="597"/>
      <c r="Q40" s="590"/>
      <c r="R40" s="597"/>
      <c r="S40" s="590"/>
      <c r="T40" s="597"/>
      <c r="U40" s="590"/>
      <c r="V40" s="597"/>
      <c r="W40" s="590"/>
      <c r="X40" s="597"/>
      <c r="Y40" s="1895"/>
      <c r="Z40" s="590"/>
      <c r="AA40" s="589"/>
      <c r="AB40" s="1895"/>
      <c r="AC40" s="590"/>
      <c r="AD40" s="2935"/>
      <c r="AE40" s="593"/>
      <c r="AF40" s="594"/>
      <c r="AG40" s="595"/>
      <c r="AH40" s="571"/>
      <c r="AI40" s="596"/>
    </row>
    <row r="41" spans="1:36" ht="14.25" customHeight="1">
      <c r="A41" s="1748" t="s">
        <v>1362</v>
      </c>
      <c r="B41" s="597">
        <v>10.7</v>
      </c>
      <c r="C41" s="590"/>
      <c r="D41" s="597">
        <v>25.9</v>
      </c>
      <c r="E41" s="590"/>
      <c r="F41" s="597">
        <v>-38.1</v>
      </c>
      <c r="G41" s="590"/>
      <c r="H41" s="597">
        <v>138.19999999999999</v>
      </c>
      <c r="I41" s="590"/>
      <c r="J41" s="597">
        <v>51.3</v>
      </c>
      <c r="K41" s="590"/>
      <c r="L41" s="597">
        <v>41</v>
      </c>
      <c r="M41" s="590"/>
      <c r="N41" s="597">
        <v>31.3</v>
      </c>
      <c r="O41" s="590"/>
      <c r="P41" s="597">
        <v>27.800000000000011</v>
      </c>
      <c r="Q41" s="590"/>
      <c r="R41" s="597">
        <v>23.899999999999977</v>
      </c>
      <c r="S41" s="590"/>
      <c r="T41" s="597">
        <v>81.400000000000006</v>
      </c>
      <c r="U41" s="590"/>
      <c r="V41" s="597"/>
      <c r="W41" s="590"/>
      <c r="X41" s="597"/>
      <c r="Y41" s="1895"/>
      <c r="Z41" s="590"/>
      <c r="AA41" s="589">
        <f>ROUND(SUM(B41:X41),1)</f>
        <v>393.4</v>
      </c>
      <c r="AB41" s="1895"/>
      <c r="AC41" s="590"/>
      <c r="AD41" s="2935">
        <v>413.5</v>
      </c>
      <c r="AE41" s="593"/>
      <c r="AF41" s="594"/>
      <c r="AG41" s="595">
        <f>ROUND(SUM(AA41-AD41),1)</f>
        <v>-20.100000000000001</v>
      </c>
      <c r="AH41" s="571"/>
      <c r="AI41" s="45">
        <f>ROUND(IF(AD41=0,0,AG41/ABS(AD41)),3)</f>
        <v>-4.9000000000000002E-2</v>
      </c>
    </row>
    <row r="42" spans="1:36" ht="14.25" customHeight="1">
      <c r="A42" s="1748" t="s">
        <v>1172</v>
      </c>
      <c r="B42" s="597">
        <v>0</v>
      </c>
      <c r="C42" s="590"/>
      <c r="D42" s="597">
        <v>0</v>
      </c>
      <c r="E42" s="590"/>
      <c r="F42" s="597">
        <v>0</v>
      </c>
      <c r="G42" s="590"/>
      <c r="H42" s="597">
        <v>0</v>
      </c>
      <c r="I42" s="590"/>
      <c r="J42" s="597">
        <v>0.1</v>
      </c>
      <c r="K42" s="590"/>
      <c r="L42" s="597">
        <v>0</v>
      </c>
      <c r="M42" s="590"/>
      <c r="N42" s="597">
        <v>0</v>
      </c>
      <c r="O42" s="590"/>
      <c r="P42" s="597">
        <v>0</v>
      </c>
      <c r="Q42" s="590"/>
      <c r="R42" s="597">
        <v>0</v>
      </c>
      <c r="S42" s="590"/>
      <c r="T42" s="597">
        <v>0</v>
      </c>
      <c r="U42" s="590"/>
      <c r="V42" s="597"/>
      <c r="W42" s="590"/>
      <c r="X42" s="597"/>
      <c r="Y42" s="2743"/>
      <c r="Z42" s="590"/>
      <c r="AA42" s="589">
        <f>ROUND(SUM(B42:X42),1)</f>
        <v>0.1</v>
      </c>
      <c r="AB42" s="2743"/>
      <c r="AC42" s="590"/>
      <c r="AD42" s="2935">
        <v>0.1</v>
      </c>
      <c r="AE42" s="593"/>
      <c r="AF42" s="594"/>
      <c r="AG42" s="595">
        <f>ROUND(SUM(AA42-AD42),1)</f>
        <v>0</v>
      </c>
      <c r="AH42" s="571"/>
      <c r="AI42" s="2664">
        <f>ROUND(IF(AD42=0,0,AG42/ABS(AD42)),3)</f>
        <v>0</v>
      </c>
    </row>
    <row r="43" spans="1:36" s="606" customFormat="1" ht="15.75">
      <c r="A43" s="587" t="s">
        <v>1208</v>
      </c>
      <c r="B43" s="255">
        <f>ROUND(SUM(B29:B42),1)</f>
        <v>10.7</v>
      </c>
      <c r="C43" s="1996"/>
      <c r="D43" s="255">
        <f>ROUND(SUM(D29:D42),1)</f>
        <v>26.3</v>
      </c>
      <c r="E43" s="1996"/>
      <c r="F43" s="255">
        <f>ROUND(SUM(F29:F42),1)</f>
        <v>-38</v>
      </c>
      <c r="G43" s="1996"/>
      <c r="H43" s="255">
        <f>ROUND(SUM(H29:H42),1)</f>
        <v>138.30000000000001</v>
      </c>
      <c r="I43" s="601"/>
      <c r="J43" s="255">
        <f>ROUND(SUM(J29:J42),1)</f>
        <v>52.3</v>
      </c>
      <c r="K43" s="601"/>
      <c r="L43" s="255">
        <f>ROUND(SUM(L29:L42),1)</f>
        <v>42.1</v>
      </c>
      <c r="M43" s="601"/>
      <c r="N43" s="525">
        <f>ROUND(SUM(N29:N42),1)</f>
        <v>32.5</v>
      </c>
      <c r="O43" s="601"/>
      <c r="P43" s="255">
        <f>ROUND(SUM(P29:P42),1)</f>
        <v>28.2</v>
      </c>
      <c r="Q43" s="601"/>
      <c r="R43" s="255">
        <f>ROUND(SUM(R29:R42),1)</f>
        <v>24</v>
      </c>
      <c r="S43" s="601"/>
      <c r="T43" s="255">
        <f>ROUND(SUM(T29:T42),1)</f>
        <v>81.5</v>
      </c>
      <c r="U43" s="601"/>
      <c r="V43" s="255">
        <f>ROUND(SUM(V29:V42),1)</f>
        <v>0</v>
      </c>
      <c r="W43" s="601"/>
      <c r="X43" s="255">
        <f>ROUND(SUM(X29:X42),1)</f>
        <v>0</v>
      </c>
      <c r="Y43" s="603"/>
      <c r="Z43" s="601"/>
      <c r="AA43" s="525">
        <f>ROUND(SUM(AA29:AA42),1)</f>
        <v>397.9</v>
      </c>
      <c r="AB43" s="603"/>
      <c r="AC43" s="601"/>
      <c r="AD43" s="525">
        <f>ROUND(SUM(AD29:AD42),1)</f>
        <v>419</v>
      </c>
      <c r="AE43" s="604"/>
      <c r="AF43" s="605"/>
      <c r="AG43" s="255">
        <f>ROUND(SUM(AG29:AG42),1)</f>
        <v>-21.1</v>
      </c>
      <c r="AH43" s="581"/>
      <c r="AI43" s="72">
        <f>ROUND(IF(AD43=0,0,AG43/ABS(AD43)),3)</f>
        <v>-0.05</v>
      </c>
      <c r="AJ43" s="1011"/>
    </row>
    <row r="44" spans="1:36" s="606" customFormat="1" ht="14.25" customHeight="1">
      <c r="A44" s="587"/>
      <c r="B44" s="272"/>
      <c r="C44" s="1996"/>
      <c r="D44" s="272"/>
      <c r="E44" s="1996"/>
      <c r="F44" s="272"/>
      <c r="G44" s="1996"/>
      <c r="H44" s="272"/>
      <c r="I44" s="601"/>
      <c r="J44" s="272"/>
      <c r="K44" s="601"/>
      <c r="L44" s="272"/>
      <c r="M44" s="601"/>
      <c r="N44" s="314"/>
      <c r="O44" s="601"/>
      <c r="P44" s="272"/>
      <c r="Q44" s="601"/>
      <c r="R44" s="272"/>
      <c r="S44" s="601"/>
      <c r="T44" s="272"/>
      <c r="U44" s="601"/>
      <c r="V44" s="272"/>
      <c r="W44" s="601"/>
      <c r="X44" s="272"/>
      <c r="Y44" s="1995"/>
      <c r="Z44" s="601"/>
      <c r="AA44" s="1998"/>
      <c r="AB44" s="1995"/>
      <c r="AC44" s="601"/>
      <c r="AD44" s="2926"/>
      <c r="AE44" s="604"/>
      <c r="AF44" s="605"/>
      <c r="AG44" s="1996"/>
      <c r="AH44" s="581"/>
      <c r="AI44" s="582"/>
      <c r="AJ44" s="1011"/>
    </row>
    <row r="45" spans="1:36" ht="15">
      <c r="A45" s="1535" t="s">
        <v>1048</v>
      </c>
      <c r="B45" s="1999">
        <v>0</v>
      </c>
      <c r="C45" s="595"/>
      <c r="D45" s="1999">
        <v>0</v>
      </c>
      <c r="E45" s="595"/>
      <c r="F45" s="1999">
        <v>0</v>
      </c>
      <c r="G45" s="590"/>
      <c r="H45" s="1999">
        <v>1.6</v>
      </c>
      <c r="I45" s="590"/>
      <c r="J45" s="1999">
        <v>35.1</v>
      </c>
      <c r="K45" s="590"/>
      <c r="L45" s="1999">
        <v>0</v>
      </c>
      <c r="M45" s="590"/>
      <c r="N45" s="3431">
        <v>0</v>
      </c>
      <c r="O45" s="590"/>
      <c r="P45" s="1999">
        <v>0</v>
      </c>
      <c r="Q45" s="590"/>
      <c r="R45" s="1999">
        <v>0</v>
      </c>
      <c r="S45" s="590"/>
      <c r="T45" s="1999">
        <v>1.6</v>
      </c>
      <c r="U45" s="590"/>
      <c r="V45" s="1999"/>
      <c r="W45" s="590"/>
      <c r="X45" s="1999"/>
      <c r="Y45" s="592"/>
      <c r="Z45" s="590"/>
      <c r="AA45" s="598">
        <f>ROUND(SUM(B45:X45),1)</f>
        <v>38.299999999999997</v>
      </c>
      <c r="AB45" s="592"/>
      <c r="AC45" s="590"/>
      <c r="AD45" s="2936">
        <v>36.5</v>
      </c>
      <c r="AE45" s="593"/>
      <c r="AF45" s="594"/>
      <c r="AG45" s="599">
        <f>ROUND(SUM(AA45-AD45),1)</f>
        <v>1.8</v>
      </c>
      <c r="AH45" s="571"/>
      <c r="AI45" s="1765">
        <f>ROUND(IF(AD45=0,0,AG45/ABS(AD45)),3)</f>
        <v>4.9000000000000002E-2</v>
      </c>
    </row>
    <row r="46" spans="1:36" ht="12" customHeight="1">
      <c r="A46" s="560"/>
      <c r="B46" s="590"/>
      <c r="C46" s="590"/>
      <c r="D46" s="590"/>
      <c r="E46" s="590"/>
      <c r="F46" s="590"/>
      <c r="G46" s="590"/>
      <c r="H46" s="590"/>
      <c r="I46" s="590"/>
      <c r="J46" s="590"/>
      <c r="K46" s="590"/>
      <c r="L46" s="590"/>
      <c r="M46" s="590"/>
      <c r="N46" s="590"/>
      <c r="O46" s="590"/>
      <c r="P46" s="590"/>
      <c r="Q46" s="590"/>
      <c r="R46" s="590"/>
      <c r="S46" s="590"/>
      <c r="T46" s="590"/>
      <c r="U46" s="590"/>
      <c r="V46" s="590"/>
      <c r="W46" s="590"/>
      <c r="X46" s="590"/>
      <c r="Y46" s="592"/>
      <c r="Z46" s="590"/>
      <c r="AA46" s="590"/>
      <c r="AB46" s="592"/>
      <c r="AC46" s="590"/>
      <c r="AD46" s="2933"/>
      <c r="AE46" s="593"/>
      <c r="AF46" s="594"/>
      <c r="AG46" s="595"/>
      <c r="AH46" s="571"/>
      <c r="AI46" s="572"/>
    </row>
    <row r="47" spans="1:36" ht="14.25" customHeight="1">
      <c r="A47" s="587" t="s">
        <v>193</v>
      </c>
      <c r="B47" s="600">
        <f>B25+B43+B45</f>
        <v>2195.1999999999998</v>
      </c>
      <c r="C47" s="601"/>
      <c r="D47" s="600">
        <f>ROUND(SUM(D25+D43+D45),1)</f>
        <v>1121.0999999999999</v>
      </c>
      <c r="E47" s="602"/>
      <c r="F47" s="600">
        <f>ROUND(SUM(F25+F43+F45),1)</f>
        <v>1889.1</v>
      </c>
      <c r="G47" s="602"/>
      <c r="H47" s="600">
        <f>ROUND(SUM(H25+H43+H45),1)</f>
        <v>1390.7</v>
      </c>
      <c r="I47" s="602"/>
      <c r="J47" s="600">
        <f>ROUND(SUM(J25+J43+J45),1)</f>
        <v>1398.2</v>
      </c>
      <c r="K47" s="602"/>
      <c r="L47" s="600">
        <f>ROUND(SUM(L25+L43+L45),1)</f>
        <v>1959.5</v>
      </c>
      <c r="M47" s="602"/>
      <c r="N47" s="600">
        <f>ROUND(SUM(N25+N43+N45),1)</f>
        <v>1250.2</v>
      </c>
      <c r="O47" s="602"/>
      <c r="P47" s="600">
        <f>ROUND(SUM(P25+P43+P45),1)</f>
        <v>1132.9000000000001</v>
      </c>
      <c r="Q47" s="602"/>
      <c r="R47" s="600">
        <f>ROUND(SUM(R25+R43+R45),1)</f>
        <v>1921.9</v>
      </c>
      <c r="S47" s="602"/>
      <c r="T47" s="600">
        <f>ROUND(SUM(T25+T43+T45),1)</f>
        <v>2600.1999999999998</v>
      </c>
      <c r="U47" s="602"/>
      <c r="V47" s="600">
        <f>ROUND(SUM(V25+V43+V45),1)</f>
        <v>0</v>
      </c>
      <c r="W47" s="602"/>
      <c r="X47" s="600">
        <f>ROUND(SUM(X25+X43+X45),1)</f>
        <v>0</v>
      </c>
      <c r="Y47" s="603"/>
      <c r="Z47" s="601"/>
      <c r="AA47" s="600">
        <f>ROUND(SUM(AA25+AA43+AA45),1)</f>
        <v>16859</v>
      </c>
      <c r="AB47" s="603"/>
      <c r="AC47" s="601"/>
      <c r="AD47" s="600">
        <f>ROUND(SUM(AD25+AD43+AD45),1)</f>
        <v>16877.3</v>
      </c>
      <c r="AE47" s="604"/>
      <c r="AF47" s="605"/>
      <c r="AG47" s="600">
        <f>ROUND(SUM(AG25+AG43+AG45),1)</f>
        <v>-18.3</v>
      </c>
      <c r="AH47" s="581"/>
      <c r="AI47" s="1876">
        <f>ROUND(IF(AD47=0,0,AG47/ABS(AD47)),3)</f>
        <v>-1E-3</v>
      </c>
      <c r="AJ47" s="1012"/>
    </row>
    <row r="48" spans="1:36" ht="19.5" customHeight="1">
      <c r="A48" s="560"/>
      <c r="B48" s="590"/>
      <c r="C48" s="590"/>
      <c r="D48" s="590"/>
      <c r="E48" s="590"/>
      <c r="F48" s="590"/>
      <c r="G48" s="590"/>
      <c r="H48" s="590"/>
      <c r="I48" s="590"/>
      <c r="J48" s="590"/>
      <c r="K48" s="590"/>
      <c r="L48" s="590"/>
      <c r="M48" s="590"/>
      <c r="N48" s="590"/>
      <c r="O48" s="590"/>
      <c r="P48" s="590"/>
      <c r="Q48" s="590"/>
      <c r="R48" s="590"/>
      <c r="S48" s="590"/>
      <c r="T48" s="590"/>
      <c r="U48" s="590"/>
      <c r="V48" s="590"/>
      <c r="W48" s="590"/>
      <c r="X48" s="590"/>
      <c r="Y48" s="592"/>
      <c r="Z48" s="590"/>
      <c r="AA48" s="590"/>
      <c r="AB48" s="592"/>
      <c r="AC48" s="590"/>
      <c r="AD48" s="2933"/>
      <c r="AE48" s="593"/>
      <c r="AF48" s="594"/>
      <c r="AG48" s="595"/>
      <c r="AH48" s="571"/>
      <c r="AI48" s="572"/>
    </row>
    <row r="49" spans="1:36" ht="15.75">
      <c r="A49" s="607" t="s">
        <v>194</v>
      </c>
      <c r="B49" s="590"/>
      <c r="C49" s="590"/>
      <c r="D49" s="590"/>
      <c r="E49" s="590"/>
      <c r="F49" s="590"/>
      <c r="G49" s="590"/>
      <c r="H49" s="590"/>
      <c r="I49" s="590"/>
      <c r="J49" s="590"/>
      <c r="K49" s="590"/>
      <c r="L49" s="590"/>
      <c r="M49" s="590"/>
      <c r="N49" s="590"/>
      <c r="O49" s="590"/>
      <c r="P49" s="590"/>
      <c r="Q49" s="590"/>
      <c r="R49" s="590"/>
      <c r="S49" s="590"/>
      <c r="T49" s="590"/>
      <c r="U49" s="590"/>
      <c r="V49" s="590"/>
      <c r="W49" s="590"/>
      <c r="X49" s="590"/>
      <c r="Y49" s="592"/>
      <c r="Z49" s="590"/>
      <c r="AA49" s="590"/>
      <c r="AB49" s="592"/>
      <c r="AC49" s="590"/>
      <c r="AD49" s="2933"/>
      <c r="AE49" s="593"/>
      <c r="AF49" s="594"/>
      <c r="AG49" s="595"/>
      <c r="AH49" s="571"/>
      <c r="AI49" s="572"/>
    </row>
    <row r="50" spans="1:36" ht="14.25" customHeight="1">
      <c r="A50" s="608" t="s">
        <v>157</v>
      </c>
      <c r="B50" s="590"/>
      <c r="C50" s="590"/>
      <c r="D50" s="590"/>
      <c r="E50" s="590"/>
      <c r="F50" s="590"/>
      <c r="G50" s="590"/>
      <c r="H50" s="590"/>
      <c r="I50" s="590"/>
      <c r="J50" s="590"/>
      <c r="K50" s="590"/>
      <c r="L50" s="590"/>
      <c r="M50" s="590"/>
      <c r="N50" s="590"/>
      <c r="O50" s="590"/>
      <c r="P50" s="590"/>
      <c r="Q50" s="590"/>
      <c r="R50" s="590"/>
      <c r="S50" s="590"/>
      <c r="T50" s="590"/>
      <c r="U50" s="590"/>
      <c r="V50" s="590"/>
      <c r="W50" s="590"/>
      <c r="X50" s="590"/>
      <c r="Y50" s="592"/>
      <c r="Z50" s="590"/>
      <c r="AA50" s="590"/>
      <c r="AB50" s="592"/>
      <c r="AC50" s="590"/>
      <c r="AD50" s="2933"/>
      <c r="AE50" s="593"/>
      <c r="AF50" s="594"/>
      <c r="AG50" s="595"/>
      <c r="AH50" s="571"/>
      <c r="AI50" s="572"/>
    </row>
    <row r="51" spans="1:36" ht="14.25" customHeight="1">
      <c r="A51" s="608" t="s">
        <v>38</v>
      </c>
      <c r="B51" s="597">
        <v>0.5</v>
      </c>
      <c r="C51" s="590"/>
      <c r="D51" s="590">
        <v>1.7</v>
      </c>
      <c r="E51" s="589"/>
      <c r="F51" s="590">
        <v>0.8</v>
      </c>
      <c r="G51" s="590"/>
      <c r="H51" s="590">
        <v>14.5</v>
      </c>
      <c r="I51" s="590"/>
      <c r="J51" s="590">
        <v>3.2</v>
      </c>
      <c r="K51" s="590"/>
      <c r="L51" s="590">
        <v>3.4</v>
      </c>
      <c r="M51" s="590"/>
      <c r="N51" s="590">
        <v>0.9</v>
      </c>
      <c r="O51" s="590"/>
      <c r="P51" s="590">
        <v>1.6</v>
      </c>
      <c r="Q51" s="590"/>
      <c r="R51" s="590">
        <v>1.5</v>
      </c>
      <c r="S51" s="590"/>
      <c r="T51" s="3479">
        <v>1</v>
      </c>
      <c r="U51" s="590"/>
      <c r="V51" s="590"/>
      <c r="W51" s="590"/>
      <c r="X51" s="590"/>
      <c r="Y51" s="592"/>
      <c r="Z51" s="590"/>
      <c r="AA51" s="589">
        <f>ROUND(SUM(B51:X51),1)</f>
        <v>29.1</v>
      </c>
      <c r="AB51" s="592"/>
      <c r="AC51" s="590"/>
      <c r="AD51" s="2935">
        <v>23.7</v>
      </c>
      <c r="AE51" s="593"/>
      <c r="AF51" s="594"/>
      <c r="AG51" s="595">
        <f>ROUND(SUM(AA51-AD51),1)</f>
        <v>5.4</v>
      </c>
      <c r="AH51" s="571"/>
      <c r="AI51" s="2562">
        <f>ROUND(IF(AD51=0,0,AG51/ABS(AD51)),3)</f>
        <v>0.22800000000000001</v>
      </c>
    </row>
    <row r="52" spans="1:36" ht="14.25" customHeight="1">
      <c r="A52" s="2287" t="s">
        <v>1281</v>
      </c>
      <c r="B52" s="590"/>
      <c r="C52" s="590"/>
      <c r="D52" s="590"/>
      <c r="E52" s="590"/>
      <c r="F52" s="590"/>
      <c r="G52" s="590"/>
      <c r="H52" s="590"/>
      <c r="I52" s="590"/>
      <c r="J52" s="590"/>
      <c r="K52" s="590"/>
      <c r="L52" s="590"/>
      <c r="M52" s="590"/>
      <c r="N52" s="590"/>
      <c r="O52" s="590"/>
      <c r="P52" s="590"/>
      <c r="Q52" s="590"/>
      <c r="R52" s="590"/>
      <c r="S52" s="590"/>
      <c r="T52" s="590"/>
      <c r="U52" s="590"/>
      <c r="V52" s="590"/>
      <c r="W52" s="590"/>
      <c r="X52" s="590"/>
      <c r="Y52" s="592"/>
      <c r="Z52" s="590"/>
      <c r="AA52" s="590"/>
      <c r="AB52" s="592"/>
      <c r="AC52" s="590"/>
      <c r="AD52" s="2933"/>
      <c r="AE52" s="593"/>
      <c r="AF52" s="594"/>
      <c r="AG52" s="595"/>
      <c r="AH52" s="571"/>
      <c r="AI52" s="572"/>
    </row>
    <row r="53" spans="1:36" ht="14.25" customHeight="1">
      <c r="A53" s="2288" t="s">
        <v>1280</v>
      </c>
      <c r="B53" s="609">
        <v>113.3</v>
      </c>
      <c r="C53" s="590"/>
      <c r="D53" s="609">
        <v>162.9</v>
      </c>
      <c r="E53" s="590"/>
      <c r="F53" s="609">
        <v>89.9</v>
      </c>
      <c r="G53" s="590"/>
      <c r="H53" s="609">
        <v>25.3</v>
      </c>
      <c r="I53" s="590"/>
      <c r="J53" s="609">
        <v>281.8</v>
      </c>
      <c r="K53" s="590"/>
      <c r="L53" s="609">
        <v>790</v>
      </c>
      <c r="M53" s="590"/>
      <c r="N53" s="609">
        <v>32.299999999999997</v>
      </c>
      <c r="O53" s="590"/>
      <c r="P53" s="609">
        <v>74.099999999999994</v>
      </c>
      <c r="Q53" s="590"/>
      <c r="R53" s="609">
        <v>364.80000000000018</v>
      </c>
      <c r="S53" s="590"/>
      <c r="T53" s="609">
        <v>25.6</v>
      </c>
      <c r="U53" s="590"/>
      <c r="V53" s="609"/>
      <c r="W53" s="590"/>
      <c r="X53" s="609"/>
      <c r="Y53" s="592"/>
      <c r="Z53" s="590"/>
      <c r="AA53" s="598">
        <f>ROUND(SUM(B53:X53),1)</f>
        <v>1960</v>
      </c>
      <c r="AB53" s="592"/>
      <c r="AC53" s="590"/>
      <c r="AD53" s="2937">
        <v>2145.5</v>
      </c>
      <c r="AE53" s="593"/>
      <c r="AF53" s="594"/>
      <c r="AG53" s="609">
        <f>ROUND(SUM(AA53-AD53),1)</f>
        <v>-185.5</v>
      </c>
      <c r="AH53" s="571"/>
      <c r="AI53" s="1765">
        <f>ROUND(IF(AD53=0,0,AG53/ABS(AD53)),3)</f>
        <v>-8.5999999999999993E-2</v>
      </c>
    </row>
    <row r="54" spans="1:36" ht="15">
      <c r="A54" s="560"/>
      <c r="B54" s="590"/>
      <c r="C54" s="590"/>
      <c r="D54" s="590"/>
      <c r="E54" s="590"/>
      <c r="F54" s="590"/>
      <c r="G54" s="590"/>
      <c r="H54" s="590"/>
      <c r="I54" s="590"/>
      <c r="J54" s="590"/>
      <c r="K54" s="590"/>
      <c r="L54" s="590"/>
      <c r="M54" s="590"/>
      <c r="N54" s="590"/>
      <c r="O54" s="590"/>
      <c r="P54" s="590"/>
      <c r="Q54" s="590"/>
      <c r="R54" s="590"/>
      <c r="S54" s="590"/>
      <c r="T54" s="590"/>
      <c r="U54" s="590"/>
      <c r="V54" s="590"/>
      <c r="W54" s="590"/>
      <c r="X54" s="590"/>
      <c r="Y54" s="592"/>
      <c r="Z54" s="590"/>
      <c r="AA54" s="590"/>
      <c r="AB54" s="592"/>
      <c r="AC54" s="590"/>
      <c r="AD54" s="2933"/>
      <c r="AE54" s="593"/>
      <c r="AF54" s="594"/>
      <c r="AG54" s="595"/>
      <c r="AH54" s="571"/>
      <c r="AI54" s="572"/>
    </row>
    <row r="55" spans="1:36" ht="14.25" customHeight="1">
      <c r="A55" s="607" t="s">
        <v>195</v>
      </c>
      <c r="B55" s="600">
        <f>ROUND(SUM(B51:B53),1)</f>
        <v>113.8</v>
      </c>
      <c r="C55" s="601"/>
      <c r="D55" s="600">
        <f>ROUND(SUM(D51:D53),1)</f>
        <v>164.6</v>
      </c>
      <c r="E55" s="602"/>
      <c r="F55" s="600">
        <f>ROUND(SUM(F51:F53),1)</f>
        <v>90.7</v>
      </c>
      <c r="G55" s="602"/>
      <c r="H55" s="600">
        <f>ROUND(SUM(H51:H53),1)</f>
        <v>39.799999999999997</v>
      </c>
      <c r="I55" s="602"/>
      <c r="J55" s="600">
        <f>ROUND(SUM(J51:J53),1)</f>
        <v>285</v>
      </c>
      <c r="K55" s="602"/>
      <c r="L55" s="600">
        <f>ROUND(SUM(L51:L53),1)</f>
        <v>793.4</v>
      </c>
      <c r="M55" s="602"/>
      <c r="N55" s="600">
        <f>ROUND(SUM(N51:N53),1)</f>
        <v>33.200000000000003</v>
      </c>
      <c r="O55" s="602"/>
      <c r="P55" s="600">
        <f>ROUND(SUM(P51:P53),1)</f>
        <v>75.7</v>
      </c>
      <c r="Q55" s="602"/>
      <c r="R55" s="600">
        <f>ROUND(SUM(R51:R53),1)</f>
        <v>366.3</v>
      </c>
      <c r="S55" s="602"/>
      <c r="T55" s="600">
        <f>ROUND(SUM(T51:T53),1)</f>
        <v>26.6</v>
      </c>
      <c r="U55" s="602"/>
      <c r="V55" s="600">
        <f>ROUND(SUM(V51:V53),1)</f>
        <v>0</v>
      </c>
      <c r="W55" s="602"/>
      <c r="X55" s="600">
        <f>ROUND(SUM(X51:X53),1)</f>
        <v>0</v>
      </c>
      <c r="Y55" s="603"/>
      <c r="Z55" s="601"/>
      <c r="AA55" s="600">
        <f>ROUND(SUM(AA51:AA53),1)</f>
        <v>1989.1</v>
      </c>
      <c r="AB55" s="603"/>
      <c r="AC55" s="601"/>
      <c r="AD55" s="600">
        <f>ROUND(SUM(AD51:AD53),1)</f>
        <v>2169.1999999999998</v>
      </c>
      <c r="AE55" s="604"/>
      <c r="AF55" s="605"/>
      <c r="AG55" s="600">
        <f>ROUND(SUM(AG51:AG53),1)</f>
        <v>-180.1</v>
      </c>
      <c r="AH55" s="581"/>
      <c r="AI55" s="1876">
        <f>ROUND(IF(AD55=0,0,AG55/ABS(AD55)),3)</f>
        <v>-8.3000000000000004E-2</v>
      </c>
      <c r="AJ55" s="1013"/>
    </row>
    <row r="56" spans="1:36" ht="12" customHeight="1">
      <c r="A56" s="560"/>
      <c r="B56" s="590"/>
      <c r="C56" s="590"/>
      <c r="D56" s="591"/>
      <c r="E56" s="591"/>
      <c r="F56" s="591"/>
      <c r="G56" s="591"/>
      <c r="H56" s="591"/>
      <c r="I56" s="591"/>
      <c r="J56" s="591"/>
      <c r="K56" s="591"/>
      <c r="L56" s="591"/>
      <c r="M56" s="591"/>
      <c r="N56" s="591"/>
      <c r="O56" s="591"/>
      <c r="P56" s="591"/>
      <c r="Q56" s="591"/>
      <c r="R56" s="591"/>
      <c r="S56" s="591"/>
      <c r="T56" s="591"/>
      <c r="U56" s="591"/>
      <c r="V56" s="591"/>
      <c r="W56" s="591"/>
      <c r="X56" s="591"/>
      <c r="Y56" s="592"/>
      <c r="Z56" s="590"/>
      <c r="AA56" s="590" t="s">
        <v>15</v>
      </c>
      <c r="AB56" s="592"/>
      <c r="AC56" s="590"/>
      <c r="AD56" s="2933"/>
      <c r="AE56" s="593"/>
      <c r="AF56" s="594"/>
      <c r="AG56" s="595"/>
      <c r="AH56" s="571"/>
      <c r="AI56" s="572"/>
    </row>
    <row r="57" spans="1:36" ht="14.25" customHeight="1">
      <c r="A57" s="607" t="s">
        <v>44</v>
      </c>
      <c r="B57" s="590"/>
      <c r="C57" s="590"/>
      <c r="D57" s="591"/>
      <c r="E57" s="591"/>
      <c r="F57" s="591"/>
      <c r="G57" s="591"/>
      <c r="H57" s="591"/>
      <c r="I57" s="591"/>
      <c r="J57" s="591"/>
      <c r="K57" s="591"/>
      <c r="L57" s="591"/>
      <c r="M57" s="591"/>
      <c r="N57" s="591"/>
      <c r="O57" s="591"/>
      <c r="P57" s="591"/>
      <c r="Q57" s="591"/>
      <c r="R57" s="591"/>
      <c r="S57" s="591"/>
      <c r="T57" s="591"/>
      <c r="U57" s="591"/>
      <c r="V57" s="591"/>
      <c r="W57" s="591"/>
      <c r="X57" s="591"/>
      <c r="Y57" s="592"/>
      <c r="Z57" s="590"/>
      <c r="AA57" s="590"/>
      <c r="AB57" s="592"/>
      <c r="AC57" s="590"/>
      <c r="AD57" s="2933"/>
      <c r="AE57" s="593"/>
      <c r="AF57" s="594"/>
      <c r="AG57" s="595"/>
      <c r="AH57" s="571"/>
      <c r="AI57" s="572"/>
    </row>
    <row r="58" spans="1:36" ht="14.25" customHeight="1">
      <c r="A58" s="587" t="s">
        <v>196</v>
      </c>
      <c r="B58" s="600">
        <f>ROUND(SUM(B47-B55),1)</f>
        <v>2081.4</v>
      </c>
      <c r="C58" s="601"/>
      <c r="D58" s="600">
        <f>ROUND(SUM(D47-D55),1)</f>
        <v>956.5</v>
      </c>
      <c r="E58" s="611"/>
      <c r="F58" s="600">
        <f>ROUND(SUM(F47-F55),1)</f>
        <v>1798.4</v>
      </c>
      <c r="G58" s="602"/>
      <c r="H58" s="600">
        <f>ROUND(SUM(H47-H55),1)</f>
        <v>1350.9</v>
      </c>
      <c r="I58" s="602"/>
      <c r="J58" s="600">
        <f>ROUND(SUM(J47-J55),1)</f>
        <v>1113.2</v>
      </c>
      <c r="K58" s="602"/>
      <c r="L58" s="600">
        <f>ROUND(SUM(L47-L55),1)</f>
        <v>1166.0999999999999</v>
      </c>
      <c r="M58" s="602"/>
      <c r="N58" s="600">
        <f>ROUND(SUM(N47-N55),1)</f>
        <v>1217</v>
      </c>
      <c r="O58" s="602"/>
      <c r="P58" s="600">
        <f>ROUND(SUM(P47-P55),1)</f>
        <v>1057.2</v>
      </c>
      <c r="Q58" s="602"/>
      <c r="R58" s="600">
        <f>ROUND(SUM(R47-R55),1)</f>
        <v>1555.6</v>
      </c>
      <c r="S58" s="602"/>
      <c r="T58" s="600">
        <f>ROUND(SUM(T47-T55),1)</f>
        <v>2573.6</v>
      </c>
      <c r="U58" s="602"/>
      <c r="V58" s="600">
        <f>ROUND(SUM(V47-V55),1)</f>
        <v>0</v>
      </c>
      <c r="W58" s="602"/>
      <c r="X58" s="600">
        <f>ROUND(SUM(X47-X55),1)</f>
        <v>0</v>
      </c>
      <c r="Y58" s="603"/>
      <c r="Z58" s="601"/>
      <c r="AA58" s="600">
        <f>ROUND(SUM(AA47-AA55),1)</f>
        <v>14869.9</v>
      </c>
      <c r="AB58" s="603"/>
      <c r="AC58" s="601"/>
      <c r="AD58" s="600">
        <f>ROUND(SUM(AD47-AD55),1)</f>
        <v>14708.1</v>
      </c>
      <c r="AE58" s="604"/>
      <c r="AF58" s="605"/>
      <c r="AG58" s="600">
        <f>ROUND(SUM(+AG47-AG55),1)</f>
        <v>161.80000000000001</v>
      </c>
      <c r="AH58" s="581"/>
      <c r="AI58" s="1876">
        <f>ROUND(IF(AD58=0,0,AG58/ABS(AD58)),3)</f>
        <v>1.0999999999999999E-2</v>
      </c>
      <c r="AJ58" s="1012"/>
    </row>
    <row r="59" spans="1:36" ht="19.5" customHeight="1">
      <c r="A59" s="560"/>
      <c r="B59" s="595"/>
      <c r="C59" s="590"/>
      <c r="D59" s="590"/>
      <c r="E59" s="590"/>
      <c r="F59" s="590"/>
      <c r="G59" s="590"/>
      <c r="H59" s="590"/>
      <c r="I59" s="590"/>
      <c r="J59" s="590"/>
      <c r="K59" s="590"/>
      <c r="L59" s="590"/>
      <c r="M59" s="590"/>
      <c r="N59" s="590"/>
      <c r="O59" s="590"/>
      <c r="P59" s="590"/>
      <c r="Q59" s="590"/>
      <c r="R59" s="590"/>
      <c r="S59" s="590"/>
      <c r="T59" s="590"/>
      <c r="U59" s="590"/>
      <c r="V59" s="590"/>
      <c r="W59" s="590"/>
      <c r="X59" s="590"/>
      <c r="Y59" s="592"/>
      <c r="Z59" s="590"/>
      <c r="AA59" s="595" t="s">
        <v>15</v>
      </c>
      <c r="AB59" s="592"/>
      <c r="AC59" s="590"/>
      <c r="AD59" s="2934"/>
      <c r="AE59" s="593"/>
      <c r="AF59" s="594"/>
      <c r="AG59" s="595"/>
      <c r="AH59" s="571"/>
      <c r="AI59" s="572"/>
    </row>
    <row r="60" spans="1:36" ht="19.5" customHeight="1">
      <c r="A60" s="560"/>
      <c r="B60" s="590"/>
      <c r="C60" s="590"/>
      <c r="D60" s="590"/>
      <c r="E60" s="590"/>
      <c r="F60" s="590"/>
      <c r="G60" s="590"/>
      <c r="H60" s="590"/>
      <c r="I60" s="590"/>
      <c r="J60" s="590"/>
      <c r="K60" s="590"/>
      <c r="L60" s="590"/>
      <c r="M60" s="590"/>
      <c r="N60" s="590"/>
      <c r="O60" s="590"/>
      <c r="P60" s="590"/>
      <c r="Q60" s="590"/>
      <c r="R60" s="590"/>
      <c r="S60" s="590"/>
      <c r="T60" s="590"/>
      <c r="U60" s="590"/>
      <c r="V60" s="590"/>
      <c r="W60" s="590"/>
      <c r="X60" s="590"/>
      <c r="Y60" s="592"/>
      <c r="Z60" s="590"/>
      <c r="AA60" s="590"/>
      <c r="AB60" s="592"/>
      <c r="AC60" s="590"/>
      <c r="AD60" s="2933"/>
      <c r="AE60" s="593"/>
      <c r="AF60" s="594"/>
      <c r="AG60" s="595"/>
      <c r="AH60" s="571"/>
      <c r="AI60" s="572"/>
    </row>
    <row r="61" spans="1:36" ht="14.25" customHeight="1">
      <c r="A61" s="607" t="s">
        <v>46</v>
      </c>
      <c r="B61" s="590"/>
      <c r="C61" s="590"/>
      <c r="D61" s="590"/>
      <c r="E61" s="590"/>
      <c r="F61" s="590"/>
      <c r="G61" s="590"/>
      <c r="H61" s="590"/>
      <c r="I61" s="590"/>
      <c r="J61" s="590"/>
      <c r="K61" s="590"/>
      <c r="L61" s="590"/>
      <c r="M61" s="590"/>
      <c r="N61" s="590"/>
      <c r="O61" s="590"/>
      <c r="P61" s="590"/>
      <c r="Q61" s="590"/>
      <c r="R61" s="590"/>
      <c r="S61" s="590"/>
      <c r="T61" s="590"/>
      <c r="U61" s="590"/>
      <c r="V61" s="590"/>
      <c r="W61" s="590"/>
      <c r="X61" s="590"/>
      <c r="Y61" s="592"/>
      <c r="Z61" s="590"/>
      <c r="AA61" s="590"/>
      <c r="AB61" s="592"/>
      <c r="AC61" s="590"/>
      <c r="AD61" s="2933"/>
      <c r="AE61" s="593"/>
      <c r="AF61" s="594"/>
      <c r="AG61" s="595"/>
      <c r="AH61" s="571"/>
      <c r="AI61" s="572"/>
    </row>
    <row r="62" spans="1:36" ht="14.25" customHeight="1">
      <c r="A62" s="608" t="s">
        <v>187</v>
      </c>
      <c r="B62" s="597">
        <v>357.9</v>
      </c>
      <c r="C62" s="590"/>
      <c r="D62" s="612">
        <v>139</v>
      </c>
      <c r="E62" s="590"/>
      <c r="F62" s="612">
        <v>192.1</v>
      </c>
      <c r="G62" s="590"/>
      <c r="H62" s="612">
        <v>301</v>
      </c>
      <c r="I62" s="590"/>
      <c r="J62" s="612">
        <v>50.7</v>
      </c>
      <c r="K62" s="590"/>
      <c r="L62" s="612">
        <v>331.1</v>
      </c>
      <c r="M62" s="590"/>
      <c r="N62" s="612">
        <v>187.2</v>
      </c>
      <c r="O62" s="590"/>
      <c r="P62" s="612">
        <v>143.5</v>
      </c>
      <c r="Q62" s="590"/>
      <c r="R62" s="612">
        <v>195.70000000000005</v>
      </c>
      <c r="S62" s="590"/>
      <c r="T62" s="612">
        <v>404.70000000000005</v>
      </c>
      <c r="U62" s="590"/>
      <c r="V62" s="612"/>
      <c r="W62" s="590"/>
      <c r="X62" s="612"/>
      <c r="Y62" s="592"/>
      <c r="Z62" s="590"/>
      <c r="AA62" s="589">
        <f>ROUND(SUM(B62:X62),1)</f>
        <v>2302.9</v>
      </c>
      <c r="AB62" s="592"/>
      <c r="AC62" s="590"/>
      <c r="AD62" s="2935">
        <v>2763.9</v>
      </c>
      <c r="AE62" s="593"/>
      <c r="AF62" s="594"/>
      <c r="AG62" s="595">
        <f>ROUND(SUM(AA62-AD62),1)</f>
        <v>-461</v>
      </c>
      <c r="AH62" s="571"/>
      <c r="AI62" s="45">
        <f>ROUND(IF(AD62=0,0,AG62/ABS(AD62)),3)</f>
        <v>-0.16700000000000001</v>
      </c>
    </row>
    <row r="63" spans="1:36" ht="14.25" customHeight="1">
      <c r="A63" s="608" t="s">
        <v>197</v>
      </c>
      <c r="B63" s="610">
        <v>-2274.1</v>
      </c>
      <c r="C63" s="590"/>
      <c r="D63" s="610">
        <v>-1002.4</v>
      </c>
      <c r="E63" s="590"/>
      <c r="F63" s="610">
        <v>-2042.6</v>
      </c>
      <c r="G63" s="590"/>
      <c r="H63" s="610">
        <v>-1210.4000000000001</v>
      </c>
      <c r="I63" s="590"/>
      <c r="J63" s="610">
        <v>-862.7</v>
      </c>
      <c r="K63" s="590"/>
      <c r="L63" s="610">
        <v>-2231.3000000000002</v>
      </c>
      <c r="M63" s="590"/>
      <c r="N63" s="610">
        <v>-1205.8</v>
      </c>
      <c r="O63" s="590"/>
      <c r="P63" s="610">
        <v>-897.2</v>
      </c>
      <c r="Q63" s="590"/>
      <c r="R63" s="610">
        <v>-1908</v>
      </c>
      <c r="S63" s="590"/>
      <c r="T63" s="610">
        <v>-1214.6000000000004</v>
      </c>
      <c r="U63" s="590"/>
      <c r="V63" s="610"/>
      <c r="W63" s="590"/>
      <c r="X63" s="610"/>
      <c r="Y63" s="592"/>
      <c r="Z63" s="590"/>
      <c r="AA63" s="598">
        <f>ROUND(SUM(B63:X63),1)</f>
        <v>-14849.1</v>
      </c>
      <c r="AB63" s="592"/>
      <c r="AC63" s="590"/>
      <c r="AD63" s="2938">
        <v>-15301.4</v>
      </c>
      <c r="AE63" s="593"/>
      <c r="AF63" s="594"/>
      <c r="AG63" s="609">
        <f>ROUND(SUM(-(AA63-AD63)),1)</f>
        <v>-452.3</v>
      </c>
      <c r="AH63" s="571"/>
      <c r="AI63" s="1765">
        <f>ROUND(IF(AD63=0,0,AG63/ABS(AD63)),3)</f>
        <v>-0.03</v>
      </c>
    </row>
    <row r="64" spans="1:36" ht="15">
      <c r="A64" s="560"/>
      <c r="B64" s="590"/>
      <c r="C64" s="590"/>
      <c r="D64" s="613"/>
      <c r="E64" s="590"/>
      <c r="F64" s="613"/>
      <c r="G64" s="590"/>
      <c r="H64" s="613"/>
      <c r="I64" s="590"/>
      <c r="J64" s="613"/>
      <c r="K64" s="590"/>
      <c r="L64" s="613"/>
      <c r="M64" s="590"/>
      <c r="N64" s="613"/>
      <c r="O64" s="590"/>
      <c r="P64" s="613"/>
      <c r="Q64" s="590"/>
      <c r="R64" s="613"/>
      <c r="S64" s="590"/>
      <c r="T64" s="613"/>
      <c r="U64" s="590"/>
      <c r="V64" s="613"/>
      <c r="W64" s="590"/>
      <c r="X64" s="613"/>
      <c r="Y64" s="592"/>
      <c r="Z64" s="590"/>
      <c r="AA64" s="590"/>
      <c r="AB64" s="592"/>
      <c r="AC64" s="590"/>
      <c r="AD64" s="2933"/>
      <c r="AE64" s="593"/>
      <c r="AF64" s="594"/>
      <c r="AG64" s="595"/>
      <c r="AH64" s="571"/>
      <c r="AI64" s="572"/>
    </row>
    <row r="65" spans="1:38" ht="14.25" customHeight="1">
      <c r="A65" s="607" t="s">
        <v>1069</v>
      </c>
      <c r="B65" s="614">
        <f>ROUND(SUM(B62:B63),1)</f>
        <v>-1916.2</v>
      </c>
      <c r="C65" s="601"/>
      <c r="D65" s="614">
        <f>ROUND(SUM(D62:D63),1)</f>
        <v>-863.4</v>
      </c>
      <c r="E65" s="602"/>
      <c r="F65" s="614">
        <f>ROUND(SUM(F62:F63),1)</f>
        <v>-1850.5</v>
      </c>
      <c r="G65" s="602"/>
      <c r="H65" s="614">
        <f>ROUND(SUM(H62:H63),1)</f>
        <v>-909.4</v>
      </c>
      <c r="I65" s="602"/>
      <c r="J65" s="614">
        <f>ROUND(SUM(J62:J63),1)</f>
        <v>-812</v>
      </c>
      <c r="K65" s="602"/>
      <c r="L65" s="614">
        <f>ROUND(SUM(L62:L63),1)</f>
        <v>-1900.2</v>
      </c>
      <c r="M65" s="602"/>
      <c r="N65" s="614">
        <f>ROUND(SUM(N62:N63),1)</f>
        <v>-1018.6</v>
      </c>
      <c r="O65" s="602"/>
      <c r="P65" s="614">
        <f>ROUND(SUM(P62:P63),1)</f>
        <v>-753.7</v>
      </c>
      <c r="Q65" s="602"/>
      <c r="R65" s="614">
        <f>ROUND(SUM(R62:R63),1)</f>
        <v>-1712.3</v>
      </c>
      <c r="S65" s="602"/>
      <c r="T65" s="614">
        <f>ROUND(SUM(T62:T63),1)</f>
        <v>-809.9</v>
      </c>
      <c r="U65" s="602"/>
      <c r="V65" s="614">
        <f>ROUND(SUM(V62:V63),1)</f>
        <v>0</v>
      </c>
      <c r="W65" s="602"/>
      <c r="X65" s="614">
        <f>ROUND(SUM(X62:X63),1)</f>
        <v>0</v>
      </c>
      <c r="Y65" s="603"/>
      <c r="Z65" s="601"/>
      <c r="AA65" s="614">
        <f>ROUND(SUM(AA62:AA63),1)</f>
        <v>-12546.2</v>
      </c>
      <c r="AB65" s="603"/>
      <c r="AC65" s="601"/>
      <c r="AD65" s="614">
        <f>ROUND(SUM(AD62:AD63),1)</f>
        <v>-12537.5</v>
      </c>
      <c r="AE65" s="604"/>
      <c r="AF65" s="605"/>
      <c r="AG65" s="614">
        <f>ROUND(SUM(AG62-AG63),1)</f>
        <v>-8.6999999999999993</v>
      </c>
      <c r="AH65" s="581"/>
      <c r="AI65" s="1876">
        <f>ROUND(IF(AD65=0,0,AG65/ABS(AD65)),3)</f>
        <v>-1E-3</v>
      </c>
      <c r="AJ65" s="1012"/>
    </row>
    <row r="66" spans="1:38" ht="19.5" customHeight="1">
      <c r="A66" s="560"/>
      <c r="B66" s="590"/>
      <c r="C66" s="590"/>
      <c r="D66" s="613"/>
      <c r="E66" s="590"/>
      <c r="F66" s="613"/>
      <c r="G66" s="590"/>
      <c r="H66" s="613"/>
      <c r="I66" s="590"/>
      <c r="J66" s="613"/>
      <c r="K66" s="590"/>
      <c r="L66" s="613"/>
      <c r="M66" s="590"/>
      <c r="N66" s="613"/>
      <c r="O66" s="590"/>
      <c r="P66" s="613"/>
      <c r="Q66" s="590"/>
      <c r="R66" s="613"/>
      <c r="S66" s="590"/>
      <c r="T66" s="613"/>
      <c r="U66" s="590"/>
      <c r="V66" s="613"/>
      <c r="W66" s="590"/>
      <c r="X66" s="613"/>
      <c r="Y66" s="592"/>
      <c r="Z66" s="590"/>
      <c r="AA66" s="590" t="s">
        <v>15</v>
      </c>
      <c r="AB66" s="592"/>
      <c r="AC66" s="590"/>
      <c r="AD66" s="2933"/>
      <c r="AE66" s="593"/>
      <c r="AF66" s="594"/>
      <c r="AG66" s="595"/>
      <c r="AH66" s="571"/>
      <c r="AI66" s="572"/>
    </row>
    <row r="67" spans="1:38" ht="19.5" customHeight="1">
      <c r="A67" s="560"/>
      <c r="B67" s="590"/>
      <c r="C67" s="590"/>
      <c r="D67" s="613"/>
      <c r="E67" s="590"/>
      <c r="F67" s="613"/>
      <c r="G67" s="590"/>
      <c r="H67" s="613"/>
      <c r="I67" s="590"/>
      <c r="J67" s="613"/>
      <c r="K67" s="590"/>
      <c r="L67" s="613"/>
      <c r="M67" s="590"/>
      <c r="N67" s="613"/>
      <c r="O67" s="590"/>
      <c r="P67" s="613"/>
      <c r="Q67" s="590"/>
      <c r="R67" s="613"/>
      <c r="S67" s="590"/>
      <c r="T67" s="613"/>
      <c r="U67" s="590"/>
      <c r="V67" s="613"/>
      <c r="W67" s="590"/>
      <c r="X67" s="613"/>
      <c r="Y67" s="592"/>
      <c r="Z67" s="590"/>
      <c r="AA67" s="590"/>
      <c r="AB67" s="592"/>
      <c r="AC67" s="590"/>
      <c r="AD67" s="2933"/>
      <c r="AE67" s="593"/>
      <c r="AF67" s="594"/>
      <c r="AG67" s="595"/>
      <c r="AH67" s="571"/>
      <c r="AI67" s="572"/>
    </row>
    <row r="68" spans="1:38" ht="14.25" customHeight="1">
      <c r="A68" s="587" t="s">
        <v>198</v>
      </c>
      <c r="B68" s="590"/>
      <c r="C68" s="590"/>
      <c r="D68" s="591"/>
      <c r="E68" s="590"/>
      <c r="F68" s="591"/>
      <c r="G68" s="590"/>
      <c r="H68" s="591"/>
      <c r="I68" s="590"/>
      <c r="J68" s="591"/>
      <c r="K68" s="590"/>
      <c r="L68" s="591"/>
      <c r="M68" s="590"/>
      <c r="N68" s="591"/>
      <c r="O68" s="590"/>
      <c r="P68" s="591"/>
      <c r="Q68" s="590"/>
      <c r="R68" s="591"/>
      <c r="S68" s="590"/>
      <c r="T68" s="591"/>
      <c r="U68" s="590"/>
      <c r="V68" s="591"/>
      <c r="W68" s="590"/>
      <c r="X68" s="591"/>
      <c r="Y68" s="592"/>
      <c r="Z68" s="590"/>
      <c r="AA68" s="590"/>
      <c r="AB68" s="592"/>
      <c r="AC68" s="590"/>
      <c r="AD68" s="2933"/>
      <c r="AE68" s="593"/>
      <c r="AF68" s="594"/>
      <c r="AG68" s="595"/>
      <c r="AH68" s="571"/>
      <c r="AI68" s="572"/>
    </row>
    <row r="69" spans="1:38" ht="14.25" customHeight="1">
      <c r="A69" s="587" t="s">
        <v>199</v>
      </c>
      <c r="B69" s="590"/>
      <c r="C69" s="590"/>
      <c r="D69" s="591"/>
      <c r="E69" s="590"/>
      <c r="F69" s="591"/>
      <c r="G69" s="590"/>
      <c r="H69" s="591"/>
      <c r="I69" s="590"/>
      <c r="J69" s="591"/>
      <c r="K69" s="590"/>
      <c r="L69" s="591"/>
      <c r="M69" s="590"/>
      <c r="N69" s="591"/>
      <c r="O69" s="590"/>
      <c r="P69" s="591"/>
      <c r="Q69" s="590"/>
      <c r="R69" s="591"/>
      <c r="S69" s="590"/>
      <c r="T69" s="591"/>
      <c r="U69" s="590"/>
      <c r="V69" s="591"/>
      <c r="W69" s="590"/>
      <c r="X69" s="591"/>
      <c r="Y69" s="592"/>
      <c r="Z69" s="590"/>
      <c r="AA69" s="590"/>
      <c r="AB69" s="592"/>
      <c r="AC69" s="590"/>
      <c r="AD69" s="2933"/>
      <c r="AE69" s="593"/>
      <c r="AF69" s="594"/>
      <c r="AG69" s="595"/>
      <c r="AH69" s="571"/>
      <c r="AI69" s="572"/>
    </row>
    <row r="70" spans="1:38" ht="14.25" customHeight="1">
      <c r="A70" s="587" t="s">
        <v>1385</v>
      </c>
      <c r="B70" s="600">
        <f>ROUND(SUM(+B58+B65),1)</f>
        <v>165.2</v>
      </c>
      <c r="C70" s="601"/>
      <c r="D70" s="600">
        <f>ROUND(SUM(+D58+D65),1)</f>
        <v>93.1</v>
      </c>
      <c r="E70" s="601"/>
      <c r="F70" s="600">
        <f>ROUND(SUM(+F58+F65),1)</f>
        <v>-52.1</v>
      </c>
      <c r="G70" s="601"/>
      <c r="H70" s="600">
        <f>ROUND(SUM(+H58+H65),1)</f>
        <v>441.5</v>
      </c>
      <c r="I70" s="601"/>
      <c r="J70" s="600">
        <f>ROUND(SUM(+J58+J65),1)</f>
        <v>301.2</v>
      </c>
      <c r="K70" s="601"/>
      <c r="L70" s="600">
        <f>ROUND(SUM(+L58+L65),1)</f>
        <v>-734.1</v>
      </c>
      <c r="M70" s="601"/>
      <c r="N70" s="600">
        <f>ROUND(SUM(+N58+N65),1)</f>
        <v>198.4</v>
      </c>
      <c r="O70" s="601"/>
      <c r="P70" s="600">
        <f>ROUND(SUM(+P58+P65),1)</f>
        <v>303.5</v>
      </c>
      <c r="Q70" s="601"/>
      <c r="R70" s="600">
        <f>ROUND(SUM(+R58+R65),1)</f>
        <v>-156.69999999999999</v>
      </c>
      <c r="S70" s="601"/>
      <c r="T70" s="600">
        <f>ROUND(SUM(+T58+T65),1)</f>
        <v>1763.7</v>
      </c>
      <c r="U70" s="601"/>
      <c r="V70" s="600">
        <f>ROUND(SUM(+V58+V65),1)</f>
        <v>0</v>
      </c>
      <c r="W70" s="601"/>
      <c r="X70" s="600">
        <f>ROUND(SUM(+X58+X65),1)</f>
        <v>0</v>
      </c>
      <c r="Y70" s="603"/>
      <c r="Z70" s="601"/>
      <c r="AA70" s="600">
        <f>ROUND(SUM(+AA58+AA65),1)</f>
        <v>2323.6999999999998</v>
      </c>
      <c r="AB70" s="603"/>
      <c r="AC70" s="601"/>
      <c r="AD70" s="600">
        <f>ROUND(SUM(+AD58+AD65),1)</f>
        <v>2170.6</v>
      </c>
      <c r="AE70" s="604"/>
      <c r="AF70" s="605"/>
      <c r="AG70" s="600">
        <f>ROUND(SUM(+AG58+AG65),1)</f>
        <v>153.1</v>
      </c>
      <c r="AH70" s="581"/>
      <c r="AI70" s="2715">
        <f>ROUND(IF(AD70=0,0,AG70/ABS(AD70)),3)</f>
        <v>7.0999999999999994E-2</v>
      </c>
      <c r="AJ70" s="1012"/>
    </row>
    <row r="71" spans="1:38" ht="15">
      <c r="A71" s="560"/>
      <c r="B71" s="561"/>
      <c r="C71" s="561"/>
      <c r="D71" s="615"/>
      <c r="E71" s="561"/>
      <c r="F71" s="616"/>
      <c r="G71" s="561"/>
      <c r="H71" s="616"/>
      <c r="I71" s="561"/>
      <c r="J71" s="616"/>
      <c r="K71" s="561"/>
      <c r="L71" s="617"/>
      <c r="M71" s="561"/>
      <c r="N71" s="616"/>
      <c r="O71" s="561"/>
      <c r="P71" s="616"/>
      <c r="Q71" s="561"/>
      <c r="R71" s="616"/>
      <c r="S71" s="561"/>
      <c r="T71" s="616"/>
      <c r="U71" s="561"/>
      <c r="V71" s="616"/>
      <c r="W71" s="561"/>
      <c r="X71" s="616"/>
      <c r="Y71" s="584"/>
      <c r="Z71" s="561"/>
      <c r="AA71" s="561" t="s">
        <v>15</v>
      </c>
      <c r="AB71" s="584"/>
      <c r="AC71" s="561"/>
      <c r="AD71" s="2931"/>
      <c r="AE71" s="567"/>
      <c r="AF71" s="585"/>
      <c r="AG71" s="586"/>
      <c r="AH71" s="571"/>
      <c r="AI71" s="572"/>
    </row>
    <row r="72" spans="1:38" ht="15">
      <c r="A72" s="560"/>
      <c r="B72" s="560"/>
      <c r="C72" s="560"/>
      <c r="D72" s="564"/>
      <c r="E72" s="560"/>
      <c r="F72" s="586"/>
      <c r="G72" s="560"/>
      <c r="H72" s="563"/>
      <c r="I72" s="560"/>
      <c r="J72" s="563"/>
      <c r="K72" s="560"/>
      <c r="L72" s="618"/>
      <c r="M72" s="560"/>
      <c r="N72" s="563"/>
      <c r="O72" s="560"/>
      <c r="P72" s="563"/>
      <c r="Q72" s="560"/>
      <c r="R72" s="563"/>
      <c r="S72" s="560"/>
      <c r="T72" s="586"/>
      <c r="U72" s="561"/>
      <c r="V72" s="586"/>
      <c r="W72" s="561"/>
      <c r="X72" s="586"/>
      <c r="Y72" s="583"/>
      <c r="Z72" s="560"/>
      <c r="AA72" s="561"/>
      <c r="AB72" s="584"/>
      <c r="AC72" s="561"/>
      <c r="AD72" s="2930"/>
      <c r="AE72" s="565"/>
      <c r="AF72" s="585"/>
      <c r="AG72" s="586"/>
      <c r="AH72" s="571"/>
      <c r="AI72" s="572"/>
    </row>
    <row r="73" spans="1:38" ht="19.5" customHeight="1" thickBot="1">
      <c r="A73" s="587" t="s">
        <v>145</v>
      </c>
      <c r="B73" s="619">
        <f>ROUND(SUM(B12+B70),1)</f>
        <v>324.89999999999998</v>
      </c>
      <c r="C73" s="574"/>
      <c r="D73" s="619">
        <f>ROUND(SUM(D12+D70),1)</f>
        <v>418</v>
      </c>
      <c r="E73" s="574"/>
      <c r="F73" s="619">
        <f>ROUND(SUM(F12+F70),1)</f>
        <v>365.9</v>
      </c>
      <c r="G73" s="574"/>
      <c r="H73" s="619">
        <f>ROUND(SUM(H12+H70),1)</f>
        <v>807.4</v>
      </c>
      <c r="I73" s="574"/>
      <c r="J73" s="619">
        <f>ROUND(SUM(J12+J70),1)</f>
        <v>1108.5999999999999</v>
      </c>
      <c r="K73" s="574"/>
      <c r="L73" s="619">
        <f>ROUND(SUM(L12+L70),1)</f>
        <v>374.5</v>
      </c>
      <c r="M73" s="574"/>
      <c r="N73" s="619">
        <f>ROUND(SUM(N12+N70),1)</f>
        <v>572.9</v>
      </c>
      <c r="O73" s="574"/>
      <c r="P73" s="619">
        <f>ROUND(SUM(P12+P70),1)</f>
        <v>876.4</v>
      </c>
      <c r="Q73" s="574"/>
      <c r="R73" s="619">
        <f>ROUND(SUM(R12+R70),1)</f>
        <v>719.7</v>
      </c>
      <c r="S73" s="574"/>
      <c r="T73" s="619">
        <f>ROUND(SUM(T12+T70),1)</f>
        <v>2483.4</v>
      </c>
      <c r="U73" s="574"/>
      <c r="V73" s="619">
        <f>ROUND(SUM(V12+V70),1)</f>
        <v>0</v>
      </c>
      <c r="W73" s="574"/>
      <c r="X73" s="619">
        <f>ROUND(SUM(X12+X70),1)</f>
        <v>0</v>
      </c>
      <c r="Y73" s="577"/>
      <c r="Z73" s="574"/>
      <c r="AA73" s="619">
        <f>ROUND(SUM(AA12+AA70),1)</f>
        <v>2483.4</v>
      </c>
      <c r="AB73" s="577"/>
      <c r="AC73" s="574"/>
      <c r="AD73" s="619">
        <f>ROUND(SUM(AD12+AD70),1)</f>
        <v>2289.3000000000002</v>
      </c>
      <c r="AE73" s="620"/>
      <c r="AF73" s="579"/>
      <c r="AG73" s="619">
        <f>ROUND(SUM(+AG12+AG70),1)</f>
        <v>194.1</v>
      </c>
      <c r="AH73" s="581"/>
      <c r="AI73" s="127">
        <f>ROUND(IF(AD73=0,0,AG73/ABS(AD73)),3)</f>
        <v>8.5000000000000006E-2</v>
      </c>
      <c r="AJ73" s="1014"/>
      <c r="AK73" s="606"/>
      <c r="AL73" s="606"/>
    </row>
    <row r="74" spans="1:38" ht="14.25" customHeight="1" thickTop="1">
      <c r="A74" s="621"/>
      <c r="B74" s="622"/>
      <c r="C74" s="623"/>
      <c r="D74" s="622"/>
      <c r="E74" s="554"/>
      <c r="F74" s="622"/>
      <c r="G74" s="554"/>
      <c r="H74" s="624"/>
      <c r="I74" s="554"/>
      <c r="J74" s="624"/>
      <c r="K74" s="554"/>
      <c r="L74" s="624"/>
      <c r="M74" s="554"/>
      <c r="N74" s="624"/>
      <c r="O74" s="554"/>
      <c r="P74" s="624"/>
      <c r="Q74" s="554"/>
      <c r="R74" s="624"/>
      <c r="S74" s="554"/>
      <c r="T74" s="624"/>
      <c r="U74" s="555"/>
      <c r="V74" s="624"/>
      <c r="W74" s="555"/>
      <c r="X74" s="624"/>
      <c r="Y74" s="622"/>
      <c r="Z74" s="623"/>
      <c r="AA74" s="622"/>
      <c r="AB74" s="622"/>
      <c r="AC74" s="623"/>
      <c r="AD74" s="622"/>
      <c r="AE74" s="625"/>
      <c r="AF74" s="622"/>
      <c r="AG74" s="622"/>
      <c r="AH74" s="626"/>
      <c r="AI74" s="627"/>
    </row>
    <row r="75" spans="1:38">
      <c r="L75" s="555"/>
      <c r="T75" s="628"/>
      <c r="U75" s="628"/>
      <c r="V75" s="628"/>
      <c r="W75" s="628"/>
      <c r="X75" s="628"/>
      <c r="AD75" s="2516"/>
    </row>
    <row r="76" spans="1:38" ht="12" customHeight="1">
      <c r="A76" s="572"/>
      <c r="L76" s="555"/>
      <c r="R76" s="629"/>
      <c r="T76" s="623"/>
      <c r="X76" s="623"/>
    </row>
    <row r="77" spans="1:38">
      <c r="B77" s="2516"/>
      <c r="L77" s="555"/>
      <c r="R77" s="629"/>
      <c r="T77" s="623"/>
      <c r="X77" s="623"/>
    </row>
    <row r="78" spans="1:38">
      <c r="A78" s="588"/>
      <c r="L78" s="555"/>
    </row>
    <row r="79" spans="1:38">
      <c r="A79" s="3163"/>
      <c r="B79" s="2516"/>
      <c r="L79" s="555"/>
      <c r="R79" s="630"/>
    </row>
    <row r="80" spans="1:38">
      <c r="A80" s="631"/>
      <c r="B80" s="2516"/>
      <c r="L80" s="555"/>
    </row>
    <row r="81" spans="1:35">
      <c r="A81" s="632"/>
      <c r="L81" s="555"/>
      <c r="AI81" s="623"/>
    </row>
    <row r="82" spans="1:35">
      <c r="L82" s="555"/>
    </row>
    <row r="83" spans="1:35">
      <c r="L83" s="555"/>
    </row>
    <row r="84" spans="1:35">
      <c r="L84" s="555"/>
    </row>
    <row r="85" spans="1:35">
      <c r="L85" s="555"/>
    </row>
    <row r="86" spans="1:35">
      <c r="L86" s="555"/>
    </row>
    <row r="87" spans="1:35">
      <c r="L87" s="555"/>
    </row>
    <row r="88" spans="1:35">
      <c r="L88" s="555"/>
    </row>
    <row r="89" spans="1:35">
      <c r="L89" s="555"/>
    </row>
    <row r="90" spans="1:35">
      <c r="L90" s="555"/>
    </row>
    <row r="91" spans="1:35">
      <c r="L91" s="555"/>
    </row>
    <row r="92" spans="1:35">
      <c r="L92" s="555"/>
    </row>
    <row r="93" spans="1:35">
      <c r="L93" s="555"/>
    </row>
    <row r="94" spans="1:35">
      <c r="L94" s="555"/>
    </row>
    <row r="95" spans="1:35">
      <c r="L95" s="555"/>
    </row>
    <row r="96" spans="1:35">
      <c r="L96" s="555"/>
    </row>
    <row r="97" spans="12:12">
      <c r="L97" s="555"/>
    </row>
    <row r="98" spans="12:12">
      <c r="L98" s="555"/>
    </row>
    <row r="99" spans="12:12">
      <c r="L99" s="555"/>
    </row>
    <row r="100" spans="12:12">
      <c r="L100" s="555"/>
    </row>
    <row r="101" spans="12:12">
      <c r="L101" s="555"/>
    </row>
    <row r="102" spans="12:12">
      <c r="L102" s="555"/>
    </row>
    <row r="103" spans="12:12">
      <c r="L103" s="555"/>
    </row>
    <row r="104" spans="12:12">
      <c r="L104" s="555"/>
    </row>
    <row r="105" spans="12:12">
      <c r="L105" s="555"/>
    </row>
    <row r="106" spans="12:12">
      <c r="L106" s="555"/>
    </row>
    <row r="107" spans="12:12">
      <c r="L107" s="555"/>
    </row>
    <row r="108" spans="12:12">
      <c r="L108" s="555"/>
    </row>
    <row r="109" spans="12:12">
      <c r="L109" s="555"/>
    </row>
    <row r="110" spans="12:12">
      <c r="L110" s="555"/>
    </row>
    <row r="111" spans="12:12">
      <c r="L111" s="555"/>
    </row>
    <row r="112" spans="12:12">
      <c r="L112" s="555"/>
    </row>
    <row r="113" spans="12:12">
      <c r="L113" s="555"/>
    </row>
    <row r="114" spans="12:12">
      <c r="L114" s="555"/>
    </row>
    <row r="115" spans="12:12">
      <c r="L115" s="555"/>
    </row>
    <row r="116" spans="12:12">
      <c r="L116" s="555"/>
    </row>
    <row r="117" spans="12:12">
      <c r="L117" s="555"/>
    </row>
    <row r="118" spans="12:12">
      <c r="L118" s="555"/>
    </row>
    <row r="119" spans="12:12">
      <c r="L119" s="555"/>
    </row>
    <row r="120" spans="12:12">
      <c r="L120" s="555"/>
    </row>
    <row r="121" spans="12:12">
      <c r="L121" s="555"/>
    </row>
    <row r="122" spans="12:12">
      <c r="L122" s="555"/>
    </row>
    <row r="123" spans="12:12">
      <c r="L123" s="555"/>
    </row>
    <row r="124" spans="12:12">
      <c r="L124" s="555"/>
    </row>
    <row r="125" spans="12:12">
      <c r="L125" s="555"/>
    </row>
    <row r="126" spans="12:12">
      <c r="L126" s="555"/>
    </row>
    <row r="127" spans="12:12">
      <c r="L127" s="555"/>
    </row>
    <row r="128" spans="12:12">
      <c r="L128" s="555"/>
    </row>
    <row r="129" spans="12:31">
      <c r="L129" s="555"/>
    </row>
    <row r="130" spans="12:31">
      <c r="L130" s="555"/>
    </row>
    <row r="131" spans="12:31">
      <c r="L131" s="555"/>
    </row>
    <row r="132" spans="12:31">
      <c r="L132" s="555"/>
    </row>
    <row r="133" spans="12:31">
      <c r="L133" s="555"/>
    </row>
    <row r="134" spans="12:31">
      <c r="L134" s="555"/>
      <c r="AE134" s="556">
        <v>16739.599999999999</v>
      </c>
    </row>
    <row r="135" spans="12:31">
      <c r="L135" s="555"/>
      <c r="AE135" s="556">
        <v>-16162.7</v>
      </c>
    </row>
    <row r="136" spans="12:31">
      <c r="L136" s="555"/>
    </row>
    <row r="137" spans="12:31">
      <c r="L137" s="555"/>
    </row>
    <row r="138" spans="12:31">
      <c r="L138" s="555"/>
    </row>
    <row r="139" spans="12:31">
      <c r="L139" s="555"/>
    </row>
    <row r="140" spans="12:31">
      <c r="L140" s="555"/>
    </row>
    <row r="141" spans="12:31">
      <c r="L141" s="555"/>
    </row>
    <row r="142" spans="12:31">
      <c r="L142" s="555"/>
    </row>
    <row r="143" spans="12:31">
      <c r="L143" s="555"/>
    </row>
    <row r="144" spans="12:31">
      <c r="L144" s="555"/>
    </row>
    <row r="145" spans="12:12">
      <c r="L145" s="555"/>
    </row>
    <row r="146" spans="12:12">
      <c r="L146" s="555"/>
    </row>
    <row r="147" spans="12:12">
      <c r="L147" s="555"/>
    </row>
    <row r="148" spans="12:12">
      <c r="L148" s="555"/>
    </row>
    <row r="149" spans="12:12">
      <c r="L149" s="555"/>
    </row>
    <row r="150" spans="12:12">
      <c r="L150" s="555"/>
    </row>
    <row r="151" spans="12:12">
      <c r="L151" s="555"/>
    </row>
    <row r="152" spans="12:12">
      <c r="L152" s="555"/>
    </row>
    <row r="153" spans="12:12">
      <c r="L153" s="555"/>
    </row>
    <row r="154" spans="12:12">
      <c r="L154" s="555"/>
    </row>
    <row r="155" spans="12:12">
      <c r="L155" s="555"/>
    </row>
    <row r="156" spans="12:12">
      <c r="L156" s="555"/>
    </row>
    <row r="157" spans="12:12">
      <c r="L157" s="555"/>
    </row>
    <row r="158" spans="12:12">
      <c r="L158" s="555"/>
    </row>
    <row r="159" spans="12:12">
      <c r="L159" s="555"/>
    </row>
    <row r="160" spans="12:12">
      <c r="L160" s="555"/>
    </row>
    <row r="161" spans="12:12">
      <c r="L161" s="555"/>
    </row>
    <row r="162" spans="12:12">
      <c r="L162" s="555"/>
    </row>
    <row r="163" spans="12:12">
      <c r="L163" s="555"/>
    </row>
    <row r="164" spans="12:12">
      <c r="L164" s="555"/>
    </row>
    <row r="165" spans="12:12">
      <c r="L165" s="555"/>
    </row>
    <row r="166" spans="12:12">
      <c r="L166" s="555"/>
    </row>
    <row r="167" spans="12:12">
      <c r="L167" s="555"/>
    </row>
    <row r="168" spans="12:12">
      <c r="L168" s="555"/>
    </row>
    <row r="169" spans="12:12">
      <c r="L169" s="555"/>
    </row>
    <row r="170" spans="12:12">
      <c r="L170" s="555"/>
    </row>
    <row r="171" spans="12:12">
      <c r="L171" s="555"/>
    </row>
    <row r="172" spans="12:12">
      <c r="L172" s="555"/>
    </row>
    <row r="173" spans="12:12">
      <c r="L173" s="555"/>
    </row>
    <row r="174" spans="12:12">
      <c r="L174" s="555"/>
    </row>
    <row r="175" spans="12:12">
      <c r="L175" s="555"/>
    </row>
    <row r="176" spans="12:12">
      <c r="L176" s="555"/>
    </row>
    <row r="177" spans="12:12">
      <c r="L177" s="555"/>
    </row>
    <row r="178" spans="12:12">
      <c r="L178" s="555"/>
    </row>
    <row r="179" spans="12:12">
      <c r="L179" s="555"/>
    </row>
    <row r="180" spans="12:12">
      <c r="L180" s="555"/>
    </row>
    <row r="181" spans="12:12">
      <c r="L181" s="555"/>
    </row>
    <row r="182" spans="12:12">
      <c r="L182" s="555"/>
    </row>
    <row r="183" spans="12:12">
      <c r="L183" s="555"/>
    </row>
    <row r="184" spans="12:12">
      <c r="L184" s="555"/>
    </row>
    <row r="185" spans="12:12">
      <c r="L185" s="555"/>
    </row>
    <row r="186" spans="12:12">
      <c r="L186" s="555"/>
    </row>
    <row r="187" spans="12:12">
      <c r="L187" s="555"/>
    </row>
    <row r="188" spans="12:12">
      <c r="L188" s="555"/>
    </row>
    <row r="189" spans="12:12">
      <c r="L189" s="555"/>
    </row>
    <row r="190" spans="12:12">
      <c r="L190" s="555"/>
    </row>
    <row r="191" spans="12:12">
      <c r="L191" s="555"/>
    </row>
    <row r="192" spans="12:12">
      <c r="L192" s="555"/>
    </row>
    <row r="193" spans="12:12">
      <c r="L193" s="555"/>
    </row>
    <row r="194" spans="12:12">
      <c r="L194" s="555"/>
    </row>
    <row r="195" spans="12:12">
      <c r="L195" s="555"/>
    </row>
    <row r="196" spans="12:12">
      <c r="L196" s="555"/>
    </row>
    <row r="197" spans="12:12">
      <c r="L197" s="555"/>
    </row>
    <row r="198" spans="12:12">
      <c r="L198" s="555"/>
    </row>
    <row r="199" spans="12:12">
      <c r="L199" s="555"/>
    </row>
    <row r="200" spans="12:12">
      <c r="L200" s="555"/>
    </row>
    <row r="201" spans="12:12">
      <c r="L201" s="555"/>
    </row>
    <row r="202" spans="12:12">
      <c r="L202" s="555"/>
    </row>
    <row r="203" spans="12:12">
      <c r="L203" s="555"/>
    </row>
    <row r="204" spans="12:12">
      <c r="L204" s="555"/>
    </row>
    <row r="205" spans="12:12">
      <c r="L205" s="555"/>
    </row>
    <row r="206" spans="12:12">
      <c r="L206" s="555"/>
    </row>
    <row r="207" spans="12:12">
      <c r="L207" s="555"/>
    </row>
    <row r="208" spans="12:12">
      <c r="L208" s="555"/>
    </row>
    <row r="209" spans="12:12">
      <c r="L209" s="555"/>
    </row>
    <row r="210" spans="12:12">
      <c r="L210" s="555"/>
    </row>
    <row r="211" spans="12:12">
      <c r="L211" s="555"/>
    </row>
    <row r="212" spans="12:12">
      <c r="L212" s="555"/>
    </row>
    <row r="213" spans="12:12">
      <c r="L213" s="555"/>
    </row>
    <row r="214" spans="12:12">
      <c r="L214" s="555"/>
    </row>
    <row r="215" spans="12:12">
      <c r="L215" s="555"/>
    </row>
    <row r="216" spans="12:12">
      <c r="L216" s="555"/>
    </row>
    <row r="217" spans="12:12">
      <c r="L217" s="555"/>
    </row>
    <row r="218" spans="12:12">
      <c r="L218" s="555"/>
    </row>
    <row r="219" spans="12:12">
      <c r="L219" s="555"/>
    </row>
    <row r="220" spans="12:12">
      <c r="L220" s="555"/>
    </row>
    <row r="221" spans="12:12">
      <c r="L221" s="555"/>
    </row>
    <row r="222" spans="12:12">
      <c r="L222" s="555"/>
    </row>
    <row r="223" spans="12:12">
      <c r="L223" s="555"/>
    </row>
    <row r="224" spans="12:12">
      <c r="L224" s="555"/>
    </row>
    <row r="225" spans="12:12">
      <c r="L225" s="555"/>
    </row>
    <row r="226" spans="12:12">
      <c r="L226" s="555"/>
    </row>
    <row r="227" spans="12:12">
      <c r="L227" s="555"/>
    </row>
    <row r="228" spans="12:12">
      <c r="L228" s="555"/>
    </row>
    <row r="229" spans="12:12">
      <c r="L229" s="555"/>
    </row>
    <row r="230" spans="12:12">
      <c r="L230" s="555"/>
    </row>
    <row r="231" spans="12:12">
      <c r="L231" s="555"/>
    </row>
    <row r="232" spans="12:12">
      <c r="L232" s="555"/>
    </row>
    <row r="233" spans="12:12">
      <c r="L233" s="555"/>
    </row>
    <row r="234" spans="12:12">
      <c r="L234" s="555"/>
    </row>
    <row r="235" spans="12:12">
      <c r="L235" s="555"/>
    </row>
    <row r="236" spans="12:12">
      <c r="L236" s="555"/>
    </row>
    <row r="237" spans="12:12">
      <c r="L237" s="555"/>
    </row>
    <row r="238" spans="12:12">
      <c r="L238" s="555"/>
    </row>
    <row r="239" spans="12:12">
      <c r="L239" s="555"/>
    </row>
    <row r="240" spans="12:12">
      <c r="L240" s="555"/>
    </row>
    <row r="241" spans="12:12">
      <c r="L241" s="555"/>
    </row>
    <row r="242" spans="12:12">
      <c r="L242" s="555"/>
    </row>
    <row r="243" spans="12:12">
      <c r="L243" s="555"/>
    </row>
    <row r="244" spans="12:12">
      <c r="L244" s="555"/>
    </row>
    <row r="245" spans="12:12">
      <c r="L245" s="555"/>
    </row>
    <row r="246" spans="12:12">
      <c r="L246" s="555"/>
    </row>
    <row r="247" spans="12:12">
      <c r="L247" s="555"/>
    </row>
    <row r="248" spans="12:12">
      <c r="L248" s="555"/>
    </row>
    <row r="249" spans="12:12">
      <c r="L249" s="555"/>
    </row>
    <row r="250" spans="12:12">
      <c r="L250" s="555"/>
    </row>
    <row r="251" spans="12:12">
      <c r="L251" s="555"/>
    </row>
    <row r="252" spans="12:12">
      <c r="L252" s="555"/>
    </row>
    <row r="253" spans="12:12">
      <c r="L253" s="555"/>
    </row>
    <row r="254" spans="12:12">
      <c r="L254" s="555"/>
    </row>
    <row r="255" spans="12:12">
      <c r="L255" s="555"/>
    </row>
    <row r="256" spans="12:12">
      <c r="L256" s="555"/>
    </row>
    <row r="257" spans="12:12">
      <c r="L257" s="555"/>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9"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9 AI41 AI47 AI45 AI43" unlockedFormula="1"/>
    <ignoredError sqref="C43 E43 G43 I43 K43" formulaRange="1"/>
    <ignoredError sqref="AI38"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35"/>
  <sheetViews>
    <sheetView showGridLines="0" zoomScale="70" zoomScaleNormal="70" workbookViewId="0"/>
  </sheetViews>
  <sheetFormatPr defaultColWidth="8.88671875" defaultRowHeight="15"/>
  <cols>
    <col min="1" max="1" width="2.5546875" style="300" customWidth="1"/>
    <col min="2" max="2" width="15.6640625" style="300" customWidth="1"/>
    <col min="3" max="3" width="32.77734375" style="300" customWidth="1"/>
    <col min="4" max="4" width="2" style="300" customWidth="1"/>
    <col min="5" max="5" width="12.5546875" style="300" customWidth="1"/>
    <col min="6" max="6" width="1.77734375" style="300" customWidth="1"/>
    <col min="7" max="7" width="10.6640625" style="300" customWidth="1"/>
    <col min="8" max="8" width="1.77734375" style="300" customWidth="1"/>
    <col min="9" max="9" width="12.6640625" style="300" customWidth="1"/>
    <col min="10" max="10" width="1.77734375" style="300" customWidth="1"/>
    <col min="11" max="11" width="13.21875" style="300" customWidth="1"/>
    <col min="12" max="12" width="1.21875" style="300" customWidth="1"/>
    <col min="13" max="13" width="10.5546875" style="300" customWidth="1"/>
    <col min="14" max="14" width="1.77734375" style="300" customWidth="1"/>
    <col min="15" max="15" width="12.44140625" style="300" customWidth="1"/>
    <col min="16" max="16" width="1.77734375" style="300" customWidth="1"/>
    <col min="17" max="17" width="12.21875" style="300" customWidth="1"/>
    <col min="18" max="18" width="1.77734375" style="300" customWidth="1"/>
    <col min="19" max="19" width="12.21875" style="300" customWidth="1"/>
    <col min="20" max="20" width="1.77734375" style="300" customWidth="1"/>
    <col min="21" max="21" width="10.77734375" style="300" customWidth="1"/>
    <col min="22" max="22" width="1.77734375" style="300" customWidth="1"/>
    <col min="23" max="23" width="10.109375" style="300" customWidth="1"/>
    <col min="24" max="24" width="1.77734375" style="300" customWidth="1"/>
    <col min="25" max="25" width="10.77734375" style="300" customWidth="1"/>
    <col min="26" max="26" width="1.77734375" style="300" customWidth="1"/>
    <col min="27" max="27" width="9.6640625" style="300" bestFit="1" customWidth="1"/>
    <col min="28" max="28" width="1.77734375" style="300" customWidth="1"/>
    <col min="29" max="29" width="9.6640625" style="300" customWidth="1"/>
    <col min="30" max="31" width="1.77734375" style="300" customWidth="1"/>
    <col min="32" max="32" width="12.6640625" style="300" customWidth="1"/>
    <col min="33" max="34" width="1.109375" style="300" customWidth="1"/>
    <col min="35" max="35" width="12.6640625" style="300" customWidth="1"/>
    <col min="36" max="37" width="1" style="300" customWidth="1"/>
    <col min="38" max="38" width="13.109375" style="300" bestFit="1" customWidth="1"/>
    <col min="39" max="39" width="1.33203125" style="300" customWidth="1"/>
    <col min="40" max="40" width="12.33203125" style="300" customWidth="1"/>
    <col min="41" max="16384" width="8.88671875" style="300"/>
  </cols>
  <sheetData>
    <row r="1" spans="1:42">
      <c r="B1" s="1159" t="s">
        <v>1090</v>
      </c>
    </row>
    <row r="2" spans="1:42">
      <c r="B2" s="1651"/>
    </row>
    <row r="3" spans="1:42" ht="19.5" customHeight="1">
      <c r="A3" s="633"/>
      <c r="B3" s="639" t="s">
        <v>0</v>
      </c>
      <c r="C3" s="634"/>
      <c r="D3" s="634"/>
      <c r="E3" s="634"/>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N3" s="738" t="s">
        <v>200</v>
      </c>
    </row>
    <row r="4" spans="1:42" ht="19.5" customHeight="1">
      <c r="A4" s="633"/>
      <c r="B4" s="639" t="s">
        <v>1132</v>
      </c>
      <c r="C4" s="634"/>
      <c r="D4" s="634"/>
      <c r="E4" s="634"/>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G4" s="636"/>
      <c r="AH4" s="636"/>
    </row>
    <row r="5" spans="1:42" ht="19.5" customHeight="1">
      <c r="A5" s="633"/>
      <c r="B5" s="559" t="s">
        <v>152</v>
      </c>
      <c r="C5" s="634"/>
      <c r="D5" s="634"/>
      <c r="E5" s="634"/>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N5" s="505"/>
    </row>
    <row r="6" spans="1:42" ht="19.5" customHeight="1">
      <c r="A6" s="633"/>
      <c r="B6" s="2928" t="s">
        <v>1420</v>
      </c>
      <c r="C6" s="634"/>
      <c r="D6" s="634"/>
      <c r="E6" s="634"/>
      <c r="F6" s="635"/>
      <c r="G6" s="635"/>
      <c r="H6" s="637"/>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8"/>
      <c r="AH6" s="638"/>
      <c r="AI6" s="638"/>
      <c r="AJ6" s="638"/>
      <c r="AK6" s="638"/>
    </row>
    <row r="7" spans="1:42" ht="19.5" customHeight="1">
      <c r="A7" s="633"/>
      <c r="B7" s="639" t="s">
        <v>981</v>
      </c>
      <c r="C7" s="634"/>
      <c r="D7" s="634"/>
      <c r="E7" s="634"/>
      <c r="F7" s="635"/>
      <c r="G7" s="635"/>
      <c r="H7" s="637"/>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8"/>
      <c r="AH7" s="638"/>
      <c r="AI7" s="638"/>
      <c r="AJ7" s="638"/>
      <c r="AK7" s="638"/>
    </row>
    <row r="8" spans="1:42" ht="19.5" customHeight="1">
      <c r="A8" s="633"/>
      <c r="C8" s="634"/>
      <c r="D8" s="634"/>
      <c r="E8" s="634"/>
      <c r="F8" s="635"/>
      <c r="G8" s="635"/>
      <c r="H8" s="637"/>
      <c r="I8" s="635"/>
      <c r="J8" s="635"/>
      <c r="K8" s="635"/>
      <c r="L8" s="635"/>
      <c r="M8" s="635"/>
      <c r="N8" s="635"/>
      <c r="O8" s="635"/>
      <c r="P8" s="635"/>
      <c r="Q8" s="635"/>
      <c r="R8" s="635"/>
      <c r="S8" s="635"/>
      <c r="T8" s="635"/>
      <c r="U8" s="635"/>
      <c r="V8" s="635"/>
      <c r="W8" s="635"/>
      <c r="X8" s="635"/>
      <c r="Y8" s="635"/>
      <c r="Z8" s="635"/>
      <c r="AA8" s="635"/>
      <c r="AB8" s="635"/>
      <c r="AC8" s="635"/>
      <c r="AD8" s="635"/>
      <c r="AE8" s="640"/>
    </row>
    <row r="9" spans="1:42" ht="15.75" customHeight="1">
      <c r="A9" s="633"/>
      <c r="B9" s="639"/>
      <c r="C9" s="634"/>
      <c r="D9" s="634"/>
      <c r="E9" s="634"/>
      <c r="F9" s="635"/>
      <c r="G9" s="635"/>
      <c r="H9" s="635"/>
      <c r="I9" s="635"/>
      <c r="J9" s="635"/>
      <c r="K9" s="635"/>
      <c r="L9" s="635"/>
      <c r="M9" s="635"/>
      <c r="N9" s="635"/>
      <c r="O9" s="635"/>
      <c r="P9" s="635"/>
      <c r="Q9" s="635"/>
      <c r="R9" s="635"/>
      <c r="S9" s="635"/>
      <c r="T9" s="635"/>
      <c r="U9" s="635"/>
      <c r="V9" s="635"/>
      <c r="W9" s="635"/>
      <c r="X9" s="635"/>
      <c r="Y9" s="635"/>
      <c r="Z9" s="635"/>
      <c r="AA9" s="635"/>
      <c r="AB9" s="635"/>
      <c r="AC9" s="635"/>
      <c r="AD9" s="635"/>
      <c r="AE9" s="640"/>
    </row>
    <row r="10" spans="1:42" ht="15.75" customHeight="1">
      <c r="A10" s="633"/>
      <c r="B10" s="641"/>
      <c r="C10" s="634"/>
      <c r="D10" s="634"/>
      <c r="E10" s="634"/>
      <c r="F10" s="635"/>
      <c r="G10" s="635"/>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40"/>
      <c r="AF10" s="3512" t="s">
        <v>1558</v>
      </c>
      <c r="AG10" s="3513"/>
      <c r="AH10" s="3513"/>
      <c r="AI10" s="3513"/>
      <c r="AJ10" s="3513"/>
      <c r="AK10" s="3513"/>
      <c r="AL10" s="3513"/>
      <c r="AM10" s="3513"/>
      <c r="AN10" s="3513"/>
    </row>
    <row r="11" spans="1:42" ht="15.75" customHeight="1">
      <c r="A11" s="633"/>
      <c r="B11" s="641"/>
      <c r="C11" s="634"/>
      <c r="D11" s="634"/>
      <c r="E11" s="1476"/>
      <c r="F11" s="1477"/>
      <c r="G11" s="1477"/>
      <c r="H11" s="1477"/>
      <c r="I11" s="1477"/>
      <c r="J11" s="1477"/>
      <c r="K11" s="1477"/>
      <c r="L11" s="1477"/>
      <c r="M11" s="1477"/>
      <c r="N11" s="1477"/>
      <c r="O11" s="1477"/>
      <c r="P11" s="1477"/>
      <c r="Q11" s="1477"/>
      <c r="R11" s="1477"/>
      <c r="S11" s="1477"/>
      <c r="T11" s="1477"/>
      <c r="U11" s="1477"/>
      <c r="V11" s="1477"/>
      <c r="W11" s="1477"/>
      <c r="X11" s="1477"/>
      <c r="Y11" s="1477"/>
      <c r="Z11" s="1477"/>
      <c r="AA11" s="1477"/>
      <c r="AB11" s="1477"/>
      <c r="AC11" s="1455" t="s">
        <v>1297</v>
      </c>
      <c r="AD11" s="1477"/>
      <c r="AE11" s="1478"/>
      <c r="AF11" s="1434"/>
      <c r="AG11" s="1479"/>
      <c r="AH11" s="1479"/>
      <c r="AI11" s="1479"/>
      <c r="AJ11" s="1479"/>
      <c r="AK11" s="1479"/>
      <c r="AL11" s="1479"/>
      <c r="AM11" s="1479"/>
      <c r="AN11" s="1479"/>
    </row>
    <row r="12" spans="1:42" ht="15.75" customHeight="1">
      <c r="A12" s="642"/>
      <c r="B12" s="642"/>
      <c r="C12" s="642"/>
      <c r="D12" s="642"/>
      <c r="E12" s="1448">
        <v>2016</v>
      </c>
      <c r="F12" s="1480"/>
      <c r="G12" s="1480"/>
      <c r="H12" s="1480"/>
      <c r="I12" s="1480"/>
      <c r="J12" s="1480"/>
      <c r="K12" s="1480"/>
      <c r="L12" s="1480"/>
      <c r="M12" s="1480"/>
      <c r="N12" s="1480"/>
      <c r="O12" s="1480"/>
      <c r="P12" s="1480"/>
      <c r="Q12" s="1480"/>
      <c r="R12" s="1480"/>
      <c r="S12" s="1480"/>
      <c r="T12" s="1480"/>
      <c r="U12" s="1480"/>
      <c r="V12" s="1480"/>
      <c r="W12" s="1448">
        <v>2017</v>
      </c>
      <c r="X12" s="1480"/>
      <c r="Y12" s="1480"/>
      <c r="Z12" s="1480"/>
      <c r="AA12" s="1480"/>
      <c r="AB12" s="1480"/>
      <c r="AC12" s="1455" t="s">
        <v>1298</v>
      </c>
      <c r="AD12" s="1480"/>
      <c r="AE12" s="1480"/>
      <c r="AF12" s="1481"/>
      <c r="AG12" s="1481"/>
      <c r="AH12" s="1481"/>
      <c r="AI12" s="1481"/>
      <c r="AJ12" s="1481"/>
      <c r="AK12" s="1481"/>
      <c r="AL12" s="1455" t="s">
        <v>8</v>
      </c>
      <c r="AM12" s="1455"/>
      <c r="AN12" s="1450" t="s">
        <v>9</v>
      </c>
      <c r="AO12" s="1484"/>
    </row>
    <row r="13" spans="1:42" ht="15.75" customHeight="1">
      <c r="A13" s="223"/>
      <c r="B13" s="223"/>
      <c r="C13" s="223"/>
      <c r="D13" s="223"/>
      <c r="E13" s="2145" t="s">
        <v>128</v>
      </c>
      <c r="F13" s="476"/>
      <c r="G13" s="2145" t="s">
        <v>129</v>
      </c>
      <c r="H13" s="476"/>
      <c r="I13" s="2145" t="s">
        <v>130</v>
      </c>
      <c r="J13" s="476"/>
      <c r="K13" s="2145" t="s">
        <v>131</v>
      </c>
      <c r="L13" s="476"/>
      <c r="M13" s="2145" t="s">
        <v>132</v>
      </c>
      <c r="N13" s="476"/>
      <c r="O13" s="2145" t="s">
        <v>133</v>
      </c>
      <c r="P13" s="476"/>
      <c r="Q13" s="2145" t="s">
        <v>134</v>
      </c>
      <c r="R13" s="476"/>
      <c r="S13" s="2145" t="s">
        <v>135</v>
      </c>
      <c r="T13" s="476"/>
      <c r="U13" s="2145" t="s">
        <v>136</v>
      </c>
      <c r="V13" s="476"/>
      <c r="W13" s="2145" t="s">
        <v>153</v>
      </c>
      <c r="X13" s="476"/>
      <c r="Y13" s="2145" t="s">
        <v>138</v>
      </c>
      <c r="Z13" s="476"/>
      <c r="AA13" s="2145" t="s">
        <v>139</v>
      </c>
      <c r="AB13" s="1462"/>
      <c r="AC13" s="2007" t="s">
        <v>1299</v>
      </c>
      <c r="AD13" s="476"/>
      <c r="AE13" s="476"/>
      <c r="AF13" s="2145">
        <v>2017</v>
      </c>
      <c r="AG13" s="476"/>
      <c r="AH13" s="476"/>
      <c r="AI13" s="1482">
        <v>2016</v>
      </c>
      <c r="AJ13" s="1483"/>
      <c r="AK13" s="1483"/>
      <c r="AL13" s="1463" t="s">
        <v>12</v>
      </c>
      <c r="AM13" s="1453"/>
      <c r="AN13" s="1463" t="s">
        <v>13</v>
      </c>
      <c r="AO13" s="2148"/>
      <c r="AP13" s="644"/>
    </row>
    <row r="14" spans="1:42" ht="3.75" customHeight="1">
      <c r="A14" s="223"/>
      <c r="B14" s="221"/>
      <c r="C14" s="221"/>
      <c r="D14" s="223"/>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367"/>
      <c r="AL14" s="644"/>
      <c r="AM14" s="644"/>
      <c r="AN14" s="644"/>
      <c r="AO14" s="644"/>
    </row>
    <row r="15" spans="1:42" ht="15.75" customHeight="1">
      <c r="A15" s="223"/>
      <c r="B15" s="3293" t="s">
        <v>1386</v>
      </c>
      <c r="C15" s="221"/>
      <c r="D15" s="223"/>
      <c r="E15" s="293">
        <v>-890.8</v>
      </c>
      <c r="F15" s="293"/>
      <c r="G15" s="293">
        <f>+E103</f>
        <v>-857</v>
      </c>
      <c r="H15" s="293"/>
      <c r="I15" s="293">
        <f>+G103</f>
        <v>-846.8</v>
      </c>
      <c r="J15" s="293"/>
      <c r="K15" s="293">
        <f>+I103</f>
        <v>-652</v>
      </c>
      <c r="L15" s="293"/>
      <c r="M15" s="293">
        <f>K103</f>
        <v>-628.29999999999995</v>
      </c>
      <c r="N15" s="293"/>
      <c r="O15" s="293">
        <f>M103</f>
        <v>-727.3</v>
      </c>
      <c r="P15" s="293"/>
      <c r="Q15" s="293">
        <f>O103</f>
        <v>-878.8</v>
      </c>
      <c r="R15" s="293"/>
      <c r="S15" s="293">
        <f>Q103</f>
        <v>-793.2</v>
      </c>
      <c r="T15" s="293"/>
      <c r="U15" s="293">
        <f>S103</f>
        <v>-950.9</v>
      </c>
      <c r="V15" s="293"/>
      <c r="W15" s="293">
        <f>U103</f>
        <v>-979.9</v>
      </c>
      <c r="X15" s="293"/>
      <c r="Y15" s="293"/>
      <c r="Z15" s="293"/>
      <c r="AA15" s="293"/>
      <c r="AB15" s="293"/>
      <c r="AC15" s="293">
        <v>0</v>
      </c>
      <c r="AD15" s="293"/>
      <c r="AE15" s="294"/>
      <c r="AF15" s="335">
        <v>-890.8</v>
      </c>
      <c r="AG15" s="421"/>
      <c r="AH15" s="422"/>
      <c r="AI15" s="645">
        <v>-724.4</v>
      </c>
      <c r="AJ15" s="293"/>
      <c r="AK15" s="646"/>
      <c r="AL15" s="645">
        <f>+AF15-AI15</f>
        <v>-166.39999999999998</v>
      </c>
      <c r="AM15" s="647"/>
      <c r="AN15" s="2669">
        <f>ROUND(IF(AI15=0,0,-AL15/(AI15)),3)</f>
        <v>-0.23</v>
      </c>
      <c r="AO15" s="649"/>
    </row>
    <row r="16" spans="1:42" ht="15.75" customHeight="1">
      <c r="A16" s="223"/>
      <c r="B16" s="221"/>
      <c r="C16" s="221"/>
      <c r="D16" s="223"/>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c r="AD16" s="366"/>
      <c r="AE16" s="471"/>
      <c r="AF16" s="366"/>
      <c r="AG16" s="484"/>
      <c r="AH16" s="252"/>
      <c r="AI16" s="366"/>
      <c r="AJ16" s="366"/>
      <c r="AK16" s="643"/>
      <c r="AL16" s="644"/>
      <c r="AM16" s="644"/>
      <c r="AN16" s="644"/>
    </row>
    <row r="17" spans="1:46" ht="15.75">
      <c r="A17" s="223"/>
      <c r="B17" s="221" t="s">
        <v>201</v>
      </c>
      <c r="C17" s="223"/>
      <c r="D17" s="223"/>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471"/>
      <c r="AF17" s="366"/>
      <c r="AG17" s="484"/>
      <c r="AH17" s="252"/>
      <c r="AI17" s="366"/>
      <c r="AJ17" s="366"/>
      <c r="AK17" s="643"/>
      <c r="AL17" s="644"/>
      <c r="AM17" s="644"/>
      <c r="AN17" s="644"/>
    </row>
    <row r="18" spans="1:46" ht="15.75">
      <c r="A18" s="223"/>
      <c r="B18" s="488" t="s">
        <v>1206</v>
      </c>
      <c r="C18" s="223"/>
      <c r="D18" s="223"/>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366"/>
      <c r="AD18" s="366"/>
      <c r="AE18" s="471"/>
      <c r="AF18" s="366"/>
      <c r="AG18" s="2010"/>
      <c r="AH18" s="252"/>
      <c r="AI18" s="366"/>
      <c r="AJ18" s="366"/>
      <c r="AK18" s="643"/>
      <c r="AL18" s="644"/>
      <c r="AM18" s="644"/>
      <c r="AN18" s="644"/>
    </row>
    <row r="19" spans="1:46" ht="15.75">
      <c r="A19" s="223"/>
      <c r="B19" s="1990" t="s">
        <v>1276</v>
      </c>
      <c r="C19" s="223"/>
      <c r="D19" s="223"/>
      <c r="E19" s="366"/>
      <c r="F19" s="366"/>
      <c r="G19" s="366"/>
      <c r="H19" s="366"/>
      <c r="I19" s="366"/>
      <c r="J19" s="366"/>
      <c r="K19" s="366"/>
      <c r="L19" s="366"/>
      <c r="M19" s="366"/>
      <c r="N19" s="366"/>
      <c r="O19" s="366"/>
      <c r="P19" s="366"/>
      <c r="Q19" s="366"/>
      <c r="R19" s="366"/>
      <c r="S19" s="366"/>
      <c r="T19" s="366"/>
      <c r="U19" s="366"/>
      <c r="V19" s="366"/>
      <c r="W19" s="366"/>
      <c r="X19" s="366"/>
      <c r="Y19" s="366"/>
      <c r="Z19" s="366"/>
      <c r="AA19" s="366"/>
      <c r="AB19" s="366"/>
      <c r="AC19" s="366"/>
      <c r="AD19" s="366"/>
      <c r="AE19" s="471"/>
      <c r="AF19" s="366"/>
      <c r="AG19" s="2010"/>
      <c r="AH19" s="252"/>
      <c r="AI19" s="366"/>
      <c r="AJ19" s="366"/>
      <c r="AK19" s="643"/>
      <c r="AL19" s="644"/>
      <c r="AM19" s="644"/>
      <c r="AN19" s="644"/>
    </row>
    <row r="20" spans="1:46">
      <c r="A20" s="223"/>
      <c r="B20" s="1243" t="s">
        <v>1227</v>
      </c>
      <c r="C20" s="223"/>
      <c r="D20" s="223"/>
      <c r="E20" s="2557">
        <f>+' Exhibit I State'!E20</f>
        <v>0.3</v>
      </c>
      <c r="F20" s="2658"/>
      <c r="G20" s="2557">
        <f>+' Exhibit I State'!G20</f>
        <v>0</v>
      </c>
      <c r="H20" s="2658"/>
      <c r="I20" s="2557">
        <f>+' Exhibit I State'!I20</f>
        <v>18.899999999999999</v>
      </c>
      <c r="J20" s="2706"/>
      <c r="K20" s="2557">
        <f>+' Exhibit I State'!K20</f>
        <v>0.1</v>
      </c>
      <c r="L20" s="2707"/>
      <c r="M20" s="2557">
        <f>+' Exhibit I State'!M20</f>
        <v>0.1</v>
      </c>
      <c r="N20" s="2707"/>
      <c r="O20" s="2557">
        <f>+' Exhibit I State'!O20</f>
        <v>23.2</v>
      </c>
      <c r="P20" s="560"/>
      <c r="Q20" s="2557">
        <f>+' Exhibit I State'!Q20</f>
        <v>0</v>
      </c>
      <c r="R20" s="560"/>
      <c r="S20" s="2557">
        <f>+' Exhibit I State'!S20</f>
        <v>0.1</v>
      </c>
      <c r="T20" s="560"/>
      <c r="U20" s="2557">
        <f>+' Exhibit I State'!U20</f>
        <v>21.7</v>
      </c>
      <c r="V20" s="560"/>
      <c r="W20" s="2557">
        <f>+' Exhibit I State'!W20</f>
        <v>5.9</v>
      </c>
      <c r="X20" s="560"/>
      <c r="Y20" s="3114"/>
      <c r="Z20" s="560"/>
      <c r="AA20" s="2751"/>
      <c r="AB20" s="2751"/>
      <c r="AC20" s="2751">
        <v>0</v>
      </c>
      <c r="AD20" s="1992"/>
      <c r="AE20" s="560"/>
      <c r="AF20" s="260">
        <f>ROUND(SUM(E20:AC20),1)</f>
        <v>70.3</v>
      </c>
      <c r="AG20" s="1993"/>
      <c r="AH20" s="561"/>
      <c r="AI20" s="590">
        <v>65.5</v>
      </c>
      <c r="AJ20" s="565"/>
      <c r="AK20" s="585"/>
      <c r="AL20" s="595">
        <f>ROUND(SUM(AF20-AI20),1)</f>
        <v>4.8</v>
      </c>
      <c r="AM20" s="571"/>
      <c r="AN20" s="45">
        <f>ROUND(IF(AI20=0,0,AL20/ABS(AI20)),3)</f>
        <v>7.2999999999999995E-2</v>
      </c>
      <c r="AO20" s="1010"/>
    </row>
    <row r="21" spans="1:46">
      <c r="A21" s="223"/>
      <c r="B21" s="1243" t="s">
        <v>1229</v>
      </c>
      <c r="C21" s="223"/>
      <c r="D21" s="223"/>
      <c r="E21" s="2557">
        <f>+' Exhibit I State'!E21</f>
        <v>30.8</v>
      </c>
      <c r="F21" s="2658"/>
      <c r="G21" s="2557">
        <f>+' Exhibit I State'!G21</f>
        <v>29.4</v>
      </c>
      <c r="H21" s="2658"/>
      <c r="I21" s="2557">
        <f>+' Exhibit I State'!I21</f>
        <v>35.1</v>
      </c>
      <c r="J21" s="2706"/>
      <c r="K21" s="2557">
        <f>+' Exhibit I State'!K21</f>
        <v>36.4</v>
      </c>
      <c r="L21" s="2707"/>
      <c r="M21" s="2557">
        <f>+' Exhibit I State'!M21</f>
        <v>39.5</v>
      </c>
      <c r="N21" s="2707"/>
      <c r="O21" s="2557">
        <f>+' Exhibit I State'!O21</f>
        <v>35.299999999999997</v>
      </c>
      <c r="P21" s="560"/>
      <c r="Q21" s="2557">
        <f>+' Exhibit I State'!Q21</f>
        <v>35.5</v>
      </c>
      <c r="R21" s="560"/>
      <c r="S21" s="2557">
        <f>+' Exhibit I State'!S21</f>
        <v>35.9</v>
      </c>
      <c r="T21" s="560"/>
      <c r="U21" s="2557">
        <f>+' Exhibit I State'!U21</f>
        <v>34.799999999999997</v>
      </c>
      <c r="V21" s="560"/>
      <c r="W21" s="2557">
        <f>+' Exhibit I State'!W21</f>
        <v>33.200000000000003</v>
      </c>
      <c r="X21" s="560"/>
      <c r="Y21" s="3114"/>
      <c r="Z21" s="560"/>
      <c r="AA21" s="2751"/>
      <c r="AB21" s="2751"/>
      <c r="AC21" s="2751">
        <v>0</v>
      </c>
      <c r="AD21" s="1992"/>
      <c r="AE21" s="560"/>
      <c r="AF21" s="260">
        <f>ROUND(SUM(E21:AC21),1)</f>
        <v>345.9</v>
      </c>
      <c r="AG21" s="1993"/>
      <c r="AH21" s="561"/>
      <c r="AI21" s="590">
        <v>331.7</v>
      </c>
      <c r="AJ21" s="565"/>
      <c r="AK21" s="585"/>
      <c r="AL21" s="595">
        <f>ROUND(SUM(AF21-AI21),1)</f>
        <v>14.2</v>
      </c>
      <c r="AM21" s="571"/>
      <c r="AN21" s="45">
        <f>ROUND(IF(AI21=0,0,AL21/ABS(AI21)),3)</f>
        <v>4.2999999999999997E-2</v>
      </c>
      <c r="AO21" s="1010"/>
    </row>
    <row r="22" spans="1:46">
      <c r="A22" s="223"/>
      <c r="B22" s="1243" t="s">
        <v>1231</v>
      </c>
      <c r="C22" s="223"/>
      <c r="D22" s="223"/>
      <c r="E22" s="2557">
        <f>+' Exhibit I State'!E22</f>
        <v>12.6</v>
      </c>
      <c r="F22" s="2658"/>
      <c r="G22" s="2557">
        <f>+' Exhibit I State'!G22</f>
        <v>10.7</v>
      </c>
      <c r="H22" s="2658"/>
      <c r="I22" s="2557">
        <f>+' Exhibit I State'!I22</f>
        <v>12.3</v>
      </c>
      <c r="J22" s="2706"/>
      <c r="K22" s="2557">
        <f>+' Exhibit I State'!K22</f>
        <v>12.5</v>
      </c>
      <c r="L22" s="2707"/>
      <c r="M22" s="2557">
        <f>+' Exhibit I State'!M22</f>
        <v>12.3</v>
      </c>
      <c r="N22" s="2707"/>
      <c r="O22" s="2557">
        <f>+' Exhibit I State'!O22</f>
        <v>11.7</v>
      </c>
      <c r="P22" s="560"/>
      <c r="Q22" s="2557">
        <f>+' Exhibit I State'!Q22</f>
        <v>11.3</v>
      </c>
      <c r="R22" s="560"/>
      <c r="S22" s="2557">
        <f>+' Exhibit I State'!S22</f>
        <v>11</v>
      </c>
      <c r="T22" s="560"/>
      <c r="U22" s="2557">
        <f>+' Exhibit I State'!U22</f>
        <v>11.4</v>
      </c>
      <c r="V22" s="560"/>
      <c r="W22" s="2557">
        <f>+' Exhibit I State'!W22</f>
        <v>11.2</v>
      </c>
      <c r="X22" s="560"/>
      <c r="Y22" s="3114"/>
      <c r="Z22" s="560"/>
      <c r="AA22" s="2751"/>
      <c r="AB22" s="2751"/>
      <c r="AC22" s="2751">
        <v>0</v>
      </c>
      <c r="AD22" s="1992"/>
      <c r="AE22" s="560"/>
      <c r="AF22" s="260">
        <f>ROUND(SUM(E22:AC22),1)</f>
        <v>117</v>
      </c>
      <c r="AG22" s="1993"/>
      <c r="AH22" s="561"/>
      <c r="AI22" s="590">
        <v>137.5</v>
      </c>
      <c r="AJ22" s="565"/>
      <c r="AK22" s="585"/>
      <c r="AL22" s="595">
        <f>ROUND(SUM(AF22-AI22),1)</f>
        <v>-20.5</v>
      </c>
      <c r="AM22" s="571"/>
      <c r="AN22" s="45">
        <f>ROUND(IF(AI22=0,0,AL22/ABS(AI22)),3)</f>
        <v>-0.14899999999999999</v>
      </c>
      <c r="AO22" s="1010"/>
    </row>
    <row r="23" spans="1:46" ht="15.75">
      <c r="A23" s="223"/>
      <c r="B23" s="587" t="s">
        <v>1326</v>
      </c>
      <c r="C23" s="223"/>
      <c r="D23" s="223"/>
      <c r="E23" s="2708">
        <f>ROUND(SUM(E20:E22),1)</f>
        <v>43.7</v>
      </c>
      <c r="F23" s="2709"/>
      <c r="G23" s="2708">
        <f>ROUND(SUM(G20:G22),1)</f>
        <v>40.1</v>
      </c>
      <c r="H23" s="2709"/>
      <c r="I23" s="2708">
        <f>ROUND(SUM(I20:I22),1)</f>
        <v>66.3</v>
      </c>
      <c r="J23" s="2709"/>
      <c r="K23" s="2708">
        <f>ROUND(SUM(K20:K22),1)</f>
        <v>49</v>
      </c>
      <c r="L23" s="2707"/>
      <c r="M23" s="2708">
        <f>ROUND(SUM(M20:M22),1)</f>
        <v>51.9</v>
      </c>
      <c r="N23" s="2707"/>
      <c r="O23" s="2708">
        <f>ROUND(SUM(O20:O22),1)</f>
        <v>70.2</v>
      </c>
      <c r="P23" s="560"/>
      <c r="Q23" s="2708">
        <f>ROUND(SUM(Q20:Q22),1)</f>
        <v>46.8</v>
      </c>
      <c r="R23" s="560"/>
      <c r="S23" s="2708">
        <f>ROUND(SUM(S20:S22),1)</f>
        <v>47</v>
      </c>
      <c r="T23" s="560"/>
      <c r="U23" s="2708">
        <f>ROUND(SUM(U20:U22),1)</f>
        <v>67.900000000000006</v>
      </c>
      <c r="V23" s="560"/>
      <c r="W23" s="2941">
        <f>ROUND(SUM(W20:W22),1)</f>
        <v>50.3</v>
      </c>
      <c r="X23" s="560"/>
      <c r="Y23" s="2941">
        <f>ROUND(SUM(Y20:Y22),1)</f>
        <v>0</v>
      </c>
      <c r="Z23" s="560"/>
      <c r="AA23" s="1256">
        <f>ROUND(SUM(AA20:AA22),1)</f>
        <v>0</v>
      </c>
      <c r="AB23" s="314"/>
      <c r="AC23" s="2941">
        <f>ROUND(SUM(AC20:AC22),1)</f>
        <v>0</v>
      </c>
      <c r="AD23" s="1992"/>
      <c r="AE23" s="560"/>
      <c r="AF23" s="482">
        <f>ROUND(SUM(AF20:AF22),1)</f>
        <v>533.20000000000005</v>
      </c>
      <c r="AG23" s="1993"/>
      <c r="AH23" s="561"/>
      <c r="AI23" s="482">
        <f>ROUND(SUM(AI20:AI22),1)</f>
        <v>534.70000000000005</v>
      </c>
      <c r="AJ23" s="565"/>
      <c r="AK23" s="585"/>
      <c r="AL23" s="2147">
        <f>ROUND(SUM(AF23-AI23),1)</f>
        <v>-1.5</v>
      </c>
      <c r="AM23" s="581"/>
      <c r="AN23" s="72">
        <f>ROUND(IF(AI23=0,0,AL23/ABS(AI23)),3)</f>
        <v>-3.0000000000000001E-3</v>
      </c>
      <c r="AO23" s="1010"/>
    </row>
    <row r="24" spans="1:46" ht="15.75">
      <c r="A24" s="223"/>
      <c r="B24" s="1990" t="s">
        <v>1277</v>
      </c>
      <c r="C24" s="223"/>
      <c r="D24" s="223"/>
      <c r="E24" s="2710"/>
      <c r="F24" s="2709"/>
      <c r="G24" s="2710"/>
      <c r="H24" s="2709"/>
      <c r="I24" s="2710"/>
      <c r="J24" s="2709"/>
      <c r="K24" s="2710"/>
      <c r="L24" s="2707"/>
      <c r="M24" s="2710"/>
      <c r="N24" s="2707"/>
      <c r="O24" s="2710"/>
      <c r="P24" s="560"/>
      <c r="Q24" s="2710"/>
      <c r="R24" s="560"/>
      <c r="S24" s="2710"/>
      <c r="T24" s="560"/>
      <c r="U24" s="2710"/>
      <c r="V24" s="560"/>
      <c r="W24" s="314"/>
      <c r="X24" s="560"/>
      <c r="Y24" s="314"/>
      <c r="Z24" s="560"/>
      <c r="AA24" s="314"/>
      <c r="AB24" s="314"/>
      <c r="AC24" s="314"/>
      <c r="AD24" s="1992"/>
      <c r="AE24" s="560"/>
      <c r="AF24" s="272"/>
      <c r="AG24" s="1993"/>
      <c r="AH24" s="561"/>
      <c r="AI24" s="272"/>
      <c r="AJ24" s="565"/>
      <c r="AK24" s="585"/>
      <c r="AL24" s="1996"/>
      <c r="AM24" s="581"/>
      <c r="AN24" s="114"/>
      <c r="AO24" s="1010"/>
    </row>
    <row r="25" spans="1:46" ht="15.75">
      <c r="A25" s="223"/>
      <c r="B25" s="1243" t="s">
        <v>1234</v>
      </c>
      <c r="C25" s="223"/>
      <c r="D25" s="223"/>
      <c r="E25" s="2557">
        <f>+' Exhibit I State'!E25</f>
        <v>0</v>
      </c>
      <c r="F25" s="2709"/>
      <c r="G25" s="2557">
        <f>+' Exhibit I State'!G25</f>
        <v>0</v>
      </c>
      <c r="H25" s="2709"/>
      <c r="I25" s="2557">
        <f>+' Exhibit I State'!I25</f>
        <v>0</v>
      </c>
      <c r="J25" s="2709"/>
      <c r="K25" s="2557">
        <f>+' Exhibit I State'!K25</f>
        <v>0</v>
      </c>
      <c r="L25" s="2707"/>
      <c r="M25" s="2557">
        <f>+' Exhibit I State'!M25</f>
        <v>0</v>
      </c>
      <c r="N25" s="2707"/>
      <c r="O25" s="2557">
        <f>+' Exhibit I State'!O25</f>
        <v>0</v>
      </c>
      <c r="P25" s="560"/>
      <c r="Q25" s="2557">
        <f>+' Exhibit I State'!Q25</f>
        <v>0</v>
      </c>
      <c r="R25" s="560"/>
      <c r="S25" s="2557">
        <f>+' Exhibit I State'!S25</f>
        <v>0</v>
      </c>
      <c r="T25" s="560"/>
      <c r="U25" s="2557">
        <f>+' Exhibit I State'!U25</f>
        <v>0</v>
      </c>
      <c r="V25" s="560"/>
      <c r="W25" s="2557">
        <f>+' Exhibit I State'!W25</f>
        <v>0</v>
      </c>
      <c r="X25" s="560"/>
      <c r="Y25" s="3114"/>
      <c r="Z25" s="560"/>
      <c r="AA25" s="2751"/>
      <c r="AB25" s="2751"/>
      <c r="AC25" s="2751">
        <v>0</v>
      </c>
      <c r="AD25" s="1992"/>
      <c r="AE25" s="560"/>
      <c r="AF25" s="1823">
        <v>0</v>
      </c>
      <c r="AG25" s="1993"/>
      <c r="AH25" s="561"/>
      <c r="AI25" s="590">
        <v>0</v>
      </c>
      <c r="AJ25" s="565"/>
      <c r="AK25" s="585"/>
      <c r="AL25" s="595">
        <f>ROUND(SUM(AF25-AI25),1)</f>
        <v>0</v>
      </c>
      <c r="AM25" s="571"/>
      <c r="AN25" s="2705">
        <f>ROUND(IF(AI25=0,0,AL25/ABS(AI25)),3)</f>
        <v>0</v>
      </c>
      <c r="AO25" s="1010"/>
      <c r="AP25" s="556"/>
      <c r="AQ25" s="556"/>
      <c r="AR25" s="556"/>
      <c r="AS25" s="556"/>
      <c r="AT25" s="556"/>
    </row>
    <row r="26" spans="1:46" ht="15.75">
      <c r="A26" s="223"/>
      <c r="B26" s="1243" t="s">
        <v>1235</v>
      </c>
      <c r="C26" s="223"/>
      <c r="D26" s="223"/>
      <c r="E26" s="2557">
        <f>+' Exhibit I State'!E26</f>
        <v>0.8</v>
      </c>
      <c r="F26" s="2658"/>
      <c r="G26" s="2557">
        <f>+' Exhibit I State'!G26</f>
        <v>0</v>
      </c>
      <c r="H26" s="2658"/>
      <c r="I26" s="2557">
        <f>+' Exhibit I State'!I26</f>
        <v>2.1</v>
      </c>
      <c r="J26" s="2709"/>
      <c r="K26" s="2557">
        <f>+' Exhibit I State'!K26</f>
        <v>0.1</v>
      </c>
      <c r="L26" s="2707"/>
      <c r="M26" s="2557">
        <f>+' Exhibit I State'!M26</f>
        <v>0</v>
      </c>
      <c r="N26" s="2707"/>
      <c r="O26" s="2557">
        <f>+' Exhibit I State'!O26</f>
        <v>2.5</v>
      </c>
      <c r="P26" s="560"/>
      <c r="Q26" s="2557">
        <f>+' Exhibit I State'!Q26</f>
        <v>0</v>
      </c>
      <c r="R26" s="560"/>
      <c r="S26" s="2557">
        <f>+' Exhibit I State'!S26</f>
        <v>-0.1</v>
      </c>
      <c r="T26" s="560"/>
      <c r="U26" s="2557">
        <f>+' Exhibit I State'!U26</f>
        <v>2.5</v>
      </c>
      <c r="V26" s="560"/>
      <c r="W26" s="2557">
        <f>+' Exhibit I State'!W26</f>
        <v>4.2</v>
      </c>
      <c r="X26" s="560"/>
      <c r="Y26" s="3114"/>
      <c r="Z26" s="560"/>
      <c r="AA26" s="2751"/>
      <c r="AB26" s="2751"/>
      <c r="AC26" s="2751">
        <v>0</v>
      </c>
      <c r="AD26" s="1992"/>
      <c r="AE26" s="560"/>
      <c r="AF26" s="260">
        <f>ROUND(SUM(E26:AC26),1)</f>
        <v>12.1</v>
      </c>
      <c r="AG26" s="1993"/>
      <c r="AH26" s="561"/>
      <c r="AI26" s="590">
        <v>8.4</v>
      </c>
      <c r="AJ26" s="565"/>
      <c r="AK26" s="585"/>
      <c r="AL26" s="595">
        <f>ROUND(SUM(AF26-AI26),1)</f>
        <v>3.7</v>
      </c>
      <c r="AM26" s="571"/>
      <c r="AN26" s="2679">
        <f>ROUND(IF(AI26=0,1,AL26/ABS(AI26)),3)</f>
        <v>0.44</v>
      </c>
      <c r="AO26" s="1010"/>
      <c r="AP26" s="556"/>
      <c r="AQ26" s="556"/>
      <c r="AR26" s="556"/>
      <c r="AS26" s="556"/>
      <c r="AT26" s="556"/>
    </row>
    <row r="27" spans="1:46" ht="15.75">
      <c r="A27" s="223"/>
      <c r="B27" s="1243" t="s">
        <v>1238</v>
      </c>
      <c r="C27" s="223"/>
      <c r="D27" s="223"/>
      <c r="E27" s="2557">
        <f>+' Exhibit I State'!E27</f>
        <v>48.2</v>
      </c>
      <c r="F27" s="2658"/>
      <c r="G27" s="2557">
        <f>+' Exhibit I State'!G27</f>
        <v>43.2</v>
      </c>
      <c r="H27" s="2658"/>
      <c r="I27" s="2557">
        <f>+' Exhibit I State'!I27</f>
        <v>52.1</v>
      </c>
      <c r="J27" s="2709"/>
      <c r="K27" s="2557">
        <f>+' Exhibit I State'!K27</f>
        <v>66.2</v>
      </c>
      <c r="L27" s="2707"/>
      <c r="M27" s="2557">
        <f>+' Exhibit I State'!M27</f>
        <v>51.6</v>
      </c>
      <c r="N27" s="2707"/>
      <c r="O27" s="2557">
        <f>+' Exhibit I State'!O27</f>
        <v>55</v>
      </c>
      <c r="P27" s="560"/>
      <c r="Q27" s="2557">
        <f>+' Exhibit I State'!Q27</f>
        <v>54.9</v>
      </c>
      <c r="R27" s="560"/>
      <c r="S27" s="2557">
        <f>+' Exhibit I State'!S27</f>
        <v>52.1</v>
      </c>
      <c r="T27" s="560"/>
      <c r="U27" s="2557">
        <f>+' Exhibit I State'!U27</f>
        <v>55.9</v>
      </c>
      <c r="V27" s="560"/>
      <c r="W27" s="2557">
        <f>+' Exhibit I State'!W27</f>
        <v>49.7</v>
      </c>
      <c r="X27" s="560"/>
      <c r="Y27" s="3114"/>
      <c r="Z27" s="560"/>
      <c r="AA27" s="2751"/>
      <c r="AB27" s="2751"/>
      <c r="AC27" s="2751">
        <v>0</v>
      </c>
      <c r="AD27" s="1992"/>
      <c r="AE27" s="560"/>
      <c r="AF27" s="260">
        <f>ROUND(SUM(E27:AC27),1)</f>
        <v>528.9</v>
      </c>
      <c r="AG27" s="1993"/>
      <c r="AH27" s="561"/>
      <c r="AI27" s="590">
        <v>527.4</v>
      </c>
      <c r="AJ27" s="565"/>
      <c r="AK27" s="585"/>
      <c r="AL27" s="595">
        <f>ROUND(SUM(AF27-AI27),1)</f>
        <v>1.5</v>
      </c>
      <c r="AM27" s="571"/>
      <c r="AN27" s="2664">
        <f>ROUND(IF(AI27=0,0,AL27/ABS(AI27)),3)</f>
        <v>3.0000000000000001E-3</v>
      </c>
      <c r="AO27" s="1010"/>
      <c r="AP27" s="556"/>
      <c r="AQ27" s="556"/>
      <c r="AR27" s="556"/>
      <c r="AS27" s="556"/>
      <c r="AT27" s="556"/>
    </row>
    <row r="28" spans="1:46" ht="15.75">
      <c r="A28" s="223"/>
      <c r="B28" s="587" t="s">
        <v>1327</v>
      </c>
      <c r="C28" s="223"/>
      <c r="D28" s="223"/>
      <c r="E28" s="2708">
        <f>ROUND(SUM(E25:E27),1)</f>
        <v>49</v>
      </c>
      <c r="F28" s="2658"/>
      <c r="G28" s="2708">
        <f>ROUND(SUM(G25:G27),1)</f>
        <v>43.2</v>
      </c>
      <c r="H28" s="2658"/>
      <c r="I28" s="2708">
        <f>ROUND(SUM(I25:I27),1)</f>
        <v>54.2</v>
      </c>
      <c r="J28" s="2709"/>
      <c r="K28" s="2708">
        <f>ROUND(SUM(K25:K27),1)</f>
        <v>66.3</v>
      </c>
      <c r="L28" s="2707"/>
      <c r="M28" s="2708">
        <f>ROUND(SUM(M25:M27),1)</f>
        <v>51.6</v>
      </c>
      <c r="N28" s="2707"/>
      <c r="O28" s="2708">
        <f>ROUND(SUM(O25:O27),1)</f>
        <v>57.5</v>
      </c>
      <c r="P28" s="560"/>
      <c r="Q28" s="2708">
        <f>ROUND(SUM(Q25:Q27),1)</f>
        <v>54.9</v>
      </c>
      <c r="R28" s="560"/>
      <c r="S28" s="2708">
        <f>ROUND(SUM(S25:S27),1)</f>
        <v>52</v>
      </c>
      <c r="T28" s="560"/>
      <c r="U28" s="2708">
        <f>ROUND(SUM(U25:U27),1)</f>
        <v>58.4</v>
      </c>
      <c r="V28" s="560"/>
      <c r="W28" s="2941">
        <f>ROUND(SUM(W25:W27),1)</f>
        <v>53.9</v>
      </c>
      <c r="X28" s="560"/>
      <c r="Y28" s="2941">
        <f>ROUND(SUM(Y25:Y27),1)</f>
        <v>0</v>
      </c>
      <c r="Z28" s="560"/>
      <c r="AA28" s="1256">
        <f>ROUND(SUM(AA25:AA27),1)</f>
        <v>0</v>
      </c>
      <c r="AB28" s="314"/>
      <c r="AC28" s="2941">
        <f>ROUND(SUM(AC25:AC27),1)</f>
        <v>0</v>
      </c>
      <c r="AD28" s="1992"/>
      <c r="AE28" s="560"/>
      <c r="AF28" s="1256">
        <f>ROUND(SUM(AF25:AF27),1)</f>
        <v>541</v>
      </c>
      <c r="AG28" s="1993"/>
      <c r="AH28" s="561"/>
      <c r="AI28" s="1256">
        <f>ROUND(SUM(AI25:AI27),1)</f>
        <v>535.79999999999995</v>
      </c>
      <c r="AJ28" s="565"/>
      <c r="AK28" s="585"/>
      <c r="AL28" s="1256">
        <f>ROUND(SUM(AL25:AL27),1)</f>
        <v>5.2</v>
      </c>
      <c r="AM28" s="571"/>
      <c r="AN28" s="2702">
        <f>ROUND(IF(AI28=0,0,AL28/ABS(AI28)),3)</f>
        <v>0.01</v>
      </c>
      <c r="AO28" s="1010"/>
      <c r="AP28" s="556"/>
      <c r="AQ28" s="556"/>
      <c r="AR28" s="556"/>
      <c r="AS28" s="556"/>
      <c r="AT28" s="556"/>
    </row>
    <row r="29" spans="1:46" ht="15.75">
      <c r="A29" s="223"/>
      <c r="B29" s="1990" t="s">
        <v>1278</v>
      </c>
      <c r="C29" s="223"/>
      <c r="D29" s="223"/>
      <c r="E29" s="2711"/>
      <c r="F29" s="2711"/>
      <c r="G29" s="2711"/>
      <c r="H29" s="2711"/>
      <c r="I29" s="2711"/>
      <c r="J29" s="2711"/>
      <c r="K29" s="2711"/>
      <c r="L29" s="2711"/>
      <c r="M29" s="2711"/>
      <c r="N29" s="2711"/>
      <c r="O29" s="2711"/>
      <c r="P29" s="366"/>
      <c r="Q29" s="2711"/>
      <c r="R29" s="366"/>
      <c r="S29" s="2711"/>
      <c r="T29" s="366"/>
      <c r="U29" s="2711"/>
      <c r="V29" s="366"/>
      <c r="W29" s="366"/>
      <c r="X29" s="366"/>
      <c r="Y29" s="366"/>
      <c r="Z29" s="366"/>
      <c r="AA29" s="366"/>
      <c r="AB29" s="366"/>
      <c r="AC29" s="366"/>
      <c r="AD29" s="366"/>
      <c r="AE29" s="471"/>
      <c r="AF29" s="366"/>
      <c r="AG29" s="2010"/>
      <c r="AH29" s="252"/>
      <c r="AI29" s="366"/>
      <c r="AJ29" s="366"/>
      <c r="AK29" s="643"/>
      <c r="AL29" s="644"/>
      <c r="AM29" s="644"/>
      <c r="AN29" s="2712"/>
    </row>
    <row r="30" spans="1:46" ht="15.75">
      <c r="A30" s="223"/>
      <c r="B30" s="1243" t="s">
        <v>1244</v>
      </c>
      <c r="C30" s="223"/>
      <c r="D30" s="223"/>
      <c r="E30" s="2557">
        <f>+' Exhibit I State'!E30</f>
        <v>0</v>
      </c>
      <c r="F30" s="2658"/>
      <c r="G30" s="2557">
        <f>+' Exhibit I State'!G30</f>
        <v>0</v>
      </c>
      <c r="H30" s="2658"/>
      <c r="I30" s="2557">
        <f>+' Exhibit I State'!I30</f>
        <v>11.9</v>
      </c>
      <c r="J30" s="2709"/>
      <c r="K30" s="2557">
        <f>+' Exhibit I State'!K30</f>
        <v>11.9</v>
      </c>
      <c r="L30" s="2707"/>
      <c r="M30" s="2557">
        <f>+' Exhibit I State'!M30</f>
        <v>11.9</v>
      </c>
      <c r="N30" s="2707"/>
      <c r="O30" s="2557">
        <f>+' Exhibit I State'!O30</f>
        <v>11.9</v>
      </c>
      <c r="P30" s="560"/>
      <c r="Q30" s="2557">
        <f>+' Exhibit I State'!Q30</f>
        <v>11.9</v>
      </c>
      <c r="R30" s="560"/>
      <c r="S30" s="2557">
        <f>+' Exhibit I State'!S30</f>
        <v>12</v>
      </c>
      <c r="T30" s="560"/>
      <c r="U30" s="2557">
        <f>+' Exhibit I State'!U30</f>
        <v>11.9</v>
      </c>
      <c r="V30" s="560"/>
      <c r="W30" s="2557">
        <f>+' Exhibit I State'!W30</f>
        <v>11.9</v>
      </c>
      <c r="X30" s="560"/>
      <c r="Y30" s="3114"/>
      <c r="Z30" s="560"/>
      <c r="AA30" s="2751"/>
      <c r="AB30" s="2751"/>
      <c r="AC30" s="2751">
        <v>0</v>
      </c>
      <c r="AD30" s="1992"/>
      <c r="AE30" s="560"/>
      <c r="AF30" s="260">
        <f>ROUND(SUM(E30:AC30),1)</f>
        <v>95.3</v>
      </c>
      <c r="AG30" s="1993"/>
      <c r="AH30" s="561"/>
      <c r="AI30" s="590">
        <v>95.3</v>
      </c>
      <c r="AJ30" s="565"/>
      <c r="AK30" s="585"/>
      <c r="AL30" s="595">
        <f>ROUND(SUM(AF30-AI30),1)</f>
        <v>0</v>
      </c>
      <c r="AM30" s="571"/>
      <c r="AN30" s="2664">
        <f>ROUND(IF(AI30=0,0,AL30/ABS(AI30)),3)</f>
        <v>0</v>
      </c>
      <c r="AO30" s="1010"/>
      <c r="AP30" s="556"/>
      <c r="AQ30" s="556"/>
      <c r="AR30" s="556"/>
    </row>
    <row r="31" spans="1:46" ht="15.75">
      <c r="A31" s="223"/>
      <c r="B31" s="587" t="s">
        <v>1328</v>
      </c>
      <c r="C31" s="223"/>
      <c r="D31" s="223"/>
      <c r="E31" s="255">
        <f>ROUND(SUM(E30:E30),1)</f>
        <v>0</v>
      </c>
      <c r="F31" s="1802"/>
      <c r="G31" s="255">
        <f>ROUND(SUM(G30:G30),1)</f>
        <v>0</v>
      </c>
      <c r="H31" s="1802"/>
      <c r="I31" s="255">
        <f>ROUND(SUM(I30:I30),1)</f>
        <v>11.9</v>
      </c>
      <c r="J31" s="1802"/>
      <c r="K31" s="255">
        <f>ROUND(SUM(K30:K30),1)</f>
        <v>11.9</v>
      </c>
      <c r="L31" s="560"/>
      <c r="M31" s="255">
        <f>ROUND(SUM(M30:M30),1)</f>
        <v>11.9</v>
      </c>
      <c r="N31" s="560"/>
      <c r="O31" s="255">
        <f>ROUND(SUM(O30:O30),1)</f>
        <v>11.9</v>
      </c>
      <c r="P31" s="560"/>
      <c r="Q31" s="255">
        <f>ROUND(SUM(Q30:Q30),1)</f>
        <v>11.9</v>
      </c>
      <c r="R31" s="560"/>
      <c r="S31" s="255">
        <f>ROUND(SUM(S30:S30),1)</f>
        <v>12</v>
      </c>
      <c r="T31" s="560"/>
      <c r="U31" s="255">
        <f>ROUND(SUM(U30:U30),1)</f>
        <v>11.9</v>
      </c>
      <c r="V31" s="560"/>
      <c r="W31" s="255">
        <f>ROUND(SUM(W30:W30),1)</f>
        <v>11.9</v>
      </c>
      <c r="X31" s="560"/>
      <c r="Y31" s="255">
        <f>ROUND(SUM(Y30:Y30),1)</f>
        <v>0</v>
      </c>
      <c r="Z31" s="560"/>
      <c r="AA31" s="255">
        <f>ROUND(SUM(AA30:AA30),1)</f>
        <v>0</v>
      </c>
      <c r="AB31" s="2926"/>
      <c r="AC31" s="255">
        <f>ROUND(SUM(AC30:AC30),1)</f>
        <v>0</v>
      </c>
      <c r="AD31" s="1992"/>
      <c r="AE31" s="560"/>
      <c r="AF31" s="255">
        <f>ROUND(SUM(AF30:AF30),1)</f>
        <v>95.3</v>
      </c>
      <c r="AG31" s="1993"/>
      <c r="AH31" s="561"/>
      <c r="AI31" s="255">
        <f>ROUND(SUM(AI30:AI30),1)</f>
        <v>95.3</v>
      </c>
      <c r="AJ31" s="565"/>
      <c r="AK31" s="585"/>
      <c r="AL31" s="2147">
        <f>ROUND(SUM(AF31-AI31),1)</f>
        <v>0</v>
      </c>
      <c r="AM31" s="581"/>
      <c r="AN31" s="2683">
        <f>ROUND(IF(AI31=0,0,AL31/ABS(AI31)),3)</f>
        <v>0</v>
      </c>
      <c r="AO31" s="1010"/>
      <c r="AP31" s="556"/>
      <c r="AQ31" s="556"/>
      <c r="AR31" s="556"/>
    </row>
    <row r="32" spans="1:46" ht="15.75">
      <c r="A32" s="223"/>
      <c r="B32" s="587"/>
      <c r="C32" s="223"/>
      <c r="D32" s="223"/>
      <c r="E32" s="482"/>
      <c r="F32" s="1802"/>
      <c r="G32" s="482"/>
      <c r="H32" s="1802"/>
      <c r="I32" s="482"/>
      <c r="J32" s="1802"/>
      <c r="K32" s="482"/>
      <c r="L32" s="560"/>
      <c r="M32" s="482"/>
      <c r="N32" s="560"/>
      <c r="O32" s="2941"/>
      <c r="P32" s="560"/>
      <c r="Q32" s="2941"/>
      <c r="R32" s="560"/>
      <c r="S32" s="2941"/>
      <c r="T32" s="560"/>
      <c r="U32" s="2941"/>
      <c r="V32" s="560"/>
      <c r="W32" s="2941"/>
      <c r="X32" s="560"/>
      <c r="Y32" s="2941"/>
      <c r="Z32" s="560"/>
      <c r="AA32" s="1256"/>
      <c r="AB32" s="314"/>
      <c r="AC32" s="2941"/>
      <c r="AD32" s="1992"/>
      <c r="AE32" s="560"/>
      <c r="AF32" s="482"/>
      <c r="AG32" s="1993"/>
      <c r="AH32" s="561"/>
      <c r="AI32" s="561"/>
      <c r="AJ32" s="565"/>
      <c r="AK32" s="585"/>
      <c r="AL32" s="586"/>
      <c r="AM32" s="571"/>
      <c r="AN32" s="2701"/>
      <c r="AO32" s="1010"/>
      <c r="AP32" s="556"/>
      <c r="AQ32" s="556"/>
      <c r="AR32" s="556"/>
    </row>
    <row r="33" spans="1:44" ht="15.75">
      <c r="A33" s="223"/>
      <c r="B33" s="587" t="s">
        <v>1240</v>
      </c>
      <c r="C33" s="223"/>
      <c r="D33" s="223"/>
      <c r="E33" s="1994">
        <f>ROUND(SUM(E11+E28+E23+E31),1)</f>
        <v>92.7</v>
      </c>
      <c r="F33" s="260"/>
      <c r="G33" s="1994">
        <f>ROUND(SUM(G11+G28+G23+G31),1)</f>
        <v>83.3</v>
      </c>
      <c r="H33" s="260"/>
      <c r="I33" s="1994">
        <f>ROUND(SUM(I11+I28+I23+I31),1)</f>
        <v>132.4</v>
      </c>
      <c r="J33" s="260"/>
      <c r="K33" s="1994">
        <f>ROUND(SUM(K11+K28+K23+K31),1)</f>
        <v>127.2</v>
      </c>
      <c r="L33" s="560"/>
      <c r="M33" s="1994">
        <f>ROUND(SUM(M11+M28+M23+M31),1)</f>
        <v>115.4</v>
      </c>
      <c r="N33" s="560"/>
      <c r="O33" s="1994">
        <f>ROUND(SUM(O11+O28+O23+O31),1)</f>
        <v>139.6</v>
      </c>
      <c r="P33" s="560"/>
      <c r="Q33" s="1994">
        <f>ROUND(SUM(Q11+Q28+Q23+Q31),1)</f>
        <v>113.6</v>
      </c>
      <c r="R33" s="560"/>
      <c r="S33" s="1994">
        <f>ROUND(SUM(S11+S28+S23+S31),1)</f>
        <v>111</v>
      </c>
      <c r="T33" s="560"/>
      <c r="U33" s="1994">
        <f>ROUND(SUM(U11+U28+U23+U31),1)</f>
        <v>138.19999999999999</v>
      </c>
      <c r="V33" s="560"/>
      <c r="W33" s="1994">
        <f>ROUND(SUM(W11+W28+W23+W31),1)</f>
        <v>116.1</v>
      </c>
      <c r="X33" s="560"/>
      <c r="Y33" s="1994">
        <f>ROUND(SUM(Y11+Y28+Y23+Y31),1)</f>
        <v>0</v>
      </c>
      <c r="Z33" s="560"/>
      <c r="AA33" s="1994">
        <f>ROUND(SUM(AA11+AA28+AA23+AA31),1)</f>
        <v>0</v>
      </c>
      <c r="AB33" s="1997"/>
      <c r="AC33" s="1994">
        <f>ROUND(SUM(+AC28+AC23+AC31),1)</f>
        <v>0</v>
      </c>
      <c r="AD33" s="1992"/>
      <c r="AE33" s="560"/>
      <c r="AF33" s="1994">
        <f>ROUND(SUM(AF11+AF28+AF23+AF31),1)</f>
        <v>1169.5</v>
      </c>
      <c r="AG33" s="1993"/>
      <c r="AH33" s="561"/>
      <c r="AI33" s="1994">
        <f>ROUND(SUM(AI11+AI28+AI23+AI31),1)</f>
        <v>1165.8</v>
      </c>
      <c r="AJ33" s="565"/>
      <c r="AK33" s="585"/>
      <c r="AL33" s="2147">
        <f>ROUND(SUM(AF33-AI33),1)</f>
        <v>3.7</v>
      </c>
      <c r="AM33" s="581"/>
      <c r="AN33" s="2683">
        <f>ROUND(IF(AI33=0,0,AL33/ABS(AI33)),3)</f>
        <v>3.0000000000000001E-3</v>
      </c>
      <c r="AO33" s="1010"/>
      <c r="AP33" s="556"/>
      <c r="AQ33" s="556"/>
      <c r="AR33" s="556"/>
    </row>
    <row r="34" spans="1:44" ht="15.75">
      <c r="A34" s="223"/>
      <c r="B34" s="587"/>
      <c r="C34" s="223"/>
      <c r="D34" s="223"/>
      <c r="E34" s="1997"/>
      <c r="F34" s="260"/>
      <c r="G34" s="1997"/>
      <c r="H34" s="260"/>
      <c r="I34" s="1997"/>
      <c r="J34" s="260"/>
      <c r="K34" s="1997"/>
      <c r="L34" s="560"/>
      <c r="M34" s="1997"/>
      <c r="N34" s="560"/>
      <c r="O34" s="1997"/>
      <c r="P34" s="560"/>
      <c r="Q34" s="1997"/>
      <c r="R34" s="560"/>
      <c r="S34" s="1997"/>
      <c r="T34" s="560"/>
      <c r="U34" s="1997"/>
      <c r="V34" s="560"/>
      <c r="W34" s="1997"/>
      <c r="X34" s="560"/>
      <c r="Y34" s="1997"/>
      <c r="Z34" s="560"/>
      <c r="AA34" s="1997"/>
      <c r="AB34" s="1997"/>
      <c r="AC34" s="1997"/>
      <c r="AD34" s="2581"/>
      <c r="AE34" s="560"/>
      <c r="AF34" s="1997"/>
      <c r="AG34" s="1993"/>
      <c r="AH34" s="561"/>
      <c r="AI34" s="1997"/>
      <c r="AJ34" s="565"/>
      <c r="AK34" s="585"/>
      <c r="AL34" s="1996"/>
      <c r="AM34" s="581"/>
      <c r="AN34" s="2669"/>
      <c r="AO34" s="1010"/>
      <c r="AP34" s="556"/>
      <c r="AQ34" s="556"/>
      <c r="AR34" s="556"/>
    </row>
    <row r="35" spans="1:44" ht="15.75">
      <c r="A35" s="223"/>
      <c r="B35" s="488" t="s">
        <v>1157</v>
      </c>
      <c r="C35" s="223"/>
      <c r="D35" s="223"/>
      <c r="E35" s="371"/>
      <c r="F35" s="260"/>
      <c r="G35" s="371"/>
      <c r="H35" s="260"/>
      <c r="I35" s="371"/>
      <c r="J35" s="260"/>
      <c r="K35" s="371"/>
      <c r="L35" s="260"/>
      <c r="M35" s="515"/>
      <c r="N35" s="260"/>
      <c r="O35" s="515"/>
      <c r="P35" s="260"/>
      <c r="Q35" s="515"/>
      <c r="R35" s="260"/>
      <c r="S35" s="515"/>
      <c r="T35" s="260"/>
      <c r="U35" s="515"/>
      <c r="V35" s="260"/>
      <c r="W35" s="678"/>
      <c r="X35" s="260"/>
      <c r="Y35" s="678"/>
      <c r="Z35" s="260"/>
      <c r="AA35" s="515"/>
      <c r="AB35" s="515"/>
      <c r="AC35" s="515"/>
      <c r="AD35" s="260"/>
      <c r="AE35" s="249"/>
      <c r="AF35" s="515"/>
      <c r="AG35" s="1896"/>
      <c r="AH35" s="254"/>
      <c r="AI35" s="650"/>
      <c r="AJ35" s="273"/>
      <c r="AK35" s="653"/>
      <c r="AL35" s="250"/>
      <c r="AM35" s="651"/>
      <c r="AN35" s="2664"/>
      <c r="AO35" s="644"/>
    </row>
    <row r="36" spans="1:44" ht="15.75">
      <c r="A36" s="223"/>
      <c r="B36" s="1748" t="s">
        <v>1269</v>
      </c>
      <c r="C36" s="223"/>
      <c r="D36" s="223"/>
      <c r="E36" s="371"/>
      <c r="F36" s="260"/>
      <c r="G36" s="371"/>
      <c r="H36" s="260"/>
      <c r="I36" s="371"/>
      <c r="J36" s="260"/>
      <c r="K36" s="371"/>
      <c r="L36" s="260"/>
      <c r="M36" s="515"/>
      <c r="N36" s="260"/>
      <c r="O36" s="515"/>
      <c r="P36" s="260"/>
      <c r="Q36" s="515"/>
      <c r="R36" s="260"/>
      <c r="S36" s="515"/>
      <c r="T36" s="260"/>
      <c r="U36" s="515"/>
      <c r="V36" s="260"/>
      <c r="W36" s="678"/>
      <c r="X36" s="260"/>
      <c r="Y36" s="678"/>
      <c r="Z36" s="260"/>
      <c r="AA36" s="515"/>
      <c r="AB36" s="515"/>
      <c r="AC36" s="515"/>
      <c r="AD36" s="260"/>
      <c r="AE36" s="249"/>
      <c r="AF36" s="515"/>
      <c r="AG36" s="1896"/>
      <c r="AH36" s="254"/>
      <c r="AI36" s="650"/>
      <c r="AJ36" s="273"/>
      <c r="AK36" s="653"/>
      <c r="AL36" s="250"/>
      <c r="AM36" s="651"/>
      <c r="AN36" s="2664"/>
      <c r="AO36" s="644"/>
    </row>
    <row r="37" spans="1:44" ht="15.75">
      <c r="A37" s="223"/>
      <c r="B37" s="1748" t="s">
        <v>1175</v>
      </c>
      <c r="C37" s="223"/>
      <c r="D37" s="223"/>
      <c r="E37" s="371">
        <f>+' Exhibit I State'!E37+'Exhibit I Federal'!E20</f>
        <v>0</v>
      </c>
      <c r="F37" s="260"/>
      <c r="G37" s="371">
        <f>+' Exhibit I State'!G37+'Exhibit I Federal'!G20</f>
        <v>0</v>
      </c>
      <c r="H37" s="260"/>
      <c r="I37" s="371">
        <f>+' Exhibit I State'!I37+'Exhibit I Federal'!I20</f>
        <v>23</v>
      </c>
      <c r="J37" s="260"/>
      <c r="K37" s="371">
        <f>+' Exhibit I State'!K37+'Exhibit I Federal'!K20</f>
        <v>0</v>
      </c>
      <c r="L37" s="260"/>
      <c r="M37" s="371">
        <f>+' Exhibit I State'!M37+'Exhibit I Federal'!M20</f>
        <v>0</v>
      </c>
      <c r="N37" s="260"/>
      <c r="O37" s="371">
        <f>+' Exhibit I State'!O37+'Exhibit I Federal'!O20</f>
        <v>0</v>
      </c>
      <c r="P37" s="260"/>
      <c r="Q37" s="371">
        <f>+' Exhibit I State'!Q37+'Exhibit I Federal'!Q20</f>
        <v>0</v>
      </c>
      <c r="R37" s="260"/>
      <c r="S37" s="371">
        <f>+' Exhibit I State'!S37+'Exhibit I Federal'!S20</f>
        <v>0</v>
      </c>
      <c r="T37" s="260"/>
      <c r="U37" s="371">
        <f>+' Exhibit I State'!U37+'Exhibit I Federal'!U20</f>
        <v>0</v>
      </c>
      <c r="V37" s="260"/>
      <c r="W37" s="371">
        <f>+' Exhibit I State'!W37+'Exhibit I Federal'!W20</f>
        <v>0</v>
      </c>
      <c r="X37" s="260"/>
      <c r="Y37" s="1107"/>
      <c r="Z37" s="260"/>
      <c r="AA37" s="1107"/>
      <c r="AB37" s="1107"/>
      <c r="AC37" s="1107">
        <v>0</v>
      </c>
      <c r="AD37" s="260"/>
      <c r="AE37" s="249"/>
      <c r="AF37" s="515">
        <f>ROUND(SUM(E37:AC37),1)</f>
        <v>23</v>
      </c>
      <c r="AG37" s="1896"/>
      <c r="AH37" s="254"/>
      <c r="AI37" s="2113">
        <v>23</v>
      </c>
      <c r="AJ37" s="273"/>
      <c r="AK37" s="653"/>
      <c r="AL37" s="250">
        <f t="shared" ref="AL37:AL60" si="0">ROUND(SUM(+AF37-AI37),1)</f>
        <v>0</v>
      </c>
      <c r="AM37" s="651"/>
      <c r="AN37" s="2664">
        <f>ROUND(IF(AI37=0,0,AL37/ABS(AI37)),3)</f>
        <v>0</v>
      </c>
      <c r="AO37" s="644"/>
    </row>
    <row r="38" spans="1:44" ht="15.75">
      <c r="A38" s="223"/>
      <c r="B38" s="1748" t="s">
        <v>1270</v>
      </c>
      <c r="C38" s="223"/>
      <c r="D38" s="223"/>
      <c r="E38" s="371"/>
      <c r="F38" s="260"/>
      <c r="G38" s="371"/>
      <c r="H38" s="260"/>
      <c r="I38" s="371"/>
      <c r="J38" s="260"/>
      <c r="K38" s="371"/>
      <c r="L38" s="260"/>
      <c r="M38" s="371"/>
      <c r="N38" s="260"/>
      <c r="O38" s="371"/>
      <c r="P38" s="260"/>
      <c r="Q38" s="371"/>
      <c r="R38" s="260"/>
      <c r="S38" s="371"/>
      <c r="T38" s="260"/>
      <c r="U38" s="371"/>
      <c r="V38" s="260"/>
      <c r="W38" s="371"/>
      <c r="X38" s="260"/>
      <c r="Y38" s="1107"/>
      <c r="Z38" s="260"/>
      <c r="AA38" s="1107"/>
      <c r="AB38" s="1107"/>
      <c r="AC38" s="1107"/>
      <c r="AD38" s="260"/>
      <c r="AE38" s="249"/>
      <c r="AF38" s="515"/>
      <c r="AG38" s="1896"/>
      <c r="AH38" s="254"/>
      <c r="AI38" s="2113"/>
      <c r="AJ38" s="273"/>
      <c r="AK38" s="653"/>
      <c r="AL38" s="250"/>
      <c r="AM38" s="651"/>
      <c r="AN38" s="2664"/>
      <c r="AO38" s="644"/>
    </row>
    <row r="39" spans="1:44" ht="15.75">
      <c r="A39" s="223"/>
      <c r="B39" s="1748" t="s">
        <v>1176</v>
      </c>
      <c r="C39" s="223"/>
      <c r="D39" s="223"/>
      <c r="E39" s="371">
        <f>+' Exhibit I State'!E39+'Exhibit I Federal'!E22</f>
        <v>9.4</v>
      </c>
      <c r="F39" s="260"/>
      <c r="G39" s="371">
        <f>+' Exhibit I State'!G39+'Exhibit I Federal'!G22</f>
        <v>8.6999999999999993</v>
      </c>
      <c r="H39" s="260"/>
      <c r="I39" s="371">
        <f>+' Exhibit I State'!I39+'Exhibit I Federal'!I22</f>
        <v>10.3</v>
      </c>
      <c r="J39" s="260"/>
      <c r="K39" s="371">
        <f>+' Exhibit I State'!K39+'Exhibit I Federal'!K22</f>
        <v>11.1</v>
      </c>
      <c r="L39" s="260"/>
      <c r="M39" s="371">
        <f>+' Exhibit I State'!M39+'Exhibit I Federal'!M22</f>
        <v>7.8</v>
      </c>
      <c r="N39" s="260"/>
      <c r="O39" s="371">
        <f>+' Exhibit I State'!O39+'Exhibit I Federal'!O22</f>
        <v>11.7</v>
      </c>
      <c r="P39" s="260"/>
      <c r="Q39" s="371">
        <f>+' Exhibit I State'!Q39+'Exhibit I Federal'!Q22</f>
        <v>9.3000000000000007</v>
      </c>
      <c r="R39" s="260"/>
      <c r="S39" s="371">
        <f>+' Exhibit I State'!S39+'Exhibit I Federal'!S22</f>
        <v>7.9</v>
      </c>
      <c r="T39" s="260"/>
      <c r="U39" s="371">
        <f>+' Exhibit I State'!U39+'Exhibit I Federal'!U22</f>
        <v>7.8</v>
      </c>
      <c r="V39" s="260"/>
      <c r="W39" s="371">
        <f>+' Exhibit I State'!W39+'Exhibit I Federal'!W22</f>
        <v>7.9</v>
      </c>
      <c r="X39" s="260"/>
      <c r="Y39" s="1107"/>
      <c r="Z39" s="260"/>
      <c r="AA39" s="1107"/>
      <c r="AB39" s="1107"/>
      <c r="AC39" s="1107">
        <v>0</v>
      </c>
      <c r="AD39" s="260"/>
      <c r="AE39" s="249"/>
      <c r="AF39" s="515">
        <f>ROUND(SUM(E39:AC39),1)</f>
        <v>91.9</v>
      </c>
      <c r="AG39" s="1896"/>
      <c r="AH39" s="254"/>
      <c r="AI39" s="2113">
        <v>83.4</v>
      </c>
      <c r="AJ39" s="273"/>
      <c r="AK39" s="653"/>
      <c r="AL39" s="250">
        <f t="shared" si="0"/>
        <v>8.5</v>
      </c>
      <c r="AM39" s="651"/>
      <c r="AN39" s="2664">
        <f>ROUND(IF(AI39=0,0,AL39/ABS(AI39)),3)</f>
        <v>0.10199999999999999</v>
      </c>
      <c r="AO39" s="644"/>
    </row>
    <row r="40" spans="1:44" ht="15.75">
      <c r="A40" s="223"/>
      <c r="B40" s="1748" t="s">
        <v>1274</v>
      </c>
      <c r="C40" s="223"/>
      <c r="D40" s="223"/>
      <c r="E40" s="371"/>
      <c r="F40" s="260"/>
      <c r="G40" s="371"/>
      <c r="H40" s="260"/>
      <c r="I40" s="371"/>
      <c r="J40" s="260"/>
      <c r="K40" s="371"/>
      <c r="L40" s="260"/>
      <c r="M40" s="371"/>
      <c r="N40" s="260"/>
      <c r="O40" s="371"/>
      <c r="P40" s="260"/>
      <c r="Q40" s="371"/>
      <c r="R40" s="260"/>
      <c r="S40" s="371"/>
      <c r="T40" s="260"/>
      <c r="U40" s="371"/>
      <c r="V40" s="260"/>
      <c r="W40" s="371"/>
      <c r="X40" s="260"/>
      <c r="Y40" s="1107"/>
      <c r="Z40" s="260"/>
      <c r="AA40" s="1107"/>
      <c r="AB40" s="1107"/>
      <c r="AC40" s="1107"/>
      <c r="AD40" s="260"/>
      <c r="AE40" s="249"/>
      <c r="AF40" s="515"/>
      <c r="AG40" s="1896"/>
      <c r="AH40" s="254"/>
      <c r="AI40" s="2113"/>
      <c r="AJ40" s="273"/>
      <c r="AK40" s="653"/>
      <c r="AL40" s="250"/>
      <c r="AM40" s="651"/>
      <c r="AN40" s="2664"/>
      <c r="AO40" s="644"/>
    </row>
    <row r="41" spans="1:44" ht="15.75">
      <c r="A41" s="223"/>
      <c r="B41" s="1748" t="s">
        <v>1180</v>
      </c>
      <c r="C41" s="223"/>
      <c r="D41" s="223"/>
      <c r="E41" s="371">
        <f>+' Exhibit I State'!E41+'Exhibit I Federal'!E24</f>
        <v>2.6</v>
      </c>
      <c r="F41" s="260"/>
      <c r="G41" s="371">
        <f>+' Exhibit I State'!G41+'Exhibit I Federal'!G24</f>
        <v>6.3</v>
      </c>
      <c r="H41" s="260"/>
      <c r="I41" s="371">
        <f>+' Exhibit I State'!I41+'Exhibit I Federal'!I24</f>
        <v>2.2999999999999998</v>
      </c>
      <c r="J41" s="260"/>
      <c r="K41" s="371">
        <f>+' Exhibit I State'!K41+'Exhibit I Federal'!K24</f>
        <v>1.9</v>
      </c>
      <c r="L41" s="260"/>
      <c r="M41" s="371">
        <f>+' Exhibit I State'!M41+'Exhibit I Federal'!M24</f>
        <v>3.6</v>
      </c>
      <c r="N41" s="260"/>
      <c r="O41" s="371">
        <f>+' Exhibit I State'!O41+'Exhibit I Federal'!O24</f>
        <v>2.5</v>
      </c>
      <c r="P41" s="260"/>
      <c r="Q41" s="371">
        <f>+' Exhibit I State'!Q41+'Exhibit I Federal'!Q24</f>
        <v>1.8</v>
      </c>
      <c r="R41" s="260"/>
      <c r="S41" s="371">
        <f>+' Exhibit I State'!S41+'Exhibit I Federal'!S24</f>
        <v>1.9</v>
      </c>
      <c r="T41" s="260"/>
      <c r="U41" s="371">
        <f>+' Exhibit I State'!U41+'Exhibit I Federal'!U24</f>
        <v>1.2</v>
      </c>
      <c r="V41" s="260"/>
      <c r="W41" s="371">
        <f>+' Exhibit I State'!W41+'Exhibit I Federal'!W24</f>
        <v>9.1999999999999993</v>
      </c>
      <c r="X41" s="260"/>
      <c r="Y41" s="1107"/>
      <c r="Z41" s="260"/>
      <c r="AA41" s="1107"/>
      <c r="AB41" s="1107"/>
      <c r="AC41" s="1107">
        <v>0</v>
      </c>
      <c r="AD41" s="260"/>
      <c r="AE41" s="249"/>
      <c r="AF41" s="515">
        <f>ROUND(SUM(E41:AC41),1)</f>
        <v>33.299999999999997</v>
      </c>
      <c r="AG41" s="1896"/>
      <c r="AH41" s="254"/>
      <c r="AI41" s="2113">
        <v>31</v>
      </c>
      <c r="AJ41" s="273"/>
      <c r="AK41" s="653"/>
      <c r="AL41" s="250">
        <f t="shared" si="0"/>
        <v>2.2999999999999998</v>
      </c>
      <c r="AM41" s="651"/>
      <c r="AN41" s="2664">
        <f>ROUND(IF(AI41=0,0,AL41/ABS(AI41)),3)</f>
        <v>7.3999999999999996E-2</v>
      </c>
      <c r="AO41" s="644"/>
    </row>
    <row r="42" spans="1:44" ht="15.75">
      <c r="A42" s="223"/>
      <c r="B42" s="1748" t="s">
        <v>1344</v>
      </c>
      <c r="C42" s="223"/>
      <c r="D42" s="223"/>
      <c r="E42" s="371">
        <f>+' Exhibit I State'!E42+'Exhibit I Federal'!E25</f>
        <v>0</v>
      </c>
      <c r="F42" s="260"/>
      <c r="G42" s="371">
        <f>+' Exhibit I State'!G42+'Exhibit I Federal'!G25</f>
        <v>0</v>
      </c>
      <c r="H42" s="260"/>
      <c r="I42" s="371">
        <f>+' Exhibit I State'!I42+'Exhibit I Federal'!I25</f>
        <v>0</v>
      </c>
      <c r="J42" s="260"/>
      <c r="K42" s="371">
        <f>+' Exhibit I State'!K42+'Exhibit I Federal'!K25</f>
        <v>0</v>
      </c>
      <c r="L42" s="260"/>
      <c r="M42" s="371">
        <f>+' Exhibit I State'!M42+'Exhibit I Federal'!M25</f>
        <v>0</v>
      </c>
      <c r="N42" s="260"/>
      <c r="O42" s="371">
        <f>+' Exhibit I State'!O42+'Exhibit I Federal'!O25</f>
        <v>0</v>
      </c>
      <c r="P42" s="260"/>
      <c r="Q42" s="371">
        <f>+' Exhibit I State'!Q42+'Exhibit I Federal'!Q25</f>
        <v>0</v>
      </c>
      <c r="R42" s="260"/>
      <c r="S42" s="371">
        <f>+' Exhibit I State'!S42+'Exhibit I Federal'!S25</f>
        <v>0</v>
      </c>
      <c r="T42" s="260"/>
      <c r="U42" s="371">
        <f>+' Exhibit I State'!U42+'Exhibit I Federal'!U25</f>
        <v>0</v>
      </c>
      <c r="V42" s="260"/>
      <c r="W42" s="371">
        <f>+' Exhibit I State'!W42+'Exhibit I Federal'!W25</f>
        <v>0</v>
      </c>
      <c r="X42" s="260"/>
      <c r="Y42" s="1107"/>
      <c r="Z42" s="260"/>
      <c r="AA42" s="1107"/>
      <c r="AB42" s="1107"/>
      <c r="AC42" s="1107">
        <v>0</v>
      </c>
      <c r="AD42" s="260"/>
      <c r="AE42" s="249"/>
      <c r="AF42" s="515">
        <f>ROUND(SUM(E42:AC42),1)</f>
        <v>0</v>
      </c>
      <c r="AG42" s="2737"/>
      <c r="AH42" s="254"/>
      <c r="AI42" s="2113">
        <f>+' Exhibit I State'!AG42</f>
        <v>0</v>
      </c>
      <c r="AJ42" s="273"/>
      <c r="AK42" s="653"/>
      <c r="AL42" s="250">
        <f>ROUND(SUM(+AF42-AI42),1)</f>
        <v>0</v>
      </c>
      <c r="AM42" s="651"/>
      <c r="AN42" s="2664">
        <f>ROUND(IF(AI42=0,0,AL42/ABS(AI42)),3)</f>
        <v>0</v>
      </c>
      <c r="AO42" s="644"/>
    </row>
    <row r="43" spans="1:44" ht="15.75">
      <c r="A43" s="223"/>
      <c r="B43" s="1748" t="s">
        <v>1183</v>
      </c>
      <c r="C43" s="223"/>
      <c r="D43" s="223"/>
      <c r="E43" s="371">
        <f>+' Exhibit I State'!E43+'Exhibit I Federal'!E26</f>
        <v>66.099999999999994</v>
      </c>
      <c r="F43" s="260"/>
      <c r="G43" s="371">
        <f>+' Exhibit I State'!G43+'Exhibit I Federal'!G26</f>
        <v>64.8</v>
      </c>
      <c r="H43" s="260"/>
      <c r="I43" s="371">
        <f>+' Exhibit I State'!I43+'Exhibit I Federal'!I26</f>
        <v>62</v>
      </c>
      <c r="J43" s="260"/>
      <c r="K43" s="371">
        <f>+' Exhibit I State'!K43+'Exhibit I Federal'!K26</f>
        <v>63.5</v>
      </c>
      <c r="L43" s="260"/>
      <c r="M43" s="371">
        <f>+' Exhibit I State'!M43+'Exhibit I Federal'!M26</f>
        <v>54.7</v>
      </c>
      <c r="N43" s="260"/>
      <c r="O43" s="371">
        <f>+' Exhibit I State'!O43+'Exhibit I Federal'!O26</f>
        <v>61.3</v>
      </c>
      <c r="P43" s="260"/>
      <c r="Q43" s="371">
        <f>+' Exhibit I State'!Q43+'Exhibit I Federal'!Q26</f>
        <v>53</v>
      </c>
      <c r="R43" s="260"/>
      <c r="S43" s="371">
        <f>+' Exhibit I State'!S43+'Exhibit I Federal'!S26</f>
        <v>56.1</v>
      </c>
      <c r="T43" s="260"/>
      <c r="U43" s="371">
        <f>+' Exhibit I State'!U43+'Exhibit I Federal'!U26</f>
        <v>60</v>
      </c>
      <c r="V43" s="260"/>
      <c r="W43" s="371">
        <f>+' Exhibit I State'!W43+'Exhibit I Federal'!W26</f>
        <v>52.6</v>
      </c>
      <c r="X43" s="260"/>
      <c r="Y43" s="1107"/>
      <c r="Z43" s="260"/>
      <c r="AA43" s="1107"/>
      <c r="AB43" s="1107"/>
      <c r="AC43" s="1107">
        <v>0</v>
      </c>
      <c r="AD43" s="260"/>
      <c r="AE43" s="249"/>
      <c r="AF43" s="515">
        <f t="shared" ref="AF43:AF60" si="1">ROUND(SUM(E43:AA43),1)</f>
        <v>594.1</v>
      </c>
      <c r="AG43" s="1896"/>
      <c r="AH43" s="254"/>
      <c r="AI43" s="2113">
        <v>581.4</v>
      </c>
      <c r="AJ43" s="273"/>
      <c r="AK43" s="653"/>
      <c r="AL43" s="250">
        <f t="shared" si="0"/>
        <v>12.7</v>
      </c>
      <c r="AM43" s="651"/>
      <c r="AN43" s="2664">
        <f>ROUND(IF(AI43=0,0,AL43/ABS(AI43)),3)</f>
        <v>2.1999999999999999E-2</v>
      </c>
      <c r="AO43" s="644"/>
    </row>
    <row r="44" spans="1:44" ht="15.75">
      <c r="A44" s="223"/>
      <c r="B44" s="1748" t="s">
        <v>1184</v>
      </c>
      <c r="C44" s="223"/>
      <c r="D44" s="223"/>
      <c r="E44" s="371">
        <f>+' Exhibit I State'!E44+'Exhibit I Federal'!E27</f>
        <v>0.1</v>
      </c>
      <c r="F44" s="260"/>
      <c r="G44" s="371">
        <f>+' Exhibit I State'!G44+'Exhibit I Federal'!G27</f>
        <v>0.3</v>
      </c>
      <c r="H44" s="260"/>
      <c r="I44" s="371">
        <f>+' Exhibit I State'!I44+'Exhibit I Federal'!I27</f>
        <v>0.1</v>
      </c>
      <c r="J44" s="260"/>
      <c r="K44" s="371">
        <f>+' Exhibit I State'!K44+'Exhibit I Federal'!K27</f>
        <v>0.2</v>
      </c>
      <c r="L44" s="260"/>
      <c r="M44" s="371">
        <f>+' Exhibit I State'!M44+'Exhibit I Federal'!M27</f>
        <v>0.9</v>
      </c>
      <c r="N44" s="260"/>
      <c r="O44" s="371">
        <f>+' Exhibit I State'!O44+'Exhibit I Federal'!O27</f>
        <v>26</v>
      </c>
      <c r="P44" s="260"/>
      <c r="Q44" s="371">
        <f>+' Exhibit I State'!Q44+'Exhibit I Federal'!Q27</f>
        <v>-0.7</v>
      </c>
      <c r="R44" s="260"/>
      <c r="S44" s="371">
        <f>+' Exhibit I State'!S44+'Exhibit I Federal'!S27</f>
        <v>0</v>
      </c>
      <c r="T44" s="260"/>
      <c r="U44" s="371">
        <f>+' Exhibit I State'!U44+'Exhibit I Federal'!U27</f>
        <v>0</v>
      </c>
      <c r="V44" s="260"/>
      <c r="W44" s="371">
        <f>+' Exhibit I State'!W44+'Exhibit I Federal'!W27</f>
        <v>0</v>
      </c>
      <c r="X44" s="260"/>
      <c r="Y44" s="1107"/>
      <c r="Z44" s="260"/>
      <c r="AA44" s="1107"/>
      <c r="AB44" s="1107"/>
      <c r="AC44" s="1107">
        <v>0</v>
      </c>
      <c r="AD44" s="260"/>
      <c r="AE44" s="249"/>
      <c r="AF44" s="515">
        <f t="shared" si="1"/>
        <v>26.9</v>
      </c>
      <c r="AG44" s="1896"/>
      <c r="AH44" s="254"/>
      <c r="AI44" s="3093">
        <v>34.299999999999997</v>
      </c>
      <c r="AJ44" s="273"/>
      <c r="AK44" s="653"/>
      <c r="AL44" s="1242">
        <f>ROUND(SUM(+AF44-AI44),1)</f>
        <v>-7.4</v>
      </c>
      <c r="AM44" s="1823"/>
      <c r="AN44" s="2664">
        <f>ROUND(IF(AI44=0,1,AL44/ABS(AI44)),3)</f>
        <v>-0.216</v>
      </c>
      <c r="AO44" s="644"/>
    </row>
    <row r="45" spans="1:44" ht="15.75">
      <c r="A45" s="223"/>
      <c r="B45" s="1748" t="s">
        <v>1158</v>
      </c>
      <c r="C45" s="223"/>
      <c r="D45" s="223"/>
      <c r="E45" s="371">
        <f>+' Exhibit I State'!E45+'Exhibit I Federal'!E28</f>
        <v>2.2999999999999998</v>
      </c>
      <c r="F45" s="260"/>
      <c r="G45" s="371">
        <f>+' Exhibit I State'!G45+'Exhibit I Federal'!G28</f>
        <v>2.2999999999999998</v>
      </c>
      <c r="H45" s="260"/>
      <c r="I45" s="371">
        <f>+' Exhibit I State'!I45+'Exhibit I Federal'!I28</f>
        <v>2.7</v>
      </c>
      <c r="J45" s="260"/>
      <c r="K45" s="371">
        <f>+' Exhibit I State'!K45+'Exhibit I Federal'!K28</f>
        <v>3.5</v>
      </c>
      <c r="L45" s="260"/>
      <c r="M45" s="371">
        <f>+' Exhibit I State'!M45+'Exhibit I Federal'!M28</f>
        <v>2.9</v>
      </c>
      <c r="N45" s="260"/>
      <c r="O45" s="371">
        <f>+' Exhibit I State'!O45+'Exhibit I Federal'!O28</f>
        <v>2.8</v>
      </c>
      <c r="P45" s="260"/>
      <c r="Q45" s="371">
        <f>+' Exhibit I State'!Q45+'Exhibit I Federal'!Q28</f>
        <v>5.9</v>
      </c>
      <c r="R45" s="260"/>
      <c r="S45" s="371">
        <f>+' Exhibit I State'!S45+'Exhibit I Federal'!S28</f>
        <v>0.9</v>
      </c>
      <c r="T45" s="260"/>
      <c r="U45" s="371">
        <f>+' Exhibit I State'!U45+'Exhibit I Federal'!U28</f>
        <v>1.5</v>
      </c>
      <c r="V45" s="260"/>
      <c r="W45" s="371">
        <f>+' Exhibit I State'!W45+'Exhibit I Federal'!W28</f>
        <v>2.9</v>
      </c>
      <c r="X45" s="260"/>
      <c r="Y45" s="1107"/>
      <c r="Z45" s="260"/>
      <c r="AA45" s="1107"/>
      <c r="AB45" s="1107"/>
      <c r="AC45" s="1107">
        <v>0</v>
      </c>
      <c r="AD45" s="260"/>
      <c r="AE45" s="249"/>
      <c r="AF45" s="515">
        <f t="shared" si="1"/>
        <v>27.7</v>
      </c>
      <c r="AG45" s="1896"/>
      <c r="AH45" s="254"/>
      <c r="AI45" s="2113">
        <v>18.600000000000001</v>
      </c>
      <c r="AJ45" s="273"/>
      <c r="AK45" s="653"/>
      <c r="AL45" s="250">
        <f t="shared" si="0"/>
        <v>9.1</v>
      </c>
      <c r="AM45" s="651"/>
      <c r="AN45" s="2734">
        <f>ROUND(IF(AI45=0,1,AL45/ABS(AI45)),3)</f>
        <v>0.48899999999999999</v>
      </c>
      <c r="AO45" s="644"/>
    </row>
    <row r="46" spans="1:44" ht="15.75">
      <c r="A46" s="223"/>
      <c r="B46" s="1748" t="s">
        <v>1159</v>
      </c>
      <c r="C46" s="223"/>
      <c r="D46" s="223"/>
      <c r="E46" s="371">
        <f>+' Exhibit I State'!E46+'Exhibit I Federal'!E29</f>
        <v>0.2</v>
      </c>
      <c r="F46" s="260"/>
      <c r="G46" s="371">
        <f>+' Exhibit I State'!G46+'Exhibit I Federal'!G29</f>
        <v>0.1</v>
      </c>
      <c r="H46" s="260"/>
      <c r="I46" s="371">
        <f>+' Exhibit I State'!I46+'Exhibit I Federal'!I29</f>
        <v>0.2</v>
      </c>
      <c r="J46" s="260"/>
      <c r="K46" s="371">
        <f>+' Exhibit I State'!K46+'Exhibit I Federal'!K29</f>
        <v>0.1</v>
      </c>
      <c r="L46" s="260"/>
      <c r="M46" s="371">
        <f>+' Exhibit I State'!M46+'Exhibit I Federal'!M29</f>
        <v>0.2</v>
      </c>
      <c r="N46" s="260"/>
      <c r="O46" s="371">
        <f>+' Exhibit I State'!O46+'Exhibit I Federal'!O29</f>
        <v>0.2</v>
      </c>
      <c r="P46" s="260"/>
      <c r="Q46" s="371">
        <f>+' Exhibit I State'!Q46+'Exhibit I Federal'!Q29</f>
        <v>0.2</v>
      </c>
      <c r="R46" s="260"/>
      <c r="S46" s="371">
        <f>+' Exhibit I State'!S46+'Exhibit I Federal'!S29</f>
        <v>0.3</v>
      </c>
      <c r="T46" s="260"/>
      <c r="U46" s="371">
        <f>+' Exhibit I State'!U46+'Exhibit I Federal'!U29</f>
        <v>0.2</v>
      </c>
      <c r="V46" s="260"/>
      <c r="W46" s="371">
        <f>+' Exhibit I State'!W46+'Exhibit I Federal'!W29</f>
        <v>0.3</v>
      </c>
      <c r="X46" s="260"/>
      <c r="Y46" s="1107"/>
      <c r="Z46" s="260"/>
      <c r="AA46" s="1107"/>
      <c r="AB46" s="1107"/>
      <c r="AC46" s="1107">
        <v>0</v>
      </c>
      <c r="AD46" s="260"/>
      <c r="AE46" s="249"/>
      <c r="AF46" s="515">
        <f t="shared" si="1"/>
        <v>2</v>
      </c>
      <c r="AG46" s="1896"/>
      <c r="AH46" s="254"/>
      <c r="AI46" s="2113">
        <v>0.6</v>
      </c>
      <c r="AJ46" s="273"/>
      <c r="AK46" s="653"/>
      <c r="AL46" s="250">
        <f>ROUND(SUM(+AF46-AI46),1)</f>
        <v>1.4</v>
      </c>
      <c r="AM46" s="651"/>
      <c r="AN46" s="2664">
        <f>ROUND(IF(AI46=0,1,AL46/ABS(AI46)),3)</f>
        <v>2.3330000000000002</v>
      </c>
      <c r="AO46" s="644"/>
    </row>
    <row r="47" spans="1:44" ht="15.75">
      <c r="A47" s="223"/>
      <c r="B47" s="1748" t="s">
        <v>1272</v>
      </c>
      <c r="C47" s="223"/>
      <c r="D47" s="223"/>
      <c r="E47" s="371"/>
      <c r="F47" s="260"/>
      <c r="G47" s="371"/>
      <c r="H47" s="260"/>
      <c r="I47" s="371"/>
      <c r="J47" s="260"/>
      <c r="K47" s="371"/>
      <c r="L47" s="260"/>
      <c r="M47" s="371"/>
      <c r="N47" s="260"/>
      <c r="O47" s="371"/>
      <c r="P47" s="260"/>
      <c r="Q47" s="371"/>
      <c r="R47" s="260"/>
      <c r="S47" s="371"/>
      <c r="T47" s="260"/>
      <c r="U47" s="371"/>
      <c r="V47" s="260"/>
      <c r="W47" s="371"/>
      <c r="X47" s="260"/>
      <c r="Y47" s="1107"/>
      <c r="Z47" s="260"/>
      <c r="AA47" s="1107"/>
      <c r="AB47" s="1107"/>
      <c r="AC47" s="1107"/>
      <c r="AD47" s="260"/>
      <c r="AE47" s="249"/>
      <c r="AF47" s="515"/>
      <c r="AG47" s="1896"/>
      <c r="AH47" s="254"/>
      <c r="AI47" s="2113"/>
      <c r="AJ47" s="273"/>
      <c r="AK47" s="653"/>
      <c r="AL47" s="250"/>
      <c r="AM47" s="651"/>
      <c r="AN47" s="45"/>
      <c r="AO47" s="644"/>
    </row>
    <row r="48" spans="1:44" ht="15.75">
      <c r="A48" s="223"/>
      <c r="B48" s="1748" t="s">
        <v>1188</v>
      </c>
      <c r="C48" s="223"/>
      <c r="D48" s="223"/>
      <c r="E48" s="371">
        <f>+' Exhibit I State'!E48+'Exhibit I Federal'!E31</f>
        <v>0</v>
      </c>
      <c r="F48" s="260"/>
      <c r="G48" s="371">
        <f>+' Exhibit I State'!G48+'Exhibit I Federal'!G31</f>
        <v>112.9</v>
      </c>
      <c r="H48" s="260"/>
      <c r="I48" s="371">
        <f>+' Exhibit I State'!I48+'Exhibit I Federal'!I31</f>
        <v>556</v>
      </c>
      <c r="J48" s="260"/>
      <c r="K48" s="371">
        <f>+' Exhibit I State'!K48+'Exhibit I Federal'!K31</f>
        <v>4.2</v>
      </c>
      <c r="L48" s="260"/>
      <c r="M48" s="371">
        <f>+' Exhibit I State'!M48+'Exhibit I Federal'!M31</f>
        <v>9</v>
      </c>
      <c r="N48" s="260"/>
      <c r="O48" s="371">
        <f>+' Exhibit I State'!O48+'Exhibit I Federal'!O31</f>
        <v>536.5</v>
      </c>
      <c r="P48" s="260"/>
      <c r="Q48" s="371">
        <f>+' Exhibit I State'!Q48+'Exhibit I Federal'!Q31</f>
        <v>251.4</v>
      </c>
      <c r="R48" s="260"/>
      <c r="S48" s="371">
        <f>+' Exhibit I State'!S48+'Exhibit I Federal'!S31</f>
        <v>3.8</v>
      </c>
      <c r="T48" s="260"/>
      <c r="U48" s="371">
        <f>+' Exhibit I State'!U48+'Exhibit I Federal'!U31</f>
        <v>48</v>
      </c>
      <c r="V48" s="260"/>
      <c r="W48" s="371">
        <f>+' Exhibit I State'!W48+'Exhibit I Federal'!W31</f>
        <v>144.69999999999999</v>
      </c>
      <c r="X48" s="260"/>
      <c r="Y48" s="1107"/>
      <c r="Z48" s="260"/>
      <c r="AA48" s="1107"/>
      <c r="AB48" s="1107"/>
      <c r="AC48" s="1107">
        <v>0</v>
      </c>
      <c r="AD48" s="260"/>
      <c r="AE48" s="249"/>
      <c r="AF48" s="515">
        <f t="shared" si="1"/>
        <v>1666.5</v>
      </c>
      <c r="AG48" s="1896"/>
      <c r="AH48" s="254"/>
      <c r="AI48" s="2113">
        <v>2228.8000000000002</v>
      </c>
      <c r="AJ48" s="273"/>
      <c r="AK48" s="653"/>
      <c r="AL48" s="250">
        <f t="shared" si="0"/>
        <v>-562.29999999999995</v>
      </c>
      <c r="AM48" s="651"/>
      <c r="AN48" s="2664">
        <f>ROUND(IF(AI48=0,0,AL48/ABS(AI48)),3)</f>
        <v>-0.252</v>
      </c>
      <c r="AO48" s="644"/>
    </row>
    <row r="49" spans="1:41" ht="15.75">
      <c r="A49" s="223"/>
      <c r="B49" s="1748" t="s">
        <v>1190</v>
      </c>
      <c r="C49" s="223"/>
      <c r="D49" s="223"/>
      <c r="E49" s="371">
        <f>+' Exhibit I State'!E49+'Exhibit I Federal'!E32</f>
        <v>0</v>
      </c>
      <c r="F49" s="371">
        <f>+' Exhibit I State'!F49+'Exhibit I Federal'!F33</f>
        <v>0</v>
      </c>
      <c r="G49" s="371">
        <f>+' Exhibit I State'!G49+'Exhibit I Federal'!G32</f>
        <v>0</v>
      </c>
      <c r="H49" s="371"/>
      <c r="I49" s="371">
        <f>+' Exhibit I State'!I49+'Exhibit I Federal'!I32</f>
        <v>0</v>
      </c>
      <c r="J49" s="371"/>
      <c r="K49" s="371">
        <f>+' Exhibit I State'!K49+'Exhibit I Federal'!K32</f>
        <v>0</v>
      </c>
      <c r="L49" s="371"/>
      <c r="M49" s="371">
        <f>+' Exhibit I State'!M49+'Exhibit I Federal'!M32</f>
        <v>0</v>
      </c>
      <c r="N49" s="371"/>
      <c r="O49" s="371">
        <f>+' Exhibit I State'!O49+'Exhibit I Federal'!O32</f>
        <v>0</v>
      </c>
      <c r="P49" s="371"/>
      <c r="Q49" s="371">
        <f>+' Exhibit I State'!Q49+'Exhibit I Federal'!Q32</f>
        <v>0</v>
      </c>
      <c r="R49" s="260"/>
      <c r="S49" s="371">
        <f>+' Exhibit I State'!S49+'Exhibit I Federal'!S32</f>
        <v>0</v>
      </c>
      <c r="T49" s="260"/>
      <c r="U49" s="371">
        <f>+' Exhibit I State'!U49+'Exhibit I Federal'!U32</f>
        <v>0</v>
      </c>
      <c r="V49" s="260"/>
      <c r="W49" s="371">
        <f>+' Exhibit I State'!W49+'Exhibit I Federal'!W32</f>
        <v>0</v>
      </c>
      <c r="X49" s="260"/>
      <c r="Y49" s="1107"/>
      <c r="Z49" s="260"/>
      <c r="AA49" s="1107"/>
      <c r="AB49" s="1107"/>
      <c r="AC49" s="1107">
        <v>0</v>
      </c>
      <c r="AD49" s="260"/>
      <c r="AE49" s="249"/>
      <c r="AF49" s="515">
        <f t="shared" si="1"/>
        <v>0</v>
      </c>
      <c r="AG49" s="2737"/>
      <c r="AH49" s="254"/>
      <c r="AI49" s="2113">
        <v>0</v>
      </c>
      <c r="AJ49" s="273"/>
      <c r="AK49" s="653"/>
      <c r="AL49" s="250">
        <f t="shared" si="0"/>
        <v>0</v>
      </c>
      <c r="AM49" s="651"/>
      <c r="AN49" s="2664">
        <f>ROUND(IF(AI49=0,0,AL49/ABS(AI49)),3)</f>
        <v>0</v>
      </c>
      <c r="AO49" s="644"/>
    </row>
    <row r="50" spans="1:41" ht="15.75">
      <c r="A50" s="223"/>
      <c r="B50" s="1748" t="s">
        <v>1191</v>
      </c>
      <c r="C50" s="223"/>
      <c r="D50" s="223"/>
      <c r="E50" s="371">
        <f>+' Exhibit I State'!E50+'Exhibit I Federal'!E33</f>
        <v>0.1</v>
      </c>
      <c r="F50" s="260"/>
      <c r="G50" s="371">
        <f>+' Exhibit I State'!G50+'Exhibit I Federal'!G33</f>
        <v>0</v>
      </c>
      <c r="H50" s="260"/>
      <c r="I50" s="371">
        <f>+' Exhibit I State'!I50+'Exhibit I Federal'!I33</f>
        <v>0.6</v>
      </c>
      <c r="J50" s="260"/>
      <c r="K50" s="371">
        <f>+' Exhibit I State'!K50+'Exhibit I Federal'!K33</f>
        <v>0</v>
      </c>
      <c r="L50" s="260"/>
      <c r="M50" s="371">
        <f>+' Exhibit I State'!M50+'Exhibit I Federal'!M33</f>
        <v>4</v>
      </c>
      <c r="N50" s="260"/>
      <c r="O50" s="371">
        <f>+' Exhibit I State'!O50+'Exhibit I Federal'!O33</f>
        <v>0.8</v>
      </c>
      <c r="P50" s="260"/>
      <c r="Q50" s="371">
        <f>+' Exhibit I State'!Q50+'Exhibit I Federal'!Q33</f>
        <v>0</v>
      </c>
      <c r="R50" s="260"/>
      <c r="S50" s="371">
        <f>+' Exhibit I State'!S50+'Exhibit I Federal'!S33</f>
        <v>0</v>
      </c>
      <c r="T50" s="260"/>
      <c r="U50" s="371">
        <f>+' Exhibit I State'!U50+'Exhibit I Federal'!U33</f>
        <v>1.3</v>
      </c>
      <c r="V50" s="260"/>
      <c r="W50" s="371">
        <f>+' Exhibit I State'!W50+'Exhibit I Federal'!W33</f>
        <v>0.1</v>
      </c>
      <c r="X50" s="260"/>
      <c r="Y50" s="1107"/>
      <c r="Z50" s="260"/>
      <c r="AA50" s="1107"/>
      <c r="AB50" s="1107"/>
      <c r="AC50" s="1107">
        <v>0</v>
      </c>
      <c r="AD50" s="260"/>
      <c r="AE50" s="249"/>
      <c r="AF50" s="515">
        <f t="shared" si="1"/>
        <v>6.9</v>
      </c>
      <c r="AG50" s="1896"/>
      <c r="AH50" s="254"/>
      <c r="AI50" s="2113">
        <v>4.5</v>
      </c>
      <c r="AJ50" s="273"/>
      <c r="AK50" s="653"/>
      <c r="AL50" s="250">
        <f t="shared" si="0"/>
        <v>2.4</v>
      </c>
      <c r="AM50" s="651"/>
      <c r="AN50" s="2664">
        <f>ROUND(IF(AI50=0,1,AL50/ABS(AI50)),3)</f>
        <v>0.53300000000000003</v>
      </c>
      <c r="AO50" s="644"/>
    </row>
    <row r="51" spans="1:41" ht="15.75">
      <c r="A51" s="223"/>
      <c r="B51" s="1748" t="s">
        <v>1170</v>
      </c>
      <c r="C51" s="223"/>
      <c r="D51" s="223"/>
      <c r="E51" s="371">
        <f>+' Exhibit I State'!E51+'Exhibit I Federal'!E34</f>
        <v>0</v>
      </c>
      <c r="F51" s="260"/>
      <c r="G51" s="371">
        <f>+' Exhibit I State'!G51+'Exhibit I Federal'!G34</f>
        <v>0.6</v>
      </c>
      <c r="H51" s="260"/>
      <c r="I51" s="371">
        <f>+' Exhibit I State'!I51+'Exhibit I Federal'!I34</f>
        <v>0.3</v>
      </c>
      <c r="J51" s="260"/>
      <c r="K51" s="371">
        <f>+' Exhibit I State'!K51+'Exhibit I Federal'!K34</f>
        <v>0.4</v>
      </c>
      <c r="L51" s="260"/>
      <c r="M51" s="371">
        <f>+' Exhibit I State'!M51+'Exhibit I Federal'!M34</f>
        <v>0.1</v>
      </c>
      <c r="N51" s="260"/>
      <c r="O51" s="371">
        <f>+' Exhibit I State'!O51+'Exhibit I Federal'!O34</f>
        <v>0</v>
      </c>
      <c r="P51" s="260"/>
      <c r="Q51" s="371">
        <f>+' Exhibit I State'!Q51+'Exhibit I Federal'!Q34</f>
        <v>0</v>
      </c>
      <c r="R51" s="260"/>
      <c r="S51" s="371">
        <f>+' Exhibit I State'!S51+'Exhibit I Federal'!S34</f>
        <v>0.4</v>
      </c>
      <c r="T51" s="260"/>
      <c r="U51" s="371">
        <f>+' Exhibit I State'!U51+'Exhibit I Federal'!U34</f>
        <v>0</v>
      </c>
      <c r="V51" s="260"/>
      <c r="W51" s="371">
        <f>+' Exhibit I State'!W51+'Exhibit I Federal'!W34</f>
        <v>0</v>
      </c>
      <c r="X51" s="260"/>
      <c r="Y51" s="1107"/>
      <c r="Z51" s="260"/>
      <c r="AA51" s="1107"/>
      <c r="AB51" s="1107"/>
      <c r="AC51" s="1107">
        <v>0</v>
      </c>
      <c r="AD51" s="260"/>
      <c r="AE51" s="249"/>
      <c r="AF51" s="515">
        <f t="shared" si="1"/>
        <v>1.8</v>
      </c>
      <c r="AG51" s="1896"/>
      <c r="AH51" s="254"/>
      <c r="AI51" s="2113">
        <v>0.5</v>
      </c>
      <c r="AJ51" s="273"/>
      <c r="AK51" s="653"/>
      <c r="AL51" s="250">
        <f t="shared" si="0"/>
        <v>1.3</v>
      </c>
      <c r="AM51" s="651"/>
      <c r="AN51" s="45">
        <f>ROUND(IF(AI51=0,0,AL51/ABS(AI51)),3)</f>
        <v>2.6</v>
      </c>
      <c r="AO51" s="644"/>
    </row>
    <row r="52" spans="1:41" ht="15.75">
      <c r="A52" s="223"/>
      <c r="B52" s="1748" t="s">
        <v>1171</v>
      </c>
      <c r="C52" s="223"/>
      <c r="D52" s="223"/>
      <c r="E52" s="371">
        <f>+' Exhibit I State'!E52+'Exhibit I Federal'!E35</f>
        <v>0.7</v>
      </c>
      <c r="F52" s="260"/>
      <c r="G52" s="371">
        <f>+' Exhibit I State'!G52+'Exhibit I Federal'!G35</f>
        <v>0.2</v>
      </c>
      <c r="H52" s="260"/>
      <c r="I52" s="371">
        <f>+' Exhibit I State'!I52+'Exhibit I Federal'!I35</f>
        <v>0.4</v>
      </c>
      <c r="J52" s="260"/>
      <c r="K52" s="371">
        <f>+' Exhibit I State'!K52+'Exhibit I Federal'!K35</f>
        <v>1.2000000000000002</v>
      </c>
      <c r="L52" s="260"/>
      <c r="M52" s="371">
        <f>+' Exhibit I State'!M52+'Exhibit I Federal'!M35</f>
        <v>0.30000000000000004</v>
      </c>
      <c r="N52" s="260"/>
      <c r="O52" s="371">
        <f>+' Exhibit I State'!O52+'Exhibit I Federal'!O35</f>
        <v>1.6</v>
      </c>
      <c r="P52" s="260"/>
      <c r="Q52" s="371">
        <f>+' Exhibit I State'!Q52+'Exhibit I Federal'!Q35</f>
        <v>0.30000000000000004</v>
      </c>
      <c r="R52" s="260"/>
      <c r="S52" s="371">
        <f>+' Exhibit I State'!S52+'Exhibit I Federal'!S35</f>
        <v>0.1</v>
      </c>
      <c r="T52" s="260"/>
      <c r="U52" s="371">
        <f>+' Exhibit I State'!U52+'Exhibit I Federal'!U35</f>
        <v>0.5</v>
      </c>
      <c r="V52" s="260"/>
      <c r="W52" s="371">
        <f>+' Exhibit I State'!W52+'Exhibit I Federal'!W35</f>
        <v>1</v>
      </c>
      <c r="X52" s="260"/>
      <c r="Y52" s="1107"/>
      <c r="Z52" s="260"/>
      <c r="AA52" s="1107"/>
      <c r="AB52" s="1107"/>
      <c r="AC52" s="1107">
        <v>0</v>
      </c>
      <c r="AD52" s="260"/>
      <c r="AE52" s="249"/>
      <c r="AF52" s="515">
        <f t="shared" si="1"/>
        <v>6.3</v>
      </c>
      <c r="AG52" s="1896"/>
      <c r="AH52" s="254"/>
      <c r="AI52" s="3045">
        <v>5.9</v>
      </c>
      <c r="AJ52" s="273"/>
      <c r="AK52" s="653"/>
      <c r="AL52" s="250">
        <f t="shared" si="0"/>
        <v>0.4</v>
      </c>
      <c r="AM52" s="651"/>
      <c r="AN52" s="45">
        <f>ROUND(IF(AI52=0,0,AL52/ABS(AI52)),3)</f>
        <v>6.8000000000000005E-2</v>
      </c>
      <c r="AO52" s="644"/>
    </row>
    <row r="53" spans="1:41" ht="15.75">
      <c r="A53" s="223"/>
      <c r="B53" s="1748" t="s">
        <v>1273</v>
      </c>
      <c r="C53" s="223"/>
      <c r="D53" s="223"/>
      <c r="E53" s="371"/>
      <c r="F53" s="260"/>
      <c r="G53" s="371"/>
      <c r="H53" s="260"/>
      <c r="I53" s="371"/>
      <c r="J53" s="260"/>
      <c r="K53" s="371"/>
      <c r="L53" s="260"/>
      <c r="M53" s="371"/>
      <c r="N53" s="260"/>
      <c r="O53" s="371"/>
      <c r="P53" s="260"/>
      <c r="Q53" s="371"/>
      <c r="R53" s="260"/>
      <c r="S53" s="371"/>
      <c r="T53" s="260"/>
      <c r="U53" s="371"/>
      <c r="V53" s="260"/>
      <c r="W53" s="371"/>
      <c r="X53" s="260"/>
      <c r="Y53" s="1107"/>
      <c r="Z53" s="260"/>
      <c r="AA53" s="1107"/>
      <c r="AB53" s="1107"/>
      <c r="AC53" s="1107"/>
      <c r="AD53" s="260"/>
      <c r="AE53" s="249"/>
      <c r="AF53" s="515"/>
      <c r="AG53" s="1896"/>
      <c r="AH53" s="254"/>
      <c r="AI53" s="2113"/>
      <c r="AJ53" s="273"/>
      <c r="AK53" s="653"/>
      <c r="AL53" s="250"/>
      <c r="AM53" s="651"/>
      <c r="AN53" s="45"/>
      <c r="AO53" s="644"/>
    </row>
    <row r="54" spans="1:41" ht="15.75">
      <c r="A54" s="223"/>
      <c r="B54" s="1748" t="s">
        <v>1192</v>
      </c>
      <c r="C54" s="223"/>
      <c r="D54" s="223"/>
      <c r="E54" s="371">
        <f>+' Exhibit I State'!E54+'Exhibit I Federal'!E37</f>
        <v>0</v>
      </c>
      <c r="F54" s="260"/>
      <c r="G54" s="371">
        <f>+' Exhibit I State'!G54+'Exhibit I Federal'!G37</f>
        <v>0</v>
      </c>
      <c r="H54" s="260"/>
      <c r="I54" s="371">
        <f>+' Exhibit I State'!I54+'Exhibit I Federal'!I37</f>
        <v>0</v>
      </c>
      <c r="J54" s="260"/>
      <c r="K54" s="371">
        <f>+' Exhibit I State'!K54+'Exhibit I Federal'!K37</f>
        <v>0</v>
      </c>
      <c r="L54" s="260"/>
      <c r="M54" s="371">
        <f>+' Exhibit I State'!M54+'Exhibit I Federal'!M37</f>
        <v>0</v>
      </c>
      <c r="N54" s="260"/>
      <c r="O54" s="371">
        <f>+' Exhibit I State'!O54+'Exhibit I Federal'!O37</f>
        <v>0</v>
      </c>
      <c r="P54" s="260"/>
      <c r="Q54" s="371">
        <f>+' Exhibit I State'!Q54+'Exhibit I Federal'!Q37</f>
        <v>0</v>
      </c>
      <c r="R54" s="260"/>
      <c r="S54" s="371">
        <f>+' Exhibit I State'!S54+'Exhibit I Federal'!S37</f>
        <v>0</v>
      </c>
      <c r="T54" s="260"/>
      <c r="U54" s="371">
        <f>+' Exhibit I State'!U54+'Exhibit I Federal'!U37</f>
        <v>0</v>
      </c>
      <c r="V54" s="260"/>
      <c r="W54" s="371">
        <f>+' Exhibit I State'!W54+'Exhibit I Federal'!W37</f>
        <v>0</v>
      </c>
      <c r="X54" s="260"/>
      <c r="Y54" s="1107"/>
      <c r="Z54" s="260"/>
      <c r="AA54" s="1107"/>
      <c r="AB54" s="1107"/>
      <c r="AC54" s="1107">
        <v>0</v>
      </c>
      <c r="AD54" s="260"/>
      <c r="AE54" s="249"/>
      <c r="AF54" s="515">
        <f t="shared" si="1"/>
        <v>0</v>
      </c>
      <c r="AG54" s="1896"/>
      <c r="AH54" s="254"/>
      <c r="AI54" s="2113">
        <f>+' Exhibit I State'!AG54</f>
        <v>0</v>
      </c>
      <c r="AJ54" s="273"/>
      <c r="AK54" s="653"/>
      <c r="AL54" s="1242">
        <f>ROUND(SUM(+AF54-AI54),1)</f>
        <v>0</v>
      </c>
      <c r="AM54" s="1823"/>
      <c r="AN54" s="2664">
        <f>ROUND(IF(AI54=0,0,AL54/ABS(AI54)),3)</f>
        <v>0</v>
      </c>
      <c r="AO54" s="644"/>
    </row>
    <row r="55" spans="1:41" ht="15.75">
      <c r="A55" s="223"/>
      <c r="B55" s="1748" t="s">
        <v>1194</v>
      </c>
      <c r="C55" s="223"/>
      <c r="D55" s="223"/>
      <c r="E55" s="371">
        <f>+' Exhibit I State'!E55+'Exhibit I Federal'!E38</f>
        <v>2.5</v>
      </c>
      <c r="F55" s="260"/>
      <c r="G55" s="371">
        <f>+' Exhibit I State'!G55+'Exhibit I Federal'!G38</f>
        <v>1.6</v>
      </c>
      <c r="H55" s="260"/>
      <c r="I55" s="371">
        <f>+' Exhibit I State'!I55+'Exhibit I Federal'!I38</f>
        <v>0.1</v>
      </c>
      <c r="J55" s="260"/>
      <c r="K55" s="371">
        <f>+' Exhibit I State'!K55+'Exhibit I Federal'!K38</f>
        <v>0.8</v>
      </c>
      <c r="L55" s="260"/>
      <c r="M55" s="371">
        <f>+' Exhibit I State'!M55+'Exhibit I Federal'!M38</f>
        <v>0</v>
      </c>
      <c r="N55" s="260"/>
      <c r="O55" s="371">
        <f>+' Exhibit I State'!O55+'Exhibit I Federal'!O38</f>
        <v>3.2</v>
      </c>
      <c r="P55" s="260"/>
      <c r="Q55" s="371">
        <f>+' Exhibit I State'!Q55+'Exhibit I Federal'!Q38</f>
        <v>1.1000000000000001</v>
      </c>
      <c r="R55" s="260"/>
      <c r="S55" s="371">
        <f>+' Exhibit I State'!S55+'Exhibit I Federal'!S38</f>
        <v>2.5</v>
      </c>
      <c r="T55" s="260"/>
      <c r="U55" s="371">
        <f>+' Exhibit I State'!U55+'Exhibit I Federal'!U38</f>
        <v>6.6</v>
      </c>
      <c r="V55" s="260"/>
      <c r="W55" s="371">
        <f>+' Exhibit I State'!W55+'Exhibit I Federal'!W38</f>
        <v>0</v>
      </c>
      <c r="X55" s="260"/>
      <c r="Y55" s="1107"/>
      <c r="Z55" s="260"/>
      <c r="AA55" s="1107"/>
      <c r="AB55" s="1107"/>
      <c r="AC55" s="1107">
        <v>0</v>
      </c>
      <c r="AD55" s="260"/>
      <c r="AE55" s="249"/>
      <c r="AF55" s="515">
        <f t="shared" si="1"/>
        <v>18.399999999999999</v>
      </c>
      <c r="AG55" s="1896"/>
      <c r="AH55" s="254"/>
      <c r="AI55" s="2113">
        <v>3.9</v>
      </c>
      <c r="AJ55" s="273"/>
      <c r="AK55" s="653"/>
      <c r="AL55" s="1242">
        <f>ROUND(SUM(+AF55-AI55),1)</f>
        <v>14.5</v>
      </c>
      <c r="AM55" s="1823"/>
      <c r="AN55" s="2664">
        <f>ROUND(IF(AI55=0,1,AL55/ABS(AI55)),3)</f>
        <v>3.718</v>
      </c>
      <c r="AO55" s="644"/>
    </row>
    <row r="56" spans="1:41" ht="15.75">
      <c r="A56" s="223"/>
      <c r="B56" s="1748" t="s">
        <v>1195</v>
      </c>
      <c r="C56" s="223"/>
      <c r="D56" s="223"/>
      <c r="E56" s="371">
        <f>+' Exhibit I State'!E56+'Exhibit I Federal'!E39</f>
        <v>0</v>
      </c>
      <c r="F56" s="260"/>
      <c r="G56" s="371">
        <f>+' Exhibit I State'!G56+'Exhibit I Federal'!G39</f>
        <v>0</v>
      </c>
      <c r="H56" s="260"/>
      <c r="I56" s="371">
        <f>+' Exhibit I State'!I56+'Exhibit I Federal'!I39</f>
        <v>0</v>
      </c>
      <c r="J56" s="260"/>
      <c r="K56" s="371">
        <f>+' Exhibit I State'!K56+'Exhibit I Federal'!K39</f>
        <v>0</v>
      </c>
      <c r="L56" s="260"/>
      <c r="M56" s="371">
        <f>+' Exhibit I State'!M56+'Exhibit I Federal'!M39</f>
        <v>0</v>
      </c>
      <c r="N56" s="260"/>
      <c r="O56" s="371">
        <f>+' Exhibit I State'!O56+'Exhibit I Federal'!O39</f>
        <v>0</v>
      </c>
      <c r="P56" s="260"/>
      <c r="Q56" s="371">
        <f>+' Exhibit I State'!Q56+'Exhibit I Federal'!Q39</f>
        <v>0</v>
      </c>
      <c r="R56" s="260"/>
      <c r="S56" s="371">
        <f>+' Exhibit I State'!S56+'Exhibit I Federal'!S39</f>
        <v>0</v>
      </c>
      <c r="T56" s="260"/>
      <c r="U56" s="371">
        <f>+' Exhibit I State'!U56+'Exhibit I Federal'!U39</f>
        <v>0</v>
      </c>
      <c r="V56" s="260"/>
      <c r="W56" s="371">
        <f>+' Exhibit I State'!W56+'Exhibit I Federal'!W39</f>
        <v>0</v>
      </c>
      <c r="X56" s="260"/>
      <c r="Y56" s="1107"/>
      <c r="Z56" s="260"/>
      <c r="AA56" s="1107"/>
      <c r="AB56" s="1107"/>
      <c r="AC56" s="1107">
        <v>0</v>
      </c>
      <c r="AD56" s="260"/>
      <c r="AE56" s="249"/>
      <c r="AF56" s="515">
        <f t="shared" si="1"/>
        <v>0</v>
      </c>
      <c r="AG56" s="3110"/>
      <c r="AH56" s="254"/>
      <c r="AI56" s="2113">
        <v>0.2</v>
      </c>
      <c r="AJ56" s="273"/>
      <c r="AK56" s="653"/>
      <c r="AL56" s="1242">
        <f>ROUND(SUM(+AF56-AI56),1)</f>
        <v>-0.2</v>
      </c>
      <c r="AM56" s="1823"/>
      <c r="AN56" s="2664">
        <f t="shared" ref="AN56:AN57" si="2">ROUND(IF(AI56=0,0,AL56/ABS(AI56)),3)</f>
        <v>-1</v>
      </c>
      <c r="AO56" s="644"/>
    </row>
    <row r="57" spans="1:41" ht="15.75">
      <c r="A57" s="223"/>
      <c r="B57" s="1748" t="s">
        <v>1197</v>
      </c>
      <c r="C57" s="223"/>
      <c r="D57" s="223"/>
      <c r="E57" s="371">
        <f>+' Exhibit I State'!E57</f>
        <v>0</v>
      </c>
      <c r="F57" s="260"/>
      <c r="G57" s="371">
        <f>+' Exhibit I State'!G57</f>
        <v>0</v>
      </c>
      <c r="H57" s="260"/>
      <c r="I57" s="371">
        <f>+' Exhibit I State'!I57</f>
        <v>0</v>
      </c>
      <c r="J57" s="260"/>
      <c r="K57" s="371">
        <f>+' Exhibit I State'!K57</f>
        <v>0</v>
      </c>
      <c r="L57" s="260"/>
      <c r="M57" s="371">
        <f>+' Exhibit I State'!M57</f>
        <v>0.3</v>
      </c>
      <c r="N57" s="260"/>
      <c r="O57" s="371">
        <f>+' Exhibit I State'!O57</f>
        <v>0</v>
      </c>
      <c r="P57" s="260"/>
      <c r="Q57" s="371">
        <f>+' Exhibit I State'!Q57</f>
        <v>-0.1</v>
      </c>
      <c r="R57" s="260"/>
      <c r="S57" s="371">
        <f>+' Exhibit I State'!S57</f>
        <v>0</v>
      </c>
      <c r="T57" s="260"/>
      <c r="U57" s="371">
        <f>+' Exhibit I State'!U57</f>
        <v>0</v>
      </c>
      <c r="V57" s="260"/>
      <c r="W57" s="371">
        <f>+' Exhibit I State'!W57</f>
        <v>0.2</v>
      </c>
      <c r="X57" s="260"/>
      <c r="Y57" s="1107"/>
      <c r="Z57" s="260"/>
      <c r="AA57" s="1107"/>
      <c r="AB57" s="1107"/>
      <c r="AC57" s="1107">
        <v>0</v>
      </c>
      <c r="AD57" s="260"/>
      <c r="AE57" s="249"/>
      <c r="AF57" s="515">
        <f>+' Exhibit I State'!AD57</f>
        <v>0.4</v>
      </c>
      <c r="AG57" s="3046"/>
      <c r="AH57" s="254"/>
      <c r="AI57" s="2113">
        <v>0.2</v>
      </c>
      <c r="AJ57" s="273"/>
      <c r="AK57" s="653"/>
      <c r="AL57" s="1242">
        <f>ROUND(SUM(+AF57-AI57),1)</f>
        <v>0.2</v>
      </c>
      <c r="AM57" s="1823"/>
      <c r="AN57" s="2664">
        <f t="shared" si="2"/>
        <v>1</v>
      </c>
      <c r="AO57" s="644"/>
    </row>
    <row r="58" spans="1:41" ht="15.75">
      <c r="A58" s="223"/>
      <c r="B58" s="1748" t="s">
        <v>1198</v>
      </c>
      <c r="C58" s="223"/>
      <c r="D58" s="223"/>
      <c r="E58" s="371">
        <f>+' Exhibit I State'!E58+'Exhibit I Federal'!E40</f>
        <v>0</v>
      </c>
      <c r="F58" s="260"/>
      <c r="G58" s="371">
        <f>+' Exhibit I State'!G58+'Exhibit I Federal'!G40</f>
        <v>0.5</v>
      </c>
      <c r="H58" s="260"/>
      <c r="I58" s="371">
        <f>+' Exhibit I State'!I58+'Exhibit I Federal'!I40</f>
        <v>0.5</v>
      </c>
      <c r="J58" s="260"/>
      <c r="K58" s="371">
        <f>+' Exhibit I State'!K58+'Exhibit I Federal'!K40</f>
        <v>1.7</v>
      </c>
      <c r="L58" s="260"/>
      <c r="M58" s="371">
        <f>+' Exhibit I State'!M58+'Exhibit I Federal'!M40</f>
        <v>2.1</v>
      </c>
      <c r="N58" s="260"/>
      <c r="O58" s="371">
        <f>+' Exhibit I State'!O58+'Exhibit I Federal'!O40</f>
        <v>2.8</v>
      </c>
      <c r="P58" s="260"/>
      <c r="Q58" s="371">
        <f>+' Exhibit I State'!Q58+'Exhibit I Federal'!Q40</f>
        <v>0.2</v>
      </c>
      <c r="R58" s="260"/>
      <c r="S58" s="371">
        <f>+' Exhibit I State'!S58+'Exhibit I Federal'!S40</f>
        <v>0.1</v>
      </c>
      <c r="T58" s="260"/>
      <c r="U58" s="371">
        <f>+' Exhibit I State'!U58+'Exhibit I Federal'!U40</f>
        <v>0.4</v>
      </c>
      <c r="V58" s="260"/>
      <c r="W58" s="371">
        <f>+' Exhibit I State'!W58+'Exhibit I Federal'!W40</f>
        <v>0.2</v>
      </c>
      <c r="X58" s="260"/>
      <c r="Y58" s="1107"/>
      <c r="Z58" s="260"/>
      <c r="AA58" s="1107"/>
      <c r="AB58" s="1107"/>
      <c r="AC58" s="1107">
        <v>0</v>
      </c>
      <c r="AD58" s="260"/>
      <c r="AE58" s="249"/>
      <c r="AF58" s="515">
        <f t="shared" si="1"/>
        <v>8.5</v>
      </c>
      <c r="AG58" s="1896"/>
      <c r="AH58" s="254"/>
      <c r="AI58" s="2113">
        <v>4</v>
      </c>
      <c r="AJ58" s="273"/>
      <c r="AK58" s="653"/>
      <c r="AL58" s="250">
        <f t="shared" si="0"/>
        <v>4.5</v>
      </c>
      <c r="AM58" s="651"/>
      <c r="AN58" s="2679">
        <f>ROUND(IF(AI58=0,1,AL58/ABS(AI58)),3)</f>
        <v>1.125</v>
      </c>
      <c r="AO58" s="644"/>
    </row>
    <row r="59" spans="1:41" ht="15.75">
      <c r="A59" s="223"/>
      <c r="B59" s="1748" t="s">
        <v>1200</v>
      </c>
      <c r="C59" s="223"/>
      <c r="D59" s="223"/>
      <c r="E59" s="371">
        <f>+' Exhibit I State'!E59+'Exhibit I Federal'!E41</f>
        <v>0.1</v>
      </c>
      <c r="F59" s="260"/>
      <c r="G59" s="371">
        <f>+' Exhibit I State'!G59+'Exhibit I Federal'!G41</f>
        <v>0.8</v>
      </c>
      <c r="H59" s="260"/>
      <c r="I59" s="371">
        <f>+' Exhibit I State'!I59+'Exhibit I Federal'!I41</f>
        <v>2.7</v>
      </c>
      <c r="J59" s="260"/>
      <c r="K59" s="371">
        <f>+' Exhibit I State'!K59+'Exhibit I Federal'!K41</f>
        <v>0.8</v>
      </c>
      <c r="L59" s="260"/>
      <c r="M59" s="371">
        <f>+' Exhibit I State'!M59+'Exhibit I Federal'!M41</f>
        <v>0.6</v>
      </c>
      <c r="N59" s="260"/>
      <c r="O59" s="371">
        <f>+' Exhibit I State'!O59+'Exhibit I Federal'!O41</f>
        <v>6.3</v>
      </c>
      <c r="P59" s="260"/>
      <c r="Q59" s="371">
        <f>+' Exhibit I State'!Q59+'Exhibit I Federal'!Q41</f>
        <v>0.5</v>
      </c>
      <c r="R59" s="260"/>
      <c r="S59" s="371">
        <f>+' Exhibit I State'!S59+'Exhibit I Federal'!S41</f>
        <v>2</v>
      </c>
      <c r="T59" s="260"/>
      <c r="U59" s="371">
        <f>+' Exhibit I State'!U59+'Exhibit I Federal'!U41</f>
        <v>-0.5</v>
      </c>
      <c r="V59" s="260"/>
      <c r="W59" s="371">
        <f>+' Exhibit I State'!W59+'Exhibit I Federal'!W41</f>
        <v>1.6</v>
      </c>
      <c r="X59" s="260"/>
      <c r="Y59" s="1107"/>
      <c r="Z59" s="260"/>
      <c r="AA59" s="1107"/>
      <c r="AB59" s="1107"/>
      <c r="AC59" s="1107">
        <v>0</v>
      </c>
      <c r="AD59" s="260"/>
      <c r="AE59" s="249"/>
      <c r="AF59" s="515">
        <f t="shared" si="1"/>
        <v>14.9</v>
      </c>
      <c r="AG59" s="1896"/>
      <c r="AH59" s="254"/>
      <c r="AI59" s="3045">
        <v>15.6</v>
      </c>
      <c r="AJ59" s="273"/>
      <c r="AK59" s="653"/>
      <c r="AL59" s="250">
        <f t="shared" si="0"/>
        <v>-0.7</v>
      </c>
      <c r="AM59" s="651"/>
      <c r="AN59" s="2562">
        <f>ROUND(IF(AI59=0,0,AL59/ABS(AI59)),3)</f>
        <v>-4.4999999999999998E-2</v>
      </c>
      <c r="AO59" s="644"/>
    </row>
    <row r="60" spans="1:41" ht="15.75">
      <c r="A60" s="223"/>
      <c r="B60" s="1748" t="s">
        <v>1172</v>
      </c>
      <c r="C60" s="223"/>
      <c r="D60" s="223"/>
      <c r="E60" s="371">
        <f>+' Exhibit I State'!E60+'Exhibit I Federal'!E42</f>
        <v>1.1000000000000001</v>
      </c>
      <c r="F60" s="260"/>
      <c r="G60" s="371">
        <f>+' Exhibit I State'!G60+'Exhibit I Federal'!G42</f>
        <v>0</v>
      </c>
      <c r="H60" s="260"/>
      <c r="I60" s="371">
        <f>+' Exhibit I State'!I60+'Exhibit I Federal'!I42</f>
        <v>0.1</v>
      </c>
      <c r="J60" s="260"/>
      <c r="K60" s="371">
        <f>+' Exhibit I State'!K60+'Exhibit I Federal'!K42</f>
        <v>0.1</v>
      </c>
      <c r="L60" s="260"/>
      <c r="M60" s="371">
        <f>+' Exhibit I State'!M60+'Exhibit I Federal'!M42</f>
        <v>0.1</v>
      </c>
      <c r="N60" s="260"/>
      <c r="O60" s="371">
        <f>+' Exhibit I State'!O60+'Exhibit I Federal'!O42</f>
        <v>0.1</v>
      </c>
      <c r="P60" s="260"/>
      <c r="Q60" s="371">
        <f>+' Exhibit I State'!Q60+'Exhibit I Federal'!Q42</f>
        <v>0.1</v>
      </c>
      <c r="R60" s="260"/>
      <c r="S60" s="371">
        <f>+' Exhibit I State'!S60+'Exhibit I Federal'!S42</f>
        <v>0.2</v>
      </c>
      <c r="T60" s="260"/>
      <c r="U60" s="371">
        <f>+' Exhibit I State'!U60+'Exhibit I Federal'!U42</f>
        <v>0.60000000000000009</v>
      </c>
      <c r="V60" s="260"/>
      <c r="W60" s="371">
        <f>+' Exhibit I State'!W60+'Exhibit I Federal'!W42</f>
        <v>0</v>
      </c>
      <c r="X60" s="260"/>
      <c r="Y60" s="1107"/>
      <c r="Z60" s="260"/>
      <c r="AA60" s="1107"/>
      <c r="AB60" s="1107"/>
      <c r="AC60" s="1107">
        <v>0</v>
      </c>
      <c r="AD60" s="260"/>
      <c r="AE60" s="249"/>
      <c r="AF60" s="515">
        <f t="shared" si="1"/>
        <v>2.4</v>
      </c>
      <c r="AG60" s="1896"/>
      <c r="AH60" s="254"/>
      <c r="AI60" s="2113">
        <v>0.9</v>
      </c>
      <c r="AJ60" s="273"/>
      <c r="AK60" s="653"/>
      <c r="AL60" s="250">
        <f t="shared" si="0"/>
        <v>1.5</v>
      </c>
      <c r="AM60" s="651"/>
      <c r="AN60" s="2734">
        <f>ROUND(IF(AI60=0,1,AL60/ABS(AI60)),3)</f>
        <v>1.667</v>
      </c>
      <c r="AO60" s="644"/>
    </row>
    <row r="61" spans="1:41" s="649" customFormat="1" ht="15.75">
      <c r="A61" s="221"/>
      <c r="B61" s="587" t="s">
        <v>1329</v>
      </c>
      <c r="C61" s="221"/>
      <c r="D61" s="221"/>
      <c r="E61" s="482">
        <f>ROUND(SUM(E37:E60),1)</f>
        <v>85.2</v>
      </c>
      <c r="F61" s="1802"/>
      <c r="G61" s="482">
        <f>ROUND(SUM(G37:G60),1)</f>
        <v>199.1</v>
      </c>
      <c r="H61" s="2011"/>
      <c r="I61" s="482">
        <f>ROUND(SUM(I37:I60),1)</f>
        <v>661.3</v>
      </c>
      <c r="J61" s="1802"/>
      <c r="K61" s="482">
        <f>ROUND(SUM(K37:K60),1)</f>
        <v>89.5</v>
      </c>
      <c r="L61" s="1802"/>
      <c r="M61" s="482">
        <f>ROUND(SUM(M37:M60),1)</f>
        <v>86.6</v>
      </c>
      <c r="N61" s="1802"/>
      <c r="O61" s="482">
        <f>ROUND(SUM(O37:O60),1)</f>
        <v>655.8</v>
      </c>
      <c r="P61" s="1802"/>
      <c r="Q61" s="482">
        <f>ROUND(SUM(Q37:Q60),1)</f>
        <v>323</v>
      </c>
      <c r="R61" s="1802"/>
      <c r="S61" s="482">
        <f>ROUND(SUM(S37:S60),1)</f>
        <v>76.2</v>
      </c>
      <c r="T61" s="1802"/>
      <c r="U61" s="482">
        <f>ROUND(SUM(U37:U60),1)</f>
        <v>127.6</v>
      </c>
      <c r="V61" s="1802"/>
      <c r="W61" s="482">
        <f>ROUND(SUM(W37:W60),1)</f>
        <v>220.7</v>
      </c>
      <c r="X61" s="1802"/>
      <c r="Y61" s="482">
        <f>ROUND(SUM(Y37:Y60),1)</f>
        <v>0</v>
      </c>
      <c r="Z61" s="1802"/>
      <c r="AA61" s="482">
        <f>ROUND(SUM(AA37:AA60),1)</f>
        <v>0</v>
      </c>
      <c r="AB61" s="2926"/>
      <c r="AC61" s="482">
        <f>ROUND(SUM(AC37:AC60),1)</f>
        <v>0</v>
      </c>
      <c r="AD61" s="1802"/>
      <c r="AE61" s="258"/>
      <c r="AF61" s="482">
        <f>ROUND(SUM(AF37:AF60),1)</f>
        <v>2525</v>
      </c>
      <c r="AG61" s="419"/>
      <c r="AH61" s="272"/>
      <c r="AI61" s="482">
        <f>ROUND(SUM(AI37:AI60),1)</f>
        <v>3036.8</v>
      </c>
      <c r="AJ61" s="283"/>
      <c r="AK61" s="653"/>
      <c r="AL61" s="482">
        <f>ROUND(SUM(AL37:AL60),1)</f>
        <v>-511.8</v>
      </c>
      <c r="AM61" s="2012"/>
      <c r="AN61" s="2013">
        <f>ROUND(SUM(AL61/AI61),3)</f>
        <v>-0.16900000000000001</v>
      </c>
    </row>
    <row r="62" spans="1:41" ht="15.75">
      <c r="A62" s="223"/>
      <c r="B62" s="587"/>
      <c r="C62" s="223"/>
      <c r="D62" s="223"/>
      <c r="E62" s="1146"/>
      <c r="F62" s="260"/>
      <c r="G62" s="2925"/>
      <c r="H62" s="515"/>
      <c r="I62" s="2925"/>
      <c r="J62" s="260"/>
      <c r="K62" s="2925"/>
      <c r="L62" s="260"/>
      <c r="M62" s="2925"/>
      <c r="N62" s="260"/>
      <c r="O62" s="3082"/>
      <c r="P62" s="260"/>
      <c r="Q62" s="3082"/>
      <c r="R62" s="260"/>
      <c r="S62" s="3082"/>
      <c r="T62" s="260"/>
      <c r="U62" s="3082"/>
      <c r="V62" s="260"/>
      <c r="W62" s="678"/>
      <c r="X62" s="260"/>
      <c r="Y62" s="678"/>
      <c r="Z62" s="260"/>
      <c r="AA62" s="515"/>
      <c r="AB62" s="515"/>
      <c r="AC62" s="515"/>
      <c r="AD62" s="260"/>
      <c r="AE62" s="249"/>
      <c r="AF62" s="515"/>
      <c r="AG62" s="1989"/>
      <c r="AH62" s="248"/>
      <c r="AI62" s="260"/>
      <c r="AJ62" s="273"/>
      <c r="AK62" s="653"/>
      <c r="AL62" s="250"/>
      <c r="AM62" s="654"/>
      <c r="AN62" s="652"/>
    </row>
    <row r="63" spans="1:41" ht="15.75">
      <c r="A63" s="223"/>
      <c r="B63" s="223" t="s">
        <v>154</v>
      </c>
      <c r="C63" s="223"/>
      <c r="D63" s="223"/>
      <c r="E63" s="515">
        <f>+' Exhibit I State'!E63+'Exhibit I Federal'!E45</f>
        <v>126.2</v>
      </c>
      <c r="F63" s="260"/>
      <c r="G63" s="515">
        <f>+' Exhibit I State'!G63+'Exhibit I Federal'!G45</f>
        <v>156.4</v>
      </c>
      <c r="H63" s="260"/>
      <c r="I63" s="515">
        <f>+' Exhibit I State'!I63+'Exhibit I Federal'!I45</f>
        <v>227.3</v>
      </c>
      <c r="J63" s="260"/>
      <c r="K63" s="515">
        <f>+' Exhibit I State'!K63+'Exhibit I Federal'!K45</f>
        <v>153.4</v>
      </c>
      <c r="L63" s="260"/>
      <c r="M63" s="515">
        <f>+' Exhibit I State'!M63+'Exhibit I Federal'!M45</f>
        <v>229.5</v>
      </c>
      <c r="N63" s="260"/>
      <c r="O63" s="515">
        <f>+' Exhibit I State'!O63+'Exhibit I Federal'!O45</f>
        <v>362.4</v>
      </c>
      <c r="P63" s="260"/>
      <c r="Q63" s="515">
        <f>+' Exhibit I State'!Q63+'Exhibit I Federal'!Q45</f>
        <v>164.1</v>
      </c>
      <c r="R63" s="260"/>
      <c r="S63" s="515">
        <f>+' Exhibit I State'!S63+'Exhibit I Federal'!S45</f>
        <v>204.5</v>
      </c>
      <c r="T63" s="260"/>
      <c r="U63" s="515">
        <f>+' Exhibit I State'!U63+'Exhibit I Federal'!U45</f>
        <v>380.3</v>
      </c>
      <c r="V63" s="260"/>
      <c r="W63" s="515">
        <f>+' Exhibit I State'!W63+'Exhibit I Federal'!W45</f>
        <v>138.1</v>
      </c>
      <c r="X63" s="260"/>
      <c r="Y63" s="678"/>
      <c r="Z63" s="260"/>
      <c r="AA63" s="678"/>
      <c r="AB63" s="678"/>
      <c r="AC63" s="678">
        <v>0</v>
      </c>
      <c r="AD63" s="260"/>
      <c r="AE63" s="249"/>
      <c r="AF63" s="260">
        <f>ROUND(SUM(E63:AA63),1)</f>
        <v>2142.1999999999998</v>
      </c>
      <c r="AG63" s="275"/>
      <c r="AH63" s="248"/>
      <c r="AI63" s="260">
        <v>1814.8</v>
      </c>
      <c r="AJ63" s="273"/>
      <c r="AK63" s="655"/>
      <c r="AL63" s="657">
        <f>ROUND(SUM(+AF63-AI63),1)</f>
        <v>327.39999999999998</v>
      </c>
      <c r="AM63" s="654"/>
      <c r="AN63" s="658">
        <f>ROUND(SUM(AL63/AI63),3)</f>
        <v>0.18</v>
      </c>
    </row>
    <row r="64" spans="1:41" ht="15.75">
      <c r="A64" s="223"/>
      <c r="B64" s="223"/>
      <c r="C64" s="223"/>
      <c r="D64" s="223"/>
      <c r="E64" s="287"/>
      <c r="F64" s="260"/>
      <c r="G64" s="287"/>
      <c r="H64" s="260"/>
      <c r="I64" s="287"/>
      <c r="J64" s="260"/>
      <c r="K64" s="287"/>
      <c r="L64" s="260"/>
      <c r="M64" s="287"/>
      <c r="N64" s="260"/>
      <c r="O64" s="287"/>
      <c r="P64" s="260"/>
      <c r="Q64" s="287"/>
      <c r="R64" s="260"/>
      <c r="S64" s="287"/>
      <c r="T64" s="260"/>
      <c r="U64" s="287"/>
      <c r="V64" s="260"/>
      <c r="W64" s="287"/>
      <c r="X64" s="260"/>
      <c r="Y64" s="287"/>
      <c r="Z64" s="260"/>
      <c r="AA64" s="287"/>
      <c r="AB64" s="248"/>
      <c r="AC64" s="287"/>
      <c r="AD64" s="260"/>
      <c r="AE64" s="249"/>
      <c r="AF64" s="287"/>
      <c r="AG64" s="275"/>
      <c r="AH64" s="248"/>
      <c r="AI64" s="287"/>
      <c r="AJ64" s="248"/>
      <c r="AK64" s="655"/>
      <c r="AL64" s="250"/>
      <c r="AM64" s="644"/>
      <c r="AN64" s="652"/>
    </row>
    <row r="65" spans="1:44" ht="15.75">
      <c r="A65" s="223"/>
      <c r="B65" s="221" t="s">
        <v>202</v>
      </c>
      <c r="C65" s="223"/>
      <c r="D65" s="223"/>
      <c r="E65" s="600">
        <f>ROUND(SUM(+E61+E63+E33),1)</f>
        <v>304.10000000000002</v>
      </c>
      <c r="F65" s="256"/>
      <c r="G65" s="600">
        <f>ROUND(SUM(+G61+G63+G33),1)</f>
        <v>438.8</v>
      </c>
      <c r="H65" s="256"/>
      <c r="I65" s="600">
        <f>ROUND(SUM(+I61+I63+I33),1)</f>
        <v>1021</v>
      </c>
      <c r="J65" s="256"/>
      <c r="K65" s="600">
        <f>ROUND(SUM(+K61+K63+K33),1)</f>
        <v>370.1</v>
      </c>
      <c r="L65" s="256"/>
      <c r="M65" s="600">
        <f>ROUND(SUM(+M61+M63+M33),1)</f>
        <v>431.5</v>
      </c>
      <c r="N65" s="256"/>
      <c r="O65" s="600">
        <f>ROUND(SUM(+O61+O63+O33),1)</f>
        <v>1157.8</v>
      </c>
      <c r="P65" s="256"/>
      <c r="Q65" s="600">
        <f>ROUND(SUM(+Q61+Q63+Q33),1)</f>
        <v>600.70000000000005</v>
      </c>
      <c r="R65" s="256"/>
      <c r="S65" s="600">
        <f>ROUND(SUM(+S61+S63+S33),1)</f>
        <v>391.7</v>
      </c>
      <c r="T65" s="256"/>
      <c r="U65" s="600">
        <f>ROUND(SUM(+U61+U63+U33),1)</f>
        <v>646.1</v>
      </c>
      <c r="V65" s="256"/>
      <c r="W65" s="600">
        <f>ROUND(SUM(+W61+W63+W33),1)</f>
        <v>474.9</v>
      </c>
      <c r="X65" s="256"/>
      <c r="Y65" s="600">
        <f>ROUND(SUM(+Y61+Y63+Y33),1)</f>
        <v>0</v>
      </c>
      <c r="Z65" s="256"/>
      <c r="AA65" s="600">
        <f>ROUND(SUM(+AA61+AA63+AA33),1)</f>
        <v>0</v>
      </c>
      <c r="AB65" s="1996"/>
      <c r="AC65" s="600">
        <f>ROUND(SUM(+AC61+AC63+AC33),1)</f>
        <v>0</v>
      </c>
      <c r="AD65" s="256"/>
      <c r="AE65" s="258"/>
      <c r="AF65" s="600">
        <f>ROUND(SUM(+AF61+AF63+AF33),1)</f>
        <v>5836.7</v>
      </c>
      <c r="AG65" s="419"/>
      <c r="AH65" s="272"/>
      <c r="AI65" s="600">
        <f>ROUND(SUM(+AI61+AI63+AI33),1)</f>
        <v>6017.4</v>
      </c>
      <c r="AJ65" s="283"/>
      <c r="AK65" s="655"/>
      <c r="AL65" s="600">
        <f>ROUND(SUM(+AL61+AL63+AL33),1)</f>
        <v>-180.7</v>
      </c>
      <c r="AM65" s="367"/>
      <c r="AN65" s="1761">
        <f>ROUND(SUM(AL65/AI65),3)</f>
        <v>-0.03</v>
      </c>
      <c r="AO65" s="649"/>
      <c r="AP65" s="659"/>
      <c r="AQ65" s="649"/>
      <c r="AR65" s="649"/>
    </row>
    <row r="66" spans="1:44" ht="15.75">
      <c r="A66" s="223"/>
      <c r="B66" s="223"/>
      <c r="C66" s="223"/>
      <c r="D66" s="223"/>
      <c r="E66" s="287"/>
      <c r="F66" s="260"/>
      <c r="G66" s="287"/>
      <c r="H66" s="260"/>
      <c r="I66" s="287"/>
      <c r="J66" s="260"/>
      <c r="K66" s="287"/>
      <c r="L66" s="260"/>
      <c r="M66" s="287"/>
      <c r="N66" s="260"/>
      <c r="O66" s="287"/>
      <c r="P66" s="260"/>
      <c r="Q66" s="287"/>
      <c r="R66" s="260"/>
      <c r="S66" s="287"/>
      <c r="T66" s="260"/>
      <c r="U66" s="287"/>
      <c r="V66" s="260"/>
      <c r="W66" s="287"/>
      <c r="X66" s="260"/>
      <c r="Y66" s="287"/>
      <c r="Z66" s="260"/>
      <c r="AA66" s="287"/>
      <c r="AB66" s="248"/>
      <c r="AC66" s="287"/>
      <c r="AD66" s="260"/>
      <c r="AE66" s="249"/>
      <c r="AF66" s="287"/>
      <c r="AG66" s="275"/>
      <c r="AH66" s="248"/>
      <c r="AI66" s="287"/>
      <c r="AJ66" s="248"/>
      <c r="AK66" s="655"/>
      <c r="AL66" s="250"/>
      <c r="AM66" s="644"/>
      <c r="AN66" s="652"/>
    </row>
    <row r="67" spans="1:44" ht="15.75">
      <c r="A67" s="223"/>
      <c r="B67" s="221" t="s">
        <v>23</v>
      </c>
      <c r="C67" s="223"/>
      <c r="D67" s="223"/>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49"/>
      <c r="AF67" s="260"/>
      <c r="AG67" s="275"/>
      <c r="AH67" s="248"/>
      <c r="AI67" s="260"/>
      <c r="AJ67" s="260"/>
      <c r="AK67" s="655"/>
      <c r="AL67" s="250"/>
      <c r="AM67" s="644"/>
      <c r="AN67" s="652"/>
    </row>
    <row r="68" spans="1:44" ht="15.75">
      <c r="A68" s="223"/>
      <c r="B68" s="223" t="s">
        <v>156</v>
      </c>
      <c r="C68" s="223"/>
      <c r="D68" s="223"/>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49"/>
      <c r="AF68" s="273"/>
      <c r="AG68" s="275"/>
      <c r="AH68" s="248"/>
      <c r="AI68" s="260"/>
      <c r="AJ68" s="260"/>
      <c r="AK68" s="655"/>
      <c r="AL68" s="250"/>
      <c r="AM68" s="644"/>
      <c r="AN68" s="652"/>
    </row>
    <row r="69" spans="1:44" ht="15.75">
      <c r="A69" s="223"/>
      <c r="B69" s="223" t="s">
        <v>25</v>
      </c>
      <c r="C69" s="223"/>
      <c r="D69" s="223"/>
      <c r="E69" s="515">
        <f>+' Exhibit I State'!E69+'Exhibit I Federal'!E51</f>
        <v>0</v>
      </c>
      <c r="F69" s="260"/>
      <c r="G69" s="515">
        <f>+' Exhibit I State'!G69+'Exhibit I Federal'!G51</f>
        <v>0.2</v>
      </c>
      <c r="H69" s="515"/>
      <c r="I69" s="515">
        <f>+' Exhibit I State'!I69+'Exhibit I Federal'!I51</f>
        <v>0.1</v>
      </c>
      <c r="J69" s="260"/>
      <c r="K69" s="515">
        <f>+' Exhibit I State'!K69+'Exhibit I Federal'!K51</f>
        <v>7.8</v>
      </c>
      <c r="L69" s="260"/>
      <c r="M69" s="515">
        <f>+' Exhibit I State'!M69+'Exhibit I Federal'!M51</f>
        <v>5.6</v>
      </c>
      <c r="N69" s="260"/>
      <c r="O69" s="515">
        <f>+' Exhibit I State'!O69+'Exhibit I Federal'!O51</f>
        <v>2.7</v>
      </c>
      <c r="P69" s="260"/>
      <c r="Q69" s="515">
        <f>+' Exhibit I State'!Q69+'Exhibit I Federal'!Q51</f>
        <v>2.6</v>
      </c>
      <c r="R69" s="260"/>
      <c r="S69" s="515">
        <f>+' Exhibit I State'!S69+'Exhibit I Federal'!S51</f>
        <v>2.9</v>
      </c>
      <c r="T69" s="260"/>
      <c r="U69" s="515">
        <f>+' Exhibit I State'!U69+'Exhibit I Federal'!U51</f>
        <v>7.5</v>
      </c>
      <c r="V69" s="260"/>
      <c r="W69" s="515">
        <f>+' Exhibit I State'!W69+'Exhibit I Federal'!W51</f>
        <v>0.5</v>
      </c>
      <c r="X69" s="260"/>
      <c r="Y69" s="678"/>
      <c r="Z69" s="260"/>
      <c r="AA69" s="678"/>
      <c r="AB69" s="678"/>
      <c r="AC69" s="678">
        <v>0</v>
      </c>
      <c r="AD69" s="260"/>
      <c r="AE69" s="249"/>
      <c r="AF69" s="260">
        <f>ROUND(SUM(E69:AA69),1)</f>
        <v>29.9</v>
      </c>
      <c r="AG69" s="275"/>
      <c r="AH69" s="248"/>
      <c r="AI69" s="260">
        <v>27.1</v>
      </c>
      <c r="AJ69" s="273"/>
      <c r="AK69" s="653"/>
      <c r="AL69" s="250">
        <f>ROUND(SUM(+AF69-AI69),1)</f>
        <v>2.8</v>
      </c>
      <c r="AM69" s="654"/>
      <c r="AN69" s="2713">
        <f>ROUND(IF(AI69=0,0,AL69/ABS(AI69)),3)</f>
        <v>0.10299999999999999</v>
      </c>
    </row>
    <row r="70" spans="1:44" ht="15.75">
      <c r="A70" s="223"/>
      <c r="B70" s="223" t="s">
        <v>26</v>
      </c>
      <c r="C70" s="223"/>
      <c r="D70" s="223"/>
      <c r="E70" s="515">
        <f>+' Exhibit I State'!E70+'Exhibit I Federal'!E52</f>
        <v>2.7</v>
      </c>
      <c r="F70" s="260"/>
      <c r="G70" s="515">
        <f>+' Exhibit I State'!G70+'Exhibit I Federal'!G52</f>
        <v>3.9</v>
      </c>
      <c r="H70" s="260"/>
      <c r="I70" s="515">
        <f>+' Exhibit I State'!I70+'Exhibit I Federal'!I52</f>
        <v>7.2</v>
      </c>
      <c r="J70" s="260"/>
      <c r="K70" s="515">
        <f>+' Exhibit I State'!K70+'Exhibit I Federal'!K52</f>
        <v>12.3</v>
      </c>
      <c r="L70" s="260"/>
      <c r="M70" s="515">
        <f>+' Exhibit I State'!M70+'Exhibit I Federal'!M52</f>
        <v>12</v>
      </c>
      <c r="N70" s="260"/>
      <c r="O70" s="515">
        <f>+' Exhibit I State'!O70+'Exhibit I Federal'!O52</f>
        <v>5.2</v>
      </c>
      <c r="P70" s="260"/>
      <c r="Q70" s="515">
        <f>+' Exhibit I State'!Q70+'Exhibit I Federal'!Q52</f>
        <v>7.2</v>
      </c>
      <c r="R70" s="260"/>
      <c r="S70" s="515">
        <f>+' Exhibit I State'!S70+'Exhibit I Federal'!S52</f>
        <v>31.9</v>
      </c>
      <c r="T70" s="260"/>
      <c r="U70" s="515">
        <f>+' Exhibit I State'!U70+'Exhibit I Federal'!U52</f>
        <v>178</v>
      </c>
      <c r="V70" s="260"/>
      <c r="W70" s="515">
        <f>+' Exhibit I State'!W70+'Exhibit I Federal'!W52</f>
        <v>6.9</v>
      </c>
      <c r="X70" s="260"/>
      <c r="Y70" s="678"/>
      <c r="Z70" s="260"/>
      <c r="AA70" s="678"/>
      <c r="AB70" s="678"/>
      <c r="AC70" s="678">
        <v>0</v>
      </c>
      <c r="AD70" s="260"/>
      <c r="AE70" s="249"/>
      <c r="AF70" s="260">
        <f t="shared" ref="AF70:AF77" si="3">ROUND(SUM(E70:AA70),1)</f>
        <v>267.3</v>
      </c>
      <c r="AG70" s="275"/>
      <c r="AH70" s="248"/>
      <c r="AI70" s="260">
        <v>242.5</v>
      </c>
      <c r="AJ70" s="273"/>
      <c r="AK70" s="653"/>
      <c r="AL70" s="250">
        <f t="shared" ref="AL70:AL77" si="4">ROUND(SUM(+AF70-AI70),1)</f>
        <v>24.8</v>
      </c>
      <c r="AM70" s="654"/>
      <c r="AN70" s="2664">
        <f>ROUND(IF(AI70=0,0,AL70/ABS(AI70)),3)</f>
        <v>0.10199999999999999</v>
      </c>
    </row>
    <row r="71" spans="1:44" ht="15.75">
      <c r="A71" s="223"/>
      <c r="B71" s="223" t="s">
        <v>27</v>
      </c>
      <c r="C71" s="223"/>
      <c r="D71" s="223"/>
      <c r="E71" s="515">
        <f>+' Exhibit I State'!E71+'Exhibit I Federal'!E53</f>
        <v>58.9</v>
      </c>
      <c r="F71" s="260"/>
      <c r="G71" s="515">
        <f>+' Exhibit I State'!G71+'Exhibit I Federal'!G53</f>
        <v>11.5</v>
      </c>
      <c r="H71" s="260"/>
      <c r="I71" s="515">
        <f>+' Exhibit I State'!I71+'Exhibit I Federal'!I53</f>
        <v>18</v>
      </c>
      <c r="J71" s="260"/>
      <c r="K71" s="515">
        <f>+' Exhibit I State'!K71+'Exhibit I Federal'!K53</f>
        <v>16.600000000000001</v>
      </c>
      <c r="L71" s="260"/>
      <c r="M71" s="515">
        <f>+' Exhibit I State'!M71+'Exhibit I Federal'!M53</f>
        <v>18.600000000000001</v>
      </c>
      <c r="N71" s="260"/>
      <c r="O71" s="515">
        <f>+' Exhibit I State'!O71+'Exhibit I Federal'!O53</f>
        <v>35.4</v>
      </c>
      <c r="P71" s="260"/>
      <c r="Q71" s="515">
        <f>+' Exhibit I State'!Q71+'Exhibit I Federal'!Q53</f>
        <v>66.2</v>
      </c>
      <c r="R71" s="260"/>
      <c r="S71" s="515">
        <f>+' Exhibit I State'!S71+'Exhibit I Federal'!S53</f>
        <v>30.7</v>
      </c>
      <c r="T71" s="260"/>
      <c r="U71" s="515">
        <f>+' Exhibit I State'!U71+'Exhibit I Federal'!U53</f>
        <v>82.9</v>
      </c>
      <c r="V71" s="260"/>
      <c r="W71" s="515">
        <f>+' Exhibit I State'!W71+'Exhibit I Federal'!W53</f>
        <v>38</v>
      </c>
      <c r="X71" s="260"/>
      <c r="Y71" s="678"/>
      <c r="Z71" s="260"/>
      <c r="AA71" s="678"/>
      <c r="AB71" s="678"/>
      <c r="AC71" s="678">
        <v>0</v>
      </c>
      <c r="AD71" s="260"/>
      <c r="AE71" s="249"/>
      <c r="AF71" s="260">
        <f t="shared" si="3"/>
        <v>376.8</v>
      </c>
      <c r="AG71" s="275"/>
      <c r="AH71" s="248"/>
      <c r="AI71" s="260">
        <v>90.2</v>
      </c>
      <c r="AJ71" s="273"/>
      <c r="AK71" s="653"/>
      <c r="AL71" s="250">
        <f t="shared" si="4"/>
        <v>286.60000000000002</v>
      </c>
      <c r="AM71" s="654"/>
      <c r="AN71" s="2664">
        <f>ROUND(IF(AI71=0,0,AL71/ABS(AI71)),3)</f>
        <v>3.177</v>
      </c>
      <c r="AO71" s="644"/>
    </row>
    <row r="72" spans="1:44" ht="15.75">
      <c r="A72" s="223"/>
      <c r="B72" s="223" t="s">
        <v>28</v>
      </c>
      <c r="C72" s="223"/>
      <c r="D72" s="223"/>
      <c r="E72" s="515"/>
      <c r="F72" s="260"/>
      <c r="G72" s="515"/>
      <c r="H72" s="260"/>
      <c r="I72" s="515"/>
      <c r="J72" s="260"/>
      <c r="K72" s="515"/>
      <c r="L72" s="260"/>
      <c r="M72" s="515"/>
      <c r="N72" s="260"/>
      <c r="O72" s="515"/>
      <c r="P72" s="260"/>
      <c r="Q72" s="515"/>
      <c r="R72" s="260"/>
      <c r="S72" s="515"/>
      <c r="T72" s="260"/>
      <c r="U72" s="515"/>
      <c r="V72" s="260"/>
      <c r="W72" s="515"/>
      <c r="X72" s="260"/>
      <c r="Y72" s="678"/>
      <c r="Z72" s="260"/>
      <c r="AA72" s="678"/>
      <c r="AB72" s="678"/>
      <c r="AC72" s="678"/>
      <c r="AD72" s="260"/>
      <c r="AE72" s="249"/>
      <c r="AF72" s="1146" t="s">
        <v>15</v>
      </c>
      <c r="AG72" s="275"/>
      <c r="AH72" s="248"/>
      <c r="AI72" s="265"/>
      <c r="AJ72" s="260"/>
      <c r="AK72" s="655"/>
      <c r="AL72" s="250" t="s">
        <v>15</v>
      </c>
      <c r="AM72" s="654"/>
      <c r="AN72" s="660" t="s">
        <v>15</v>
      </c>
      <c r="AO72" s="644"/>
    </row>
    <row r="73" spans="1:44" ht="15.75">
      <c r="A73" s="223"/>
      <c r="B73" s="223" t="s">
        <v>29</v>
      </c>
      <c r="C73" s="221"/>
      <c r="D73" s="223"/>
      <c r="E73" s="515">
        <f>+' Exhibit I State'!E73+'Exhibit I Federal'!E55</f>
        <v>0</v>
      </c>
      <c r="F73" s="260"/>
      <c r="G73" s="515">
        <f>+' Exhibit I State'!G73+'Exhibit I Federal'!G55</f>
        <v>0</v>
      </c>
      <c r="H73" s="260"/>
      <c r="I73" s="515">
        <f>+' Exhibit I State'!I73+'Exhibit I Federal'!I55</f>
        <v>0</v>
      </c>
      <c r="J73" s="260"/>
      <c r="K73" s="515">
        <f>+' Exhibit I State'!K73+'Exhibit I Federal'!K55</f>
        <v>0</v>
      </c>
      <c r="L73" s="260"/>
      <c r="M73" s="515">
        <f>+' Exhibit I State'!M73+'Exhibit I Federal'!M55</f>
        <v>0</v>
      </c>
      <c r="N73" s="260"/>
      <c r="O73" s="515">
        <f>+' Exhibit I State'!O73+'Exhibit I Federal'!O55</f>
        <v>0</v>
      </c>
      <c r="P73" s="260"/>
      <c r="Q73" s="515">
        <f>+' Exhibit I State'!Q73+'Exhibit I Federal'!Q55</f>
        <v>0</v>
      </c>
      <c r="R73" s="260"/>
      <c r="S73" s="515">
        <f>+' Exhibit I State'!S73+'Exhibit I Federal'!S55</f>
        <v>0</v>
      </c>
      <c r="T73" s="260"/>
      <c r="U73" s="515">
        <f>+' Exhibit I State'!U73+'Exhibit I Federal'!U55</f>
        <v>0</v>
      </c>
      <c r="V73" s="260"/>
      <c r="W73" s="515">
        <f>+' Exhibit I State'!W73+'Exhibit I Federal'!W55</f>
        <v>0</v>
      </c>
      <c r="X73" s="260"/>
      <c r="Y73" s="2752"/>
      <c r="Z73" s="260"/>
      <c r="AA73" s="2752"/>
      <c r="AB73" s="2752"/>
      <c r="AC73" s="2752">
        <v>0</v>
      </c>
      <c r="AD73" s="260"/>
      <c r="AE73" s="249"/>
      <c r="AF73" s="260">
        <f t="shared" si="3"/>
        <v>0</v>
      </c>
      <c r="AG73" s="275"/>
      <c r="AH73" s="248"/>
      <c r="AI73" s="265">
        <f>' Exhibit I State'!AG73+'Exhibit I Federal'!AG55</f>
        <v>0</v>
      </c>
      <c r="AJ73" s="260"/>
      <c r="AK73" s="655"/>
      <c r="AL73" s="250">
        <f t="shared" si="4"/>
        <v>0</v>
      </c>
      <c r="AM73" s="654"/>
      <c r="AN73" s="45">
        <f>ROUND(IF(AI73=0,0,AL73/ABS(AI73)),3)</f>
        <v>0</v>
      </c>
      <c r="AO73" s="644"/>
    </row>
    <row r="74" spans="1:44" ht="15.75">
      <c r="A74" s="223"/>
      <c r="B74" s="223" t="s">
        <v>30</v>
      </c>
      <c r="C74" s="223"/>
      <c r="D74" s="223"/>
      <c r="E74" s="515">
        <f>+' Exhibit I State'!E74+'Exhibit I Federal'!E56</f>
        <v>2.7</v>
      </c>
      <c r="F74" s="260"/>
      <c r="G74" s="515">
        <f>+' Exhibit I State'!G74+'Exhibit I Federal'!G56</f>
        <v>11.5</v>
      </c>
      <c r="H74" s="260"/>
      <c r="I74" s="515">
        <f>+' Exhibit I State'!I74+'Exhibit I Federal'!I56</f>
        <v>7.4</v>
      </c>
      <c r="J74" s="260"/>
      <c r="K74" s="515">
        <f>+' Exhibit I State'!K74+'Exhibit I Federal'!K56</f>
        <v>9.8000000000000007</v>
      </c>
      <c r="L74" s="260"/>
      <c r="M74" s="515">
        <f>+' Exhibit I State'!M74+'Exhibit I Federal'!M56</f>
        <v>3.4</v>
      </c>
      <c r="N74" s="260"/>
      <c r="O74" s="515">
        <f>+' Exhibit I State'!O74+'Exhibit I Federal'!O56</f>
        <v>11.8</v>
      </c>
      <c r="P74" s="260"/>
      <c r="Q74" s="515">
        <f>+' Exhibit I State'!Q74+'Exhibit I Federal'!Q56</f>
        <v>10.7</v>
      </c>
      <c r="R74" s="260"/>
      <c r="S74" s="515">
        <f>+' Exhibit I State'!S74+'Exhibit I Federal'!S56</f>
        <v>6.8</v>
      </c>
      <c r="T74" s="260"/>
      <c r="U74" s="515">
        <f>+' Exhibit I State'!U74+'Exhibit I Federal'!U56</f>
        <v>10.3</v>
      </c>
      <c r="V74" s="260"/>
      <c r="W74" s="515">
        <f>+' Exhibit I State'!W74+'Exhibit I Federal'!W56</f>
        <v>48.9</v>
      </c>
      <c r="X74" s="260"/>
      <c r="Y74" s="678"/>
      <c r="Z74" s="260"/>
      <c r="AA74" s="678"/>
      <c r="AB74" s="678"/>
      <c r="AC74" s="678">
        <v>0</v>
      </c>
      <c r="AD74" s="260"/>
      <c r="AE74" s="249"/>
      <c r="AF74" s="260">
        <f t="shared" si="3"/>
        <v>123.3</v>
      </c>
      <c r="AG74" s="275"/>
      <c r="AH74" s="248"/>
      <c r="AI74" s="265">
        <v>109.3</v>
      </c>
      <c r="AJ74" s="273"/>
      <c r="AK74" s="653"/>
      <c r="AL74" s="250">
        <f t="shared" si="4"/>
        <v>14</v>
      </c>
      <c r="AM74" s="654"/>
      <c r="AN74" s="45">
        <f>ROUND(IF(AI74=0,0,AL74/ABS(AI74)),3)</f>
        <v>0.128</v>
      </c>
    </row>
    <row r="75" spans="1:44" ht="15.75">
      <c r="A75" s="223"/>
      <c r="B75" s="223" t="s">
        <v>31</v>
      </c>
      <c r="C75" s="223"/>
      <c r="D75" s="223"/>
      <c r="E75" s="515">
        <f>+' Exhibit I State'!E75+'Exhibit I Federal'!E57</f>
        <v>-1.3</v>
      </c>
      <c r="F75" s="260"/>
      <c r="G75" s="515">
        <f>+' Exhibit I State'!G75+'Exhibit I Federal'!G57</f>
        <v>5.9</v>
      </c>
      <c r="H75" s="260"/>
      <c r="I75" s="515">
        <f>+' Exhibit I State'!I75+'Exhibit I Federal'!I57</f>
        <v>0.5</v>
      </c>
      <c r="J75" s="260"/>
      <c r="K75" s="515">
        <f>+' Exhibit I State'!K75+'Exhibit I Federal'!K57</f>
        <v>2.2000000000000002</v>
      </c>
      <c r="L75" s="260"/>
      <c r="M75" s="515">
        <f>+' Exhibit I State'!M75+'Exhibit I Federal'!M57</f>
        <v>0.6</v>
      </c>
      <c r="N75" s="260"/>
      <c r="O75" s="515">
        <f>+' Exhibit I State'!O75+'Exhibit I Federal'!O57</f>
        <v>10.4</v>
      </c>
      <c r="P75" s="260"/>
      <c r="Q75" s="515">
        <f>+' Exhibit I State'!Q75+'Exhibit I Federal'!Q57</f>
        <v>13</v>
      </c>
      <c r="R75" s="260"/>
      <c r="S75" s="515">
        <f>+' Exhibit I State'!S75+'Exhibit I Federal'!S57</f>
        <v>2.8</v>
      </c>
      <c r="T75" s="260"/>
      <c r="U75" s="515">
        <f>+' Exhibit I State'!U75+'Exhibit I Federal'!U57</f>
        <v>1.5</v>
      </c>
      <c r="V75" s="260"/>
      <c r="W75" s="515">
        <f>+' Exhibit I State'!W75+'Exhibit I Federal'!W57</f>
        <v>2.2000000000000002</v>
      </c>
      <c r="X75" s="260"/>
      <c r="Y75" s="2752"/>
      <c r="Z75" s="260"/>
      <c r="AA75" s="2752"/>
      <c r="AB75" s="2752"/>
      <c r="AC75" s="2752">
        <v>0</v>
      </c>
      <c r="AD75" s="260"/>
      <c r="AE75" s="249"/>
      <c r="AF75" s="260">
        <f t="shared" si="3"/>
        <v>37.799999999999997</v>
      </c>
      <c r="AG75" s="275"/>
      <c r="AH75" s="248"/>
      <c r="AI75" s="265">
        <v>50.8</v>
      </c>
      <c r="AJ75" s="273"/>
      <c r="AK75" s="653"/>
      <c r="AL75" s="250">
        <f t="shared" si="4"/>
        <v>-13</v>
      </c>
      <c r="AM75" s="654"/>
      <c r="AN75" s="2664">
        <f>ROUND(IF(AI75=0,1,AL75/ABS(AI75)),3)</f>
        <v>-0.25600000000000001</v>
      </c>
      <c r="AO75" s="644"/>
    </row>
    <row r="76" spans="1:44" ht="15.75">
      <c r="A76" s="223"/>
      <c r="B76" s="223" t="s">
        <v>32</v>
      </c>
      <c r="C76" s="223"/>
      <c r="D76" s="223"/>
      <c r="E76" s="515">
        <f>+' Exhibit I State'!E76+'Exhibit I Federal'!E58</f>
        <v>0</v>
      </c>
      <c r="F76" s="260"/>
      <c r="G76" s="515">
        <f>+' Exhibit I State'!G76+'Exhibit I Federal'!G58</f>
        <v>15.8</v>
      </c>
      <c r="H76" s="260"/>
      <c r="I76" s="515">
        <f>+' Exhibit I State'!I76+'Exhibit I Federal'!I58</f>
        <v>0</v>
      </c>
      <c r="J76" s="260"/>
      <c r="K76" s="515">
        <f>+' Exhibit I State'!K76+'Exhibit I Federal'!K58</f>
        <v>35</v>
      </c>
      <c r="L76" s="260"/>
      <c r="M76" s="515">
        <f>+' Exhibit I State'!M76+'Exhibit I Federal'!M58</f>
        <v>6</v>
      </c>
      <c r="N76" s="260"/>
      <c r="O76" s="515">
        <f>+' Exhibit I State'!O76+'Exhibit I Federal'!O58</f>
        <v>15.7</v>
      </c>
      <c r="P76" s="260"/>
      <c r="Q76" s="515">
        <f>+' Exhibit I State'!Q76+'Exhibit I Federal'!Q58</f>
        <v>9.1999999999999993</v>
      </c>
      <c r="R76" s="260"/>
      <c r="S76" s="515">
        <f>+' Exhibit I State'!S76+'Exhibit I Federal'!S58</f>
        <v>12.5</v>
      </c>
      <c r="T76" s="260"/>
      <c r="U76" s="515">
        <f>+' Exhibit I State'!U76+'Exhibit I Federal'!U58</f>
        <v>0.5</v>
      </c>
      <c r="V76" s="260"/>
      <c r="W76" s="515">
        <f>+' Exhibit I State'!W76+'Exhibit I Federal'!W58</f>
        <v>29.9</v>
      </c>
      <c r="X76" s="260"/>
      <c r="Y76" s="678"/>
      <c r="Z76" s="260"/>
      <c r="AA76" s="678"/>
      <c r="AB76" s="678"/>
      <c r="AC76" s="678">
        <v>0</v>
      </c>
      <c r="AD76" s="260"/>
      <c r="AE76" s="249"/>
      <c r="AF76" s="260">
        <f t="shared" si="3"/>
        <v>124.6</v>
      </c>
      <c r="AG76" s="275"/>
      <c r="AH76" s="248"/>
      <c r="AI76" s="265">
        <v>82.2</v>
      </c>
      <c r="AJ76" s="260"/>
      <c r="AK76" s="655"/>
      <c r="AL76" s="250">
        <f t="shared" si="4"/>
        <v>42.4</v>
      </c>
      <c r="AM76" s="654"/>
      <c r="AN76" s="2664">
        <f>ROUND(IF(AI76=0,1,AL76/ABS(AI76)),3)</f>
        <v>0.51600000000000001</v>
      </c>
      <c r="AO76" s="644"/>
    </row>
    <row r="77" spans="1:44" ht="15.75">
      <c r="A77" s="223"/>
      <c r="B77" s="223" t="s">
        <v>33</v>
      </c>
      <c r="C77" s="221"/>
      <c r="D77" s="223"/>
      <c r="E77" s="515">
        <f>+' Exhibit I State'!E77+'Exhibit I Federal'!E59</f>
        <v>2.7</v>
      </c>
      <c r="F77" s="260"/>
      <c r="G77" s="515">
        <f>+' Exhibit I State'!G77+'Exhibit I Federal'!G59</f>
        <v>8.3000000000000007</v>
      </c>
      <c r="H77" s="260"/>
      <c r="I77" s="515">
        <f>+' Exhibit I State'!I77+'Exhibit I Federal'!I59</f>
        <v>176.8</v>
      </c>
      <c r="J77" s="260"/>
      <c r="K77" s="515">
        <f>+' Exhibit I State'!K77+'Exhibit I Federal'!K59</f>
        <v>46</v>
      </c>
      <c r="L77" s="260"/>
      <c r="M77" s="515">
        <f>+' Exhibit I State'!M77+'Exhibit I Federal'!M59</f>
        <v>167</v>
      </c>
      <c r="N77" s="260"/>
      <c r="O77" s="515">
        <f>+' Exhibit I State'!O77+'Exhibit I Federal'!O59</f>
        <v>40.200000000000003</v>
      </c>
      <c r="P77" s="260"/>
      <c r="Q77" s="515">
        <f>+' Exhibit I State'!Q77+'Exhibit I Federal'!Q59</f>
        <v>4</v>
      </c>
      <c r="R77" s="260"/>
      <c r="S77" s="515">
        <f>+' Exhibit I State'!S77+'Exhibit I Federal'!S59</f>
        <v>53.7</v>
      </c>
      <c r="T77" s="260"/>
      <c r="U77" s="515">
        <f>+' Exhibit I State'!U77+'Exhibit I Federal'!U59</f>
        <v>7.3</v>
      </c>
      <c r="V77" s="260"/>
      <c r="W77" s="515">
        <f>+' Exhibit I State'!W77+'Exhibit I Federal'!W59</f>
        <v>45.4</v>
      </c>
      <c r="X77" s="260"/>
      <c r="Y77" s="678"/>
      <c r="Z77" s="260"/>
      <c r="AA77" s="678"/>
      <c r="AB77" s="678"/>
      <c r="AC77" s="678">
        <v>0</v>
      </c>
      <c r="AD77" s="260"/>
      <c r="AE77" s="249"/>
      <c r="AF77" s="260">
        <f t="shared" si="3"/>
        <v>551.4</v>
      </c>
      <c r="AG77" s="275"/>
      <c r="AH77" s="248"/>
      <c r="AI77" s="265">
        <v>493.5</v>
      </c>
      <c r="AJ77" s="260"/>
      <c r="AK77" s="655"/>
      <c r="AL77" s="250">
        <f t="shared" si="4"/>
        <v>57.9</v>
      </c>
      <c r="AM77" s="654"/>
      <c r="AN77" s="3042">
        <f>ROUND(IF(AI77=0,0,AL77/ABS(AI77)),3)</f>
        <v>0.11700000000000001</v>
      </c>
      <c r="AO77" s="644"/>
    </row>
    <row r="78" spans="1:44" ht="15.75">
      <c r="A78" s="223"/>
      <c r="B78" s="223" t="s">
        <v>34</v>
      </c>
      <c r="C78" s="223"/>
      <c r="D78" s="223"/>
      <c r="E78" s="515">
        <f>+' Exhibit I State'!E78+'Exhibit I Federal'!E60</f>
        <v>27.8</v>
      </c>
      <c r="F78" s="260"/>
      <c r="G78" s="515">
        <f>+' Exhibit I State'!G78+'Exhibit I Federal'!G60</f>
        <v>40.400000000000006</v>
      </c>
      <c r="H78" s="260"/>
      <c r="I78" s="515">
        <f>+' Exhibit I State'!I78+'Exhibit I Federal'!I60</f>
        <v>78.900000000000006</v>
      </c>
      <c r="J78" s="260"/>
      <c r="K78" s="515">
        <f>+' Exhibit I State'!K78+'Exhibit I Federal'!K60</f>
        <v>77.3</v>
      </c>
      <c r="L78" s="260"/>
      <c r="M78" s="515">
        <f>+' Exhibit I State'!M78+'Exhibit I Federal'!M60</f>
        <v>78</v>
      </c>
      <c r="N78" s="260"/>
      <c r="O78" s="515">
        <f>+' Exhibit I State'!O78+'Exhibit I Federal'!O60</f>
        <v>232</v>
      </c>
      <c r="P78" s="260"/>
      <c r="Q78" s="515">
        <f>+' Exhibit I State'!Q78+'Exhibit I Federal'!Q60</f>
        <v>71.100000000000009</v>
      </c>
      <c r="R78" s="260"/>
      <c r="S78" s="515">
        <f>+' Exhibit I State'!S78+'Exhibit I Federal'!S60</f>
        <v>35.4</v>
      </c>
      <c r="T78" s="260"/>
      <c r="U78" s="515">
        <f>+' Exhibit I State'!U78+'Exhibit I Federal'!U60</f>
        <v>278.7</v>
      </c>
      <c r="V78" s="260"/>
      <c r="W78" s="515">
        <f>+' Exhibit I State'!W78+'Exhibit I Federal'!W60</f>
        <v>44.1</v>
      </c>
      <c r="X78" s="260"/>
      <c r="Y78" s="678"/>
      <c r="Z78" s="260"/>
      <c r="AA78" s="678"/>
      <c r="AB78" s="678"/>
      <c r="AC78" s="678">
        <v>0</v>
      </c>
      <c r="AD78" s="260"/>
      <c r="AE78" s="249"/>
      <c r="AF78" s="260">
        <f>ROUND(SUM(E78:AA78),1)</f>
        <v>963.7</v>
      </c>
      <c r="AG78" s="275"/>
      <c r="AH78" s="248"/>
      <c r="AI78" s="1753">
        <v>729.7</v>
      </c>
      <c r="AJ78" s="248"/>
      <c r="AK78" s="655"/>
      <c r="AL78" s="250">
        <f>ROUND(SUM(+AF78-AI78),1)</f>
        <v>234</v>
      </c>
      <c r="AM78" s="644"/>
      <c r="AN78" s="1765">
        <f>ROUND(IF(AI78=0,0,AL78/ABS(AI78)),3)</f>
        <v>0.32100000000000001</v>
      </c>
      <c r="AO78" s="644"/>
    </row>
    <row r="79" spans="1:44" ht="15.75">
      <c r="A79" s="223"/>
      <c r="B79" s="221" t="s">
        <v>203</v>
      </c>
      <c r="C79" s="223"/>
      <c r="D79" s="223"/>
      <c r="E79" s="543">
        <f>ROUND(SUM(E69:E78),1)</f>
        <v>93.5</v>
      </c>
      <c r="F79" s="256"/>
      <c r="G79" s="543">
        <f>ROUND(SUM(G69:G78),1)</f>
        <v>97.5</v>
      </c>
      <c r="H79" s="256"/>
      <c r="I79" s="543">
        <f>ROUND(SUM(I69:I78),1)</f>
        <v>288.89999999999998</v>
      </c>
      <c r="J79" s="272"/>
      <c r="K79" s="543">
        <f>ROUND(SUM(K69:K78),1)</f>
        <v>207</v>
      </c>
      <c r="L79" s="272"/>
      <c r="M79" s="543">
        <f>ROUND(SUM(M69:M78),1)</f>
        <v>291.2</v>
      </c>
      <c r="N79" s="272"/>
      <c r="O79" s="543">
        <f>ROUND(SUM(O69:O78),1)</f>
        <v>353.4</v>
      </c>
      <c r="P79" s="256"/>
      <c r="Q79" s="543">
        <f>ROUND(SUM(Q69:Q78),1)</f>
        <v>184</v>
      </c>
      <c r="R79" s="256"/>
      <c r="S79" s="543">
        <f>ROUND(SUM(S69:S78),1)</f>
        <v>176.7</v>
      </c>
      <c r="T79" s="256"/>
      <c r="U79" s="543">
        <f>ROUND(SUM(U69:U78),1)</f>
        <v>566.70000000000005</v>
      </c>
      <c r="V79" s="256"/>
      <c r="W79" s="543">
        <f>ROUND(SUM(W69:W78),1)</f>
        <v>215.9</v>
      </c>
      <c r="X79" s="256"/>
      <c r="Y79" s="543">
        <f>ROUND(SUM(Y69:Y78),1)</f>
        <v>0</v>
      </c>
      <c r="Z79" s="256"/>
      <c r="AA79" s="543">
        <f>ROUND(SUM(AA69:AA78),1)</f>
        <v>0</v>
      </c>
      <c r="AB79" s="2926"/>
      <c r="AC79" s="543">
        <f>ROUND(SUM(AC69:AC78),1)</f>
        <v>0</v>
      </c>
      <c r="AD79" s="256"/>
      <c r="AE79" s="258"/>
      <c r="AF79" s="543">
        <f>ROUND(SUM(AF69:AF78),1)</f>
        <v>2474.8000000000002</v>
      </c>
      <c r="AG79" s="419"/>
      <c r="AH79" s="272"/>
      <c r="AI79" s="543">
        <f>ROUND(SUM(AI69:AI78),1)</f>
        <v>1825.3</v>
      </c>
      <c r="AJ79" s="272"/>
      <c r="AK79" s="655"/>
      <c r="AL79" s="543">
        <f>ROUND(SUM(AL69:AL78),1)</f>
        <v>649.5</v>
      </c>
      <c r="AM79" s="662"/>
      <c r="AN79" s="1761">
        <f>ROUND(SUM(AL79/AI79),3)</f>
        <v>0.35599999999999998</v>
      </c>
      <c r="AO79" s="649"/>
      <c r="AP79" s="659"/>
      <c r="AQ79" s="649"/>
      <c r="AR79" s="649"/>
    </row>
    <row r="80" spans="1:44" ht="15.75">
      <c r="A80" s="223"/>
      <c r="B80" s="223" t="s">
        <v>204</v>
      </c>
      <c r="C80" s="223"/>
      <c r="D80" s="223"/>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49"/>
      <c r="AF80" s="260"/>
      <c r="AG80" s="275"/>
      <c r="AH80" s="248"/>
      <c r="AI80" s="260"/>
      <c r="AJ80" s="260"/>
      <c r="AK80" s="655"/>
      <c r="AL80" s="250"/>
      <c r="AM80" s="644"/>
      <c r="AN80" s="652"/>
    </row>
    <row r="81" spans="1:44" ht="15.75">
      <c r="A81" s="223"/>
      <c r="B81" s="223" t="s">
        <v>205</v>
      </c>
      <c r="C81" s="223"/>
      <c r="D81" s="223"/>
      <c r="E81" s="515">
        <f>+' Exhibit I State'!E81+'Exhibit I Federal'!E63</f>
        <v>0</v>
      </c>
      <c r="F81" s="260"/>
      <c r="G81" s="515">
        <f>+' Exhibit I State'!G81+'Exhibit I Federal'!G63</f>
        <v>0</v>
      </c>
      <c r="H81" s="260"/>
      <c r="I81" s="515">
        <f>+' Exhibit I State'!I81+'Exhibit I Federal'!I63</f>
        <v>0</v>
      </c>
      <c r="J81" s="260"/>
      <c r="K81" s="515">
        <f>+' Exhibit I State'!K81+'Exhibit I Federal'!K63</f>
        <v>0</v>
      </c>
      <c r="L81" s="260"/>
      <c r="M81" s="515">
        <f>+' Exhibit I State'!M81+'Exhibit I Federal'!M63</f>
        <v>0</v>
      </c>
      <c r="N81" s="260"/>
      <c r="O81" s="515">
        <f>+' Exhibit I State'!O81+'Exhibit I Federal'!O63</f>
        <v>0</v>
      </c>
      <c r="P81" s="260"/>
      <c r="Q81" s="515">
        <f>+' Exhibit I State'!Q81+'Exhibit I Federal'!Q63</f>
        <v>0</v>
      </c>
      <c r="R81" s="260"/>
      <c r="S81" s="515">
        <f>+' Exhibit I State'!S81+'Exhibit I Federal'!S63</f>
        <v>0</v>
      </c>
      <c r="T81" s="260"/>
      <c r="U81" s="515">
        <f>+' Exhibit I State'!U81+'Exhibit I Federal'!U63</f>
        <v>0</v>
      </c>
      <c r="V81" s="260"/>
      <c r="W81" s="515">
        <f>+' Exhibit I State'!W81+'Exhibit I Federal'!W63</f>
        <v>0</v>
      </c>
      <c r="X81" s="260"/>
      <c r="Y81" s="2752"/>
      <c r="Z81" s="260"/>
      <c r="AA81" s="1107"/>
      <c r="AB81" s="1107"/>
      <c r="AC81" s="1107">
        <v>0</v>
      </c>
      <c r="AD81" s="260"/>
      <c r="AE81" s="249"/>
      <c r="AF81" s="273">
        <f>ROUND(SUM(E81:AA81),1)</f>
        <v>0</v>
      </c>
      <c r="AG81" s="275"/>
      <c r="AH81" s="248"/>
      <c r="AI81" s="371">
        <f>' Exhibit I State'!AG81+'Exhibit I Federal'!AG63</f>
        <v>0</v>
      </c>
      <c r="AJ81" s="265"/>
      <c r="AK81" s="664"/>
      <c r="AL81" s="661">
        <f>ROUND(SUM(+AF81-AI81),1)</f>
        <v>0</v>
      </c>
      <c r="AM81" s="644"/>
      <c r="AN81" s="45">
        <f>ROUND(IF(AI81=0,0,AL81/ABS(AI81)),3)</f>
        <v>0</v>
      </c>
    </row>
    <row r="82" spans="1:44" ht="15.75">
      <c r="A82" s="223"/>
      <c r="B82" s="223" t="s">
        <v>206</v>
      </c>
      <c r="C82" s="223"/>
      <c r="D82" s="223"/>
      <c r="E82" s="515">
        <f>+' Exhibit I State'!E82+'Exhibit I Federal'!E64</f>
        <v>0</v>
      </c>
      <c r="F82" s="260"/>
      <c r="G82" s="515">
        <f>+' Exhibit I State'!G82+'Exhibit I Federal'!G64</f>
        <v>0</v>
      </c>
      <c r="H82" s="260"/>
      <c r="I82" s="515">
        <f>+' Exhibit I State'!I82+'Exhibit I Federal'!I64</f>
        <v>0</v>
      </c>
      <c r="J82" s="260"/>
      <c r="K82" s="515">
        <f>+' Exhibit I State'!K82+'Exhibit I Federal'!K64</f>
        <v>0</v>
      </c>
      <c r="L82" s="260"/>
      <c r="M82" s="515">
        <f>+' Exhibit I State'!M82+'Exhibit I Federal'!M64</f>
        <v>0</v>
      </c>
      <c r="N82" s="260"/>
      <c r="O82" s="515">
        <f>+' Exhibit I State'!O82+'Exhibit I Federal'!O64</f>
        <v>0</v>
      </c>
      <c r="P82" s="260"/>
      <c r="Q82" s="515">
        <f>+' Exhibit I State'!Q82+'Exhibit I Federal'!Q64</f>
        <v>0</v>
      </c>
      <c r="R82" s="260"/>
      <c r="S82" s="515">
        <f>+' Exhibit I State'!S82+'Exhibit I Federal'!S64</f>
        <v>0</v>
      </c>
      <c r="T82" s="260"/>
      <c r="U82" s="515">
        <f>+' Exhibit I State'!U82+'Exhibit I Federal'!U64</f>
        <v>0</v>
      </c>
      <c r="V82" s="260"/>
      <c r="W82" s="515">
        <f>+' Exhibit I State'!W82+'Exhibit I Federal'!W64</f>
        <v>0</v>
      </c>
      <c r="X82" s="260"/>
      <c r="Y82" s="2752"/>
      <c r="Z82" s="260"/>
      <c r="AA82" s="1107"/>
      <c r="AB82" s="1107"/>
      <c r="AC82" s="1107">
        <v>0</v>
      </c>
      <c r="AD82" s="260"/>
      <c r="AE82" s="249"/>
      <c r="AF82" s="273">
        <f>ROUND(SUM(E82:AA82),1)</f>
        <v>0</v>
      </c>
      <c r="AG82" s="275"/>
      <c r="AH82" s="248"/>
      <c r="AI82" s="371">
        <f>' Exhibit I State'!AG82+'Exhibit I Federal'!AG64</f>
        <v>0</v>
      </c>
      <c r="AJ82" s="265"/>
      <c r="AK82" s="664"/>
      <c r="AL82" s="661">
        <f>ROUND(SUM(+AF82-AI82),1)</f>
        <v>0</v>
      </c>
      <c r="AM82" s="644"/>
      <c r="AN82" s="45">
        <f>ROUND(IF(AI82=0,0,AL82/ABS(AI82)),3)</f>
        <v>0</v>
      </c>
    </row>
    <row r="83" spans="1:44" ht="15.75">
      <c r="A83" s="223"/>
      <c r="B83" s="223" t="s">
        <v>207</v>
      </c>
      <c r="C83" s="223"/>
      <c r="D83" s="223"/>
      <c r="E83" s="515">
        <f>+' Exhibit I State'!E83+'Exhibit I Federal'!E65</f>
        <v>0</v>
      </c>
      <c r="F83" s="260"/>
      <c r="G83" s="515">
        <f>+' Exhibit I State'!G83+'Exhibit I Federal'!G65</f>
        <v>0</v>
      </c>
      <c r="H83" s="260"/>
      <c r="I83" s="515">
        <f>+' Exhibit I State'!I83+'Exhibit I Federal'!I65</f>
        <v>0</v>
      </c>
      <c r="J83" s="260"/>
      <c r="K83" s="515">
        <f>+' Exhibit I State'!K83+'Exhibit I Federal'!K65</f>
        <v>0</v>
      </c>
      <c r="L83" s="260"/>
      <c r="M83" s="515">
        <f>+' Exhibit I State'!M83+'Exhibit I Federal'!M65</f>
        <v>0</v>
      </c>
      <c r="N83" s="260"/>
      <c r="O83" s="515">
        <f>+' Exhibit I State'!O83+'Exhibit I Federal'!O65</f>
        <v>0</v>
      </c>
      <c r="P83" s="260"/>
      <c r="Q83" s="515">
        <f>+' Exhibit I State'!Q83+'Exhibit I Federal'!Q65</f>
        <v>0</v>
      </c>
      <c r="R83" s="260"/>
      <c r="S83" s="515">
        <f>+' Exhibit I State'!S83+'Exhibit I Federal'!S65</f>
        <v>0</v>
      </c>
      <c r="T83" s="260"/>
      <c r="U83" s="515">
        <f>+' Exhibit I State'!U83+'Exhibit I Federal'!U65</f>
        <v>0</v>
      </c>
      <c r="V83" s="260"/>
      <c r="W83" s="515">
        <f>+' Exhibit I State'!W83+'Exhibit I Federal'!W65</f>
        <v>0</v>
      </c>
      <c r="X83" s="260"/>
      <c r="Y83" s="2752"/>
      <c r="Z83" s="665"/>
      <c r="AA83" s="1107"/>
      <c r="AB83" s="1107"/>
      <c r="AC83" s="1107">
        <v>0</v>
      </c>
      <c r="AD83" s="665"/>
      <c r="AE83" s="666"/>
      <c r="AF83" s="273">
        <f>ROUND(SUM(E83:AA83),1)</f>
        <v>0</v>
      </c>
      <c r="AG83" s="275"/>
      <c r="AH83" s="248"/>
      <c r="AI83" s="371">
        <f>' Exhibit I State'!AG83+'Exhibit I Federal'!AG65</f>
        <v>0</v>
      </c>
      <c r="AJ83" s="265"/>
      <c r="AK83" s="664"/>
      <c r="AL83" s="661">
        <f>ROUND(SUM(+AF83-AI83),1)</f>
        <v>0</v>
      </c>
      <c r="AM83" s="644"/>
      <c r="AN83" s="45">
        <f>ROUND(IF(AI83=0,0,AL83/ABS(AI83)),3)</f>
        <v>0</v>
      </c>
    </row>
    <row r="84" spans="1:44" ht="15.75">
      <c r="A84" s="223"/>
      <c r="B84" s="246" t="s">
        <v>178</v>
      </c>
      <c r="C84" s="223"/>
      <c r="D84" s="223"/>
      <c r="E84" s="515">
        <f>+' Exhibit I State'!E84+'Exhibit I Federal'!E66</f>
        <v>313.5</v>
      </c>
      <c r="F84" s="260"/>
      <c r="G84" s="515">
        <f>+' Exhibit I State'!G84+'Exhibit I Federal'!G66</f>
        <v>485.9</v>
      </c>
      <c r="H84" s="371"/>
      <c r="I84" s="515">
        <f>+' Exhibit I State'!I84+'Exhibit I Federal'!I66</f>
        <v>643.59999999999991</v>
      </c>
      <c r="J84" s="371"/>
      <c r="K84" s="515">
        <f>+' Exhibit I State'!K84+'Exhibit I Federal'!K66</f>
        <v>470.70000000000005</v>
      </c>
      <c r="L84" s="260"/>
      <c r="M84" s="515">
        <f>+' Exhibit I State'!M84+'Exhibit I Federal'!M66</f>
        <v>561.20000000000005</v>
      </c>
      <c r="N84" s="260"/>
      <c r="O84" s="515">
        <f>+' Exhibit I State'!O84+'Exhibit I Federal'!O66</f>
        <v>689.09999999999991</v>
      </c>
      <c r="P84" s="260"/>
      <c r="Q84" s="515">
        <f>+' Exhibit I State'!Q84+'Exhibit I Federal'!Q66</f>
        <v>587.20000000000005</v>
      </c>
      <c r="R84" s="260"/>
      <c r="S84" s="515">
        <f>+' Exhibit I State'!S84+'Exhibit I Federal'!S66</f>
        <v>647.79999999999995</v>
      </c>
      <c r="T84" s="260"/>
      <c r="U84" s="515">
        <f>+' Exhibit I State'!U84+'Exhibit I Federal'!U66</f>
        <v>538</v>
      </c>
      <c r="V84" s="260"/>
      <c r="W84" s="515">
        <f>+' Exhibit I State'!W84+'Exhibit I Federal'!W66</f>
        <v>465.2</v>
      </c>
      <c r="X84" s="260"/>
      <c r="Y84" s="2752"/>
      <c r="Z84" s="260"/>
      <c r="AA84" s="1107"/>
      <c r="AB84" s="1107"/>
      <c r="AC84" s="1107">
        <v>0</v>
      </c>
      <c r="AD84" s="260"/>
      <c r="AE84" s="249"/>
      <c r="AF84" s="318">
        <f>ROUND(SUM(E84:AA84),1)</f>
        <v>5402.2</v>
      </c>
      <c r="AG84" s="275"/>
      <c r="AH84" s="248"/>
      <c r="AI84" s="1779">
        <v>5238.1000000000004</v>
      </c>
      <c r="AJ84" s="274"/>
      <c r="AK84" s="653"/>
      <c r="AL84" s="657">
        <f>ROUND(SUM(+AF84-AI84),1)</f>
        <v>164.1</v>
      </c>
      <c r="AM84" s="644"/>
      <c r="AN84" s="1765">
        <f>ROUND(IF(AI84=0,0,AL84/ABS(AI84)),3)</f>
        <v>3.1E-2</v>
      </c>
    </row>
    <row r="85" spans="1:44" ht="15.75">
      <c r="A85" s="223"/>
      <c r="B85" s="223"/>
      <c r="C85" s="223"/>
      <c r="D85" s="223"/>
      <c r="E85" s="287"/>
      <c r="F85" s="260"/>
      <c r="G85" s="287"/>
      <c r="H85" s="260"/>
      <c r="I85" s="287"/>
      <c r="J85" s="260"/>
      <c r="K85" s="287"/>
      <c r="L85" s="260"/>
      <c r="M85" s="287"/>
      <c r="N85" s="260"/>
      <c r="O85" s="287"/>
      <c r="P85" s="260"/>
      <c r="Q85" s="287"/>
      <c r="R85" s="260"/>
      <c r="S85" s="287"/>
      <c r="T85" s="260"/>
      <c r="U85" s="287"/>
      <c r="V85" s="260"/>
      <c r="W85" s="287"/>
      <c r="X85" s="260"/>
      <c r="Y85" s="287"/>
      <c r="Z85" s="260"/>
      <c r="AA85" s="287"/>
      <c r="AB85" s="248"/>
      <c r="AC85" s="287"/>
      <c r="AD85" s="260"/>
      <c r="AE85" s="249"/>
      <c r="AF85" s="287"/>
      <c r="AG85" s="275"/>
      <c r="AH85" s="248"/>
      <c r="AI85" s="250"/>
      <c r="AJ85" s="250"/>
      <c r="AK85" s="667"/>
      <c r="AL85" s="250"/>
      <c r="AM85" s="644"/>
      <c r="AN85" s="652"/>
    </row>
    <row r="86" spans="1:44" ht="15.75">
      <c r="A86" s="223"/>
      <c r="B86" s="221" t="s">
        <v>208</v>
      </c>
      <c r="C86" s="223"/>
      <c r="D86" s="223"/>
      <c r="E86" s="256">
        <f>ROUND(SUM(+E84+E79),1)</f>
        <v>407</v>
      </c>
      <c r="F86" s="256"/>
      <c r="G86" s="1802">
        <f>ROUND(SUM(+G84+G79),1)</f>
        <v>583.4</v>
      </c>
      <c r="H86" s="256"/>
      <c r="I86" s="1802">
        <f>ROUND(SUM(+I84+I79),1)</f>
        <v>932.5</v>
      </c>
      <c r="J86" s="256"/>
      <c r="K86" s="1802">
        <f>ROUND(SUM(+K84+K79),1)</f>
        <v>677.7</v>
      </c>
      <c r="L86" s="256"/>
      <c r="M86" s="1802">
        <f>ROUND(SUM(+M84+M79),1)</f>
        <v>852.4</v>
      </c>
      <c r="N86" s="256"/>
      <c r="O86" s="256">
        <f>ROUND(SUM(+O84+O79),1)</f>
        <v>1042.5</v>
      </c>
      <c r="P86" s="256"/>
      <c r="Q86" s="1802">
        <f>ROUND(SUM(+Q84+Q79),1)</f>
        <v>771.2</v>
      </c>
      <c r="R86" s="256"/>
      <c r="S86" s="1802">
        <f>ROUND(SUM(+S84+S79),1)</f>
        <v>824.5</v>
      </c>
      <c r="T86" s="256"/>
      <c r="U86" s="1802">
        <f>ROUND(SUM(+U84+U79),1)</f>
        <v>1104.7</v>
      </c>
      <c r="V86" s="256"/>
      <c r="W86" s="256">
        <f>ROUND(SUM(+W84+W79),1)</f>
        <v>681.1</v>
      </c>
      <c r="X86" s="256"/>
      <c r="Y86" s="1802">
        <f>ROUND(SUM(+Y84+Y79),1)</f>
        <v>0</v>
      </c>
      <c r="Z86" s="256"/>
      <c r="AA86" s="1802">
        <f>ROUND(SUM(+AA84+AA79),1)</f>
        <v>0</v>
      </c>
      <c r="AB86" s="1802"/>
      <c r="AC86" s="1802">
        <f>ROUND(SUM(+AC84+AC79),1)</f>
        <v>0</v>
      </c>
      <c r="AD86" s="256"/>
      <c r="AE86" s="258"/>
      <c r="AF86" s="256">
        <f>ROUND(SUM(+AF84+AF79),1)</f>
        <v>7877</v>
      </c>
      <c r="AG86" s="419"/>
      <c r="AH86" s="272"/>
      <c r="AI86" s="256">
        <f>ROUND(SUM(+AI84+AI79),1)</f>
        <v>7063.4</v>
      </c>
      <c r="AJ86" s="272"/>
      <c r="AK86" s="655"/>
      <c r="AL86" s="270">
        <f>ROUND(SUM(AL79+AL84),1)</f>
        <v>813.6</v>
      </c>
      <c r="AM86" s="662"/>
      <c r="AN86" s="553">
        <f>ROUND(SUM(AL86/AI86),3)</f>
        <v>0.115</v>
      </c>
      <c r="AO86" s="649"/>
      <c r="AP86" s="659"/>
      <c r="AQ86" s="649"/>
      <c r="AR86" s="649"/>
    </row>
    <row r="87" spans="1:44" ht="15.75">
      <c r="A87" s="223"/>
      <c r="B87" s="223"/>
      <c r="C87" s="223"/>
      <c r="D87" s="223"/>
      <c r="E87" s="287"/>
      <c r="F87" s="260"/>
      <c r="G87" s="287"/>
      <c r="H87" s="260"/>
      <c r="I87" s="287"/>
      <c r="J87" s="260"/>
      <c r="K87" s="287"/>
      <c r="L87" s="260"/>
      <c r="M87" s="287"/>
      <c r="N87" s="260"/>
      <c r="O87" s="287"/>
      <c r="P87" s="260"/>
      <c r="Q87" s="287"/>
      <c r="R87" s="260"/>
      <c r="S87" s="287"/>
      <c r="T87" s="260"/>
      <c r="U87" s="287"/>
      <c r="V87" s="260"/>
      <c r="W87" s="287"/>
      <c r="X87" s="260"/>
      <c r="Y87" s="287"/>
      <c r="Z87" s="260"/>
      <c r="AA87" s="287"/>
      <c r="AB87" s="248"/>
      <c r="AC87" s="287"/>
      <c r="AD87" s="260"/>
      <c r="AE87" s="249"/>
      <c r="AF87" s="287"/>
      <c r="AG87" s="275"/>
      <c r="AH87" s="248"/>
      <c r="AI87" s="287"/>
      <c r="AJ87" s="248"/>
      <c r="AK87" s="655"/>
      <c r="AL87" s="250"/>
      <c r="AM87" s="644"/>
      <c r="AN87" s="652"/>
    </row>
    <row r="88" spans="1:44" ht="15.75">
      <c r="A88" s="223"/>
      <c r="B88" s="221" t="s">
        <v>209</v>
      </c>
      <c r="C88" s="223"/>
      <c r="D88" s="223"/>
      <c r="E88" s="260"/>
      <c r="F88" s="260"/>
      <c r="G88" s="260"/>
      <c r="H88" s="260"/>
      <c r="I88" s="260"/>
      <c r="J88" s="260"/>
      <c r="K88" s="260"/>
      <c r="L88" s="260"/>
      <c r="M88" s="260"/>
      <c r="N88" s="260"/>
      <c r="O88" s="260"/>
      <c r="P88" s="260"/>
      <c r="Q88" s="260"/>
      <c r="R88" s="260"/>
      <c r="S88" s="260"/>
      <c r="T88" s="260"/>
      <c r="U88" s="260"/>
      <c r="V88" s="260"/>
      <c r="W88" s="515"/>
      <c r="X88" s="260"/>
      <c r="Y88" s="515"/>
      <c r="Z88" s="260"/>
      <c r="AA88" s="260"/>
      <c r="AB88" s="260"/>
      <c r="AC88" s="260"/>
      <c r="AD88" s="260"/>
      <c r="AE88" s="249"/>
      <c r="AF88" s="250"/>
      <c r="AG88" s="275"/>
      <c r="AH88" s="248"/>
      <c r="AI88" s="250"/>
      <c r="AJ88" s="250"/>
      <c r="AK88" s="667"/>
      <c r="AL88" s="250"/>
      <c r="AM88" s="644"/>
      <c r="AN88" s="652"/>
    </row>
    <row r="89" spans="1:44" ht="15.75">
      <c r="A89" s="223"/>
      <c r="B89" s="221" t="s">
        <v>210</v>
      </c>
      <c r="C89" s="223"/>
      <c r="D89" s="223"/>
      <c r="E89" s="256">
        <f>ROUND(SUM(E65-E86),1)</f>
        <v>-102.9</v>
      </c>
      <c r="F89" s="256"/>
      <c r="G89" s="1802">
        <f>ROUND(SUM(G65-G86),1)</f>
        <v>-144.6</v>
      </c>
      <c r="H89" s="256"/>
      <c r="I89" s="1802">
        <f>ROUND(SUM(I65-I86),1)</f>
        <v>88.5</v>
      </c>
      <c r="J89" s="256"/>
      <c r="K89" s="1802">
        <f>ROUND(SUM(K65-K86),1)</f>
        <v>-307.60000000000002</v>
      </c>
      <c r="L89" s="256"/>
      <c r="M89" s="1802">
        <f>ROUND(SUM(M65-M86),1)</f>
        <v>-420.9</v>
      </c>
      <c r="N89" s="256"/>
      <c r="O89" s="256">
        <f>ROUND(SUM(O65-O86),1)</f>
        <v>115.3</v>
      </c>
      <c r="P89" s="256"/>
      <c r="Q89" s="1802">
        <f>ROUND(SUM(Q65-Q86),1)</f>
        <v>-170.5</v>
      </c>
      <c r="R89" s="256"/>
      <c r="S89" s="1802">
        <f>ROUND(SUM(S65-S86),1)</f>
        <v>-432.8</v>
      </c>
      <c r="T89" s="256"/>
      <c r="U89" s="1802">
        <f>ROUND(SUM(U65-U86),1)</f>
        <v>-458.6</v>
      </c>
      <c r="V89" s="256"/>
      <c r="W89" s="256">
        <f>ROUND(SUM(W65-W86),1)</f>
        <v>-206.2</v>
      </c>
      <c r="X89" s="256"/>
      <c r="Y89" s="1802">
        <f>ROUND(SUM(Y65-Y86),1)</f>
        <v>0</v>
      </c>
      <c r="Z89" s="256"/>
      <c r="AA89" s="1802">
        <f>ROUND(SUM(AA65-AA86),1)</f>
        <v>0</v>
      </c>
      <c r="AB89" s="1802"/>
      <c r="AC89" s="1802">
        <f>ROUND(SUM(AC65-AC86),1)</f>
        <v>0</v>
      </c>
      <c r="AD89" s="256"/>
      <c r="AE89" s="258"/>
      <c r="AF89" s="256">
        <f>ROUND(SUM(AF65-AF86),1)</f>
        <v>-2040.3</v>
      </c>
      <c r="AG89" s="419"/>
      <c r="AH89" s="272"/>
      <c r="AI89" s="256">
        <f>ROUND(SUM(AI65-AI86),1)</f>
        <v>-1046</v>
      </c>
      <c r="AJ89" s="272"/>
      <c r="AK89" s="655"/>
      <c r="AL89" s="270">
        <f>ROUND(SUM(AL65-AL86),1)</f>
        <v>-994.3</v>
      </c>
      <c r="AM89" s="662"/>
      <c r="AN89" s="553">
        <f>ROUND(IF(AI89=0,0,AL89/ABS(AI89)),3)</f>
        <v>-0.95099999999999996</v>
      </c>
      <c r="AO89" s="649"/>
      <c r="AP89" s="649"/>
      <c r="AQ89" s="649"/>
      <c r="AR89" s="649"/>
    </row>
    <row r="90" spans="1:44" ht="15.75">
      <c r="A90" s="223"/>
      <c r="B90" s="223"/>
      <c r="C90" s="223"/>
      <c r="D90" s="223"/>
      <c r="E90" s="287"/>
      <c r="F90" s="260"/>
      <c r="G90" s="287"/>
      <c r="H90" s="260"/>
      <c r="I90" s="287"/>
      <c r="J90" s="260"/>
      <c r="K90" s="287"/>
      <c r="L90" s="260"/>
      <c r="M90" s="287"/>
      <c r="N90" s="260"/>
      <c r="O90" s="287"/>
      <c r="P90" s="260"/>
      <c r="Q90" s="287"/>
      <c r="R90" s="260"/>
      <c r="S90" s="287"/>
      <c r="T90" s="260"/>
      <c r="U90" s="287"/>
      <c r="V90" s="260"/>
      <c r="W90" s="287"/>
      <c r="X90" s="260"/>
      <c r="Y90" s="287"/>
      <c r="Z90" s="260"/>
      <c r="AA90" s="287"/>
      <c r="AB90" s="248"/>
      <c r="AC90" s="287"/>
      <c r="AD90" s="260"/>
      <c r="AE90" s="249"/>
      <c r="AF90" s="287"/>
      <c r="AG90" s="275"/>
      <c r="AH90" s="248"/>
      <c r="AI90" s="287"/>
      <c r="AJ90" s="248"/>
      <c r="AK90" s="655"/>
      <c r="AL90" s="250"/>
      <c r="AM90" s="644"/>
      <c r="AN90" s="652"/>
    </row>
    <row r="91" spans="1:44" ht="15.75">
      <c r="A91" s="223"/>
      <c r="B91" s="221" t="s">
        <v>211</v>
      </c>
      <c r="C91" s="223"/>
      <c r="D91" s="223"/>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49"/>
      <c r="AF91" s="260"/>
      <c r="AG91" s="275"/>
      <c r="AH91" s="248"/>
      <c r="AI91" s="265"/>
      <c r="AJ91" s="265"/>
      <c r="AK91" s="664"/>
      <c r="AL91" s="250"/>
      <c r="AM91" s="644"/>
      <c r="AN91" s="652"/>
    </row>
    <row r="92" spans="1:44" ht="15.75">
      <c r="A92" s="223"/>
      <c r="B92" s="223" t="s">
        <v>212</v>
      </c>
      <c r="C92" s="223"/>
      <c r="D92" s="223"/>
      <c r="E92" s="515">
        <f>+' Exhibit I State'!E92+'Exhibit I Federal'!E74</f>
        <v>0</v>
      </c>
      <c r="F92" s="260"/>
      <c r="G92" s="515">
        <f>+' Exhibit I State'!G92+'Exhibit I Federal'!G74</f>
        <v>0</v>
      </c>
      <c r="H92" s="371"/>
      <c r="I92" s="515">
        <f>+' Exhibit I State'!I92+'Exhibit I Federal'!I74</f>
        <v>0</v>
      </c>
      <c r="J92" s="260"/>
      <c r="K92" s="515">
        <f>+' Exhibit I State'!K92+'Exhibit I Federal'!K74</f>
        <v>0</v>
      </c>
      <c r="L92" s="260"/>
      <c r="M92" s="515">
        <f>+' Exhibit I State'!M92+'Exhibit I Federal'!M74</f>
        <v>0</v>
      </c>
      <c r="N92" s="371"/>
      <c r="O92" s="515">
        <f>+' Exhibit I State'!O92+'Exhibit I Federal'!O74</f>
        <v>0</v>
      </c>
      <c r="P92" s="260"/>
      <c r="Q92" s="515">
        <f>+' Exhibit I State'!Q92+'Exhibit I Federal'!Q74</f>
        <v>0</v>
      </c>
      <c r="R92" s="260"/>
      <c r="S92" s="515">
        <f>+' Exhibit I State'!S92+'Exhibit I Federal'!S74</f>
        <v>0</v>
      </c>
      <c r="T92" s="260"/>
      <c r="U92" s="515">
        <f>+' Exhibit I State'!U92+'Exhibit I Federal'!U74</f>
        <v>0</v>
      </c>
      <c r="V92" s="260"/>
      <c r="W92" s="515">
        <f>+' Exhibit I State'!W92+'Exhibit I Federal'!W74</f>
        <v>0</v>
      </c>
      <c r="X92" s="260"/>
      <c r="Y92" s="371"/>
      <c r="Z92" s="260"/>
      <c r="AA92" s="371"/>
      <c r="AB92" s="371"/>
      <c r="AC92" s="371">
        <v>0</v>
      </c>
      <c r="AD92" s="260"/>
      <c r="AE92" s="249"/>
      <c r="AF92" s="273">
        <f>ROUND(SUM(E92:AA92),1)</f>
        <v>0</v>
      </c>
      <c r="AG92" s="275"/>
      <c r="AH92" s="248"/>
      <c r="AI92" s="265">
        <f>' Exhibit I State'!AG92</f>
        <v>0</v>
      </c>
      <c r="AJ92" s="265"/>
      <c r="AK92" s="664"/>
      <c r="AL92" s="661">
        <f>ROUND(SUM(+AF92-AI92),1)</f>
        <v>0</v>
      </c>
      <c r="AM92" s="654"/>
      <c r="AN92" s="45">
        <f>ROUND(IF(AI92=0,0,AL92/ABS(AI92)),3)</f>
        <v>0</v>
      </c>
    </row>
    <row r="93" spans="1:44" ht="15.75">
      <c r="A93" s="223"/>
      <c r="B93" s="246" t="s">
        <v>179</v>
      </c>
      <c r="C93" s="223"/>
      <c r="D93" s="223"/>
      <c r="E93" s="515">
        <f>' Exhibit I State'!E93+'Exhibit I Federal'!E74</f>
        <v>162.19999999999999</v>
      </c>
      <c r="F93" s="260"/>
      <c r="G93" s="515">
        <f>' Exhibit I State'!G93+'Exhibit I Federal'!G74</f>
        <v>183.8</v>
      </c>
      <c r="H93" s="515"/>
      <c r="I93" s="515">
        <f>' Exhibit I State'!I93+'Exhibit I Federal'!I74</f>
        <v>138.4</v>
      </c>
      <c r="J93" s="260"/>
      <c r="K93" s="515">
        <f>' Exhibit I State'!K93+'Exhibit I Federal'!K74</f>
        <v>362.5</v>
      </c>
      <c r="L93" s="260"/>
      <c r="M93" s="515">
        <f>' Exhibit I State'!M93+'Exhibit I Federal'!M74</f>
        <v>352.8</v>
      </c>
      <c r="N93" s="260"/>
      <c r="O93" s="515">
        <f>' Exhibit I State'!O93+'Exhibit I Federal'!O74</f>
        <v>29.9</v>
      </c>
      <c r="P93" s="260"/>
      <c r="Q93" s="515">
        <f>' Exhibit I State'!Q93+'Exhibit I Federal'!Q74</f>
        <v>286.89999999999998</v>
      </c>
      <c r="R93" s="260"/>
      <c r="S93" s="515">
        <f>' Exhibit I State'!S93+'Exhibit I Federal'!S74</f>
        <v>300.89999999999998</v>
      </c>
      <c r="T93" s="260"/>
      <c r="U93" s="515">
        <f>' Exhibit I State'!U93+'Exhibit I Federal'!U74</f>
        <v>455</v>
      </c>
      <c r="V93" s="260"/>
      <c r="W93" s="515">
        <f>' Exhibit I State'!W93+'Exhibit I Federal'!W74</f>
        <v>256.2</v>
      </c>
      <c r="X93" s="260"/>
      <c r="Y93" s="515"/>
      <c r="Z93" s="260"/>
      <c r="AA93" s="2049"/>
      <c r="AB93" s="2049"/>
      <c r="AC93" s="2049">
        <v>-30.4</v>
      </c>
      <c r="AD93" s="260"/>
      <c r="AE93" s="249"/>
      <c r="AF93" s="273">
        <f>ROUND(SUM(E93:AC93),1)</f>
        <v>2498.1999999999998</v>
      </c>
      <c r="AG93" s="275"/>
      <c r="AH93" s="248"/>
      <c r="AI93" s="317">
        <v>1634.1</v>
      </c>
      <c r="AJ93" s="273"/>
      <c r="AK93" s="653"/>
      <c r="AL93" s="661">
        <f>ROUND(SUM(+AF93-AI93),1)</f>
        <v>864.1</v>
      </c>
      <c r="AM93" s="644"/>
      <c r="AN93" s="3042">
        <f>ROUND(IF(AI93=0,0,AL93/ABS(AI93)),3)</f>
        <v>0.52900000000000003</v>
      </c>
      <c r="AO93" s="644"/>
      <c r="AP93" s="368"/>
    </row>
    <row r="94" spans="1:44" ht="15.75">
      <c r="A94" s="223"/>
      <c r="B94" s="246" t="s">
        <v>213</v>
      </c>
      <c r="C94" s="223"/>
      <c r="D94" s="223"/>
      <c r="E94" s="260">
        <f>' Exhibit I State'!E94+'Exhibit I Federal'!E75</f>
        <v>-25.5</v>
      </c>
      <c r="F94" s="260"/>
      <c r="G94" s="260">
        <f>' Exhibit I State'!G94+'Exhibit I Federal'!G75</f>
        <v>-29</v>
      </c>
      <c r="H94" s="260"/>
      <c r="I94" s="260">
        <f>' Exhibit I State'!I94+'Exhibit I Federal'!I75</f>
        <v>-32.1</v>
      </c>
      <c r="J94" s="260"/>
      <c r="K94" s="260">
        <f>' Exhibit I State'!K94+'Exhibit I Federal'!K75</f>
        <v>-31.2</v>
      </c>
      <c r="L94" s="260"/>
      <c r="M94" s="260">
        <f>' Exhibit I State'!M94+'Exhibit I Federal'!M75</f>
        <v>-30.9</v>
      </c>
      <c r="N94" s="260"/>
      <c r="O94" s="260">
        <f>' Exhibit I State'!O94+'Exhibit I Federal'!O75</f>
        <v>-296.7</v>
      </c>
      <c r="P94" s="260"/>
      <c r="Q94" s="260">
        <f>' Exhibit I State'!Q94+'Exhibit I Federal'!Q75</f>
        <v>-30.8</v>
      </c>
      <c r="R94" s="260"/>
      <c r="S94" s="260">
        <f>' Exhibit I State'!S94+'Exhibit I Federal'!S75</f>
        <v>-25.8</v>
      </c>
      <c r="T94" s="260"/>
      <c r="U94" s="260">
        <f>' Exhibit I State'!U94+'Exhibit I Federal'!U75</f>
        <v>-25.4</v>
      </c>
      <c r="V94" s="260"/>
      <c r="W94" s="260">
        <f>' Exhibit I State'!W94+'Exhibit I Federal'!W75</f>
        <v>-29.3</v>
      </c>
      <c r="X94" s="260"/>
      <c r="Y94" s="515"/>
      <c r="Z94" s="260"/>
      <c r="AA94" s="2049"/>
      <c r="AB94" s="2049"/>
      <c r="AC94" s="2049">
        <v>30.4</v>
      </c>
      <c r="AD94" s="260"/>
      <c r="AE94" s="249"/>
      <c r="AF94" s="273">
        <f>ROUND(SUM(E94:AC94),1)</f>
        <v>-526.29999999999995</v>
      </c>
      <c r="AG94" s="275"/>
      <c r="AH94" s="248"/>
      <c r="AI94" s="524">
        <v>-710</v>
      </c>
      <c r="AJ94" s="248"/>
      <c r="AK94" s="655"/>
      <c r="AL94" s="1754">
        <f>ROUND(-SUM(+AF94-AI94),1)</f>
        <v>-183.7</v>
      </c>
      <c r="AM94" s="644"/>
      <c r="AN94" s="1765">
        <f>ROUND(IF(AI94=0,0,AL94/ABS(AI94)),3)</f>
        <v>-0.25900000000000001</v>
      </c>
      <c r="AO94" s="644"/>
      <c r="AP94" s="368"/>
    </row>
    <row r="95" spans="1:44" ht="15.75">
      <c r="A95" s="223"/>
      <c r="B95" s="223"/>
      <c r="C95" s="223"/>
      <c r="D95" s="223"/>
      <c r="E95" s="287"/>
      <c r="F95" s="260"/>
      <c r="G95" s="287"/>
      <c r="H95" s="260"/>
      <c r="I95" s="287"/>
      <c r="J95" s="260"/>
      <c r="K95" s="287"/>
      <c r="L95" s="260"/>
      <c r="M95" s="287"/>
      <c r="N95" s="260"/>
      <c r="O95" s="287"/>
      <c r="P95" s="260"/>
      <c r="Q95" s="287"/>
      <c r="R95" s="260"/>
      <c r="S95" s="287"/>
      <c r="T95" s="260"/>
      <c r="U95" s="287"/>
      <c r="V95" s="260"/>
      <c r="W95" s="287"/>
      <c r="X95" s="260"/>
      <c r="Y95" s="287"/>
      <c r="Z95" s="260"/>
      <c r="AA95" s="287"/>
      <c r="AB95" s="248"/>
      <c r="AC95" s="287"/>
      <c r="AD95" s="260"/>
      <c r="AE95" s="249"/>
      <c r="AF95" s="287"/>
      <c r="AG95" s="275"/>
      <c r="AH95" s="248"/>
      <c r="AI95" s="250"/>
      <c r="AJ95" s="250"/>
      <c r="AK95" s="667"/>
      <c r="AL95" s="250"/>
      <c r="AM95" s="644"/>
      <c r="AN95" s="652"/>
      <c r="AO95" s="368"/>
    </row>
    <row r="96" spans="1:44" ht="15.75">
      <c r="A96" s="223"/>
      <c r="B96" s="221" t="s">
        <v>1330</v>
      </c>
      <c r="C96" s="223"/>
      <c r="D96" s="223"/>
      <c r="E96" s="256">
        <f>ROUND(SUM(E92:E95),1)</f>
        <v>136.69999999999999</v>
      </c>
      <c r="F96" s="256"/>
      <c r="G96" s="1802">
        <f>ROUND(SUM(G92:G95),1)</f>
        <v>154.80000000000001</v>
      </c>
      <c r="H96" s="256"/>
      <c r="I96" s="1802">
        <f>ROUND(SUM(I92:I95),1)</f>
        <v>106.3</v>
      </c>
      <c r="J96" s="256"/>
      <c r="K96" s="1802">
        <f>ROUND(SUM(K92:K95),1)</f>
        <v>331.3</v>
      </c>
      <c r="L96" s="256"/>
      <c r="M96" s="1802">
        <f>ROUND(SUM(M92:M95),1)</f>
        <v>321.89999999999998</v>
      </c>
      <c r="N96" s="256"/>
      <c r="O96" s="256">
        <f>ROUND(SUM(O92:O95),1)</f>
        <v>-266.8</v>
      </c>
      <c r="P96" s="256"/>
      <c r="Q96" s="1802">
        <f>ROUND(SUM(Q92:Q95),1)</f>
        <v>256.10000000000002</v>
      </c>
      <c r="R96" s="256"/>
      <c r="S96" s="1802">
        <f>ROUND(SUM(S92:S95),1)</f>
        <v>275.10000000000002</v>
      </c>
      <c r="T96" s="256"/>
      <c r="U96" s="1802">
        <f>ROUND(SUM(U92:U95),1)</f>
        <v>429.6</v>
      </c>
      <c r="V96" s="256"/>
      <c r="W96" s="256">
        <f>ROUND(SUM(W92:W95),1)</f>
        <v>226.9</v>
      </c>
      <c r="X96" s="256"/>
      <c r="Y96" s="1802">
        <f>ROUND(SUM(Y92:Y95),1)</f>
        <v>0</v>
      </c>
      <c r="Z96" s="256"/>
      <c r="AA96" s="1802">
        <f>ROUND(SUM(AA92:AA95),1)</f>
        <v>0</v>
      </c>
      <c r="AB96" s="1802"/>
      <c r="AC96" s="1802">
        <f>ROUND(SUM(AC92:AC95),1)</f>
        <v>0</v>
      </c>
      <c r="AD96" s="256"/>
      <c r="AE96" s="258"/>
      <c r="AF96" s="256">
        <f>ROUND(SUM(AF92:AF95),1)</f>
        <v>1971.9</v>
      </c>
      <c r="AG96" s="419"/>
      <c r="AH96" s="272"/>
      <c r="AI96" s="256">
        <f>ROUND(SUM(AI92:AI95),1)</f>
        <v>924.1</v>
      </c>
      <c r="AJ96" s="272"/>
      <c r="AK96" s="655"/>
      <c r="AL96" s="270">
        <f>ROUND(SUM(AF96-AI96),1)</f>
        <v>1047.8</v>
      </c>
      <c r="AM96" s="662"/>
      <c r="AN96" s="670">
        <f>ROUND(SUM(AL96/ABS(AI96)),3)</f>
        <v>1.1339999999999999</v>
      </c>
      <c r="AO96" s="649"/>
      <c r="AP96" s="649"/>
      <c r="AQ96" s="649"/>
      <c r="AR96" s="649"/>
    </row>
    <row r="97" spans="1:55" ht="15.75">
      <c r="A97" s="223"/>
      <c r="B97" s="223"/>
      <c r="C97" s="223"/>
      <c r="D97" s="223"/>
      <c r="E97" s="287"/>
      <c r="F97" s="260"/>
      <c r="G97" s="287"/>
      <c r="H97" s="260"/>
      <c r="I97" s="287"/>
      <c r="J97" s="260"/>
      <c r="K97" s="287"/>
      <c r="L97" s="260"/>
      <c r="M97" s="287"/>
      <c r="N97" s="260"/>
      <c r="O97" s="287"/>
      <c r="P97" s="260"/>
      <c r="Q97" s="287"/>
      <c r="R97" s="260"/>
      <c r="S97" s="287"/>
      <c r="T97" s="260"/>
      <c r="U97" s="287"/>
      <c r="V97" s="260"/>
      <c r="W97" s="287"/>
      <c r="X97" s="260"/>
      <c r="Y97" s="287"/>
      <c r="Z97" s="260"/>
      <c r="AA97" s="287"/>
      <c r="AB97" s="248"/>
      <c r="AC97" s="287"/>
      <c r="AD97" s="260"/>
      <c r="AE97" s="249"/>
      <c r="AF97" s="287"/>
      <c r="AG97" s="275"/>
      <c r="AH97" s="248"/>
      <c r="AI97" s="287"/>
      <c r="AJ97" s="248"/>
      <c r="AK97" s="655"/>
      <c r="AL97" s="250"/>
      <c r="AM97" s="644"/>
      <c r="AN97" s="652"/>
    </row>
    <row r="98" spans="1:55" ht="15.75">
      <c r="A98" s="223"/>
      <c r="B98" s="223"/>
      <c r="C98" s="223"/>
      <c r="D98" s="223"/>
      <c r="E98" s="260"/>
      <c r="F98" s="260"/>
      <c r="G98" s="260"/>
      <c r="H98" s="260"/>
      <c r="I98" s="260" t="s">
        <v>15</v>
      </c>
      <c r="J98" s="260"/>
      <c r="K98" s="260"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260"/>
      <c r="AC98" s="260" t="s">
        <v>15</v>
      </c>
      <c r="AD98" s="260"/>
      <c r="AE98" s="249"/>
      <c r="AF98" s="260" t="s">
        <v>15</v>
      </c>
      <c r="AG98" s="275"/>
      <c r="AH98" s="248"/>
      <c r="AI98" s="260"/>
      <c r="AJ98" s="260"/>
      <c r="AK98" s="655"/>
      <c r="AL98" s="250" t="s">
        <v>15</v>
      </c>
      <c r="AM98" s="644"/>
      <c r="AN98" s="652"/>
    </row>
    <row r="99" spans="1:55" ht="15.75">
      <c r="A99" s="223"/>
      <c r="B99" s="221" t="s">
        <v>215</v>
      </c>
      <c r="C99" s="223"/>
      <c r="D99" s="223"/>
      <c r="E99" s="260"/>
      <c r="F99" s="260"/>
      <c r="G99" s="260"/>
      <c r="H99" s="260"/>
      <c r="I99" s="260" t="s">
        <v>15</v>
      </c>
      <c r="J99" s="260"/>
      <c r="K99" s="260"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260"/>
      <c r="AC99" s="260" t="s">
        <v>15</v>
      </c>
      <c r="AD99" s="260"/>
      <c r="AE99" s="249"/>
      <c r="AF99" s="260"/>
      <c r="AG99" s="275"/>
      <c r="AH99" s="248"/>
      <c r="AI99" s="260"/>
      <c r="AJ99" s="260"/>
      <c r="AK99" s="655"/>
      <c r="AL99" s="250"/>
      <c r="AM99" s="644"/>
      <c r="AN99" s="652"/>
    </row>
    <row r="100" spans="1:55" ht="15.75">
      <c r="A100" s="223"/>
      <c r="B100" s="221" t="s">
        <v>216</v>
      </c>
      <c r="C100" s="223"/>
      <c r="D100" s="223"/>
      <c r="E100" s="256" t="s">
        <v>15</v>
      </c>
      <c r="F100" s="256"/>
      <c r="G100" s="1802" t="s">
        <v>15</v>
      </c>
      <c r="H100" s="256"/>
      <c r="I100" s="256"/>
      <c r="J100" s="256"/>
      <c r="K100" s="1802"/>
      <c r="L100" s="256"/>
      <c r="M100" s="1802"/>
      <c r="N100" s="256"/>
      <c r="O100" s="256"/>
      <c r="P100" s="256"/>
      <c r="Q100" s="1802"/>
      <c r="R100" s="256"/>
      <c r="S100" s="1802"/>
      <c r="T100" s="256"/>
      <c r="U100" s="1802"/>
      <c r="V100" s="256"/>
      <c r="W100" s="256"/>
      <c r="X100" s="256"/>
      <c r="Y100" s="1802"/>
      <c r="Z100" s="256"/>
      <c r="AA100" s="1802"/>
      <c r="AB100" s="1802"/>
      <c r="AC100" s="1802"/>
      <c r="AD100" s="256"/>
      <c r="AE100" s="258"/>
      <c r="AF100" s="256" t="s">
        <v>15</v>
      </c>
      <c r="AG100" s="419"/>
      <c r="AH100" s="272"/>
      <c r="AI100" s="668"/>
      <c r="AJ100" s="668"/>
      <c r="AK100" s="667"/>
      <c r="AL100" s="668"/>
      <c r="AM100" s="662"/>
      <c r="AN100" s="648"/>
      <c r="AO100" s="649"/>
      <c r="AP100" s="649"/>
      <c r="AQ100" s="649"/>
      <c r="AR100" s="649"/>
      <c r="AS100" s="649"/>
      <c r="AT100" s="649"/>
      <c r="AU100" s="649"/>
      <c r="AV100" s="649"/>
      <c r="AW100" s="649"/>
      <c r="AX100" s="649"/>
      <c r="AY100" s="649"/>
    </row>
    <row r="101" spans="1:55" ht="15.75">
      <c r="A101" s="223"/>
      <c r="B101" s="221" t="s">
        <v>1320</v>
      </c>
      <c r="C101" s="223"/>
      <c r="D101" s="223"/>
      <c r="E101" s="669">
        <f>ROUND(SUM(E89+E96),1)</f>
        <v>33.799999999999997</v>
      </c>
      <c r="F101" s="256"/>
      <c r="G101" s="669">
        <f>ROUND(SUM(G89+G96),1)</f>
        <v>10.199999999999999</v>
      </c>
      <c r="H101" s="256"/>
      <c r="I101" s="669">
        <f>ROUND(SUM(I89+I96),1)</f>
        <v>194.8</v>
      </c>
      <c r="J101" s="256"/>
      <c r="K101" s="669">
        <f>ROUND(SUM(K89+K96),1)</f>
        <v>23.7</v>
      </c>
      <c r="L101" s="256"/>
      <c r="M101" s="669">
        <f>ROUND(SUM(M89+M96),1)</f>
        <v>-99</v>
      </c>
      <c r="N101" s="256"/>
      <c r="O101" s="669">
        <f>ROUND(SUM(O89+O96),1)</f>
        <v>-151.5</v>
      </c>
      <c r="P101" s="256"/>
      <c r="Q101" s="669">
        <f>ROUND(SUM(Q89+Q96),1)</f>
        <v>85.6</v>
      </c>
      <c r="R101" s="256"/>
      <c r="S101" s="669">
        <f>ROUND(SUM(S89+S96),1)</f>
        <v>-157.69999999999999</v>
      </c>
      <c r="T101" s="256"/>
      <c r="U101" s="669">
        <f>ROUND(SUM(U89+U96),1)</f>
        <v>-29</v>
      </c>
      <c r="V101" s="256"/>
      <c r="W101" s="669">
        <f>ROUND(SUM(W89+W96),1)</f>
        <v>20.7</v>
      </c>
      <c r="X101" s="256"/>
      <c r="Y101" s="669">
        <f>ROUND(SUM(Y89+Y96),1)</f>
        <v>0</v>
      </c>
      <c r="Z101" s="256"/>
      <c r="AA101" s="669">
        <f>ROUND(SUM(AA89+AA96),1)</f>
        <v>0</v>
      </c>
      <c r="AB101" s="3292"/>
      <c r="AC101" s="669">
        <f>ROUND(SUM(AC89+AC96),1)</f>
        <v>0</v>
      </c>
      <c r="AD101" s="256"/>
      <c r="AE101" s="258"/>
      <c r="AF101" s="669">
        <f>ROUND(AF89+AF96,1)</f>
        <v>-68.400000000000006</v>
      </c>
      <c r="AG101" s="419"/>
      <c r="AH101" s="272"/>
      <c r="AI101" s="669">
        <f>ROUND(AI89+AI96,1)</f>
        <v>-121.9</v>
      </c>
      <c r="AJ101" s="668"/>
      <c r="AK101" s="667"/>
      <c r="AL101" s="669">
        <f>ROUND(SUM(+AF101-AI101),1)</f>
        <v>53.5</v>
      </c>
      <c r="AM101" s="662"/>
      <c r="AN101" s="670">
        <f>ROUND(IF(AI101=0,0,AL101/ABS(AI101)),3)</f>
        <v>0.439</v>
      </c>
      <c r="AO101" s="649"/>
      <c r="AP101" s="671"/>
      <c r="AQ101" s="649"/>
      <c r="AR101" s="649"/>
      <c r="AS101" s="649"/>
      <c r="AT101" s="649"/>
      <c r="AU101" s="649"/>
      <c r="AV101" s="649"/>
      <c r="AW101" s="649"/>
      <c r="AX101" s="649"/>
      <c r="AY101" s="649"/>
    </row>
    <row r="102" spans="1:55">
      <c r="A102" s="223"/>
      <c r="B102" s="223" t="s">
        <v>15</v>
      </c>
      <c r="C102" s="223"/>
      <c r="D102" s="223"/>
      <c r="E102" s="228"/>
      <c r="F102" s="228"/>
      <c r="G102" s="228"/>
      <c r="H102" s="228"/>
      <c r="I102" s="228"/>
      <c r="J102" s="228"/>
      <c r="K102" s="228"/>
      <c r="L102" s="228"/>
      <c r="M102" s="228"/>
      <c r="N102" s="228"/>
      <c r="O102" s="228"/>
      <c r="P102" s="228"/>
      <c r="Q102" s="228"/>
      <c r="R102" s="228"/>
      <c r="S102" s="531" t="s">
        <v>15</v>
      </c>
      <c r="T102" s="228"/>
      <c r="U102" s="531" t="s">
        <v>15</v>
      </c>
      <c r="V102" s="228"/>
      <c r="W102" s="531" t="s">
        <v>15</v>
      </c>
      <c r="X102" s="228"/>
      <c r="Y102" s="531" t="s">
        <v>15</v>
      </c>
      <c r="Z102" s="228"/>
      <c r="AA102" s="228"/>
      <c r="AB102" s="228"/>
      <c r="AC102" s="228"/>
      <c r="AD102" s="298"/>
      <c r="AE102" s="672"/>
      <c r="AF102" s="228"/>
      <c r="AG102" s="298"/>
      <c r="AH102" s="672"/>
      <c r="AI102" s="228"/>
      <c r="AJ102" s="512"/>
      <c r="AK102" s="229"/>
      <c r="AL102" s="644"/>
      <c r="AM102" s="644"/>
      <c r="AN102" s="652"/>
      <c r="AO102" s="644"/>
      <c r="AP102" s="644"/>
    </row>
    <row r="103" spans="1:55" s="222" customFormat="1" ht="15" customHeight="1" thickBot="1">
      <c r="A103" s="223"/>
      <c r="B103" s="221" t="s">
        <v>1331</v>
      </c>
      <c r="C103" s="223"/>
      <c r="E103" s="501">
        <f>ROUND(SUM(+E101+E15),1)</f>
        <v>-857</v>
      </c>
      <c r="F103" s="293"/>
      <c r="G103" s="501">
        <f>ROUND(SUM(+G101+G15),1)</f>
        <v>-846.8</v>
      </c>
      <c r="H103" s="293"/>
      <c r="I103" s="501">
        <f>ROUND(SUM(+I101+I15),1)</f>
        <v>-652</v>
      </c>
      <c r="J103" s="293"/>
      <c r="K103" s="501">
        <f>ROUND(SUM(+K101+K15),1)</f>
        <v>-628.29999999999995</v>
      </c>
      <c r="L103" s="293"/>
      <c r="M103" s="501">
        <f>ROUND(SUM(+M101+M15),1)</f>
        <v>-727.3</v>
      </c>
      <c r="N103" s="293"/>
      <c r="O103" s="501">
        <f>ROUND(SUM(+O101+O15),1)</f>
        <v>-878.8</v>
      </c>
      <c r="P103" s="293"/>
      <c r="Q103" s="501">
        <f>ROUND(SUM(+Q101+Q15),1)</f>
        <v>-793.2</v>
      </c>
      <c r="R103" s="293"/>
      <c r="S103" s="501">
        <f>ROUND(SUM(+S101+S15),1)</f>
        <v>-950.9</v>
      </c>
      <c r="T103" s="293"/>
      <c r="U103" s="501">
        <f>ROUND(SUM(+U101+U15),1)</f>
        <v>-979.9</v>
      </c>
      <c r="V103" s="293"/>
      <c r="W103" s="501">
        <f>ROUND(SUM(+W101+W15),1)</f>
        <v>-959.2</v>
      </c>
      <c r="X103" s="293"/>
      <c r="Y103" s="501">
        <f>ROUND(SUM(+Y101+Y15),1)</f>
        <v>0</v>
      </c>
      <c r="Z103" s="293"/>
      <c r="AA103" s="501">
        <f>ROUND(SUM(+AA101+AA15),1)</f>
        <v>0</v>
      </c>
      <c r="AB103" s="422"/>
      <c r="AC103" s="501">
        <f>ROUND(SUM(+AC101+AC15),1)</f>
        <v>0</v>
      </c>
      <c r="AD103" s="293"/>
      <c r="AE103" s="294"/>
      <c r="AF103" s="501">
        <f>ROUND(SUM(+AF101+AF15),1)</f>
        <v>-959.2</v>
      </c>
      <c r="AG103" s="293"/>
      <c r="AH103" s="294"/>
      <c r="AI103" s="501">
        <f>ROUND(SUM(+AI101+AI15),1)</f>
        <v>-846.3</v>
      </c>
      <c r="AJ103" s="509"/>
      <c r="AK103" s="422"/>
      <c r="AL103" s="501">
        <f>ROUND(SUM(+AL101+AL15),1)</f>
        <v>-112.9</v>
      </c>
      <c r="AM103" s="383"/>
      <c r="AN103" s="529">
        <f>ROUND(SUM(-(+AF103-AI103)/AI103),3)</f>
        <v>-0.13300000000000001</v>
      </c>
      <c r="AO103" s="662"/>
      <c r="AP103" s="662"/>
      <c r="AQ103" s="649"/>
      <c r="AR103" s="649"/>
      <c r="AS103" s="504"/>
      <c r="AT103" s="504"/>
      <c r="AU103" s="504"/>
      <c r="AV103" s="504"/>
      <c r="AW103" s="504"/>
      <c r="AX103" s="504"/>
      <c r="AY103" s="504"/>
      <c r="AZ103" s="504"/>
      <c r="BA103" s="504"/>
      <c r="BB103" s="504"/>
      <c r="BC103" s="504"/>
    </row>
    <row r="104" spans="1:55" ht="15.75" thickTop="1">
      <c r="B104" s="423"/>
    </row>
    <row r="105" spans="1:55">
      <c r="B105" s="2735" t="s">
        <v>1461</v>
      </c>
      <c r="C105" s="674"/>
      <c r="D105" s="674"/>
      <c r="E105" s="675"/>
      <c r="F105" s="675"/>
      <c r="G105" s="675"/>
      <c r="AI105" s="676"/>
      <c r="AL105" s="368"/>
    </row>
    <row r="106" spans="1:55">
      <c r="B106" s="673"/>
      <c r="C106" s="674"/>
      <c r="D106" s="674"/>
      <c r="E106" s="675"/>
      <c r="F106" s="675"/>
      <c r="G106" s="675"/>
      <c r="AL106" s="368"/>
    </row>
    <row r="107" spans="1:55">
      <c r="B107" s="677"/>
      <c r="AL107" s="368"/>
    </row>
    <row r="108" spans="1:55">
      <c r="B108" s="677"/>
    </row>
    <row r="109" spans="1:55">
      <c r="B109" s="673"/>
    </row>
    <row r="110" spans="1:55">
      <c r="B110" s="677"/>
    </row>
    <row r="111" spans="1:55">
      <c r="B111" s="677"/>
    </row>
    <row r="112" spans="1:55">
      <c r="B112" s="673"/>
    </row>
    <row r="134" spans="31:31">
      <c r="AE134" s="300">
        <v>16739.599999999999</v>
      </c>
    </row>
    <row r="135" spans="31:31">
      <c r="AE135" s="300">
        <v>-16162.7</v>
      </c>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39" firstPageNumber="30" orientation="landscape" useFirstPageNumber="1" r:id="rId2"/>
  <headerFooter scaleWithDoc="0" alignWithMargins="0">
    <oddFooter>&amp;C&amp;8&amp;P</oddFooter>
  </headerFooter>
  <rowBreaks count="1" manualBreakCount="1">
    <brk id="66" min="1" max="37" man="1"/>
  </rowBreaks>
  <ignoredErrors>
    <ignoredError sqref="AN40 AN61:AN62 AN29 AN32 AN34:AN36 AN64:AN68 AN90:AN95 AN72:AN74 AN77:AN88 AN51:AN52 AN20:AN25" unlockedFormula="1"/>
    <ignoredError sqref="AN47 AN53 AN58:AN59 AN26 AN55" formula="1" unlockedFormula="1"/>
    <ignoredError sqref="AF57 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35"/>
  <sheetViews>
    <sheetView showGridLines="0" zoomScale="70" zoomScaleNormal="70" workbookViewId="0"/>
  </sheetViews>
  <sheetFormatPr defaultColWidth="8.88671875" defaultRowHeight="15"/>
  <cols>
    <col min="1" max="1" width="2.5546875" style="300" customWidth="1"/>
    <col min="2" max="2" width="14.33203125" style="300" customWidth="1"/>
    <col min="3" max="3" width="26.33203125" style="300" customWidth="1"/>
    <col min="4" max="4" width="2" style="300" customWidth="1"/>
    <col min="5" max="5" width="11.109375" style="2066" bestFit="1" customWidth="1"/>
    <col min="6" max="6" width="1.77734375" style="2066" customWidth="1"/>
    <col min="7" max="7" width="11.77734375" style="2066" customWidth="1"/>
    <col min="8" max="8" width="1.77734375" style="2066" customWidth="1"/>
    <col min="9" max="9" width="11.109375" style="2066" bestFit="1" customWidth="1"/>
    <col min="10" max="10" width="1.77734375" style="2066" customWidth="1"/>
    <col min="11" max="11" width="12" style="2066" customWidth="1"/>
    <col min="12" max="12" width="1.21875" style="300" customWidth="1"/>
    <col min="13" max="13" width="10.33203125" style="300" bestFit="1" customWidth="1"/>
    <col min="14" max="14" width="1.77734375" style="300" customWidth="1"/>
    <col min="15" max="15" width="11.33203125" style="300" customWidth="1"/>
    <col min="16" max="16" width="1.77734375" style="300" customWidth="1"/>
    <col min="17" max="17" width="9.6640625" style="300" customWidth="1"/>
    <col min="18" max="18" width="1.77734375" style="300" customWidth="1"/>
    <col min="19" max="19" width="10.5546875" style="300" customWidth="1"/>
    <col min="20" max="20" width="1.77734375" style="300" customWidth="1"/>
    <col min="21" max="21" width="10.6640625" style="300" customWidth="1"/>
    <col min="22" max="22" width="1.77734375" style="300" customWidth="1"/>
    <col min="23" max="23" width="9" style="300" bestFit="1" customWidth="1"/>
    <col min="24" max="24" width="1.77734375" style="300" customWidth="1"/>
    <col min="25" max="25" width="10.77734375" style="300" customWidth="1"/>
    <col min="26" max="26" width="1.77734375" style="300" customWidth="1"/>
    <col min="27" max="27" width="9" style="300" bestFit="1" customWidth="1"/>
    <col min="28" max="29" width="1.77734375" style="2066" customWidth="1"/>
    <col min="30" max="30" width="11.109375" style="2066" bestFit="1" customWidth="1"/>
    <col min="31" max="32" width="1.109375" style="2066" customWidth="1"/>
    <col min="33" max="33" width="11.33203125" style="2066" customWidth="1"/>
    <col min="34" max="35" width="1" style="2066" customWidth="1"/>
    <col min="36" max="36" width="13.44140625" style="2066" bestFit="1" customWidth="1"/>
    <col min="37" max="37" width="1.33203125" style="300" customWidth="1"/>
    <col min="38" max="38" width="12.88671875" style="300" customWidth="1"/>
    <col min="39" max="40" width="8.88671875" style="300"/>
    <col min="41" max="41" width="19.6640625" style="300" bestFit="1" customWidth="1"/>
    <col min="42" max="16384" width="8.88671875" style="300"/>
  </cols>
  <sheetData>
    <row r="1" spans="1:39">
      <c r="B1" s="1159" t="s">
        <v>1090</v>
      </c>
    </row>
    <row r="2" spans="1:39">
      <c r="B2" s="1651"/>
    </row>
    <row r="3" spans="1:39" ht="19.5" customHeight="1">
      <c r="A3" s="633"/>
      <c r="B3" s="536" t="s">
        <v>0</v>
      </c>
      <c r="C3" s="634"/>
      <c r="D3" s="634"/>
      <c r="E3" s="2067"/>
      <c r="F3" s="2068"/>
      <c r="G3" s="2068"/>
      <c r="H3" s="2068"/>
      <c r="I3" s="2068"/>
      <c r="J3" s="2068"/>
      <c r="K3" s="2068"/>
      <c r="L3" s="635"/>
      <c r="M3" s="635"/>
      <c r="N3" s="635"/>
      <c r="O3" s="635"/>
      <c r="P3" s="635"/>
      <c r="Q3" s="635"/>
      <c r="R3" s="635"/>
      <c r="S3" s="635"/>
      <c r="T3" s="635"/>
      <c r="U3" s="635"/>
      <c r="V3" s="635"/>
      <c r="W3" s="635"/>
      <c r="X3" s="635"/>
      <c r="Y3" s="635"/>
      <c r="Z3" s="635"/>
      <c r="AA3" s="635"/>
      <c r="AB3" s="2068"/>
      <c r="AC3" s="2068"/>
      <c r="AD3" s="2068"/>
      <c r="AE3" s="2068"/>
      <c r="AF3" s="2068"/>
      <c r="AG3" s="2068"/>
      <c r="AH3" s="2068"/>
      <c r="AI3" s="2068"/>
      <c r="AL3" s="738" t="s">
        <v>200</v>
      </c>
    </row>
    <row r="4" spans="1:39" ht="19.5" customHeight="1">
      <c r="A4" s="633"/>
      <c r="B4" s="536" t="s">
        <v>217</v>
      </c>
      <c r="C4" s="634"/>
      <c r="D4" s="634"/>
      <c r="E4" s="2067"/>
      <c r="F4" s="2068"/>
      <c r="G4" s="2068"/>
      <c r="H4" s="2068"/>
      <c r="I4" s="2068"/>
      <c r="J4" s="2068"/>
      <c r="K4" s="2068"/>
      <c r="L4" s="635"/>
      <c r="M4" s="635"/>
      <c r="N4" s="635"/>
      <c r="O4" s="635"/>
      <c r="P4" s="635"/>
      <c r="Q4" s="635"/>
      <c r="R4" s="635"/>
      <c r="S4" s="635"/>
      <c r="T4" s="635"/>
      <c r="U4" s="635"/>
      <c r="V4" s="635"/>
      <c r="W4" s="635"/>
      <c r="X4" s="635"/>
      <c r="Y4" s="635"/>
      <c r="Z4" s="635"/>
      <c r="AA4" s="635"/>
      <c r="AB4" s="2068"/>
      <c r="AC4" s="2068"/>
      <c r="AE4" s="2080"/>
      <c r="AF4" s="2080"/>
    </row>
    <row r="5" spans="1:39" ht="19.5" customHeight="1">
      <c r="A5" s="633"/>
      <c r="B5" s="503" t="s">
        <v>1109</v>
      </c>
      <c r="C5" s="634"/>
      <c r="D5" s="634"/>
      <c r="E5" s="2067"/>
      <c r="F5" s="2068"/>
      <c r="G5" s="2068"/>
      <c r="H5" s="2068"/>
      <c r="I5" s="2068"/>
      <c r="J5" s="2068"/>
      <c r="K5" s="2068"/>
      <c r="L5" s="635"/>
      <c r="M5" s="635"/>
      <c r="N5" s="635"/>
      <c r="O5" s="635"/>
      <c r="P5" s="635"/>
      <c r="Q5" s="635"/>
      <c r="R5" s="635"/>
      <c r="S5" s="635"/>
      <c r="T5" s="635"/>
      <c r="U5" s="635"/>
      <c r="V5" s="635"/>
      <c r="W5" s="635"/>
      <c r="X5" s="635"/>
      <c r="Y5" s="635"/>
      <c r="Z5" s="635"/>
      <c r="AA5" s="635"/>
      <c r="AB5" s="2068"/>
      <c r="AC5" s="2068"/>
      <c r="AD5" s="2068"/>
      <c r="AE5" s="2068"/>
      <c r="AF5" s="2068"/>
      <c r="AG5" s="2068"/>
      <c r="AH5" s="2068"/>
      <c r="AI5" s="2068"/>
      <c r="AL5" s="505"/>
    </row>
    <row r="6" spans="1:39" ht="19.5" customHeight="1">
      <c r="A6" s="633"/>
      <c r="B6" s="2929" t="s">
        <v>1420</v>
      </c>
      <c r="C6" s="634"/>
      <c r="D6" s="634"/>
      <c r="E6" s="2067"/>
      <c r="F6" s="2068"/>
      <c r="G6" s="2068"/>
      <c r="H6" s="2069"/>
      <c r="I6" s="2068"/>
      <c r="J6" s="2068"/>
      <c r="K6" s="2068"/>
      <c r="L6" s="635"/>
      <c r="M6" s="635"/>
      <c r="N6" s="635"/>
      <c r="O6" s="635"/>
      <c r="P6" s="635"/>
      <c r="Q6" s="635"/>
      <c r="R6" s="635"/>
      <c r="S6" s="635"/>
      <c r="T6" s="635"/>
      <c r="U6" s="635"/>
      <c r="V6" s="635"/>
      <c r="W6" s="635"/>
      <c r="X6" s="635"/>
      <c r="Y6" s="635"/>
      <c r="Z6" s="635"/>
      <c r="AA6" s="635"/>
      <c r="AB6" s="2068"/>
      <c r="AC6" s="2068"/>
      <c r="AD6" s="2068"/>
      <c r="AE6" s="2081"/>
      <c r="AF6" s="2081"/>
      <c r="AG6" s="2081"/>
      <c r="AH6" s="2081"/>
      <c r="AI6" s="2081"/>
    </row>
    <row r="7" spans="1:39" ht="19.5" customHeight="1">
      <c r="A7" s="633"/>
      <c r="B7" s="639" t="s">
        <v>980</v>
      </c>
      <c r="C7" s="634"/>
      <c r="D7" s="634"/>
      <c r="E7" s="2067"/>
      <c r="F7" s="2068"/>
      <c r="G7" s="2068"/>
      <c r="H7" s="2069"/>
      <c r="I7" s="2068"/>
      <c r="J7" s="2068"/>
      <c r="K7" s="2068"/>
      <c r="L7" s="635"/>
      <c r="M7" s="635"/>
      <c r="N7" s="635"/>
      <c r="O7" s="635"/>
      <c r="P7" s="635"/>
      <c r="Q7" s="635"/>
      <c r="R7" s="635"/>
      <c r="S7" s="635"/>
      <c r="T7" s="635"/>
      <c r="U7" s="635"/>
      <c r="V7" s="635"/>
      <c r="W7" s="635"/>
      <c r="X7" s="635"/>
      <c r="Y7" s="635"/>
      <c r="Z7" s="635"/>
      <c r="AA7" s="635"/>
      <c r="AB7" s="2068"/>
      <c r="AC7" s="2068"/>
      <c r="AD7" s="2068"/>
      <c r="AE7" s="2081"/>
      <c r="AF7" s="2081"/>
      <c r="AG7" s="2081"/>
      <c r="AH7" s="2081"/>
      <c r="AI7" s="2081"/>
    </row>
    <row r="8" spans="1:39" ht="19.5" customHeight="1">
      <c r="A8" s="633"/>
      <c r="C8" s="634"/>
      <c r="D8" s="634"/>
      <c r="E8" s="2067"/>
      <c r="F8" s="2068"/>
      <c r="G8" s="2068"/>
      <c r="H8" s="2068"/>
      <c r="I8" s="2068"/>
      <c r="J8" s="2068"/>
      <c r="K8" s="2068"/>
      <c r="L8" s="635"/>
      <c r="M8" s="635"/>
      <c r="N8" s="635"/>
      <c r="O8" s="635"/>
      <c r="P8" s="635"/>
      <c r="Q8" s="635"/>
      <c r="R8" s="635"/>
      <c r="S8" s="635"/>
      <c r="T8" s="635"/>
      <c r="U8" s="635"/>
      <c r="V8" s="635"/>
      <c r="W8" s="635"/>
      <c r="X8" s="635"/>
      <c r="Y8" s="635"/>
      <c r="Z8" s="635"/>
      <c r="AA8" s="635"/>
      <c r="AB8" s="2068"/>
      <c r="AC8" s="2082"/>
    </row>
    <row r="9" spans="1:39" ht="15.75" customHeight="1">
      <c r="A9" s="633"/>
      <c r="B9" s="639"/>
      <c r="C9" s="634"/>
      <c r="D9" s="634"/>
      <c r="E9" s="2067"/>
      <c r="F9" s="2068"/>
      <c r="G9" s="2068"/>
      <c r="H9" s="2068"/>
      <c r="I9" s="2068"/>
      <c r="J9" s="2068"/>
      <c r="K9" s="2068"/>
      <c r="L9" s="635"/>
      <c r="M9" s="635"/>
      <c r="N9" s="635"/>
      <c r="O9" s="635"/>
      <c r="P9" s="635"/>
      <c r="Q9" s="635"/>
      <c r="R9" s="635"/>
      <c r="S9" s="635"/>
      <c r="T9" s="635"/>
      <c r="U9" s="635"/>
      <c r="V9" s="635"/>
      <c r="W9" s="635"/>
      <c r="X9" s="635"/>
      <c r="Y9" s="635"/>
      <c r="Z9" s="635"/>
      <c r="AA9" s="635"/>
      <c r="AB9" s="2068"/>
      <c r="AC9" s="2082"/>
    </row>
    <row r="10" spans="1:39" ht="15.75" customHeight="1">
      <c r="A10" s="633"/>
      <c r="B10" s="641"/>
      <c r="C10" s="634"/>
      <c r="D10" s="634"/>
      <c r="E10" s="2067"/>
      <c r="F10" s="2068"/>
      <c r="G10" s="2068"/>
      <c r="H10" s="2068"/>
      <c r="I10" s="2068"/>
      <c r="J10" s="2068"/>
      <c r="K10" s="2068"/>
      <c r="L10" s="635"/>
      <c r="M10" s="635"/>
      <c r="N10" s="635"/>
      <c r="O10" s="635"/>
      <c r="P10" s="635"/>
      <c r="Q10" s="635"/>
      <c r="R10" s="635"/>
      <c r="S10" s="635"/>
      <c r="T10" s="635"/>
      <c r="U10" s="635"/>
      <c r="V10" s="635"/>
      <c r="W10" s="635"/>
      <c r="X10" s="635"/>
      <c r="Y10" s="635"/>
      <c r="Z10" s="635"/>
      <c r="AA10" s="635"/>
      <c r="AB10" s="2068"/>
      <c r="AC10" s="2082"/>
      <c r="AD10" s="3512" t="s">
        <v>1558</v>
      </c>
      <c r="AE10" s="3513"/>
      <c r="AF10" s="3513"/>
      <c r="AG10" s="3513"/>
      <c r="AH10" s="3513"/>
      <c r="AI10" s="3513"/>
      <c r="AJ10" s="3513"/>
      <c r="AK10" s="3513"/>
      <c r="AL10" s="3513"/>
    </row>
    <row r="11" spans="1:39" ht="15.75" customHeight="1">
      <c r="A11" s="633"/>
      <c r="B11" s="641"/>
      <c r="C11" s="634"/>
      <c r="D11" s="634"/>
      <c r="E11" s="2070"/>
      <c r="F11" s="2071"/>
      <c r="G11" s="2071"/>
      <c r="H11" s="2071"/>
      <c r="I11" s="2071"/>
      <c r="J11" s="2071"/>
      <c r="K11" s="2071"/>
      <c r="L11" s="1477"/>
      <c r="M11" s="1477"/>
      <c r="N11" s="1477"/>
      <c r="O11" s="1477"/>
      <c r="P11" s="1477"/>
      <c r="Q11" s="1477"/>
      <c r="R11" s="1477"/>
      <c r="S11" s="1477"/>
      <c r="T11" s="1477"/>
      <c r="U11" s="1477"/>
      <c r="V11" s="1477"/>
      <c r="W11" s="1477"/>
      <c r="X11" s="1477"/>
      <c r="Y11" s="1477"/>
      <c r="Z11" s="1477"/>
      <c r="AA11" s="1477"/>
      <c r="AB11" s="2071"/>
      <c r="AC11" s="2083"/>
      <c r="AD11" s="2084"/>
      <c r="AE11" s="2085"/>
      <c r="AF11" s="2085"/>
      <c r="AG11" s="2085"/>
      <c r="AH11" s="2085"/>
      <c r="AI11" s="2085"/>
      <c r="AJ11" s="2085"/>
      <c r="AK11" s="1479"/>
      <c r="AL11" s="1479"/>
    </row>
    <row r="12" spans="1:39" ht="15.75" customHeight="1">
      <c r="A12" s="642"/>
      <c r="B12" s="642"/>
      <c r="C12" s="642"/>
      <c r="D12" s="642"/>
      <c r="E12" s="1439">
        <v>2016</v>
      </c>
      <c r="F12" s="2072"/>
      <c r="G12" s="2072"/>
      <c r="H12" s="2072"/>
      <c r="I12" s="2072"/>
      <c r="J12" s="2072"/>
      <c r="K12" s="2072"/>
      <c r="L12" s="1480"/>
      <c r="M12" s="1480"/>
      <c r="N12" s="1480"/>
      <c r="O12" s="1480"/>
      <c r="P12" s="1480"/>
      <c r="Q12" s="1480"/>
      <c r="R12" s="1480"/>
      <c r="S12" s="1480"/>
      <c r="T12" s="1480"/>
      <c r="U12" s="1480"/>
      <c r="V12" s="1480"/>
      <c r="W12" s="1448">
        <v>2017</v>
      </c>
      <c r="X12" s="1480"/>
      <c r="Y12" s="1480"/>
      <c r="Z12" s="1480"/>
      <c r="AA12" s="1480"/>
      <c r="AB12" s="2072"/>
      <c r="AC12" s="2072"/>
      <c r="AD12" s="2086"/>
      <c r="AE12" s="2086"/>
      <c r="AF12" s="2086"/>
      <c r="AG12" s="2086"/>
      <c r="AH12" s="2086"/>
      <c r="AI12" s="2086"/>
      <c r="AJ12" s="2087" t="s">
        <v>8</v>
      </c>
      <c r="AK12" s="1455"/>
      <c r="AL12" s="1450" t="s">
        <v>9</v>
      </c>
      <c r="AM12" s="1484"/>
    </row>
    <row r="13" spans="1:39" ht="15.75" customHeight="1">
      <c r="A13" s="223"/>
      <c r="B13" s="223"/>
      <c r="C13" s="223"/>
      <c r="D13" s="223"/>
      <c r="E13" s="1482" t="s">
        <v>128</v>
      </c>
      <c r="F13" s="304"/>
      <c r="G13" s="1482" t="s">
        <v>129</v>
      </c>
      <c r="H13" s="304"/>
      <c r="I13" s="1482" t="s">
        <v>130</v>
      </c>
      <c r="J13" s="304"/>
      <c r="K13" s="1482" t="s">
        <v>131</v>
      </c>
      <c r="L13" s="221"/>
      <c r="M13" s="1431" t="s">
        <v>132</v>
      </c>
      <c r="N13" s="221"/>
      <c r="O13" s="1431" t="s">
        <v>133</v>
      </c>
      <c r="P13" s="221"/>
      <c r="Q13" s="1431" t="s">
        <v>134</v>
      </c>
      <c r="R13" s="221"/>
      <c r="S13" s="1431" t="s">
        <v>135</v>
      </c>
      <c r="T13" s="221"/>
      <c r="U13" s="1431" t="s">
        <v>136</v>
      </c>
      <c r="V13" s="221"/>
      <c r="W13" s="1431" t="s">
        <v>153</v>
      </c>
      <c r="X13" s="221"/>
      <c r="Y13" s="1431" t="s">
        <v>138</v>
      </c>
      <c r="Z13" s="221"/>
      <c r="AA13" s="1431" t="s">
        <v>139</v>
      </c>
      <c r="AB13" s="304"/>
      <c r="AC13" s="304"/>
      <c r="AD13" s="1482">
        <v>2017</v>
      </c>
      <c r="AE13" s="304"/>
      <c r="AF13" s="304"/>
      <c r="AG13" s="1482">
        <v>2016</v>
      </c>
      <c r="AH13" s="1483"/>
      <c r="AI13" s="1483"/>
      <c r="AJ13" s="2088" t="s">
        <v>12</v>
      </c>
      <c r="AK13" s="1453"/>
      <c r="AL13" s="1463" t="s">
        <v>13</v>
      </c>
      <c r="AM13" s="1484"/>
    </row>
    <row r="14" spans="1:39" ht="15.75">
      <c r="A14" s="223"/>
      <c r="B14" s="221"/>
      <c r="C14" s="221"/>
      <c r="D14" s="223"/>
      <c r="E14" s="340"/>
      <c r="F14" s="340"/>
      <c r="G14" s="340"/>
      <c r="H14" s="340"/>
      <c r="I14" s="340"/>
      <c r="J14" s="340"/>
      <c r="K14" s="340"/>
      <c r="L14" s="366"/>
      <c r="M14" s="366"/>
      <c r="N14" s="366"/>
      <c r="O14" s="366"/>
      <c r="P14" s="366"/>
      <c r="Q14" s="366"/>
      <c r="R14" s="366"/>
      <c r="S14" s="366"/>
      <c r="T14" s="366"/>
      <c r="U14" s="366"/>
      <c r="V14" s="366"/>
      <c r="W14" s="366"/>
      <c r="X14" s="366"/>
      <c r="Y14" s="366"/>
      <c r="Z14" s="366"/>
      <c r="AA14" s="366"/>
      <c r="AB14" s="340"/>
      <c r="AC14" s="2019"/>
      <c r="AD14" s="340"/>
      <c r="AE14" s="340"/>
      <c r="AF14" s="2150"/>
      <c r="AG14" s="340"/>
      <c r="AH14" s="340"/>
      <c r="AI14" s="1923"/>
      <c r="AJ14" s="2089"/>
      <c r="AK14" s="1326"/>
      <c r="AL14" s="1326"/>
    </row>
    <row r="15" spans="1:39" ht="15.75">
      <c r="A15" s="223"/>
      <c r="B15" s="3293" t="s">
        <v>1386</v>
      </c>
      <c r="C15" s="221"/>
      <c r="D15" s="223"/>
      <c r="E15" s="335">
        <v>-331.5</v>
      </c>
      <c r="F15" s="335"/>
      <c r="G15" s="335">
        <f>E103</f>
        <v>-347</v>
      </c>
      <c r="H15" s="335"/>
      <c r="I15" s="335">
        <f>G103</f>
        <v>-346.5</v>
      </c>
      <c r="J15" s="335"/>
      <c r="K15" s="335">
        <f>I103</f>
        <v>-219</v>
      </c>
      <c r="L15" s="293"/>
      <c r="M15" s="293">
        <f>K103</f>
        <v>-155.80000000000001</v>
      </c>
      <c r="N15" s="293"/>
      <c r="O15" s="293">
        <f>M103</f>
        <v>-268.60000000000002</v>
      </c>
      <c r="P15" s="293"/>
      <c r="Q15" s="293">
        <f>O103</f>
        <v>-431</v>
      </c>
      <c r="R15" s="293"/>
      <c r="S15" s="293">
        <f>Q103</f>
        <v>-280.89999999999998</v>
      </c>
      <c r="T15" s="293"/>
      <c r="U15" s="293">
        <f>S103</f>
        <v>-453</v>
      </c>
      <c r="V15" s="293"/>
      <c r="W15" s="293">
        <f>U103</f>
        <v>-534.6</v>
      </c>
      <c r="X15" s="293"/>
      <c r="Y15" s="293"/>
      <c r="Z15" s="293"/>
      <c r="AA15" s="293"/>
      <c r="AB15" s="335"/>
      <c r="AC15" s="3282"/>
      <c r="AD15" s="335">
        <f>E15</f>
        <v>-331.5</v>
      </c>
      <c r="AE15" s="335"/>
      <c r="AF15" s="3288"/>
      <c r="AG15" s="335">
        <v>-342.4</v>
      </c>
      <c r="AH15" s="335"/>
      <c r="AI15" s="1923"/>
      <c r="AJ15" s="335">
        <f>ROUND(AD15-AG15,1)</f>
        <v>10.9</v>
      </c>
      <c r="AK15" s="3291"/>
      <c r="AL15" s="2669">
        <f>ROUND(IF(AG15=0,0,AJ15/ABS(AG15)),3)</f>
        <v>3.2000000000000001E-2</v>
      </c>
    </row>
    <row r="16" spans="1:39" ht="15.75">
      <c r="A16" s="223"/>
      <c r="B16" s="221"/>
      <c r="C16" s="221"/>
      <c r="D16" s="223"/>
      <c r="E16" s="340"/>
      <c r="F16" s="340"/>
      <c r="G16" s="340"/>
      <c r="H16" s="340"/>
      <c r="I16" s="340"/>
      <c r="J16" s="340"/>
      <c r="K16" s="340"/>
      <c r="L16" s="366"/>
      <c r="M16" s="366"/>
      <c r="N16" s="366"/>
      <c r="O16" s="366"/>
      <c r="P16" s="366"/>
      <c r="Q16" s="366"/>
      <c r="R16" s="366"/>
      <c r="S16" s="366"/>
      <c r="T16" s="366"/>
      <c r="U16" s="366"/>
      <c r="V16" s="366"/>
      <c r="W16" s="366"/>
      <c r="X16" s="366"/>
      <c r="Y16" s="366"/>
      <c r="Z16" s="366"/>
      <c r="AA16" s="366"/>
      <c r="AB16" s="340"/>
      <c r="AC16" s="2019"/>
      <c r="AD16" s="340"/>
      <c r="AE16" s="340"/>
      <c r="AF16" s="2150"/>
      <c r="AG16" s="340"/>
      <c r="AH16" s="340"/>
      <c r="AI16" s="1923"/>
      <c r="AJ16" s="2089"/>
      <c r="AK16" s="1326"/>
      <c r="AL16" s="1326"/>
    </row>
    <row r="17" spans="1:39" ht="15.75">
      <c r="A17" s="223"/>
      <c r="B17" s="221" t="s">
        <v>201</v>
      </c>
      <c r="C17" s="223"/>
      <c r="D17" s="223"/>
      <c r="E17" s="340"/>
      <c r="F17" s="340"/>
      <c r="G17" s="340"/>
      <c r="H17" s="340"/>
      <c r="I17" s="340"/>
      <c r="J17" s="340"/>
      <c r="K17" s="340"/>
      <c r="L17" s="366"/>
      <c r="M17" s="366"/>
      <c r="N17" s="366"/>
      <c r="O17" s="366"/>
      <c r="P17" s="366"/>
      <c r="Q17" s="366"/>
      <c r="R17" s="366"/>
      <c r="S17" s="366"/>
      <c r="T17" s="366"/>
      <c r="U17" s="366"/>
      <c r="V17" s="366"/>
      <c r="W17" s="366"/>
      <c r="X17" s="366"/>
      <c r="Y17" s="366"/>
      <c r="Z17" s="366"/>
      <c r="AA17" s="366"/>
      <c r="AB17" s="340"/>
      <c r="AC17" s="2019"/>
      <c r="AD17" s="340"/>
      <c r="AE17" s="2090"/>
      <c r="AF17" s="316"/>
      <c r="AG17" s="340"/>
      <c r="AH17" s="340"/>
      <c r="AI17" s="1923"/>
      <c r="AJ17" s="2091"/>
      <c r="AK17" s="644"/>
      <c r="AL17" s="644"/>
    </row>
    <row r="18" spans="1:39" ht="15.75">
      <c r="A18" s="223"/>
      <c r="B18" s="488" t="s">
        <v>1206</v>
      </c>
      <c r="C18" s="223"/>
      <c r="D18" s="223"/>
      <c r="E18" s="340"/>
      <c r="F18" s="340"/>
      <c r="G18" s="340"/>
      <c r="H18" s="340"/>
      <c r="I18" s="340"/>
      <c r="J18" s="340"/>
      <c r="K18" s="340"/>
      <c r="L18" s="366"/>
      <c r="M18" s="366"/>
      <c r="N18" s="366"/>
      <c r="O18" s="366"/>
      <c r="P18" s="366"/>
      <c r="Q18" s="366"/>
      <c r="R18" s="366"/>
      <c r="S18" s="366"/>
      <c r="T18" s="366"/>
      <c r="U18" s="366"/>
      <c r="V18" s="366"/>
      <c r="W18" s="366"/>
      <c r="X18" s="366"/>
      <c r="Y18" s="366"/>
      <c r="Z18" s="366"/>
      <c r="AA18" s="366"/>
      <c r="AB18" s="340"/>
      <c r="AC18" s="2019"/>
      <c r="AD18" s="340"/>
      <c r="AE18" s="2092"/>
      <c r="AF18" s="316"/>
      <c r="AG18" s="340"/>
      <c r="AH18" s="340"/>
      <c r="AI18" s="1923"/>
      <c r="AJ18" s="2091"/>
      <c r="AK18" s="644"/>
      <c r="AL18" s="644"/>
    </row>
    <row r="19" spans="1:39" ht="15.75">
      <c r="A19" s="223"/>
      <c r="B19" s="1990" t="s">
        <v>1224</v>
      </c>
      <c r="C19" s="223"/>
      <c r="D19" s="223"/>
      <c r="E19" s="2073"/>
      <c r="F19" s="340"/>
      <c r="G19" s="317"/>
      <c r="H19" s="317"/>
      <c r="I19" s="317"/>
      <c r="J19" s="317"/>
      <c r="K19" s="317"/>
      <c r="L19" s="260"/>
      <c r="M19" s="260"/>
      <c r="N19" s="260"/>
      <c r="O19" s="260"/>
      <c r="P19" s="260"/>
      <c r="Q19" s="260"/>
      <c r="R19" s="260"/>
      <c r="S19" s="260"/>
      <c r="T19" s="260"/>
      <c r="U19" s="260"/>
      <c r="V19" s="260"/>
      <c r="W19" s="260"/>
      <c r="X19" s="260"/>
      <c r="Y19" s="260"/>
      <c r="Z19" s="260"/>
      <c r="AA19" s="260"/>
      <c r="AB19" s="317"/>
      <c r="AC19" s="1257"/>
      <c r="AD19" s="2252" t="s">
        <v>15</v>
      </c>
      <c r="AE19" s="2051"/>
      <c r="AF19" s="261"/>
      <c r="AG19" s="317" t="s">
        <v>15</v>
      </c>
      <c r="AH19" s="317"/>
      <c r="AI19" s="2094"/>
      <c r="AJ19" s="686"/>
      <c r="AK19" s="644"/>
      <c r="AL19" s="644"/>
    </row>
    <row r="20" spans="1:39">
      <c r="A20" s="223"/>
      <c r="B20" s="1243" t="s">
        <v>1227</v>
      </c>
      <c r="C20" s="223"/>
      <c r="D20" s="363" t="s">
        <v>15</v>
      </c>
      <c r="E20" s="1751">
        <v>0.3</v>
      </c>
      <c r="F20" s="1751"/>
      <c r="G20" s="1751">
        <v>0</v>
      </c>
      <c r="H20" s="1751"/>
      <c r="I20" s="1751">
        <v>18.899999999999999</v>
      </c>
      <c r="J20" s="1751"/>
      <c r="K20" s="1751">
        <v>0.1</v>
      </c>
      <c r="L20" s="2925"/>
      <c r="M20" s="1751">
        <v>0.1</v>
      </c>
      <c r="N20" s="2925"/>
      <c r="O20" s="1318">
        <v>23.2</v>
      </c>
      <c r="P20" s="2925"/>
      <c r="Q20" s="1226">
        <v>0</v>
      </c>
      <c r="R20" s="2925"/>
      <c r="S20" s="1318">
        <v>0.1</v>
      </c>
      <c r="T20" s="2925"/>
      <c r="U20" s="1318">
        <v>21.7</v>
      </c>
      <c r="V20" s="2925"/>
      <c r="W20" s="1318">
        <v>5.9</v>
      </c>
      <c r="X20" s="2925"/>
      <c r="Y20" s="1318"/>
      <c r="Z20" s="2925"/>
      <c r="AA20" s="1318"/>
      <c r="AB20" s="1751"/>
      <c r="AC20" s="2645"/>
      <c r="AD20" s="1751">
        <f>ROUND(SUM(E20:AA20),1)</f>
        <v>70.3</v>
      </c>
      <c r="AE20" s="2646"/>
      <c r="AF20" s="2647"/>
      <c r="AG20" s="1751">
        <v>65.5</v>
      </c>
      <c r="AH20" s="2648"/>
      <c r="AI20" s="2649"/>
      <c r="AJ20" s="1751">
        <f>ROUND(AD20-AG20,1)</f>
        <v>4.8</v>
      </c>
      <c r="AK20" s="1299"/>
      <c r="AL20" s="1780">
        <f>ROUND(IF(AG20=0,0,AJ20/ABS(AG20)),3)</f>
        <v>7.2999999999999995E-2</v>
      </c>
    </row>
    <row r="21" spans="1:39" ht="15.75">
      <c r="A21" s="223"/>
      <c r="B21" s="1243" t="s">
        <v>1229</v>
      </c>
      <c r="C21" s="223"/>
      <c r="D21" s="223"/>
      <c r="E21" s="1752">
        <v>30.8</v>
      </c>
      <c r="F21" s="1751"/>
      <c r="G21" s="1752">
        <v>29.4</v>
      </c>
      <c r="H21" s="1751"/>
      <c r="I21" s="1752">
        <v>35.1</v>
      </c>
      <c r="J21" s="1751"/>
      <c r="K21" s="1752">
        <v>36.4</v>
      </c>
      <c r="L21" s="1146"/>
      <c r="M21" s="1146">
        <v>39.5</v>
      </c>
      <c r="N21" s="1146"/>
      <c r="O21" s="1318">
        <v>35.299999999999997</v>
      </c>
      <c r="P21" s="260"/>
      <c r="Q21" s="515">
        <v>35.5</v>
      </c>
      <c r="R21" s="260"/>
      <c r="S21" s="515">
        <v>35.9</v>
      </c>
      <c r="T21" s="260"/>
      <c r="U21" s="515">
        <v>34.799999999999997</v>
      </c>
      <c r="V21" s="260"/>
      <c r="W21" s="515">
        <v>33.200000000000003</v>
      </c>
      <c r="X21" s="260"/>
      <c r="Y21" s="515"/>
      <c r="Z21" s="260"/>
      <c r="AA21" s="515"/>
      <c r="AB21" s="317"/>
      <c r="AC21" s="1257"/>
      <c r="AD21" s="318">
        <f>ROUND(SUM(E21:AA21),1)</f>
        <v>345.9</v>
      </c>
      <c r="AE21" s="2051"/>
      <c r="AF21" s="261"/>
      <c r="AG21" s="317">
        <v>331.7</v>
      </c>
      <c r="AH21" s="317"/>
      <c r="AI21" s="2094"/>
      <c r="AJ21" s="318">
        <f>ROUND(AD21-AG21,1)</f>
        <v>14.2</v>
      </c>
      <c r="AK21" s="654"/>
      <c r="AL21" s="45">
        <f>ROUND(IF(AG21=0,0,AJ21/ABS(AG21)),3)</f>
        <v>4.2999999999999997E-2</v>
      </c>
      <c r="AM21" s="644"/>
    </row>
    <row r="22" spans="1:39" ht="15.75">
      <c r="A22" s="223"/>
      <c r="B22" s="1243" t="s">
        <v>1231</v>
      </c>
      <c r="C22" s="223"/>
      <c r="D22" s="223"/>
      <c r="E22" s="2942">
        <v>12.6</v>
      </c>
      <c r="F22" s="1751"/>
      <c r="G22" s="1752">
        <v>10.7</v>
      </c>
      <c r="H22" s="1751"/>
      <c r="I22" s="1752">
        <v>12.3</v>
      </c>
      <c r="J22" s="1751"/>
      <c r="K22" s="1752">
        <v>12.5</v>
      </c>
      <c r="L22" s="1146"/>
      <c r="M22" s="1146">
        <v>12.3</v>
      </c>
      <c r="N22" s="1146"/>
      <c r="O22" s="1318">
        <v>11.7</v>
      </c>
      <c r="P22" s="260"/>
      <c r="Q22" s="515">
        <v>11.3</v>
      </c>
      <c r="R22" s="260"/>
      <c r="S22" s="515">
        <v>11</v>
      </c>
      <c r="T22" s="260"/>
      <c r="U22" s="515">
        <v>11.4</v>
      </c>
      <c r="V22" s="260"/>
      <c r="W22" s="515">
        <v>11.2</v>
      </c>
      <c r="X22" s="260"/>
      <c r="Y22" s="515"/>
      <c r="Z22" s="260"/>
      <c r="AA22" s="515"/>
      <c r="AB22" s="317"/>
      <c r="AC22" s="1257"/>
      <c r="AD22" s="318">
        <f>ROUND(SUM(E22:AA22),1)</f>
        <v>117</v>
      </c>
      <c r="AE22" s="2051"/>
      <c r="AF22" s="261"/>
      <c r="AG22" s="317">
        <v>137.5</v>
      </c>
      <c r="AH22" s="317"/>
      <c r="AI22" s="2094"/>
      <c r="AJ22" s="318">
        <f>ROUND(AD22-AG22,1)</f>
        <v>-20.5</v>
      </c>
      <c r="AK22" s="654"/>
      <c r="AL22" s="45">
        <f>ROUND(IF(AG22=0,0,AJ22/ABS(AG22)),3)</f>
        <v>-0.14899999999999999</v>
      </c>
    </row>
    <row r="23" spans="1:39" ht="15.75">
      <c r="A23" s="223"/>
      <c r="B23" s="587" t="s">
        <v>1326</v>
      </c>
      <c r="C23" s="223"/>
      <c r="D23" s="223"/>
      <c r="E23" s="1256">
        <f>ROUND(SUM(E20:E22),1)</f>
        <v>43.7</v>
      </c>
      <c r="F23" s="1751"/>
      <c r="G23" s="1256">
        <f>ROUND(SUM(G20:G22),1)</f>
        <v>40.1</v>
      </c>
      <c r="H23" s="1751"/>
      <c r="I23" s="1256">
        <f>ROUND(SUM(I20:I22),1)</f>
        <v>66.3</v>
      </c>
      <c r="J23" s="1751"/>
      <c r="K23" s="1256">
        <f>ROUND(SUM(K20:K22),1)</f>
        <v>49</v>
      </c>
      <c r="L23" s="1146"/>
      <c r="M23" s="1256">
        <f>ROUND(SUM(M20:M22),1)</f>
        <v>51.9</v>
      </c>
      <c r="N23" s="1146"/>
      <c r="O23" s="1256">
        <f>ROUND(SUM(O20:O22),1)</f>
        <v>70.2</v>
      </c>
      <c r="P23" s="260"/>
      <c r="Q23" s="1256">
        <f>ROUND(SUM(Q20:Q22),1)</f>
        <v>46.8</v>
      </c>
      <c r="R23" s="260"/>
      <c r="S23" s="1256">
        <f>ROUND(SUM(S20:S22),1)</f>
        <v>47</v>
      </c>
      <c r="T23" s="260"/>
      <c r="U23" s="2941">
        <f>ROUND(SUM(U20:U22),1)</f>
        <v>67.900000000000006</v>
      </c>
      <c r="V23" s="260"/>
      <c r="W23" s="1256">
        <f>ROUND(SUM(W20:W22),1)</f>
        <v>50.3</v>
      </c>
      <c r="X23" s="260"/>
      <c r="Y23" s="1256">
        <f>ROUND(SUM(Y20:Y22),1)</f>
        <v>0</v>
      </c>
      <c r="Z23" s="260"/>
      <c r="AA23" s="1256">
        <f>ROUND(SUM(AA20:AA22),1)</f>
        <v>0</v>
      </c>
      <c r="AB23" s="317"/>
      <c r="AC23" s="1257"/>
      <c r="AD23" s="1256">
        <f>ROUND(SUM(AD20:AD22),1)</f>
        <v>533.20000000000005</v>
      </c>
      <c r="AE23" s="2055"/>
      <c r="AF23" s="261"/>
      <c r="AG23" s="2941">
        <f>ROUND(SUM(AG20:AG22),1)</f>
        <v>534.70000000000005</v>
      </c>
      <c r="AH23" s="317"/>
      <c r="AI23" s="2094"/>
      <c r="AJ23" s="1256">
        <f>ROUND(SUM(AJ20:AJ22),1)</f>
        <v>-1.5</v>
      </c>
      <c r="AK23" s="654"/>
      <c r="AL23" s="72">
        <f>ROUND(IF(AG23=0,0,AJ23/ABS(AG23)),3)</f>
        <v>-3.0000000000000001E-3</v>
      </c>
    </row>
    <row r="24" spans="1:39" ht="15.75">
      <c r="A24" s="223"/>
      <c r="B24" s="1990" t="s">
        <v>1212</v>
      </c>
      <c r="C24" s="223"/>
      <c r="D24" s="223"/>
      <c r="E24" s="1751"/>
      <c r="F24" s="1751"/>
      <c r="G24" s="1751"/>
      <c r="H24" s="1751"/>
      <c r="I24" s="1751"/>
      <c r="J24" s="1751"/>
      <c r="K24" s="1751"/>
      <c r="L24" s="1146"/>
      <c r="M24" s="1146"/>
      <c r="N24" s="1146"/>
      <c r="O24" s="1318"/>
      <c r="P24" s="260"/>
      <c r="Q24" s="515"/>
      <c r="R24" s="260"/>
      <c r="S24" s="515"/>
      <c r="T24" s="260"/>
      <c r="U24" s="515"/>
      <c r="V24" s="260"/>
      <c r="W24" s="656"/>
      <c r="X24" s="260"/>
      <c r="Y24" s="515"/>
      <c r="Z24" s="260"/>
      <c r="AA24" s="656"/>
      <c r="AB24" s="317"/>
      <c r="AC24" s="1257"/>
      <c r="AD24" s="318"/>
      <c r="AE24" s="2051"/>
      <c r="AF24" s="261"/>
      <c r="AG24" s="318"/>
      <c r="AH24" s="317"/>
      <c r="AI24" s="2094"/>
      <c r="AJ24" s="318"/>
      <c r="AK24" s="644"/>
      <c r="AL24" s="652"/>
    </row>
    <row r="25" spans="1:39" ht="15.75">
      <c r="A25" s="223"/>
      <c r="B25" s="1243" t="s">
        <v>1234</v>
      </c>
      <c r="C25" s="223"/>
      <c r="D25" s="223"/>
      <c r="E25" s="1751">
        <v>0</v>
      </c>
      <c r="F25" s="1751"/>
      <c r="G25" s="1751">
        <v>0</v>
      </c>
      <c r="H25" s="1751"/>
      <c r="I25" s="1751">
        <v>0</v>
      </c>
      <c r="J25" s="1751"/>
      <c r="K25" s="1751">
        <v>0</v>
      </c>
      <c r="L25" s="1146"/>
      <c r="M25" s="1146">
        <v>0</v>
      </c>
      <c r="N25" s="1146"/>
      <c r="O25" s="1318">
        <v>0</v>
      </c>
      <c r="P25" s="260"/>
      <c r="Q25" s="515">
        <v>0</v>
      </c>
      <c r="R25" s="260"/>
      <c r="S25" s="515">
        <v>0</v>
      </c>
      <c r="T25" s="260"/>
      <c r="U25" s="515">
        <v>0</v>
      </c>
      <c r="V25" s="260"/>
      <c r="W25" s="1146">
        <v>0</v>
      </c>
      <c r="X25" s="260"/>
      <c r="Y25" s="515"/>
      <c r="Z25" s="260"/>
      <c r="AA25" s="656"/>
      <c r="AB25" s="317"/>
      <c r="AC25" s="1257"/>
      <c r="AD25" s="318">
        <f>ROUND(SUM(E25:AA25),1)</f>
        <v>0</v>
      </c>
      <c r="AE25" s="2055"/>
      <c r="AF25" s="261"/>
      <c r="AG25" s="318">
        <v>0</v>
      </c>
      <c r="AH25" s="317"/>
      <c r="AI25" s="2094"/>
      <c r="AJ25" s="318">
        <f>ROUND(AD25-AG25,1)</f>
        <v>0</v>
      </c>
      <c r="AK25" s="644"/>
      <c r="AL25" s="45">
        <f>ROUND(IF(AG25=0,0,AJ25/ABS(AG25)),3)</f>
        <v>0</v>
      </c>
    </row>
    <row r="26" spans="1:39" ht="15.75">
      <c r="A26" s="223"/>
      <c r="B26" s="1243" t="s">
        <v>1235</v>
      </c>
      <c r="C26" s="223"/>
      <c r="D26" s="223"/>
      <c r="E26" s="1751">
        <v>0.8</v>
      </c>
      <c r="F26" s="1751"/>
      <c r="G26" s="1751">
        <v>0</v>
      </c>
      <c r="H26" s="1751"/>
      <c r="I26" s="1751">
        <v>2.1</v>
      </c>
      <c r="J26" s="1751"/>
      <c r="K26" s="1751">
        <v>0.1</v>
      </c>
      <c r="L26" s="1146"/>
      <c r="M26" s="1146">
        <v>0</v>
      </c>
      <c r="N26" s="1146"/>
      <c r="O26" s="1318">
        <v>2.5</v>
      </c>
      <c r="P26" s="260"/>
      <c r="Q26" s="515">
        <v>0</v>
      </c>
      <c r="R26" s="260"/>
      <c r="S26" s="515">
        <v>-0.1</v>
      </c>
      <c r="T26" s="260"/>
      <c r="U26" s="515">
        <v>2.5</v>
      </c>
      <c r="V26" s="260"/>
      <c r="W26" s="1146">
        <v>4.2</v>
      </c>
      <c r="X26" s="260"/>
      <c r="Y26" s="515"/>
      <c r="Z26" s="260"/>
      <c r="AA26" s="515"/>
      <c r="AB26" s="317"/>
      <c r="AC26" s="1257"/>
      <c r="AD26" s="318">
        <f>ROUND(SUM(E26:AA26),1)</f>
        <v>12.1</v>
      </c>
      <c r="AE26" s="2055"/>
      <c r="AF26" s="261"/>
      <c r="AG26" s="318">
        <v>8.4</v>
      </c>
      <c r="AH26" s="317"/>
      <c r="AI26" s="2094"/>
      <c r="AJ26" s="318">
        <f>ROUND(AD26-AG26,1)</f>
        <v>3.7</v>
      </c>
      <c r="AK26" s="644"/>
      <c r="AL26" s="2679">
        <f>ROUND(IF(AG26=0,1,AJ26/ABS(AG26)),3)</f>
        <v>0.44</v>
      </c>
    </row>
    <row r="27" spans="1:39" ht="15.75">
      <c r="A27" s="223"/>
      <c r="B27" s="1243" t="s">
        <v>1238</v>
      </c>
      <c r="C27" s="221"/>
      <c r="D27" s="223"/>
      <c r="E27" s="1752">
        <v>48.2</v>
      </c>
      <c r="F27" s="1751"/>
      <c r="G27" s="1752">
        <v>43.2</v>
      </c>
      <c r="H27" s="1751"/>
      <c r="I27" s="1752">
        <v>52.1</v>
      </c>
      <c r="J27" s="1751"/>
      <c r="K27" s="1752">
        <v>66.2</v>
      </c>
      <c r="L27" s="1146"/>
      <c r="M27" s="1146">
        <v>51.6</v>
      </c>
      <c r="N27" s="1146"/>
      <c r="O27" s="1318">
        <v>55</v>
      </c>
      <c r="P27" s="260"/>
      <c r="Q27" s="515">
        <v>54.9</v>
      </c>
      <c r="R27" s="260"/>
      <c r="S27" s="515">
        <v>52.1</v>
      </c>
      <c r="T27" s="260"/>
      <c r="U27" s="515">
        <v>55.9</v>
      </c>
      <c r="V27" s="260"/>
      <c r="W27" s="515">
        <v>49.7</v>
      </c>
      <c r="X27" s="260"/>
      <c r="Y27" s="515"/>
      <c r="Z27" s="260"/>
      <c r="AA27" s="515"/>
      <c r="AB27" s="317"/>
      <c r="AC27" s="1257"/>
      <c r="AD27" s="318">
        <f>ROUND(SUM(E27:AA27),1)</f>
        <v>528.9</v>
      </c>
      <c r="AE27" s="2051"/>
      <c r="AF27" s="261"/>
      <c r="AG27" s="2574">
        <v>527.4</v>
      </c>
      <c r="AH27" s="317"/>
      <c r="AI27" s="2094"/>
      <c r="AJ27" s="318">
        <f>ROUND(AD27-AG27,1)</f>
        <v>1.5</v>
      </c>
      <c r="AK27" s="654"/>
      <c r="AL27" s="1765">
        <f>ROUND(IF(AG27=0,0,AJ27/ABS(AG27)),3)</f>
        <v>3.0000000000000001E-3</v>
      </c>
    </row>
    <row r="28" spans="1:39" ht="15.75">
      <c r="A28" s="223"/>
      <c r="B28" s="587" t="s">
        <v>1327</v>
      </c>
      <c r="C28" s="221"/>
      <c r="D28" s="223"/>
      <c r="E28" s="1256">
        <f>ROUND(SUM(E25:E27),1)</f>
        <v>49</v>
      </c>
      <c r="F28" s="1751"/>
      <c r="G28" s="1256">
        <f>ROUND(SUM(G25:G27),1)</f>
        <v>43.2</v>
      </c>
      <c r="H28" s="1751"/>
      <c r="I28" s="1256">
        <f>ROUND(SUM(I25:I27),1)</f>
        <v>54.2</v>
      </c>
      <c r="J28" s="1751"/>
      <c r="K28" s="1256">
        <f>ROUND(SUM(K25:K27),1)</f>
        <v>66.3</v>
      </c>
      <c r="L28" s="1146"/>
      <c r="M28" s="1256">
        <f>ROUND(SUM(M25:M27),1)</f>
        <v>51.6</v>
      </c>
      <c r="N28" s="1146"/>
      <c r="O28" s="1256">
        <f>ROUND(SUM(O25:O27),1)</f>
        <v>57.5</v>
      </c>
      <c r="P28" s="260"/>
      <c r="Q28" s="1256">
        <f>ROUND(SUM(Q25:Q27),1)</f>
        <v>54.9</v>
      </c>
      <c r="R28" s="260"/>
      <c r="S28" s="1256">
        <f>ROUND(SUM(S25:S27),1)</f>
        <v>52</v>
      </c>
      <c r="T28" s="260"/>
      <c r="U28" s="2941">
        <f>ROUND(SUM(U25:U27),1)</f>
        <v>58.4</v>
      </c>
      <c r="V28" s="260"/>
      <c r="W28" s="1256">
        <f>ROUND(SUM(W25:W27),1)</f>
        <v>53.9</v>
      </c>
      <c r="X28" s="260"/>
      <c r="Y28" s="1256">
        <f>ROUND(SUM(Y25:Y27),1)</f>
        <v>0</v>
      </c>
      <c r="Z28" s="260"/>
      <c r="AA28" s="1256">
        <f>ROUND(SUM(AA25:AA27),1)</f>
        <v>0</v>
      </c>
      <c r="AB28" s="317"/>
      <c r="AC28" s="1257"/>
      <c r="AD28" s="1256">
        <f>ROUND(SUM(AD25:AD27),1)</f>
        <v>541</v>
      </c>
      <c r="AE28" s="2055"/>
      <c r="AF28" s="261"/>
      <c r="AG28" s="2941">
        <f>ROUND(SUM(AG25:AG27),1)</f>
        <v>535.79999999999995</v>
      </c>
      <c r="AH28" s="317"/>
      <c r="AI28" s="2094"/>
      <c r="AJ28" s="1256">
        <f>ROUND(SUM(AJ25:AJ27),1)</f>
        <v>5.2</v>
      </c>
      <c r="AK28" s="654"/>
      <c r="AL28" s="1876">
        <f>ROUND(IF(AG28=0,0,AJ28/ABS(AG28)),3)</f>
        <v>0.01</v>
      </c>
    </row>
    <row r="29" spans="1:39" ht="15.75">
      <c r="A29" s="223"/>
      <c r="B29" s="1990" t="s">
        <v>1213</v>
      </c>
      <c r="C29" s="223"/>
      <c r="D29" s="223"/>
      <c r="E29" s="2152"/>
      <c r="F29" s="1751"/>
      <c r="G29" s="2152"/>
      <c r="H29" s="1751"/>
      <c r="I29" s="1752"/>
      <c r="J29" s="1751"/>
      <c r="K29" s="1752"/>
      <c r="L29" s="1146"/>
      <c r="M29" s="1146"/>
      <c r="N29" s="1146"/>
      <c r="O29" s="1318"/>
      <c r="P29" s="260"/>
      <c r="Q29" s="515"/>
      <c r="R29" s="260"/>
      <c r="S29" s="515"/>
      <c r="T29" s="260"/>
      <c r="U29" s="515"/>
      <c r="V29" s="260"/>
      <c r="W29" s="515"/>
      <c r="X29" s="260"/>
      <c r="Y29" s="515"/>
      <c r="Z29" s="260"/>
      <c r="AA29" s="515"/>
      <c r="AB29" s="317"/>
      <c r="AC29" s="1257"/>
      <c r="AD29" s="318"/>
      <c r="AE29" s="2095"/>
      <c r="AF29" s="262"/>
      <c r="AG29" s="317"/>
      <c r="AH29" s="318"/>
      <c r="AI29" s="2052"/>
      <c r="AJ29" s="318"/>
      <c r="AK29" s="651"/>
      <c r="AL29" s="45"/>
      <c r="AM29" s="644"/>
    </row>
    <row r="30" spans="1:39" ht="15.75">
      <c r="A30" s="223"/>
      <c r="B30" s="1243" t="s">
        <v>1244</v>
      </c>
      <c r="C30" s="223"/>
      <c r="D30" s="223"/>
      <c r="E30" s="2152">
        <v>0</v>
      </c>
      <c r="F30" s="1751"/>
      <c r="G30" s="2152">
        <v>0</v>
      </c>
      <c r="H30" s="1751"/>
      <c r="I30" s="1752">
        <v>11.9</v>
      </c>
      <c r="J30" s="1751"/>
      <c r="K30" s="1752">
        <v>11.9</v>
      </c>
      <c r="L30" s="1146"/>
      <c r="M30" s="1146">
        <v>11.9</v>
      </c>
      <c r="N30" s="1146"/>
      <c r="O30" s="1318">
        <v>11.9</v>
      </c>
      <c r="P30" s="260"/>
      <c r="Q30" s="515">
        <v>11.9</v>
      </c>
      <c r="R30" s="260"/>
      <c r="S30" s="515">
        <v>12</v>
      </c>
      <c r="T30" s="260"/>
      <c r="U30" s="515">
        <v>11.9</v>
      </c>
      <c r="V30" s="260"/>
      <c r="W30" s="515">
        <v>11.9</v>
      </c>
      <c r="X30" s="260"/>
      <c r="Y30" s="515"/>
      <c r="Z30" s="260"/>
      <c r="AA30" s="515"/>
      <c r="AB30" s="317"/>
      <c r="AC30" s="1257"/>
      <c r="AD30" s="318">
        <f>ROUND(SUM(E30:AA30),1)</f>
        <v>95.3</v>
      </c>
      <c r="AE30" s="2099"/>
      <c r="AF30" s="262"/>
      <c r="AG30" s="317">
        <v>95.3</v>
      </c>
      <c r="AH30" s="318"/>
      <c r="AI30" s="2052"/>
      <c r="AJ30" s="318">
        <f>ROUND(AD30-AG30,1)</f>
        <v>0</v>
      </c>
      <c r="AK30" s="651"/>
      <c r="AL30" s="1765">
        <f>ROUND(IF(AG30=0,0,AJ30/ABS(AG30)),3)</f>
        <v>0</v>
      </c>
      <c r="AM30" s="644"/>
    </row>
    <row r="31" spans="1:39" ht="15.75">
      <c r="A31" s="587" t="s">
        <v>1332</v>
      </c>
      <c r="B31" s="221"/>
      <c r="C31" s="223"/>
      <c r="D31" s="223"/>
      <c r="E31" s="1256">
        <f>ROUND(SUM(E30:E30),1)</f>
        <v>0</v>
      </c>
      <c r="F31" s="1751"/>
      <c r="G31" s="1256">
        <f>ROUND(SUM(G30:G30),1)</f>
        <v>0</v>
      </c>
      <c r="H31" s="1751"/>
      <c r="I31" s="1256">
        <f>ROUND(SUM(I30:I30),1)</f>
        <v>11.9</v>
      </c>
      <c r="J31" s="1751"/>
      <c r="K31" s="1256">
        <f>ROUND(SUM(K30:K30),1)</f>
        <v>11.9</v>
      </c>
      <c r="L31" s="1146"/>
      <c r="M31" s="1256">
        <f>ROUND(SUM(M30:M30),1)</f>
        <v>11.9</v>
      </c>
      <c r="N31" s="1146"/>
      <c r="O31" s="1256">
        <f>ROUND(SUM(O30:O30),1)</f>
        <v>11.9</v>
      </c>
      <c r="P31" s="260"/>
      <c r="Q31" s="1256">
        <f>ROUND(SUM(Q30:Q30),1)</f>
        <v>11.9</v>
      </c>
      <c r="R31" s="260"/>
      <c r="S31" s="1256">
        <f>ROUND(SUM(S30:S30),1)</f>
        <v>12</v>
      </c>
      <c r="T31" s="260"/>
      <c r="U31" s="2941">
        <f>ROUND(SUM(U30:U30),1)</f>
        <v>11.9</v>
      </c>
      <c r="V31" s="260"/>
      <c r="W31" s="1256">
        <f>ROUND(SUM(W30:W30),1)</f>
        <v>11.9</v>
      </c>
      <c r="X31" s="260"/>
      <c r="Y31" s="1256">
        <f>ROUND(SUM(Y30:Y30),1)</f>
        <v>0</v>
      </c>
      <c r="Z31" s="260"/>
      <c r="AA31" s="1256">
        <f>ROUND(SUM(AA30:AA30),1)</f>
        <v>0</v>
      </c>
      <c r="AB31" s="317"/>
      <c r="AC31" s="1257"/>
      <c r="AD31" s="1256">
        <f>ROUND(SUM(AD30:AD30),1)</f>
        <v>95.3</v>
      </c>
      <c r="AE31" s="2099"/>
      <c r="AF31" s="262"/>
      <c r="AG31" s="2941">
        <f>ROUND(SUM(AG30:AG30),1)</f>
        <v>95.3</v>
      </c>
      <c r="AH31" s="318"/>
      <c r="AI31" s="2052"/>
      <c r="AJ31" s="1256">
        <f>ROUND(SUM(AJ30:AJ30),1)</f>
        <v>0</v>
      </c>
      <c r="AK31" s="651"/>
      <c r="AL31" s="72">
        <f>ROUND(IF(AG31=0,0,AJ31/ABS(AG31)),3)</f>
        <v>0</v>
      </c>
      <c r="AM31" s="644"/>
    </row>
    <row r="32" spans="1:39" ht="15.75">
      <c r="A32" s="223"/>
      <c r="B32" s="221"/>
      <c r="C32" s="223"/>
      <c r="D32" s="223"/>
      <c r="E32" s="2152"/>
      <c r="F32" s="1751"/>
      <c r="G32" s="2152"/>
      <c r="H32" s="1751"/>
      <c r="I32" s="1752"/>
      <c r="J32" s="1751"/>
      <c r="K32" s="1752"/>
      <c r="L32" s="1146"/>
      <c r="M32" s="1146"/>
      <c r="N32" s="1146"/>
      <c r="O32" s="1318"/>
      <c r="P32" s="260"/>
      <c r="Q32" s="515"/>
      <c r="R32" s="260"/>
      <c r="S32" s="515"/>
      <c r="T32" s="260"/>
      <c r="U32" s="515"/>
      <c r="V32" s="260"/>
      <c r="W32" s="515"/>
      <c r="X32" s="260"/>
      <c r="Y32" s="515"/>
      <c r="Z32" s="260"/>
      <c r="AA32" s="515"/>
      <c r="AB32" s="317"/>
      <c r="AC32" s="1257"/>
      <c r="AD32" s="318"/>
      <c r="AE32" s="2099"/>
      <c r="AF32" s="262"/>
      <c r="AG32" s="317"/>
      <c r="AH32" s="318"/>
      <c r="AI32" s="2052"/>
      <c r="AJ32" s="318"/>
      <c r="AK32" s="651"/>
      <c r="AL32" s="2146"/>
      <c r="AM32" s="644"/>
    </row>
    <row r="33" spans="1:39" s="649" customFormat="1" ht="15.75">
      <c r="A33" s="221"/>
      <c r="B33" s="587" t="s">
        <v>1209</v>
      </c>
      <c r="C33" s="221"/>
      <c r="D33" s="221"/>
      <c r="E33" s="1994">
        <f>ROUND(SUM(+E28+E23+E31),1)</f>
        <v>92.7</v>
      </c>
      <c r="F33" s="311"/>
      <c r="G33" s="1994">
        <f>ROUND(SUM(+G28+G23+G31),1)</f>
        <v>83.3</v>
      </c>
      <c r="H33" s="311"/>
      <c r="I33" s="1994">
        <f>ROUND(SUM(+I28+I23+I31),1)</f>
        <v>132.4</v>
      </c>
      <c r="J33" s="311"/>
      <c r="K33" s="1994">
        <f>ROUND(SUM(+K28+K23+K31),1)</f>
        <v>127.2</v>
      </c>
      <c r="L33" s="1802"/>
      <c r="M33" s="1994">
        <f>ROUND(SUM(+M28+M23+M31),1)</f>
        <v>115.4</v>
      </c>
      <c r="N33" s="1802"/>
      <c r="O33" s="1994">
        <f>ROUND(SUM(+O28+O23+O31),1)</f>
        <v>139.6</v>
      </c>
      <c r="P33" s="1802"/>
      <c r="Q33" s="1994">
        <f>ROUND(SUM(+Q28+Q23+Q31),1)</f>
        <v>113.6</v>
      </c>
      <c r="R33" s="1802"/>
      <c r="S33" s="1994">
        <f>ROUND(SUM(+S28+S23+S31),1)</f>
        <v>111</v>
      </c>
      <c r="T33" s="1802"/>
      <c r="U33" s="1994">
        <f>ROUND(SUM(+U28+U23+U31),1)</f>
        <v>138.19999999999999</v>
      </c>
      <c r="V33" s="1802"/>
      <c r="W33" s="1994">
        <f>ROUND(SUM(+W28+W23+W31),1)</f>
        <v>116.1</v>
      </c>
      <c r="X33" s="1802"/>
      <c r="Y33" s="1994">
        <f>ROUND(SUM(+Y28+Y23+Y31),1)</f>
        <v>0</v>
      </c>
      <c r="Z33" s="1802"/>
      <c r="AA33" s="1994">
        <f>ROUND(SUM(+AA28+AA23+AA31),1)</f>
        <v>0</v>
      </c>
      <c r="AB33" s="311"/>
      <c r="AC33" s="1258"/>
      <c r="AD33" s="1994">
        <f>ROUND(SUM(+AD28+AD23+AD31),1)</f>
        <v>1169.5</v>
      </c>
      <c r="AE33" s="2096"/>
      <c r="AF33" s="2097"/>
      <c r="AG33" s="1994">
        <f>ROUND(SUM(+AG28+AG23+AG31),1)</f>
        <v>1165.8</v>
      </c>
      <c r="AH33" s="2098"/>
      <c r="AI33" s="2052"/>
      <c r="AJ33" s="1994">
        <f>ROUND(SUM(+AJ28+AJ23+AJ31),1)</f>
        <v>3.7</v>
      </c>
      <c r="AK33" s="1452"/>
      <c r="AL33" s="1876">
        <f>ROUND(IF(AG33=0,1,AJ33/ABS(AG33)),3)</f>
        <v>3.0000000000000001E-3</v>
      </c>
      <c r="AM33" s="662"/>
    </row>
    <row r="34" spans="1:39" ht="15.75">
      <c r="A34" s="223"/>
      <c r="B34" s="1321"/>
      <c r="C34" s="223"/>
      <c r="D34" s="223"/>
      <c r="E34" s="2152"/>
      <c r="F34" s="1751"/>
      <c r="G34" s="2152"/>
      <c r="H34" s="1751"/>
      <c r="I34" s="1752"/>
      <c r="J34" s="1751"/>
      <c r="K34" s="1752"/>
      <c r="L34" s="1146"/>
      <c r="M34" s="1146"/>
      <c r="N34" s="1146"/>
      <c r="O34" s="1318"/>
      <c r="P34" s="260"/>
      <c r="Q34" s="515"/>
      <c r="R34" s="260"/>
      <c r="S34" s="515"/>
      <c r="T34" s="260"/>
      <c r="U34" s="515"/>
      <c r="V34" s="260"/>
      <c r="W34" s="515"/>
      <c r="X34" s="260"/>
      <c r="Y34" s="515"/>
      <c r="Z34" s="260"/>
      <c r="AA34" s="515"/>
      <c r="AB34" s="317"/>
      <c r="AC34" s="1257"/>
      <c r="AD34" s="318"/>
      <c r="AE34" s="2099"/>
      <c r="AF34" s="262"/>
      <c r="AG34" s="317"/>
      <c r="AH34" s="318"/>
      <c r="AI34" s="2052"/>
      <c r="AJ34" s="318"/>
      <c r="AK34" s="651"/>
      <c r="AL34" s="45"/>
      <c r="AM34" s="644"/>
    </row>
    <row r="35" spans="1:39" ht="15.75">
      <c r="A35" s="223"/>
      <c r="B35" s="488" t="s">
        <v>1157</v>
      </c>
      <c r="C35" s="223"/>
      <c r="D35" s="223"/>
      <c r="E35" s="1752"/>
      <c r="F35" s="1751"/>
      <c r="G35" s="1752"/>
      <c r="H35" s="1751"/>
      <c r="I35" s="1752"/>
      <c r="J35" s="1751"/>
      <c r="K35" s="1752"/>
      <c r="L35" s="1146"/>
      <c r="M35" s="1146"/>
      <c r="N35" s="1146"/>
      <c r="O35" s="1318"/>
      <c r="P35" s="260"/>
      <c r="Q35" s="515"/>
      <c r="R35" s="260"/>
      <c r="S35" s="515"/>
      <c r="T35" s="260"/>
      <c r="U35" s="515"/>
      <c r="V35" s="260"/>
      <c r="W35" s="515"/>
      <c r="X35" s="260"/>
      <c r="Y35" s="515"/>
      <c r="Z35" s="260"/>
      <c r="AA35" s="515"/>
      <c r="AB35" s="317"/>
      <c r="AC35" s="1257"/>
      <c r="AD35" s="318"/>
      <c r="AE35" s="2051"/>
      <c r="AF35" s="261"/>
      <c r="AG35" s="317"/>
      <c r="AH35" s="318"/>
      <c r="AI35" s="2052"/>
      <c r="AJ35" s="318"/>
      <c r="AK35" s="2053"/>
      <c r="AL35" s="2054"/>
    </row>
    <row r="36" spans="1:39" ht="15.75">
      <c r="A36" s="223"/>
      <c r="B36" s="1748" t="s">
        <v>1269</v>
      </c>
      <c r="C36" s="1321"/>
      <c r="D36" s="223"/>
      <c r="E36" s="1752"/>
      <c r="F36" s="1751"/>
      <c r="G36" s="1752"/>
      <c r="H36" s="1751"/>
      <c r="I36" s="1752"/>
      <c r="J36" s="1751"/>
      <c r="K36" s="1752"/>
      <c r="L36" s="1146"/>
      <c r="M36" s="1146"/>
      <c r="N36" s="1146"/>
      <c r="O36" s="1318"/>
      <c r="P36" s="260"/>
      <c r="Q36" s="515"/>
      <c r="R36" s="260"/>
      <c r="S36" s="515"/>
      <c r="T36" s="260"/>
      <c r="U36" s="515"/>
      <c r="V36" s="260"/>
      <c r="W36" s="515"/>
      <c r="X36" s="260"/>
      <c r="Y36" s="515"/>
      <c r="Z36" s="260"/>
      <c r="AA36" s="515"/>
      <c r="AB36" s="317"/>
      <c r="AC36" s="1257"/>
      <c r="AD36" s="318"/>
      <c r="AE36" s="2055"/>
      <c r="AF36" s="261"/>
      <c r="AG36" s="317"/>
      <c r="AH36" s="318"/>
      <c r="AI36" s="2052"/>
      <c r="AJ36" s="318"/>
      <c r="AK36" s="654"/>
      <c r="AL36" s="652"/>
    </row>
    <row r="37" spans="1:39" ht="15.75">
      <c r="A37" s="223"/>
      <c r="B37" s="1748" t="s">
        <v>1175</v>
      </c>
      <c r="C37" s="1321"/>
      <c r="D37" s="223"/>
      <c r="E37" s="1752">
        <v>0</v>
      </c>
      <c r="F37" s="1751"/>
      <c r="G37" s="1752">
        <v>0</v>
      </c>
      <c r="H37" s="1751"/>
      <c r="I37" s="1752">
        <v>23</v>
      </c>
      <c r="J37" s="1751"/>
      <c r="K37" s="1752">
        <v>0</v>
      </c>
      <c r="L37" s="1146"/>
      <c r="M37" s="1146">
        <v>0</v>
      </c>
      <c r="N37" s="1146"/>
      <c r="O37" s="1318">
        <v>0</v>
      </c>
      <c r="P37" s="260"/>
      <c r="Q37" s="515">
        <v>0</v>
      </c>
      <c r="R37" s="260"/>
      <c r="S37" s="515">
        <v>0</v>
      </c>
      <c r="T37" s="260"/>
      <c r="U37" s="515">
        <v>0</v>
      </c>
      <c r="V37" s="260"/>
      <c r="W37" s="515">
        <v>0</v>
      </c>
      <c r="X37" s="260"/>
      <c r="Y37" s="515"/>
      <c r="Z37" s="260"/>
      <c r="AA37" s="515"/>
      <c r="AB37" s="317"/>
      <c r="AC37" s="1257"/>
      <c r="AD37" s="318">
        <f>ROUND(SUM(E37:AA37),1)</f>
        <v>23</v>
      </c>
      <c r="AE37" s="2055"/>
      <c r="AF37" s="261"/>
      <c r="AG37" s="2049">
        <v>23</v>
      </c>
      <c r="AH37" s="318"/>
      <c r="AI37" s="2052"/>
      <c r="AJ37" s="318">
        <f t="shared" ref="AJ37:AJ60" si="0">ROUND(AD37-AG37,1)</f>
        <v>0</v>
      </c>
      <c r="AK37" s="654"/>
      <c r="AL37" s="2664">
        <f>ROUND(IF(AG37=0,0,AJ37/ABS(AG37)),3)</f>
        <v>0</v>
      </c>
    </row>
    <row r="38" spans="1:39" ht="15.75">
      <c r="A38" s="223"/>
      <c r="B38" s="1748" t="s">
        <v>1270</v>
      </c>
      <c r="C38" s="1321"/>
      <c r="D38" s="223"/>
      <c r="E38" s="1752"/>
      <c r="F38" s="1751"/>
      <c r="G38" s="1752"/>
      <c r="H38" s="1751"/>
      <c r="I38" s="1752"/>
      <c r="J38" s="1751"/>
      <c r="K38" s="1752"/>
      <c r="L38" s="1146"/>
      <c r="M38" s="1146"/>
      <c r="N38" s="1146"/>
      <c r="O38" s="1318"/>
      <c r="P38" s="260"/>
      <c r="Q38" s="515"/>
      <c r="R38" s="260"/>
      <c r="S38" s="515"/>
      <c r="T38" s="260"/>
      <c r="U38" s="515"/>
      <c r="V38" s="260"/>
      <c r="W38" s="515"/>
      <c r="X38" s="260"/>
      <c r="Y38" s="515"/>
      <c r="Z38" s="260"/>
      <c r="AA38" s="515"/>
      <c r="AB38" s="317"/>
      <c r="AC38" s="1257"/>
      <c r="AD38" s="2050"/>
      <c r="AE38" s="2055"/>
      <c r="AF38" s="261"/>
      <c r="AG38" s="2049"/>
      <c r="AH38" s="318"/>
      <c r="AI38" s="2052"/>
      <c r="AJ38" s="318"/>
      <c r="AK38" s="654"/>
      <c r="AL38" s="2714"/>
    </row>
    <row r="39" spans="1:39" ht="15.75">
      <c r="A39" s="223"/>
      <c r="B39" s="1748" t="s">
        <v>1176</v>
      </c>
      <c r="C39" s="1321"/>
      <c r="D39" s="223"/>
      <c r="E39" s="1752">
        <v>9.4</v>
      </c>
      <c r="F39" s="1751"/>
      <c r="G39" s="1752">
        <v>8.6999999999999993</v>
      </c>
      <c r="H39" s="1751"/>
      <c r="I39" s="1752">
        <v>10.3</v>
      </c>
      <c r="J39" s="1751"/>
      <c r="K39" s="1752">
        <v>11.1</v>
      </c>
      <c r="L39" s="1146"/>
      <c r="M39" s="1146">
        <v>7.8</v>
      </c>
      <c r="N39" s="1146"/>
      <c r="O39" s="1318">
        <v>11.7</v>
      </c>
      <c r="P39" s="260"/>
      <c r="Q39" s="515">
        <v>9.3000000000000007</v>
      </c>
      <c r="R39" s="260"/>
      <c r="S39" s="515">
        <v>7.9</v>
      </c>
      <c r="T39" s="260"/>
      <c r="U39" s="515">
        <v>7.8</v>
      </c>
      <c r="V39" s="260"/>
      <c r="W39" s="515">
        <v>7.9</v>
      </c>
      <c r="X39" s="260"/>
      <c r="Y39" s="515"/>
      <c r="Z39" s="260"/>
      <c r="AA39" s="515"/>
      <c r="AB39" s="317"/>
      <c r="AC39" s="1257"/>
      <c r="AD39" s="318">
        <f>ROUND(SUM(E39:AA39),1)</f>
        <v>91.9</v>
      </c>
      <c r="AE39" s="2055"/>
      <c r="AF39" s="261"/>
      <c r="AG39" s="2049">
        <v>83.4</v>
      </c>
      <c r="AH39" s="318"/>
      <c r="AI39" s="2052"/>
      <c r="AJ39" s="318">
        <f t="shared" si="0"/>
        <v>8.5</v>
      </c>
      <c r="AK39" s="654"/>
      <c r="AL39" s="2664">
        <f>ROUND(IF(AG39=0,0,AJ39/ABS(AG39)),3)</f>
        <v>0.10199999999999999</v>
      </c>
    </row>
    <row r="40" spans="1:39" ht="15.75">
      <c r="A40" s="223"/>
      <c r="B40" s="1748" t="s">
        <v>1274</v>
      </c>
      <c r="C40" s="1321"/>
      <c r="D40" s="223"/>
      <c r="E40" s="2049"/>
      <c r="F40" s="317"/>
      <c r="G40" s="2049"/>
      <c r="H40" s="317"/>
      <c r="I40" s="2049"/>
      <c r="J40" s="317"/>
      <c r="K40" s="2049"/>
      <c r="L40" s="260"/>
      <c r="M40" s="260"/>
      <c r="N40" s="260"/>
      <c r="O40" s="515"/>
      <c r="P40" s="260"/>
      <c r="Q40" s="515"/>
      <c r="R40" s="260"/>
      <c r="S40" s="515"/>
      <c r="T40" s="260"/>
      <c r="U40" s="515"/>
      <c r="V40" s="260"/>
      <c r="W40" s="515"/>
      <c r="X40" s="260"/>
      <c r="Y40" s="515"/>
      <c r="Z40" s="260"/>
      <c r="AA40" s="515"/>
      <c r="AB40" s="317"/>
      <c r="AC40" s="1257"/>
      <c r="AD40" s="318"/>
      <c r="AE40" s="2055"/>
      <c r="AF40" s="261"/>
      <c r="AG40" s="2049"/>
      <c r="AH40" s="318"/>
      <c r="AI40" s="2052"/>
      <c r="AJ40" s="318"/>
      <c r="AK40" s="654"/>
      <c r="AL40" s="2714"/>
    </row>
    <row r="41" spans="1:39" ht="15.75">
      <c r="A41" s="223"/>
      <c r="B41" s="1748" t="s">
        <v>1180</v>
      </c>
      <c r="C41" s="1321"/>
      <c r="D41" s="223"/>
      <c r="E41" s="2049">
        <v>2.6</v>
      </c>
      <c r="F41" s="317"/>
      <c r="G41" s="2049">
        <v>6.3</v>
      </c>
      <c r="H41" s="317"/>
      <c r="I41" s="2049">
        <v>2.2999999999999998</v>
      </c>
      <c r="J41" s="317"/>
      <c r="K41" s="2049">
        <v>1.9</v>
      </c>
      <c r="L41" s="260"/>
      <c r="M41" s="260">
        <v>3.6</v>
      </c>
      <c r="N41" s="260"/>
      <c r="O41" s="515">
        <v>2.5</v>
      </c>
      <c r="P41" s="260"/>
      <c r="Q41" s="515">
        <v>1.8</v>
      </c>
      <c r="R41" s="260"/>
      <c r="S41" s="515">
        <v>1.9</v>
      </c>
      <c r="T41" s="260"/>
      <c r="U41" s="515">
        <v>1.2</v>
      </c>
      <c r="V41" s="260"/>
      <c r="W41" s="515">
        <v>9.1999999999999993</v>
      </c>
      <c r="X41" s="260"/>
      <c r="Y41" s="515"/>
      <c r="Z41" s="260"/>
      <c r="AA41" s="515"/>
      <c r="AB41" s="317"/>
      <c r="AC41" s="1257"/>
      <c r="AD41" s="318">
        <f t="shared" ref="AD41:AD46" si="1">ROUND(SUM(E41:AA41),1)</f>
        <v>33.299999999999997</v>
      </c>
      <c r="AE41" s="2055"/>
      <c r="AF41" s="261"/>
      <c r="AG41" s="2049">
        <v>31</v>
      </c>
      <c r="AH41" s="318"/>
      <c r="AI41" s="2052"/>
      <c r="AJ41" s="318">
        <f t="shared" si="0"/>
        <v>2.2999999999999998</v>
      </c>
      <c r="AK41" s="654"/>
      <c r="AL41" s="2664">
        <f>ROUND(IF(AG41=0,0,AJ41/ABS(AG41)),3)</f>
        <v>7.3999999999999996E-2</v>
      </c>
    </row>
    <row r="42" spans="1:39" ht="15.75">
      <c r="A42" s="223"/>
      <c r="B42" s="1748" t="s">
        <v>1344</v>
      </c>
      <c r="C42" s="1321"/>
      <c r="D42" s="223"/>
      <c r="E42" s="2049">
        <v>0</v>
      </c>
      <c r="F42" s="317"/>
      <c r="G42" s="2049">
        <v>0</v>
      </c>
      <c r="H42" s="317"/>
      <c r="I42" s="2049">
        <v>0</v>
      </c>
      <c r="J42" s="317"/>
      <c r="K42" s="2049">
        <v>0</v>
      </c>
      <c r="L42" s="260"/>
      <c r="M42" s="260">
        <v>0</v>
      </c>
      <c r="N42" s="260"/>
      <c r="O42" s="515">
        <v>0</v>
      </c>
      <c r="P42" s="260"/>
      <c r="Q42" s="515">
        <v>0</v>
      </c>
      <c r="R42" s="260"/>
      <c r="S42" s="515">
        <v>0</v>
      </c>
      <c r="T42" s="260"/>
      <c r="U42" s="515">
        <v>0</v>
      </c>
      <c r="V42" s="260"/>
      <c r="W42" s="515">
        <v>0</v>
      </c>
      <c r="X42" s="260"/>
      <c r="Y42" s="515"/>
      <c r="Z42" s="260"/>
      <c r="AA42" s="515"/>
      <c r="AB42" s="317"/>
      <c r="AC42" s="1257"/>
      <c r="AD42" s="318">
        <f t="shared" si="1"/>
        <v>0</v>
      </c>
      <c r="AE42" s="2736"/>
      <c r="AF42" s="261"/>
      <c r="AG42" s="2049">
        <v>0</v>
      </c>
      <c r="AH42" s="318"/>
      <c r="AI42" s="2052"/>
      <c r="AJ42" s="318">
        <f>ROUND(AD42-AG42,1)</f>
        <v>0</v>
      </c>
      <c r="AK42" s="654"/>
      <c r="AL42" s="2679">
        <f>ROUND(IF(AG42=0,0,AJ42/ABS(AG42)),3)</f>
        <v>0</v>
      </c>
    </row>
    <row r="43" spans="1:39" ht="15.75">
      <c r="A43" s="223"/>
      <c r="B43" s="1748" t="s">
        <v>1183</v>
      </c>
      <c r="C43" s="1321"/>
      <c r="D43" s="223"/>
      <c r="E43" s="2049">
        <v>66.099999999999994</v>
      </c>
      <c r="F43" s="317"/>
      <c r="G43" s="2049">
        <v>64.8</v>
      </c>
      <c r="H43" s="317"/>
      <c r="I43" s="2049">
        <v>62</v>
      </c>
      <c r="J43" s="317"/>
      <c r="K43" s="2049">
        <v>63.5</v>
      </c>
      <c r="L43" s="260"/>
      <c r="M43" s="260">
        <v>54.7</v>
      </c>
      <c r="N43" s="260"/>
      <c r="O43" s="515">
        <v>61.3</v>
      </c>
      <c r="P43" s="260"/>
      <c r="Q43" s="515">
        <v>53</v>
      </c>
      <c r="R43" s="260"/>
      <c r="S43" s="515">
        <v>56.1</v>
      </c>
      <c r="T43" s="260"/>
      <c r="U43" s="515">
        <v>60</v>
      </c>
      <c r="V43" s="260"/>
      <c r="W43" s="515">
        <v>52.6</v>
      </c>
      <c r="X43" s="260"/>
      <c r="Y43" s="515"/>
      <c r="Z43" s="260"/>
      <c r="AA43" s="515"/>
      <c r="AB43" s="317"/>
      <c r="AC43" s="1257"/>
      <c r="AD43" s="318">
        <f t="shared" si="1"/>
        <v>594.1</v>
      </c>
      <c r="AE43" s="2055"/>
      <c r="AF43" s="261"/>
      <c r="AG43" s="2049">
        <v>581.4</v>
      </c>
      <c r="AH43" s="318"/>
      <c r="AI43" s="2052"/>
      <c r="AJ43" s="318">
        <f t="shared" si="0"/>
        <v>12.7</v>
      </c>
      <c r="AK43" s="654"/>
      <c r="AL43" s="2664">
        <f>ROUND(IF(AG43=0,0,AJ43/ABS(AG43)),3)</f>
        <v>2.1999999999999999E-2</v>
      </c>
    </row>
    <row r="44" spans="1:39" ht="15.75">
      <c r="A44" s="223"/>
      <c r="B44" s="1748" t="s">
        <v>1184</v>
      </c>
      <c r="C44" s="1321"/>
      <c r="D44" s="223"/>
      <c r="E44" s="2049">
        <v>0.1</v>
      </c>
      <c r="F44" s="317"/>
      <c r="G44" s="2049">
        <v>0.3</v>
      </c>
      <c r="H44" s="317"/>
      <c r="I44" s="2049">
        <v>0.1</v>
      </c>
      <c r="J44" s="317"/>
      <c r="K44" s="2049">
        <v>0.2</v>
      </c>
      <c r="L44" s="260"/>
      <c r="M44" s="260">
        <v>0.9</v>
      </c>
      <c r="N44" s="260"/>
      <c r="O44" s="515">
        <v>26</v>
      </c>
      <c r="P44" s="260"/>
      <c r="Q44" s="515">
        <v>-0.7</v>
      </c>
      <c r="R44" s="260"/>
      <c r="S44" s="515">
        <v>0</v>
      </c>
      <c r="T44" s="260"/>
      <c r="U44" s="515">
        <v>0</v>
      </c>
      <c r="V44" s="260"/>
      <c r="W44" s="515">
        <v>0</v>
      </c>
      <c r="X44" s="260"/>
      <c r="Y44" s="515"/>
      <c r="Z44" s="260"/>
      <c r="AA44" s="515"/>
      <c r="AB44" s="317"/>
      <c r="AC44" s="1257"/>
      <c r="AD44" s="318">
        <f t="shared" si="1"/>
        <v>26.9</v>
      </c>
      <c r="AE44" s="2055"/>
      <c r="AF44" s="261"/>
      <c r="AG44" s="2049">
        <v>34.299999999999997</v>
      </c>
      <c r="AH44" s="318"/>
      <c r="AI44" s="2052"/>
      <c r="AJ44" s="318">
        <f t="shared" si="0"/>
        <v>-7.4</v>
      </c>
      <c r="AK44" s="654"/>
      <c r="AL44" s="2679">
        <f>ROUND(IF(AG44=0,1,AJ44/ABS(AG44)),3)</f>
        <v>-0.216</v>
      </c>
    </row>
    <row r="45" spans="1:39" ht="15.75">
      <c r="A45" s="223"/>
      <c r="B45" s="1748" t="s">
        <v>1158</v>
      </c>
      <c r="C45" s="1321"/>
      <c r="D45" s="223"/>
      <c r="E45" s="2049">
        <v>2.2999999999999998</v>
      </c>
      <c r="F45" s="317"/>
      <c r="G45" s="2049">
        <v>2.2999999999999998</v>
      </c>
      <c r="H45" s="317"/>
      <c r="I45" s="2049">
        <v>2.7</v>
      </c>
      <c r="J45" s="317"/>
      <c r="K45" s="2049">
        <v>3.5</v>
      </c>
      <c r="L45" s="260"/>
      <c r="M45" s="260">
        <v>2.9</v>
      </c>
      <c r="N45" s="260"/>
      <c r="O45" s="515">
        <v>2.8</v>
      </c>
      <c r="P45" s="260"/>
      <c r="Q45" s="515">
        <v>5.9</v>
      </c>
      <c r="R45" s="260"/>
      <c r="S45" s="515">
        <v>0.9</v>
      </c>
      <c r="T45" s="260"/>
      <c r="U45" s="515">
        <v>1.5</v>
      </c>
      <c r="V45" s="260"/>
      <c r="W45" s="515">
        <v>2.9</v>
      </c>
      <c r="X45" s="260"/>
      <c r="Y45" s="515"/>
      <c r="Z45" s="260"/>
      <c r="AA45" s="515"/>
      <c r="AB45" s="317"/>
      <c r="AC45" s="1257"/>
      <c r="AD45" s="318">
        <f t="shared" si="1"/>
        <v>27.7</v>
      </c>
      <c r="AE45" s="2055"/>
      <c r="AF45" s="261"/>
      <c r="AG45" s="2049">
        <v>18.600000000000001</v>
      </c>
      <c r="AH45" s="318"/>
      <c r="AI45" s="2052"/>
      <c r="AJ45" s="318">
        <f t="shared" si="0"/>
        <v>9.1</v>
      </c>
      <c r="AK45" s="654"/>
      <c r="AL45" s="2734">
        <f>ROUND(IF(AG45=0,1,AJ45/ABS(AG45)),3)</f>
        <v>0.48899999999999999</v>
      </c>
    </row>
    <row r="46" spans="1:39" ht="15.75">
      <c r="A46" s="223"/>
      <c r="B46" s="1748" t="s">
        <v>1159</v>
      </c>
      <c r="C46" s="1321"/>
      <c r="D46" s="223"/>
      <c r="E46" s="2049">
        <v>0.2</v>
      </c>
      <c r="F46" s="317"/>
      <c r="G46" s="2049">
        <v>0.1</v>
      </c>
      <c r="H46" s="317"/>
      <c r="I46" s="2049">
        <v>0.2</v>
      </c>
      <c r="J46" s="317"/>
      <c r="K46" s="2049">
        <v>0.1</v>
      </c>
      <c r="L46" s="260"/>
      <c r="M46" s="260">
        <v>0.2</v>
      </c>
      <c r="N46" s="260"/>
      <c r="O46" s="515">
        <v>0.2</v>
      </c>
      <c r="P46" s="260"/>
      <c r="Q46" s="515">
        <v>0.2</v>
      </c>
      <c r="R46" s="260"/>
      <c r="S46" s="515">
        <v>0.3</v>
      </c>
      <c r="T46" s="260"/>
      <c r="U46" s="515">
        <v>0.2</v>
      </c>
      <c r="V46" s="260"/>
      <c r="W46" s="515">
        <v>0.3</v>
      </c>
      <c r="X46" s="260"/>
      <c r="Y46" s="515"/>
      <c r="Z46" s="260"/>
      <c r="AA46" s="515"/>
      <c r="AB46" s="317"/>
      <c r="AC46" s="1257"/>
      <c r="AD46" s="318">
        <f t="shared" si="1"/>
        <v>2</v>
      </c>
      <c r="AE46" s="2055"/>
      <c r="AF46" s="261"/>
      <c r="AG46" s="2049">
        <v>0.6</v>
      </c>
      <c r="AH46" s="318"/>
      <c r="AI46" s="2052"/>
      <c r="AJ46" s="318">
        <f t="shared" si="0"/>
        <v>1.4</v>
      </c>
      <c r="AK46" s="654"/>
      <c r="AL46" s="2679">
        <f>ROUND(IF(AG46=0,1,AJ46/ABS(AG46)),3)</f>
        <v>2.3330000000000002</v>
      </c>
    </row>
    <row r="47" spans="1:39" ht="15.75">
      <c r="A47" s="223"/>
      <c r="B47" s="1748" t="s">
        <v>1272</v>
      </c>
      <c r="C47" s="1321"/>
      <c r="D47" s="223"/>
      <c r="E47" s="2049"/>
      <c r="F47" s="317"/>
      <c r="G47" s="2049"/>
      <c r="H47" s="317"/>
      <c r="I47" s="2049"/>
      <c r="J47" s="317"/>
      <c r="K47" s="2049"/>
      <c r="L47" s="260"/>
      <c r="M47" s="260"/>
      <c r="N47" s="260"/>
      <c r="O47" s="515"/>
      <c r="P47" s="260"/>
      <c r="Q47" s="515"/>
      <c r="R47" s="260"/>
      <c r="S47" s="515"/>
      <c r="T47" s="260"/>
      <c r="U47" s="515"/>
      <c r="V47" s="260"/>
      <c r="W47" s="515"/>
      <c r="X47" s="260"/>
      <c r="Y47" s="515"/>
      <c r="Z47" s="260"/>
      <c r="AA47" s="515"/>
      <c r="AB47" s="317"/>
      <c r="AC47" s="1257"/>
      <c r="AD47" s="318"/>
      <c r="AE47" s="2055"/>
      <c r="AF47" s="261"/>
      <c r="AG47" s="2049"/>
      <c r="AH47" s="318"/>
      <c r="AI47" s="2052"/>
      <c r="AJ47" s="318"/>
      <c r="AK47" s="654"/>
      <c r="AL47" s="2714"/>
    </row>
    <row r="48" spans="1:39" ht="15.75">
      <c r="A48" s="223"/>
      <c r="B48" s="1748" t="s">
        <v>1188</v>
      </c>
      <c r="C48" s="1321"/>
      <c r="D48" s="223"/>
      <c r="E48" s="2049">
        <v>0</v>
      </c>
      <c r="F48" s="317"/>
      <c r="G48" s="2049">
        <v>112.9</v>
      </c>
      <c r="H48" s="317"/>
      <c r="I48" s="2049">
        <v>556</v>
      </c>
      <c r="J48" s="317"/>
      <c r="K48" s="2049">
        <v>4.2</v>
      </c>
      <c r="L48" s="260"/>
      <c r="M48" s="260">
        <v>9</v>
      </c>
      <c r="N48" s="260"/>
      <c r="O48" s="515">
        <v>536.5</v>
      </c>
      <c r="P48" s="260"/>
      <c r="Q48" s="515">
        <v>251.4</v>
      </c>
      <c r="R48" s="260"/>
      <c r="S48" s="515">
        <v>3.8</v>
      </c>
      <c r="T48" s="260"/>
      <c r="U48" s="515">
        <v>48</v>
      </c>
      <c r="V48" s="260"/>
      <c r="W48" s="515">
        <v>144.69999999999999</v>
      </c>
      <c r="X48" s="260"/>
      <c r="Y48" s="515"/>
      <c r="Z48" s="260"/>
      <c r="AA48" s="515"/>
      <c r="AB48" s="317"/>
      <c r="AC48" s="1257"/>
      <c r="AD48" s="318">
        <f>ROUND(SUM(E48:AA48),1)</f>
        <v>1666.5</v>
      </c>
      <c r="AE48" s="2055"/>
      <c r="AF48" s="261"/>
      <c r="AG48" s="2049">
        <v>2228.8000000000002</v>
      </c>
      <c r="AH48" s="318"/>
      <c r="AI48" s="2052"/>
      <c r="AJ48" s="318">
        <f t="shared" si="0"/>
        <v>-562.29999999999995</v>
      </c>
      <c r="AK48" s="654"/>
      <c r="AL48" s="2664">
        <f>ROUND(IF(AG48=0,0,AJ48/ABS(AG48)),3)</f>
        <v>-0.252</v>
      </c>
    </row>
    <row r="49" spans="1:38" s="1773" customFormat="1" ht="15.75">
      <c r="A49" s="2739"/>
      <c r="B49" s="1748" t="s">
        <v>1190</v>
      </c>
      <c r="C49" s="1321"/>
      <c r="D49" s="1321"/>
      <c r="E49" s="1752">
        <v>0</v>
      </c>
      <c r="F49" s="1752">
        <v>0</v>
      </c>
      <c r="G49" s="1752">
        <v>0</v>
      </c>
      <c r="H49" s="1752"/>
      <c r="I49" s="1752">
        <v>0</v>
      </c>
      <c r="J49" s="1752"/>
      <c r="K49" s="1752">
        <v>0</v>
      </c>
      <c r="L49" s="1752"/>
      <c r="M49" s="1752">
        <v>0</v>
      </c>
      <c r="N49" s="1752"/>
      <c r="O49" s="1752">
        <v>0</v>
      </c>
      <c r="P49" s="1752"/>
      <c r="Q49" s="1752">
        <v>0</v>
      </c>
      <c r="R49" s="1146"/>
      <c r="S49" s="1752">
        <v>0</v>
      </c>
      <c r="T49" s="1146"/>
      <c r="U49" s="2942">
        <v>0</v>
      </c>
      <c r="V49" s="1146"/>
      <c r="W49" s="1318">
        <v>0</v>
      </c>
      <c r="X49" s="1146"/>
      <c r="Y49" s="1318"/>
      <c r="Z49" s="1146"/>
      <c r="AA49" s="1318"/>
      <c r="AB49" s="1751"/>
      <c r="AC49" s="2645"/>
      <c r="AD49" s="1314">
        <f>ROUND(SUM(E49:AA49),1)</f>
        <v>0</v>
      </c>
      <c r="AE49" s="2742"/>
      <c r="AF49" s="1959"/>
      <c r="AG49" s="2942">
        <v>0</v>
      </c>
      <c r="AH49" s="1314"/>
      <c r="AI49" s="2052"/>
      <c r="AJ49" s="1314">
        <f t="shared" si="0"/>
        <v>0</v>
      </c>
      <c r="AK49" s="1813"/>
      <c r="AL49" s="2679">
        <f>ROUND(IF(AG49=0,0,AJ49/ABS(AG49)),3)</f>
        <v>0</v>
      </c>
    </row>
    <row r="50" spans="1:38" ht="15.75">
      <c r="A50" s="223"/>
      <c r="B50" s="1748" t="s">
        <v>1191</v>
      </c>
      <c r="C50" s="1321"/>
      <c r="D50" s="223"/>
      <c r="E50" s="2049">
        <v>0.1</v>
      </c>
      <c r="F50" s="317"/>
      <c r="G50" s="2049">
        <v>0</v>
      </c>
      <c r="H50" s="317"/>
      <c r="I50" s="2049">
        <v>0.6</v>
      </c>
      <c r="J50" s="317"/>
      <c r="K50" s="2049">
        <v>0</v>
      </c>
      <c r="L50" s="260"/>
      <c r="M50" s="260">
        <v>4</v>
      </c>
      <c r="N50" s="260"/>
      <c r="O50" s="515">
        <v>0.8</v>
      </c>
      <c r="P50" s="260"/>
      <c r="Q50" s="2049">
        <v>0</v>
      </c>
      <c r="R50" s="260"/>
      <c r="S50" s="515">
        <v>0</v>
      </c>
      <c r="T50" s="260"/>
      <c r="U50" s="515">
        <v>1.3</v>
      </c>
      <c r="V50" s="260"/>
      <c r="W50" s="515">
        <v>0.1</v>
      </c>
      <c r="X50" s="260"/>
      <c r="Y50" s="515"/>
      <c r="Z50" s="260"/>
      <c r="AA50" s="515"/>
      <c r="AB50" s="317"/>
      <c r="AC50" s="1257"/>
      <c r="AD50" s="318">
        <f>ROUND(SUM(E50:AA50),1)</f>
        <v>6.9</v>
      </c>
      <c r="AE50" s="2055"/>
      <c r="AF50" s="261"/>
      <c r="AG50" s="2049">
        <v>4.5</v>
      </c>
      <c r="AH50" s="318"/>
      <c r="AI50" s="2052"/>
      <c r="AJ50" s="318">
        <f t="shared" si="0"/>
        <v>2.4</v>
      </c>
      <c r="AK50" s="654"/>
      <c r="AL50" s="2664">
        <f>ROUND(IF(AG50=0,1,AJ50/ABS(AG50)),3)</f>
        <v>0.53300000000000003</v>
      </c>
    </row>
    <row r="51" spans="1:38" ht="15.75">
      <c r="A51" s="223"/>
      <c r="B51" s="1748" t="s">
        <v>1170</v>
      </c>
      <c r="C51" s="1321"/>
      <c r="D51" s="223"/>
      <c r="E51" s="2049">
        <v>0</v>
      </c>
      <c r="F51" s="317"/>
      <c r="G51" s="2049">
        <v>0.6</v>
      </c>
      <c r="H51" s="317"/>
      <c r="I51" s="2049">
        <v>0.3</v>
      </c>
      <c r="J51" s="317"/>
      <c r="K51" s="2049">
        <v>0.4</v>
      </c>
      <c r="L51" s="260"/>
      <c r="M51" s="317">
        <v>0.1</v>
      </c>
      <c r="N51" s="260"/>
      <c r="O51" s="515">
        <v>0</v>
      </c>
      <c r="P51" s="260"/>
      <c r="Q51" s="515">
        <v>0</v>
      </c>
      <c r="R51" s="260"/>
      <c r="S51" s="515">
        <v>0.4</v>
      </c>
      <c r="T51" s="260"/>
      <c r="U51" s="515">
        <v>0</v>
      </c>
      <c r="V51" s="260"/>
      <c r="W51" s="515">
        <v>0</v>
      </c>
      <c r="X51" s="260"/>
      <c r="Y51" s="515"/>
      <c r="Z51" s="260"/>
      <c r="AA51" s="515"/>
      <c r="AB51" s="317"/>
      <c r="AC51" s="1257"/>
      <c r="AD51" s="318">
        <f>ROUND(SUM(E51:AA51),1)</f>
        <v>1.8</v>
      </c>
      <c r="AE51" s="2055"/>
      <c r="AF51" s="261"/>
      <c r="AG51" s="2049">
        <v>0.5</v>
      </c>
      <c r="AH51" s="318"/>
      <c r="AI51" s="2052"/>
      <c r="AJ51" s="318">
        <f t="shared" si="0"/>
        <v>1.3</v>
      </c>
      <c r="AK51" s="654"/>
      <c r="AL51" s="2664">
        <f>ROUND(IF(AG51=0,0,AJ51/ABS(AG51)),3)</f>
        <v>2.6</v>
      </c>
    </row>
    <row r="52" spans="1:38" ht="15.75">
      <c r="A52" s="223"/>
      <c r="B52" s="1748" t="s">
        <v>1171</v>
      </c>
      <c r="C52" s="1321"/>
      <c r="D52" s="223"/>
      <c r="E52" s="2049">
        <v>0.6</v>
      </c>
      <c r="F52" s="317"/>
      <c r="G52" s="2049">
        <v>0.2</v>
      </c>
      <c r="H52" s="317"/>
      <c r="I52" s="2049">
        <v>0.4</v>
      </c>
      <c r="J52" s="317"/>
      <c r="K52" s="2049">
        <v>1.1000000000000001</v>
      </c>
      <c r="L52" s="260"/>
      <c r="M52" s="260">
        <v>0.2</v>
      </c>
      <c r="N52" s="260"/>
      <c r="O52" s="515">
        <v>1.6</v>
      </c>
      <c r="P52" s="260"/>
      <c r="Q52" s="515">
        <v>0.2</v>
      </c>
      <c r="R52" s="260"/>
      <c r="S52" s="515">
        <v>0.1</v>
      </c>
      <c r="T52" s="260"/>
      <c r="U52" s="515">
        <v>0.5</v>
      </c>
      <c r="V52" s="260"/>
      <c r="W52" s="515">
        <v>1</v>
      </c>
      <c r="X52" s="260"/>
      <c r="Y52" s="515"/>
      <c r="Z52" s="260"/>
      <c r="AA52" s="515"/>
      <c r="AB52" s="317"/>
      <c r="AC52" s="1257"/>
      <c r="AD52" s="318">
        <f>ROUND(SUM(E52:AA52),1)</f>
        <v>5.9</v>
      </c>
      <c r="AE52" s="2055"/>
      <c r="AF52" s="261"/>
      <c r="AG52" s="2049">
        <v>5.4</v>
      </c>
      <c r="AH52" s="318"/>
      <c r="AI52" s="2052"/>
      <c r="AJ52" s="318">
        <f t="shared" si="0"/>
        <v>0.5</v>
      </c>
      <c r="AK52" s="654"/>
      <c r="AL52" s="2664">
        <f>ROUND(IF(AG52=0,0,AJ52/ABS(AG52)),3)</f>
        <v>9.2999999999999999E-2</v>
      </c>
    </row>
    <row r="53" spans="1:38" ht="15.75">
      <c r="A53" s="223"/>
      <c r="B53" s="1748" t="s">
        <v>1273</v>
      </c>
      <c r="C53" s="1321"/>
      <c r="D53" s="223"/>
      <c r="E53" s="2049"/>
      <c r="F53" s="317"/>
      <c r="G53" s="2049"/>
      <c r="H53" s="317"/>
      <c r="I53" s="2049"/>
      <c r="J53" s="317"/>
      <c r="K53" s="2049"/>
      <c r="L53" s="260"/>
      <c r="M53" s="260"/>
      <c r="N53" s="260"/>
      <c r="O53" s="515"/>
      <c r="P53" s="260"/>
      <c r="Q53" s="515"/>
      <c r="R53" s="260"/>
      <c r="S53" s="515"/>
      <c r="T53" s="260"/>
      <c r="U53" s="515"/>
      <c r="V53" s="260"/>
      <c r="W53" s="515"/>
      <c r="X53" s="260"/>
      <c r="Y53" s="515"/>
      <c r="Z53" s="260"/>
      <c r="AA53" s="515"/>
      <c r="AB53" s="317"/>
      <c r="AC53" s="1257"/>
      <c r="AD53" s="318"/>
      <c r="AE53" s="2055"/>
      <c r="AF53" s="261"/>
      <c r="AG53" s="2049"/>
      <c r="AH53" s="318"/>
      <c r="AI53" s="2052"/>
      <c r="AJ53" s="318"/>
      <c r="AK53" s="654"/>
      <c r="AL53" s="2714"/>
    </row>
    <row r="54" spans="1:38" ht="15.75">
      <c r="A54" s="223"/>
      <c r="B54" s="1748" t="s">
        <v>1192</v>
      </c>
      <c r="C54" s="1321"/>
      <c r="D54" s="223"/>
      <c r="E54" s="2049">
        <v>0</v>
      </c>
      <c r="F54" s="2049">
        <v>0</v>
      </c>
      <c r="G54" s="2049">
        <v>0</v>
      </c>
      <c r="H54" s="317"/>
      <c r="I54" s="2049">
        <v>0</v>
      </c>
      <c r="J54" s="317"/>
      <c r="K54" s="2049">
        <v>0</v>
      </c>
      <c r="L54" s="260"/>
      <c r="M54" s="260">
        <v>0</v>
      </c>
      <c r="N54" s="260"/>
      <c r="O54" s="515">
        <v>0</v>
      </c>
      <c r="P54" s="260"/>
      <c r="Q54" s="515">
        <v>0</v>
      </c>
      <c r="R54" s="260"/>
      <c r="S54" s="515">
        <v>0</v>
      </c>
      <c r="T54" s="260"/>
      <c r="U54" s="515">
        <v>0</v>
      </c>
      <c r="V54" s="260"/>
      <c r="W54" s="515">
        <v>0</v>
      </c>
      <c r="X54" s="260"/>
      <c r="Y54" s="515"/>
      <c r="Z54" s="260"/>
      <c r="AA54" s="515"/>
      <c r="AB54" s="317"/>
      <c r="AC54" s="1257"/>
      <c r="AD54" s="318">
        <f t="shared" ref="AD54:AD60" si="2">ROUND(SUM(E54:AA54),1)</f>
        <v>0</v>
      </c>
      <c r="AE54" s="2055"/>
      <c r="AF54" s="261"/>
      <c r="AG54" s="2942">
        <v>0</v>
      </c>
      <c r="AH54" s="318"/>
      <c r="AI54" s="2052"/>
      <c r="AJ54" s="318">
        <f t="shared" si="0"/>
        <v>0</v>
      </c>
      <c r="AK54" s="654"/>
      <c r="AL54" s="2664">
        <f>ROUND(IF(AG54=0,0,AJ54/ABS(AG54)),3)</f>
        <v>0</v>
      </c>
    </row>
    <row r="55" spans="1:38" ht="15.75">
      <c r="A55" s="223"/>
      <c r="B55" s="1748" t="s">
        <v>1194</v>
      </c>
      <c r="C55" s="1321"/>
      <c r="D55" s="223"/>
      <c r="E55" s="2049">
        <v>2.5</v>
      </c>
      <c r="F55" s="2049">
        <v>0</v>
      </c>
      <c r="G55" s="2049">
        <v>1.6</v>
      </c>
      <c r="H55" s="317"/>
      <c r="I55" s="2049">
        <v>0.1</v>
      </c>
      <c r="J55" s="317"/>
      <c r="K55" s="2049">
        <v>0.8</v>
      </c>
      <c r="L55" s="260"/>
      <c r="M55" s="260">
        <v>0</v>
      </c>
      <c r="N55" s="260"/>
      <c r="O55" s="515">
        <v>3.2</v>
      </c>
      <c r="P55" s="260"/>
      <c r="Q55" s="515">
        <v>1.1000000000000001</v>
      </c>
      <c r="R55" s="260"/>
      <c r="S55" s="515">
        <v>2.5</v>
      </c>
      <c r="T55" s="260"/>
      <c r="U55" s="515">
        <v>6.6</v>
      </c>
      <c r="V55" s="260"/>
      <c r="W55" s="515">
        <v>0</v>
      </c>
      <c r="X55" s="260"/>
      <c r="Y55" s="515"/>
      <c r="Z55" s="260"/>
      <c r="AA55" s="515"/>
      <c r="AB55" s="317"/>
      <c r="AC55" s="1257"/>
      <c r="AD55" s="318">
        <f t="shared" si="2"/>
        <v>18.399999999999999</v>
      </c>
      <c r="AE55" s="2055"/>
      <c r="AF55" s="261"/>
      <c r="AG55" s="2049">
        <v>3.9</v>
      </c>
      <c r="AH55" s="318"/>
      <c r="AI55" s="2052"/>
      <c r="AJ55" s="318">
        <f t="shared" si="0"/>
        <v>14.5</v>
      </c>
      <c r="AK55" s="654"/>
      <c r="AL55" s="2664">
        <f>ROUND(IF(AG55=0,1,AJ55/ABS(AG55)),3)</f>
        <v>3.718</v>
      </c>
    </row>
    <row r="56" spans="1:38" ht="15.75">
      <c r="A56" s="223"/>
      <c r="B56" s="1748" t="s">
        <v>1195</v>
      </c>
      <c r="C56" s="1321"/>
      <c r="D56" s="223"/>
      <c r="E56" s="2049">
        <v>0</v>
      </c>
      <c r="F56" s="2049"/>
      <c r="G56" s="2049">
        <v>0</v>
      </c>
      <c r="H56" s="317"/>
      <c r="I56" s="2049">
        <v>0</v>
      </c>
      <c r="J56" s="317"/>
      <c r="K56" s="2049">
        <v>0</v>
      </c>
      <c r="L56" s="260"/>
      <c r="M56" s="260">
        <v>0</v>
      </c>
      <c r="N56" s="260"/>
      <c r="O56" s="515">
        <v>0</v>
      </c>
      <c r="P56" s="260"/>
      <c r="Q56" s="515">
        <v>0</v>
      </c>
      <c r="R56" s="260"/>
      <c r="S56" s="515">
        <v>0</v>
      </c>
      <c r="T56" s="260"/>
      <c r="U56" s="515">
        <v>0</v>
      </c>
      <c r="V56" s="260"/>
      <c r="W56" s="515">
        <v>0</v>
      </c>
      <c r="X56" s="260"/>
      <c r="Y56" s="515"/>
      <c r="Z56" s="260"/>
      <c r="AA56" s="515"/>
      <c r="AB56" s="317"/>
      <c r="AC56" s="1257"/>
      <c r="AD56" s="318">
        <f t="shared" si="2"/>
        <v>0</v>
      </c>
      <c r="AE56" s="3109"/>
      <c r="AF56" s="261"/>
      <c r="AG56" s="2049">
        <v>0.2</v>
      </c>
      <c r="AH56" s="318"/>
      <c r="AI56" s="2052"/>
      <c r="AJ56" s="318">
        <f t="shared" si="0"/>
        <v>-0.2</v>
      </c>
      <c r="AK56" s="654"/>
      <c r="AL56" s="2664">
        <f t="shared" ref="AL56:AL57" si="3">ROUND(IF(AG56=0,0,AJ56/ABS(AG56)),3)</f>
        <v>-1</v>
      </c>
    </row>
    <row r="57" spans="1:38" ht="15.75">
      <c r="A57" s="223"/>
      <c r="B57" s="1748" t="s">
        <v>1197</v>
      </c>
      <c r="C57" s="1321"/>
      <c r="D57" s="223"/>
      <c r="E57" s="2049">
        <v>0</v>
      </c>
      <c r="F57" s="2049"/>
      <c r="G57" s="2049">
        <v>0</v>
      </c>
      <c r="H57" s="317"/>
      <c r="I57" s="2049">
        <v>0</v>
      </c>
      <c r="J57" s="317"/>
      <c r="K57" s="2049">
        <v>0</v>
      </c>
      <c r="L57" s="260"/>
      <c r="M57" s="260">
        <v>0.3</v>
      </c>
      <c r="N57" s="260"/>
      <c r="O57" s="515">
        <v>0</v>
      </c>
      <c r="P57" s="260"/>
      <c r="Q57" s="515">
        <v>-0.1</v>
      </c>
      <c r="R57" s="260"/>
      <c r="S57" s="515">
        <v>0</v>
      </c>
      <c r="T57" s="260"/>
      <c r="U57" s="515">
        <v>0</v>
      </c>
      <c r="V57" s="260"/>
      <c r="W57" s="515">
        <v>0.2</v>
      </c>
      <c r="X57" s="260"/>
      <c r="Y57" s="515"/>
      <c r="Z57" s="260"/>
      <c r="AA57" s="515"/>
      <c r="AB57" s="317"/>
      <c r="AC57" s="1257"/>
      <c r="AD57" s="318">
        <f t="shared" si="2"/>
        <v>0.4</v>
      </c>
      <c r="AE57" s="3047"/>
      <c r="AF57" s="261"/>
      <c r="AG57" s="2049">
        <v>0.2</v>
      </c>
      <c r="AH57" s="318"/>
      <c r="AI57" s="2052"/>
      <c r="AJ57" s="318">
        <f>ROUND(AD57-AG57,1)</f>
        <v>0.2</v>
      </c>
      <c r="AK57" s="654"/>
      <c r="AL57" s="2664">
        <f t="shared" si="3"/>
        <v>1</v>
      </c>
    </row>
    <row r="58" spans="1:38" ht="15.75">
      <c r="A58" s="223"/>
      <c r="B58" s="1748" t="s">
        <v>1198</v>
      </c>
      <c r="C58" s="1321"/>
      <c r="D58" s="223"/>
      <c r="E58" s="2049">
        <v>0</v>
      </c>
      <c r="F58" s="2049">
        <v>0</v>
      </c>
      <c r="G58" s="2049">
        <v>0.5</v>
      </c>
      <c r="H58" s="317"/>
      <c r="I58" s="2049">
        <v>0.5</v>
      </c>
      <c r="J58" s="317"/>
      <c r="K58" s="2049">
        <v>1.7</v>
      </c>
      <c r="L58" s="260"/>
      <c r="M58" s="260">
        <v>2.1</v>
      </c>
      <c r="N58" s="260"/>
      <c r="O58" s="515">
        <v>2.8</v>
      </c>
      <c r="P58" s="260"/>
      <c r="Q58" s="515">
        <v>0.2</v>
      </c>
      <c r="R58" s="260"/>
      <c r="S58" s="515">
        <v>0.1</v>
      </c>
      <c r="T58" s="260"/>
      <c r="U58" s="515">
        <v>0.4</v>
      </c>
      <c r="V58" s="260"/>
      <c r="W58" s="515">
        <v>0.2</v>
      </c>
      <c r="X58" s="260"/>
      <c r="Y58" s="515"/>
      <c r="Z58" s="260"/>
      <c r="AA58" s="515"/>
      <c r="AB58" s="317"/>
      <c r="AC58" s="1257"/>
      <c r="AD58" s="318">
        <f t="shared" si="2"/>
        <v>8.5</v>
      </c>
      <c r="AE58" s="2055"/>
      <c r="AF58" s="261"/>
      <c r="AG58" s="2049">
        <v>4</v>
      </c>
      <c r="AH58" s="318"/>
      <c r="AI58" s="2052"/>
      <c r="AJ58" s="318">
        <f t="shared" si="0"/>
        <v>4.5</v>
      </c>
      <c r="AK58" s="654"/>
      <c r="AL58" s="2679">
        <f>ROUND(IF(AG58=0,1,AJ58/ABS(AG58)),3)</f>
        <v>1.125</v>
      </c>
    </row>
    <row r="59" spans="1:38" ht="15.75">
      <c r="A59" s="223"/>
      <c r="B59" s="1748" t="s">
        <v>1200</v>
      </c>
      <c r="C59" s="1321"/>
      <c r="D59" s="223"/>
      <c r="E59" s="2049">
        <v>0.1</v>
      </c>
      <c r="F59" s="2049">
        <v>0</v>
      </c>
      <c r="G59" s="2049">
        <v>0.8</v>
      </c>
      <c r="H59" s="317"/>
      <c r="I59" s="2049">
        <v>2.7</v>
      </c>
      <c r="J59" s="317"/>
      <c r="K59" s="2049">
        <v>0.8</v>
      </c>
      <c r="L59" s="260"/>
      <c r="M59" s="260">
        <v>0.6</v>
      </c>
      <c r="N59" s="260"/>
      <c r="O59" s="515">
        <v>6.3</v>
      </c>
      <c r="P59" s="260"/>
      <c r="Q59" s="515">
        <v>0.5</v>
      </c>
      <c r="R59" s="260"/>
      <c r="S59" s="515">
        <v>2</v>
      </c>
      <c r="T59" s="260"/>
      <c r="U59" s="515">
        <v>-0.5</v>
      </c>
      <c r="V59" s="260"/>
      <c r="W59" s="515">
        <v>1.6</v>
      </c>
      <c r="X59" s="260"/>
      <c r="Y59" s="515"/>
      <c r="Z59" s="260"/>
      <c r="AA59" s="515"/>
      <c r="AB59" s="317"/>
      <c r="AC59" s="1257"/>
      <c r="AD59" s="318">
        <f t="shared" si="2"/>
        <v>14.9</v>
      </c>
      <c r="AE59" s="2055"/>
      <c r="AF59" s="261"/>
      <c r="AG59" s="2049">
        <v>15.6</v>
      </c>
      <c r="AH59" s="318"/>
      <c r="AI59" s="2052"/>
      <c r="AJ59" s="318">
        <f t="shared" si="0"/>
        <v>-0.7</v>
      </c>
      <c r="AK59" s="654"/>
      <c r="AL59" s="2713">
        <f>ROUND(IF(AG59=0,0,AJ59/ABS(AG59)),3)</f>
        <v>-4.4999999999999998E-2</v>
      </c>
    </row>
    <row r="60" spans="1:38" ht="15.75">
      <c r="A60" s="223"/>
      <c r="B60" s="1748" t="s">
        <v>1172</v>
      </c>
      <c r="C60" s="1321"/>
      <c r="D60" s="223"/>
      <c r="E60" s="2049">
        <v>0.2</v>
      </c>
      <c r="F60" s="2049">
        <v>0</v>
      </c>
      <c r="G60" s="2049">
        <v>0</v>
      </c>
      <c r="H60" s="317"/>
      <c r="I60" s="2049">
        <v>0</v>
      </c>
      <c r="J60" s="317"/>
      <c r="K60" s="2049">
        <v>0.1</v>
      </c>
      <c r="L60" s="260"/>
      <c r="M60" s="260">
        <v>0.1</v>
      </c>
      <c r="N60" s="260"/>
      <c r="O60" s="515">
        <v>0.1</v>
      </c>
      <c r="P60" s="260"/>
      <c r="Q60" s="515">
        <v>0.1</v>
      </c>
      <c r="R60" s="260"/>
      <c r="S60" s="515">
        <v>0.2</v>
      </c>
      <c r="T60" s="260"/>
      <c r="U60" s="515">
        <v>0.2</v>
      </c>
      <c r="V60" s="260"/>
      <c r="W60" s="515">
        <v>0</v>
      </c>
      <c r="X60" s="260"/>
      <c r="Y60" s="515"/>
      <c r="Z60" s="260"/>
      <c r="AA60" s="515"/>
      <c r="AB60" s="317"/>
      <c r="AC60" s="1257"/>
      <c r="AD60" s="318">
        <f t="shared" si="2"/>
        <v>1</v>
      </c>
      <c r="AE60" s="2055"/>
      <c r="AF60" s="261"/>
      <c r="AG60" s="2049">
        <v>0.7</v>
      </c>
      <c r="AH60" s="318"/>
      <c r="AI60" s="2052"/>
      <c r="AJ60" s="318">
        <f t="shared" si="0"/>
        <v>0.3</v>
      </c>
      <c r="AK60" s="654"/>
      <c r="AL60" s="2664">
        <f>ROUND(IF(AG60=0,1,AJ60/ABS(AG60)),3)</f>
        <v>0.42899999999999999</v>
      </c>
    </row>
    <row r="61" spans="1:38" s="649" customFormat="1" ht="15.75" collapsed="1">
      <c r="A61" s="221"/>
      <c r="B61" s="587" t="s">
        <v>1329</v>
      </c>
      <c r="C61" s="221"/>
      <c r="D61" s="221"/>
      <c r="E61" s="1256">
        <f>ROUND(SUM(E35:E60),1)</f>
        <v>84.2</v>
      </c>
      <c r="F61" s="311"/>
      <c r="G61" s="1256">
        <f>ROUND(SUM(G35:G60),1)</f>
        <v>199.1</v>
      </c>
      <c r="H61" s="2074"/>
      <c r="I61" s="1256">
        <f>ROUND(SUM(I35:I60),1)</f>
        <v>661.2</v>
      </c>
      <c r="J61" s="311"/>
      <c r="K61" s="1256">
        <f>ROUND(SUM(K35:K60),1)</f>
        <v>89.4</v>
      </c>
      <c r="L61" s="1802"/>
      <c r="M61" s="482">
        <f>ROUND(SUM(M35:M60),1)</f>
        <v>86.5</v>
      </c>
      <c r="N61" s="1802"/>
      <c r="O61" s="482">
        <f>ROUND(SUM(O35:O60),1)</f>
        <v>655.8</v>
      </c>
      <c r="P61" s="1802"/>
      <c r="Q61" s="482">
        <f>ROUND(SUM(Q35:Q60),1)</f>
        <v>322.89999999999998</v>
      </c>
      <c r="R61" s="1802"/>
      <c r="S61" s="482">
        <f>ROUND(SUM(S35:S60),1)</f>
        <v>76.2</v>
      </c>
      <c r="T61" s="1802"/>
      <c r="U61" s="482">
        <f>ROUND(SUM(U35:U60),1)</f>
        <v>127.2</v>
      </c>
      <c r="V61" s="1802"/>
      <c r="W61" s="482">
        <f>ROUND(SUM(W35:W60),1)</f>
        <v>220.7</v>
      </c>
      <c r="X61" s="1802"/>
      <c r="Y61" s="482">
        <f>ROUND(SUM(Y35:Y60),1)</f>
        <v>0</v>
      </c>
      <c r="Z61" s="1802"/>
      <c r="AA61" s="482">
        <f>ROUND(SUM(AA35:AA60),1)</f>
        <v>0</v>
      </c>
      <c r="AB61" s="311"/>
      <c r="AC61" s="1258"/>
      <c r="AD61" s="1256">
        <f>ROUND(SUM(AD35:AD60),1)</f>
        <v>2523.1999999999998</v>
      </c>
      <c r="AE61" s="2056"/>
      <c r="AF61" s="314"/>
      <c r="AG61" s="2941">
        <f>ROUND(SUM(AG35:AG60),1)</f>
        <v>3036.1</v>
      </c>
      <c r="AH61" s="2098"/>
      <c r="AI61" s="2052"/>
      <c r="AJ61" s="1256">
        <f>ROUND(SUM(AJ35:AJ60),1)</f>
        <v>-512.9</v>
      </c>
      <c r="AK61" s="2012"/>
      <c r="AL61" s="2683">
        <f>ROUND(IF(AG61=0,0,AJ61/ABS(AG61)),3)</f>
        <v>-0.16900000000000001</v>
      </c>
    </row>
    <row r="62" spans="1:38" s="649" customFormat="1" ht="15.75">
      <c r="A62" s="221"/>
      <c r="B62" s="587"/>
      <c r="C62" s="221"/>
      <c r="D62" s="221"/>
      <c r="E62" s="314"/>
      <c r="F62" s="311"/>
      <c r="G62" s="314"/>
      <c r="H62" s="2074"/>
      <c r="I62" s="314"/>
      <c r="J62" s="311"/>
      <c r="K62" s="314"/>
      <c r="L62" s="1802"/>
      <c r="M62" s="272"/>
      <c r="N62" s="1802"/>
      <c r="O62" s="272"/>
      <c r="P62" s="1802"/>
      <c r="Q62" s="272"/>
      <c r="R62" s="1802"/>
      <c r="S62" s="272"/>
      <c r="T62" s="1802"/>
      <c r="U62" s="2926"/>
      <c r="V62" s="1802"/>
      <c r="W62" s="272"/>
      <c r="X62" s="1802"/>
      <c r="Y62" s="272"/>
      <c r="Z62" s="1802"/>
      <c r="AA62" s="272"/>
      <c r="AB62" s="311"/>
      <c r="AC62" s="1258"/>
      <c r="AD62" s="314"/>
      <c r="AE62" s="2100"/>
      <c r="AF62" s="314"/>
      <c r="AG62" s="314"/>
      <c r="AH62" s="2098"/>
      <c r="AI62" s="2052"/>
      <c r="AJ62" s="314"/>
      <c r="AK62" s="2012"/>
      <c r="AL62" s="648"/>
    </row>
    <row r="63" spans="1:38" ht="15.75">
      <c r="A63" s="223"/>
      <c r="B63" s="223" t="s">
        <v>154</v>
      </c>
      <c r="C63" s="223"/>
      <c r="D63" s="223"/>
      <c r="E63" s="685">
        <v>0</v>
      </c>
      <c r="F63" s="317"/>
      <c r="G63" s="685">
        <v>0</v>
      </c>
      <c r="H63" s="317"/>
      <c r="I63" s="685">
        <v>0</v>
      </c>
      <c r="J63" s="317"/>
      <c r="K63" s="685">
        <v>0</v>
      </c>
      <c r="L63" s="260"/>
      <c r="M63" s="371">
        <v>0</v>
      </c>
      <c r="N63" s="260"/>
      <c r="O63" s="515">
        <v>2.5</v>
      </c>
      <c r="P63" s="260"/>
      <c r="Q63" s="371">
        <v>0</v>
      </c>
      <c r="R63" s="260"/>
      <c r="S63" s="371">
        <v>0</v>
      </c>
      <c r="T63" s="260"/>
      <c r="U63" s="371">
        <v>0</v>
      </c>
      <c r="V63" s="260"/>
      <c r="W63" s="371">
        <v>0</v>
      </c>
      <c r="X63" s="260"/>
      <c r="Y63" s="515"/>
      <c r="Z63" s="260"/>
      <c r="AA63" s="515"/>
      <c r="AB63" s="317"/>
      <c r="AC63" s="1257"/>
      <c r="AD63" s="318">
        <f>ROUND(SUM(E63:AA63),1)</f>
        <v>2.5</v>
      </c>
      <c r="AE63" s="2051"/>
      <c r="AF63" s="261"/>
      <c r="AG63" s="318">
        <v>2.5</v>
      </c>
      <c r="AH63" s="318"/>
      <c r="AI63" s="2094"/>
      <c r="AJ63" s="318">
        <f>ROUND(AD63-AG63,1)</f>
        <v>0</v>
      </c>
      <c r="AK63" s="654"/>
      <c r="AL63" s="45">
        <f>ROUND(IF(AG63=0,0,AJ63/ABS(AG63)),3)</f>
        <v>0</v>
      </c>
    </row>
    <row r="64" spans="1:38" ht="15.75">
      <c r="A64" s="223"/>
      <c r="B64" s="223"/>
      <c r="C64" s="223"/>
      <c r="D64" s="223"/>
      <c r="E64" s="326"/>
      <c r="F64" s="317"/>
      <c r="G64" s="326"/>
      <c r="H64" s="317"/>
      <c r="I64" s="326"/>
      <c r="J64" s="317"/>
      <c r="K64" s="2075"/>
      <c r="L64" s="260"/>
      <c r="M64" s="287"/>
      <c r="N64" s="260"/>
      <c r="O64" s="287"/>
      <c r="P64" s="260"/>
      <c r="Q64" s="287"/>
      <c r="R64" s="260"/>
      <c r="S64" s="287"/>
      <c r="T64" s="260"/>
      <c r="U64" s="287"/>
      <c r="V64" s="260"/>
      <c r="W64" s="287"/>
      <c r="X64" s="260"/>
      <c r="Y64" s="287"/>
      <c r="Z64" s="260"/>
      <c r="AA64" s="287"/>
      <c r="AB64" s="317"/>
      <c r="AC64" s="1257"/>
      <c r="AD64" s="326"/>
      <c r="AE64" s="2051"/>
      <c r="AF64" s="261"/>
      <c r="AG64" s="326"/>
      <c r="AH64" s="261"/>
      <c r="AI64" s="2094"/>
      <c r="AJ64" s="326"/>
      <c r="AK64" s="644"/>
      <c r="AL64" s="369"/>
    </row>
    <row r="65" spans="1:41" ht="15.75">
      <c r="A65" s="223"/>
      <c r="B65" s="221" t="s">
        <v>202</v>
      </c>
      <c r="C65" s="223"/>
      <c r="D65" s="223"/>
      <c r="E65" s="2744">
        <f>ROUND(SUM(E33+E61+E63),1)</f>
        <v>176.9</v>
      </c>
      <c r="F65" s="311"/>
      <c r="G65" s="2744">
        <f>ROUND(SUM(G33+G61+G63),1)</f>
        <v>282.39999999999998</v>
      </c>
      <c r="H65" s="311"/>
      <c r="I65" s="2744">
        <f>ROUND(SUM(I33+I61+I63),1)</f>
        <v>793.6</v>
      </c>
      <c r="J65" s="311"/>
      <c r="K65" s="2744">
        <f>ROUND(SUM(K33+K61+K63),1)</f>
        <v>216.6</v>
      </c>
      <c r="L65" s="256"/>
      <c r="M65" s="2745">
        <f>ROUND(SUM(M33+M61+M63),1)</f>
        <v>201.9</v>
      </c>
      <c r="N65" s="256"/>
      <c r="O65" s="2745">
        <f>ROUND(SUM(O33+O61+O63),1)</f>
        <v>797.9</v>
      </c>
      <c r="P65" s="256"/>
      <c r="Q65" s="2745">
        <f>ROUND(SUM(Q33+Q61+Q63),1)</f>
        <v>436.5</v>
      </c>
      <c r="R65" s="256"/>
      <c r="S65" s="2745">
        <f>ROUND(SUM(S33+S61+S63),1)</f>
        <v>187.2</v>
      </c>
      <c r="T65" s="256"/>
      <c r="U65" s="2745">
        <f>ROUND(SUM(U33+U61+U63),1)</f>
        <v>265.39999999999998</v>
      </c>
      <c r="V65" s="256"/>
      <c r="W65" s="2745">
        <f>ROUND(SUM(W33+W61+W63),1)</f>
        <v>336.8</v>
      </c>
      <c r="X65" s="256"/>
      <c r="Y65" s="2745">
        <f>ROUND(SUM(Y33+Y61+Y63),1)</f>
        <v>0</v>
      </c>
      <c r="Z65" s="256"/>
      <c r="AA65" s="2745">
        <f>ROUND(SUM(AA33+AA61+AA63),1)</f>
        <v>0</v>
      </c>
      <c r="AB65" s="311"/>
      <c r="AC65" s="1258"/>
      <c r="AD65" s="2744">
        <f>ROUND(SUM(AD33+AD61+AD63),1)</f>
        <v>3695.2</v>
      </c>
      <c r="AE65" s="2056"/>
      <c r="AF65" s="314"/>
      <c r="AG65" s="2744">
        <f>ROUND(SUM(AG33+AG61+AG63),1)</f>
        <v>4204.3999999999996</v>
      </c>
      <c r="AH65" s="2098"/>
      <c r="AI65" s="2094"/>
      <c r="AJ65" s="2101">
        <f>ROUND(SUM(AJ33+AJ61+AJ63),1)</f>
        <v>-509.2</v>
      </c>
      <c r="AK65" s="367"/>
      <c r="AL65" s="1876">
        <f>ROUND(IF(AG65=0,0,AJ65/ABS(AG65)),3)</f>
        <v>-0.121</v>
      </c>
      <c r="AM65" s="649"/>
      <c r="AO65" s="368"/>
    </row>
    <row r="66" spans="1:41" ht="15.75">
      <c r="A66" s="223"/>
      <c r="B66" s="223"/>
      <c r="C66" s="223"/>
      <c r="D66" s="223"/>
      <c r="E66" s="326"/>
      <c r="F66" s="317"/>
      <c r="G66" s="326"/>
      <c r="H66" s="317"/>
      <c r="I66" s="326"/>
      <c r="J66" s="317"/>
      <c r="K66" s="326"/>
      <c r="L66" s="260"/>
      <c r="M66" s="287"/>
      <c r="N66" s="260"/>
      <c r="O66" s="287"/>
      <c r="P66" s="260"/>
      <c r="Q66" s="287"/>
      <c r="R66" s="260"/>
      <c r="S66" s="287"/>
      <c r="T66" s="260"/>
      <c r="U66" s="287"/>
      <c r="V66" s="260"/>
      <c r="W66" s="287"/>
      <c r="X66" s="260"/>
      <c r="Y66" s="287"/>
      <c r="Z66" s="260"/>
      <c r="AA66" s="287"/>
      <c r="AB66" s="261"/>
      <c r="AC66" s="261"/>
      <c r="AD66" s="326"/>
      <c r="AE66" s="261"/>
      <c r="AF66" s="261"/>
      <c r="AG66" s="326"/>
      <c r="AH66" s="261"/>
      <c r="AI66" s="314"/>
      <c r="AJ66" s="686"/>
      <c r="AK66" s="644"/>
      <c r="AL66" s="652"/>
    </row>
    <row r="67" spans="1:41" ht="15.75">
      <c r="A67" s="223"/>
      <c r="B67" s="221" t="s">
        <v>23</v>
      </c>
      <c r="C67" s="223"/>
      <c r="D67" s="223"/>
      <c r="E67" s="317"/>
      <c r="F67" s="317"/>
      <c r="G67" s="317"/>
      <c r="H67" s="317"/>
      <c r="I67" s="317"/>
      <c r="J67" s="317"/>
      <c r="K67" s="317"/>
      <c r="L67" s="260"/>
      <c r="M67" s="260"/>
      <c r="N67" s="260"/>
      <c r="O67" s="260"/>
      <c r="P67" s="260"/>
      <c r="Q67" s="260"/>
      <c r="R67" s="260"/>
      <c r="S67" s="260"/>
      <c r="T67" s="260"/>
      <c r="U67" s="260"/>
      <c r="V67" s="260"/>
      <c r="W67" s="260"/>
      <c r="X67" s="260"/>
      <c r="Y67" s="260"/>
      <c r="Z67" s="260"/>
      <c r="AA67" s="260"/>
      <c r="AB67" s="317"/>
      <c r="AC67" s="1257"/>
      <c r="AD67" s="317"/>
      <c r="AE67" s="2051"/>
      <c r="AF67" s="261"/>
      <c r="AG67" s="317"/>
      <c r="AH67" s="317"/>
      <c r="AI67" s="2094"/>
      <c r="AJ67" s="686"/>
      <c r="AK67" s="644"/>
      <c r="AL67" s="652"/>
    </row>
    <row r="68" spans="1:41" ht="15.75">
      <c r="A68" s="223"/>
      <c r="B68" s="223" t="s">
        <v>156</v>
      </c>
      <c r="C68" s="223"/>
      <c r="D68" s="223"/>
      <c r="E68" s="317"/>
      <c r="F68" s="317"/>
      <c r="G68" s="317"/>
      <c r="H68" s="317"/>
      <c r="I68" s="317"/>
      <c r="J68" s="317"/>
      <c r="K68" s="317"/>
      <c r="L68" s="260"/>
      <c r="M68" s="260"/>
      <c r="N68" s="260"/>
      <c r="O68" s="260"/>
      <c r="P68" s="260"/>
      <c r="Q68" s="260"/>
      <c r="R68" s="260"/>
      <c r="S68" s="260"/>
      <c r="T68" s="260"/>
      <c r="U68" s="260"/>
      <c r="V68" s="260"/>
      <c r="W68" s="260"/>
      <c r="X68" s="260"/>
      <c r="Y68" s="260"/>
      <c r="Z68" s="260"/>
      <c r="AA68" s="260"/>
      <c r="AB68" s="317"/>
      <c r="AC68" s="1257"/>
      <c r="AD68" s="318"/>
      <c r="AE68" s="2051"/>
      <c r="AF68" s="261"/>
      <c r="AG68" s="317"/>
      <c r="AH68" s="317"/>
      <c r="AI68" s="2094"/>
      <c r="AJ68" s="686"/>
      <c r="AK68" s="644"/>
      <c r="AL68" s="652"/>
    </row>
    <row r="69" spans="1:41" ht="15.75">
      <c r="A69" s="223"/>
      <c r="B69" s="223" t="s">
        <v>25</v>
      </c>
      <c r="C69" s="223"/>
      <c r="D69" s="223"/>
      <c r="E69" s="2049">
        <v>0</v>
      </c>
      <c r="F69" s="317"/>
      <c r="G69" s="2049">
        <v>0.2</v>
      </c>
      <c r="H69" s="317"/>
      <c r="I69" s="2049">
        <v>0.1</v>
      </c>
      <c r="J69" s="317"/>
      <c r="K69" s="2049">
        <v>7.8</v>
      </c>
      <c r="L69" s="260"/>
      <c r="M69" s="515">
        <v>5.6</v>
      </c>
      <c r="N69" s="260"/>
      <c r="O69" s="515">
        <v>2.7</v>
      </c>
      <c r="P69" s="260"/>
      <c r="Q69" s="515">
        <v>2.6</v>
      </c>
      <c r="R69" s="260"/>
      <c r="S69" s="515">
        <v>2.9</v>
      </c>
      <c r="T69" s="260"/>
      <c r="U69" s="515">
        <v>7.5</v>
      </c>
      <c r="V69" s="260"/>
      <c r="W69" s="515">
        <v>0.5</v>
      </c>
      <c r="X69" s="260"/>
      <c r="Y69" s="515"/>
      <c r="Z69" s="260"/>
      <c r="AA69" s="515"/>
      <c r="AB69" s="317"/>
      <c r="AC69" s="1257"/>
      <c r="AD69" s="318">
        <f>ROUND(SUM(E69:AA69),1)</f>
        <v>29.9</v>
      </c>
      <c r="AE69" s="2051"/>
      <c r="AF69" s="261"/>
      <c r="AG69" s="317">
        <v>27.1</v>
      </c>
      <c r="AH69" s="318"/>
      <c r="AI69" s="2052"/>
      <c r="AJ69" s="318">
        <f t="shared" ref="AJ69:AJ78" si="4">ROUND(AD69-AG69,1)</f>
        <v>2.8</v>
      </c>
      <c r="AK69" s="654"/>
      <c r="AL69" s="3265">
        <f>ROUND(IF(AG69=0,0,AJ69/ABS(AG69)),3)</f>
        <v>0.10299999999999999</v>
      </c>
    </row>
    <row r="70" spans="1:41" ht="15.75">
      <c r="A70" s="223"/>
      <c r="B70" s="223" t="s">
        <v>26</v>
      </c>
      <c r="C70" s="223"/>
      <c r="D70" s="223"/>
      <c r="E70" s="1250">
        <v>2.7</v>
      </c>
      <c r="F70" s="317"/>
      <c r="G70" s="2049">
        <v>3.9</v>
      </c>
      <c r="H70" s="317"/>
      <c r="I70" s="2049">
        <v>7.2</v>
      </c>
      <c r="J70" s="317"/>
      <c r="K70" s="2049">
        <v>12.3</v>
      </c>
      <c r="L70" s="260"/>
      <c r="M70" s="515">
        <v>12</v>
      </c>
      <c r="N70" s="260"/>
      <c r="O70" s="515">
        <v>5.2</v>
      </c>
      <c r="P70" s="260"/>
      <c r="Q70" s="515">
        <v>7.2</v>
      </c>
      <c r="R70" s="260"/>
      <c r="S70" s="515">
        <v>31.9</v>
      </c>
      <c r="T70" s="260"/>
      <c r="U70" s="515">
        <v>37.700000000000003</v>
      </c>
      <c r="V70" s="260"/>
      <c r="W70" s="515">
        <v>6.9</v>
      </c>
      <c r="X70" s="260"/>
      <c r="Y70" s="515"/>
      <c r="Z70" s="260"/>
      <c r="AA70" s="371"/>
      <c r="AB70" s="317"/>
      <c r="AC70" s="1257"/>
      <c r="AD70" s="318">
        <f>ROUND(SUM(E70:AA70),1)</f>
        <v>127</v>
      </c>
      <c r="AE70" s="2051"/>
      <c r="AF70" s="261"/>
      <c r="AG70" s="317">
        <v>93.6</v>
      </c>
      <c r="AH70" s="318"/>
      <c r="AI70" s="2052"/>
      <c r="AJ70" s="318">
        <f t="shared" si="4"/>
        <v>33.4</v>
      </c>
      <c r="AK70" s="654"/>
      <c r="AL70" s="45">
        <f>ROUND(IF(AG70=0,0,AJ70/ABS(AG70)),3)</f>
        <v>0.35699999999999998</v>
      </c>
    </row>
    <row r="71" spans="1:41" ht="15.75">
      <c r="A71" s="223"/>
      <c r="B71" s="223" t="s">
        <v>27</v>
      </c>
      <c r="C71" s="223"/>
      <c r="D71" s="223"/>
      <c r="E71" s="2049">
        <v>58.9</v>
      </c>
      <c r="F71" s="317"/>
      <c r="G71" s="2049">
        <v>11.5</v>
      </c>
      <c r="H71" s="317"/>
      <c r="I71" s="2049">
        <v>18</v>
      </c>
      <c r="J71" s="317"/>
      <c r="K71" s="2049">
        <v>16.600000000000001</v>
      </c>
      <c r="L71" s="260"/>
      <c r="M71" s="515">
        <v>18.600000000000001</v>
      </c>
      <c r="N71" s="260"/>
      <c r="O71" s="515">
        <v>35.4</v>
      </c>
      <c r="P71" s="260"/>
      <c r="Q71" s="515">
        <v>66.2</v>
      </c>
      <c r="R71" s="260"/>
      <c r="S71" s="515">
        <v>30.7</v>
      </c>
      <c r="T71" s="260"/>
      <c r="U71" s="515">
        <v>82.9</v>
      </c>
      <c r="V71" s="260"/>
      <c r="W71" s="515">
        <v>38</v>
      </c>
      <c r="X71" s="260"/>
      <c r="Y71" s="515"/>
      <c r="Z71" s="260"/>
      <c r="AA71" s="515"/>
      <c r="AB71" s="317"/>
      <c r="AC71" s="1257"/>
      <c r="AD71" s="318">
        <f>ROUND(SUM(E71:AA71),1)</f>
        <v>376.8</v>
      </c>
      <c r="AE71" s="2051"/>
      <c r="AF71" s="261"/>
      <c r="AG71" s="317">
        <v>90.2</v>
      </c>
      <c r="AH71" s="318"/>
      <c r="AI71" s="2052"/>
      <c r="AJ71" s="318">
        <f t="shared" si="4"/>
        <v>286.60000000000002</v>
      </c>
      <c r="AK71" s="654"/>
      <c r="AL71" s="45">
        <f>ROUND(IF(AG71=0,0,AJ71/ABS(AG71)),3)</f>
        <v>3.177</v>
      </c>
      <c r="AM71" s="644"/>
    </row>
    <row r="72" spans="1:41" ht="15.75">
      <c r="A72" s="223"/>
      <c r="B72" s="223" t="s">
        <v>28</v>
      </c>
      <c r="C72" s="223"/>
      <c r="D72" s="223"/>
      <c r="E72" s="327"/>
      <c r="F72" s="317"/>
      <c r="G72" s="2049"/>
      <c r="H72" s="317"/>
      <c r="I72" s="317"/>
      <c r="J72" s="317"/>
      <c r="K72" s="2049"/>
      <c r="L72" s="260"/>
      <c r="M72" s="515"/>
      <c r="N72" s="260"/>
      <c r="O72" s="515"/>
      <c r="P72" s="260"/>
      <c r="Q72" s="515"/>
      <c r="R72" s="260"/>
      <c r="S72" s="515"/>
      <c r="T72" s="260"/>
      <c r="U72" s="515"/>
      <c r="V72" s="260"/>
      <c r="W72" s="515"/>
      <c r="X72" s="260"/>
      <c r="Y72" s="515"/>
      <c r="Z72" s="260"/>
      <c r="AA72" s="515"/>
      <c r="AB72" s="317"/>
      <c r="AC72" s="1257"/>
      <c r="AD72" s="318"/>
      <c r="AE72" s="2051"/>
      <c r="AF72" s="261"/>
      <c r="AG72" s="317"/>
      <c r="AH72" s="317"/>
      <c r="AI72" s="2094"/>
      <c r="AJ72" s="1314"/>
      <c r="AK72" s="654"/>
      <c r="AL72" s="652"/>
      <c r="AM72" s="644"/>
    </row>
    <row r="73" spans="1:41" ht="15.75">
      <c r="A73" s="223"/>
      <c r="B73" s="223" t="s">
        <v>29</v>
      </c>
      <c r="C73" s="221"/>
      <c r="D73" s="223"/>
      <c r="E73" s="327">
        <v>0</v>
      </c>
      <c r="F73" s="317"/>
      <c r="G73" s="327">
        <v>0</v>
      </c>
      <c r="H73" s="317"/>
      <c r="I73" s="327">
        <v>0</v>
      </c>
      <c r="J73" s="317"/>
      <c r="K73" s="327">
        <v>0</v>
      </c>
      <c r="L73" s="260"/>
      <c r="M73" s="265">
        <v>0</v>
      </c>
      <c r="N73" s="260"/>
      <c r="O73" s="265">
        <v>0</v>
      </c>
      <c r="P73" s="260"/>
      <c r="Q73" s="265">
        <v>0</v>
      </c>
      <c r="R73" s="260"/>
      <c r="S73" s="265">
        <v>0</v>
      </c>
      <c r="T73" s="260"/>
      <c r="U73" s="265">
        <v>0</v>
      </c>
      <c r="V73" s="260"/>
      <c r="W73" s="265">
        <v>0</v>
      </c>
      <c r="X73" s="260"/>
      <c r="Y73" s="515"/>
      <c r="Z73" s="260"/>
      <c r="AA73" s="515"/>
      <c r="AB73" s="317"/>
      <c r="AC73" s="1257"/>
      <c r="AD73" s="318">
        <f t="shared" ref="AD73:AD78" si="5">ROUND(SUM(E73:AA73),1)</f>
        <v>0</v>
      </c>
      <c r="AE73" s="2051"/>
      <c r="AF73" s="261"/>
      <c r="AG73" s="327">
        <v>0</v>
      </c>
      <c r="AH73" s="317"/>
      <c r="AI73" s="2094"/>
      <c r="AJ73" s="318">
        <f t="shared" si="4"/>
        <v>0</v>
      </c>
      <c r="AK73" s="644"/>
      <c r="AL73" s="45">
        <f>ROUND(IF(AG73=0,0,AJ73/ABS(AG73)),3)</f>
        <v>0</v>
      </c>
      <c r="AM73" s="644"/>
    </row>
    <row r="74" spans="1:41" ht="15.75">
      <c r="A74" s="223"/>
      <c r="B74" s="223" t="s">
        <v>30</v>
      </c>
      <c r="C74" s="223"/>
      <c r="D74" s="223"/>
      <c r="E74" s="1250">
        <v>2.7</v>
      </c>
      <c r="F74" s="317"/>
      <c r="G74" s="2049">
        <v>11.5</v>
      </c>
      <c r="H74" s="317"/>
      <c r="I74" s="2049">
        <v>7.4</v>
      </c>
      <c r="J74" s="317"/>
      <c r="K74" s="2049">
        <v>9.8000000000000007</v>
      </c>
      <c r="L74" s="260"/>
      <c r="M74" s="515">
        <v>3.4</v>
      </c>
      <c r="N74" s="260"/>
      <c r="O74" s="515">
        <v>7.9</v>
      </c>
      <c r="P74" s="260"/>
      <c r="Q74" s="515">
        <v>10.7</v>
      </c>
      <c r="R74" s="260"/>
      <c r="S74" s="515">
        <v>6.8</v>
      </c>
      <c r="T74" s="260"/>
      <c r="U74" s="515">
        <v>6.9</v>
      </c>
      <c r="V74" s="260"/>
      <c r="W74" s="515">
        <v>13.4</v>
      </c>
      <c r="X74" s="260"/>
      <c r="Y74" s="515"/>
      <c r="Z74" s="260"/>
      <c r="AA74" s="371"/>
      <c r="AB74" s="317"/>
      <c r="AC74" s="1257"/>
      <c r="AD74" s="318">
        <f t="shared" si="5"/>
        <v>80.5</v>
      </c>
      <c r="AE74" s="2051"/>
      <c r="AF74" s="261"/>
      <c r="AG74" s="317">
        <v>70.400000000000006</v>
      </c>
      <c r="AH74" s="318"/>
      <c r="AI74" s="2052"/>
      <c r="AJ74" s="318">
        <f t="shared" si="4"/>
        <v>10.1</v>
      </c>
      <c r="AK74" s="654"/>
      <c r="AL74" s="45">
        <f>ROUND(IF(AG74=0,0,AJ74/ABS(AG74)),3)</f>
        <v>0.14299999999999999</v>
      </c>
    </row>
    <row r="75" spans="1:41" ht="15.75">
      <c r="A75" s="223"/>
      <c r="B75" s="223" t="s">
        <v>31</v>
      </c>
      <c r="C75" s="223"/>
      <c r="D75" s="223"/>
      <c r="E75" s="327">
        <v>-1.3</v>
      </c>
      <c r="F75" s="317"/>
      <c r="G75" s="327">
        <v>5.9</v>
      </c>
      <c r="H75" s="317"/>
      <c r="I75" s="327">
        <v>0.5</v>
      </c>
      <c r="J75" s="317"/>
      <c r="K75" s="327">
        <v>2.2000000000000002</v>
      </c>
      <c r="L75" s="260"/>
      <c r="M75" s="265">
        <v>0.6</v>
      </c>
      <c r="N75" s="260"/>
      <c r="O75" s="265">
        <v>8.4</v>
      </c>
      <c r="P75" s="260"/>
      <c r="Q75" s="265">
        <v>13</v>
      </c>
      <c r="R75" s="260"/>
      <c r="S75" s="265">
        <v>2.8</v>
      </c>
      <c r="T75" s="260"/>
      <c r="U75" s="265">
        <v>1.5</v>
      </c>
      <c r="V75" s="260"/>
      <c r="W75" s="265">
        <v>2.2000000000000002</v>
      </c>
      <c r="X75" s="260"/>
      <c r="Y75" s="515"/>
      <c r="Z75" s="260"/>
      <c r="AA75" s="515"/>
      <c r="AB75" s="317"/>
      <c r="AC75" s="1257"/>
      <c r="AD75" s="318">
        <f t="shared" si="5"/>
        <v>35.799999999999997</v>
      </c>
      <c r="AE75" s="2051"/>
      <c r="AF75" s="261"/>
      <c r="AG75" s="327">
        <v>50.8</v>
      </c>
      <c r="AH75" s="318"/>
      <c r="AI75" s="2052"/>
      <c r="AJ75" s="318">
        <f t="shared" si="4"/>
        <v>-15</v>
      </c>
      <c r="AK75" s="654"/>
      <c r="AL75" s="2679">
        <f>ROUND(IF(AG75=0,1,AJ75/ABS(AG75)),3)</f>
        <v>-0.29499999999999998</v>
      </c>
      <c r="AM75" s="644"/>
    </row>
    <row r="76" spans="1:41" ht="15.75">
      <c r="A76" s="223"/>
      <c r="B76" s="223" t="s">
        <v>32</v>
      </c>
      <c r="C76" s="223"/>
      <c r="D76" s="223"/>
      <c r="E76" s="327">
        <v>0</v>
      </c>
      <c r="F76" s="317"/>
      <c r="G76" s="2049">
        <v>15.8</v>
      </c>
      <c r="H76" s="317"/>
      <c r="I76" s="327">
        <v>0</v>
      </c>
      <c r="J76" s="317"/>
      <c r="K76" s="2049">
        <v>35</v>
      </c>
      <c r="L76" s="260"/>
      <c r="M76" s="515">
        <v>6</v>
      </c>
      <c r="N76" s="260"/>
      <c r="O76" s="515">
        <v>15.7</v>
      </c>
      <c r="P76" s="260"/>
      <c r="Q76" s="265">
        <v>9.1999999999999993</v>
      </c>
      <c r="R76" s="260"/>
      <c r="S76" s="265">
        <v>12.5</v>
      </c>
      <c r="T76" s="260"/>
      <c r="U76" s="265">
        <v>0.5</v>
      </c>
      <c r="V76" s="260"/>
      <c r="W76" s="515">
        <v>29.9</v>
      </c>
      <c r="X76" s="260"/>
      <c r="Y76" s="515"/>
      <c r="Z76" s="260"/>
      <c r="AA76" s="515"/>
      <c r="AB76" s="317"/>
      <c r="AC76" s="1257"/>
      <c r="AD76" s="318">
        <f t="shared" si="5"/>
        <v>124.6</v>
      </c>
      <c r="AE76" s="2051"/>
      <c r="AF76" s="261"/>
      <c r="AG76" s="317">
        <v>82.2</v>
      </c>
      <c r="AH76" s="317"/>
      <c r="AI76" s="2094"/>
      <c r="AJ76" s="318">
        <f t="shared" si="4"/>
        <v>42.4</v>
      </c>
      <c r="AK76" s="654"/>
      <c r="AL76" s="2679">
        <f>ROUND(IF(AG76=0,1,AJ76/ABS(AG76)),3)</f>
        <v>0.51600000000000001</v>
      </c>
      <c r="AM76" s="644"/>
    </row>
    <row r="77" spans="1:41" ht="15.75">
      <c r="A77" s="223"/>
      <c r="B77" s="223" t="s">
        <v>33</v>
      </c>
      <c r="C77" s="221"/>
      <c r="D77" s="223"/>
      <c r="E77" s="317">
        <v>2.7</v>
      </c>
      <c r="F77" s="317"/>
      <c r="G77" s="2049">
        <v>8.3000000000000007</v>
      </c>
      <c r="H77" s="317"/>
      <c r="I77" s="2049">
        <v>176.8</v>
      </c>
      <c r="J77" s="317"/>
      <c r="K77" s="2049">
        <v>46</v>
      </c>
      <c r="L77" s="260"/>
      <c r="M77" s="515">
        <v>167</v>
      </c>
      <c r="N77" s="260"/>
      <c r="O77" s="515">
        <v>40.200000000000003</v>
      </c>
      <c r="P77" s="260"/>
      <c r="Q77" s="515">
        <v>4</v>
      </c>
      <c r="R77" s="260"/>
      <c r="S77" s="515">
        <v>53.7</v>
      </c>
      <c r="T77" s="260"/>
      <c r="U77" s="515">
        <v>7.3</v>
      </c>
      <c r="V77" s="260"/>
      <c r="W77" s="515">
        <v>45.4</v>
      </c>
      <c r="X77" s="260"/>
      <c r="Y77" s="515"/>
      <c r="Z77" s="260"/>
      <c r="AA77" s="515"/>
      <c r="AB77" s="317"/>
      <c r="AC77" s="1257"/>
      <c r="AD77" s="318">
        <f t="shared" si="5"/>
        <v>551.4</v>
      </c>
      <c r="AE77" s="2051"/>
      <c r="AF77" s="261"/>
      <c r="AG77" s="317">
        <v>493.5</v>
      </c>
      <c r="AH77" s="317"/>
      <c r="AI77" s="2094"/>
      <c r="AJ77" s="318">
        <f t="shared" si="4"/>
        <v>57.9</v>
      </c>
      <c r="AK77" s="644"/>
      <c r="AL77" s="3042">
        <f>ROUND(IF(AG77=0,0,AJ77/ABS(AG77)),3)</f>
        <v>0.11700000000000001</v>
      </c>
      <c r="AM77" s="644"/>
    </row>
    <row r="78" spans="1:41" ht="15.75">
      <c r="A78" s="223"/>
      <c r="B78" s="223" t="s">
        <v>34</v>
      </c>
      <c r="C78" s="223"/>
      <c r="D78" s="223"/>
      <c r="E78" s="2049">
        <v>5.8</v>
      </c>
      <c r="F78" s="317"/>
      <c r="G78" s="2076">
        <v>3.2</v>
      </c>
      <c r="H78" s="317"/>
      <c r="I78" s="524">
        <v>51.2</v>
      </c>
      <c r="J78" s="317"/>
      <c r="K78" s="2049">
        <v>12.6</v>
      </c>
      <c r="L78" s="260"/>
      <c r="M78" s="515">
        <v>13.5</v>
      </c>
      <c r="N78" s="260"/>
      <c r="O78" s="515">
        <v>117.1</v>
      </c>
      <c r="P78" s="260"/>
      <c r="Q78" s="515">
        <v>9.9</v>
      </c>
      <c r="R78" s="260"/>
      <c r="S78" s="515">
        <v>5.6</v>
      </c>
      <c r="T78" s="260"/>
      <c r="U78" s="515">
        <v>220.8</v>
      </c>
      <c r="V78" s="260"/>
      <c r="W78" s="279">
        <v>6.2</v>
      </c>
      <c r="X78" s="260"/>
      <c r="Y78" s="515"/>
      <c r="Z78" s="260"/>
      <c r="AA78" s="279"/>
      <c r="AB78" s="317"/>
      <c r="AC78" s="1257"/>
      <c r="AD78" s="318">
        <f t="shared" si="5"/>
        <v>445.9</v>
      </c>
      <c r="AE78" s="2051"/>
      <c r="AF78" s="261"/>
      <c r="AG78" s="1751">
        <v>417.8</v>
      </c>
      <c r="AH78" s="261"/>
      <c r="AI78" s="2094"/>
      <c r="AJ78" s="318">
        <f t="shared" si="4"/>
        <v>28.1</v>
      </c>
      <c r="AK78" s="654"/>
      <c r="AL78" s="45">
        <f>ROUND(IF(AG78=0,0,AJ78/ABS(AG78)),3)</f>
        <v>6.7000000000000004E-2</v>
      </c>
      <c r="AM78" s="644"/>
    </row>
    <row r="79" spans="1:41" ht="15.75">
      <c r="A79" s="223"/>
      <c r="B79" s="221" t="s">
        <v>203</v>
      </c>
      <c r="C79" s="223"/>
      <c r="D79" s="223"/>
      <c r="E79" s="2077">
        <f>ROUND(SUM(E69:E78),1)</f>
        <v>71.5</v>
      </c>
      <c r="F79" s="311"/>
      <c r="G79" s="2077">
        <f>ROUND(SUM(G69:G78),1)</f>
        <v>60.3</v>
      </c>
      <c r="H79" s="311"/>
      <c r="I79" s="2077">
        <f>ROUND(SUM(I69:I78),1)</f>
        <v>261.2</v>
      </c>
      <c r="J79" s="314"/>
      <c r="K79" s="2077">
        <f>ROUND(SUM(K69:K78),1)</f>
        <v>142.30000000000001</v>
      </c>
      <c r="L79" s="256"/>
      <c r="M79" s="543">
        <f>ROUND(SUM(M69:M78),1)</f>
        <v>226.7</v>
      </c>
      <c r="N79" s="272"/>
      <c r="O79" s="543">
        <f>ROUND(SUM(O69:O78),1)</f>
        <v>232.6</v>
      </c>
      <c r="P79" s="256"/>
      <c r="Q79" s="543">
        <f>ROUND(SUM(Q69:Q78),1)</f>
        <v>122.8</v>
      </c>
      <c r="R79" s="256"/>
      <c r="S79" s="543">
        <f>ROUND(SUM(S69:S78),1)</f>
        <v>146.9</v>
      </c>
      <c r="T79" s="256"/>
      <c r="U79" s="543">
        <f>ROUND(SUM(U69:U78),1)</f>
        <v>365.1</v>
      </c>
      <c r="V79" s="256"/>
      <c r="W79" s="543">
        <f>ROUND(SUM(W69:W78),1)</f>
        <v>142.5</v>
      </c>
      <c r="X79" s="256"/>
      <c r="Y79" s="543">
        <f>ROUND(SUM(Y69:Y78),1)</f>
        <v>0</v>
      </c>
      <c r="Z79" s="256"/>
      <c r="AA79" s="543">
        <f>ROUND(SUM(AA69:AA78),1)</f>
        <v>0</v>
      </c>
      <c r="AB79" s="311"/>
      <c r="AC79" s="1258"/>
      <c r="AD79" s="2077">
        <f>ROUND(SUM(AD69:AD78),1)</f>
        <v>1771.9</v>
      </c>
      <c r="AE79" s="2056"/>
      <c r="AF79" s="314"/>
      <c r="AG79" s="2077">
        <f>ROUND(SUM(AG69:AG78),1)</f>
        <v>1325.6</v>
      </c>
      <c r="AH79" s="314"/>
      <c r="AI79" s="2094"/>
      <c r="AJ79" s="2077">
        <f>ROUND(SUM(AJ69:AJ78),1)</f>
        <v>446.3</v>
      </c>
      <c r="AK79" s="662"/>
      <c r="AL79" s="72">
        <f>ROUND(IF(AG79=0,0,AJ79/ABS(AG79)),3)</f>
        <v>0.33700000000000002</v>
      </c>
      <c r="AO79" s="368"/>
    </row>
    <row r="80" spans="1:41" ht="15.75">
      <c r="A80" s="223"/>
      <c r="B80" s="223" t="s">
        <v>204</v>
      </c>
      <c r="C80" s="223"/>
      <c r="D80" s="223"/>
      <c r="E80" s="317"/>
      <c r="F80" s="317"/>
      <c r="G80" s="317"/>
      <c r="H80" s="317"/>
      <c r="I80" s="317"/>
      <c r="J80" s="317"/>
      <c r="K80" s="317"/>
      <c r="L80" s="260"/>
      <c r="M80" s="260"/>
      <c r="N80" s="260"/>
      <c r="O80" s="260"/>
      <c r="P80" s="260"/>
      <c r="Q80" s="260"/>
      <c r="R80" s="260"/>
      <c r="S80" s="260"/>
      <c r="T80" s="260"/>
      <c r="U80" s="260"/>
      <c r="V80" s="260"/>
      <c r="W80" s="260"/>
      <c r="X80" s="260"/>
      <c r="Y80" s="260"/>
      <c r="Z80" s="260"/>
      <c r="AA80" s="260"/>
      <c r="AB80" s="317"/>
      <c r="AC80" s="1257"/>
      <c r="AD80" s="317"/>
      <c r="AE80" s="2051"/>
      <c r="AF80" s="261"/>
      <c r="AG80" s="317"/>
      <c r="AH80" s="317"/>
      <c r="AI80" s="2094"/>
      <c r="AJ80" s="686"/>
      <c r="AK80" s="644"/>
      <c r="AL80" s="652"/>
    </row>
    <row r="81" spans="1:41" ht="15.75">
      <c r="A81" s="223"/>
      <c r="B81" s="223" t="s">
        <v>205</v>
      </c>
      <c r="C81" s="223"/>
      <c r="D81" s="223"/>
      <c r="E81" s="685">
        <v>0</v>
      </c>
      <c r="F81" s="317"/>
      <c r="G81" s="685">
        <v>0</v>
      </c>
      <c r="H81" s="317"/>
      <c r="I81" s="685">
        <v>0</v>
      </c>
      <c r="J81" s="317"/>
      <c r="K81" s="685">
        <v>0</v>
      </c>
      <c r="L81" s="260"/>
      <c r="M81" s="371">
        <v>0</v>
      </c>
      <c r="N81" s="260"/>
      <c r="O81" s="371">
        <v>0</v>
      </c>
      <c r="P81" s="260"/>
      <c r="Q81" s="371">
        <v>0</v>
      </c>
      <c r="R81" s="260"/>
      <c r="S81" s="371">
        <v>0</v>
      </c>
      <c r="T81" s="260"/>
      <c r="U81" s="371">
        <v>0</v>
      </c>
      <c r="V81" s="260"/>
      <c r="W81" s="371">
        <v>0</v>
      </c>
      <c r="X81" s="260"/>
      <c r="Y81" s="371"/>
      <c r="Z81" s="260"/>
      <c r="AA81" s="371"/>
      <c r="AB81" s="317"/>
      <c r="AC81" s="1257"/>
      <c r="AD81" s="318">
        <f>ROUND(SUM(E81:AA81),1)</f>
        <v>0</v>
      </c>
      <c r="AE81" s="2051"/>
      <c r="AF81" s="261"/>
      <c r="AG81" s="685">
        <v>0</v>
      </c>
      <c r="AH81" s="327"/>
      <c r="AI81" s="2102"/>
      <c r="AJ81" s="318">
        <f>ROUND(AD81-AG81,1)</f>
        <v>0</v>
      </c>
      <c r="AK81" s="644"/>
      <c r="AL81" s="45">
        <f>ROUND(IF(AG81=0,0,AJ81/ABS(AG81)),3)</f>
        <v>0</v>
      </c>
    </row>
    <row r="82" spans="1:41" ht="15.75">
      <c r="A82" s="223"/>
      <c r="B82" s="223" t="s">
        <v>206</v>
      </c>
      <c r="C82" s="223"/>
      <c r="D82" s="223"/>
      <c r="E82" s="685">
        <v>0</v>
      </c>
      <c r="F82" s="317"/>
      <c r="G82" s="685">
        <v>0</v>
      </c>
      <c r="H82" s="317"/>
      <c r="I82" s="685">
        <v>0</v>
      </c>
      <c r="J82" s="317"/>
      <c r="K82" s="685">
        <v>0</v>
      </c>
      <c r="L82" s="260"/>
      <c r="M82" s="371">
        <v>0</v>
      </c>
      <c r="N82" s="260"/>
      <c r="O82" s="371">
        <v>0</v>
      </c>
      <c r="P82" s="260"/>
      <c r="Q82" s="371">
        <v>0</v>
      </c>
      <c r="R82" s="260"/>
      <c r="S82" s="371">
        <v>0</v>
      </c>
      <c r="T82" s="260"/>
      <c r="U82" s="371">
        <v>0</v>
      </c>
      <c r="V82" s="260"/>
      <c r="W82" s="371">
        <v>0</v>
      </c>
      <c r="X82" s="260"/>
      <c r="Y82" s="371"/>
      <c r="Z82" s="260"/>
      <c r="AA82" s="371"/>
      <c r="AB82" s="317"/>
      <c r="AC82" s="1257"/>
      <c r="AD82" s="318">
        <f>ROUND(SUM(E82:AA82),1)</f>
        <v>0</v>
      </c>
      <c r="AE82" s="2051"/>
      <c r="AF82" s="261"/>
      <c r="AG82" s="685">
        <v>0</v>
      </c>
      <c r="AH82" s="327"/>
      <c r="AI82" s="2102"/>
      <c r="AJ82" s="318">
        <f>ROUND(AD82-AG82,1)</f>
        <v>0</v>
      </c>
      <c r="AK82" s="644"/>
      <c r="AL82" s="45">
        <f>ROUND(IF(AG82=0,0,AJ82/ABS(AG82)),3)</f>
        <v>0</v>
      </c>
    </row>
    <row r="83" spans="1:41" ht="15.75">
      <c r="A83" s="223"/>
      <c r="B83" s="223" t="s">
        <v>207</v>
      </c>
      <c r="C83" s="223"/>
      <c r="D83" s="223"/>
      <c r="E83" s="685">
        <v>0</v>
      </c>
      <c r="F83" s="317"/>
      <c r="G83" s="685">
        <v>0</v>
      </c>
      <c r="H83" s="317"/>
      <c r="I83" s="685">
        <v>0</v>
      </c>
      <c r="J83" s="317"/>
      <c r="K83" s="685">
        <v>0</v>
      </c>
      <c r="L83" s="260"/>
      <c r="M83" s="371">
        <v>0</v>
      </c>
      <c r="N83" s="260"/>
      <c r="O83" s="371">
        <v>0</v>
      </c>
      <c r="P83" s="260"/>
      <c r="Q83" s="371">
        <v>0</v>
      </c>
      <c r="R83" s="260"/>
      <c r="S83" s="371">
        <v>0</v>
      </c>
      <c r="T83" s="260"/>
      <c r="U83" s="371">
        <v>0</v>
      </c>
      <c r="V83" s="260"/>
      <c r="W83" s="371">
        <v>0</v>
      </c>
      <c r="X83" s="260"/>
      <c r="Y83" s="371"/>
      <c r="Z83" s="665"/>
      <c r="AA83" s="371"/>
      <c r="AB83" s="2103"/>
      <c r="AC83" s="2104"/>
      <c r="AD83" s="318">
        <f>ROUND(SUM(E83:AA83),1)</f>
        <v>0</v>
      </c>
      <c r="AE83" s="2051"/>
      <c r="AF83" s="261"/>
      <c r="AG83" s="685">
        <v>0</v>
      </c>
      <c r="AH83" s="327"/>
      <c r="AI83" s="2102"/>
      <c r="AJ83" s="318">
        <f>ROUND(AD83-AG83,1)</f>
        <v>0</v>
      </c>
      <c r="AK83" s="644"/>
      <c r="AL83" s="45">
        <f>ROUND(IF(AG83=0,0,AJ83/ABS(AG83)),3)</f>
        <v>0</v>
      </c>
    </row>
    <row r="84" spans="1:41" ht="15.75">
      <c r="A84" s="223"/>
      <c r="B84" s="246" t="s">
        <v>178</v>
      </c>
      <c r="C84" s="223"/>
      <c r="D84" s="223"/>
      <c r="E84" s="318">
        <v>257.60000000000002</v>
      </c>
      <c r="F84" s="317"/>
      <c r="G84" s="524">
        <v>376.4</v>
      </c>
      <c r="H84" s="317"/>
      <c r="I84" s="524">
        <v>515.4</v>
      </c>
      <c r="J84" s="317"/>
      <c r="K84" s="2076">
        <v>344.3</v>
      </c>
      <c r="L84" s="260"/>
      <c r="M84" s="279">
        <v>409.9</v>
      </c>
      <c r="N84" s="260"/>
      <c r="O84" s="279">
        <v>491.4</v>
      </c>
      <c r="P84" s="260"/>
      <c r="Q84" s="279">
        <v>421.8</v>
      </c>
      <c r="R84" s="260"/>
      <c r="S84" s="279">
        <v>487.5</v>
      </c>
      <c r="T84" s="260"/>
      <c r="U84" s="279">
        <v>411.5</v>
      </c>
      <c r="V84" s="260"/>
      <c r="W84" s="279">
        <v>340.7</v>
      </c>
      <c r="X84" s="260"/>
      <c r="Y84" s="371"/>
      <c r="Z84" s="260"/>
      <c r="AA84" s="279"/>
      <c r="AB84" s="317"/>
      <c r="AC84" s="1257"/>
      <c r="AD84" s="318">
        <f>ROUND(SUM(E84:AA84),1)</f>
        <v>4056.5</v>
      </c>
      <c r="AE84" s="2051"/>
      <c r="AF84" s="261"/>
      <c r="AG84" s="1778">
        <v>3954.6</v>
      </c>
      <c r="AH84" s="266"/>
      <c r="AI84" s="2052"/>
      <c r="AJ84" s="2105">
        <f>ROUND(AD84-AG84,1)</f>
        <v>101.9</v>
      </c>
      <c r="AK84" s="644"/>
      <c r="AL84" s="1765">
        <f>ROUND(IF(AG84=0,0,AJ84/ABS(AG84)),3)</f>
        <v>2.5999999999999999E-2</v>
      </c>
    </row>
    <row r="85" spans="1:41" ht="15.75">
      <c r="A85" s="223"/>
      <c r="B85" s="223"/>
      <c r="C85" s="223"/>
      <c r="D85" s="223"/>
      <c r="E85" s="326"/>
      <c r="F85" s="317"/>
      <c r="G85" s="326"/>
      <c r="H85" s="317"/>
      <c r="I85" s="326"/>
      <c r="J85" s="317"/>
      <c r="K85" s="326"/>
      <c r="L85" s="260"/>
      <c r="M85" s="287"/>
      <c r="N85" s="260"/>
      <c r="O85" s="287"/>
      <c r="P85" s="260"/>
      <c r="Q85" s="287"/>
      <c r="R85" s="260"/>
      <c r="S85" s="287"/>
      <c r="T85" s="260"/>
      <c r="U85" s="287"/>
      <c r="V85" s="260"/>
      <c r="W85" s="287"/>
      <c r="X85" s="260"/>
      <c r="Y85" s="287"/>
      <c r="Z85" s="260"/>
      <c r="AA85" s="287"/>
      <c r="AB85" s="317"/>
      <c r="AC85" s="1257"/>
      <c r="AD85" s="326"/>
      <c r="AE85" s="2051"/>
      <c r="AF85" s="261"/>
      <c r="AG85" s="686"/>
      <c r="AH85" s="686"/>
      <c r="AI85" s="2106"/>
      <c r="AJ85" s="686"/>
      <c r="AK85" s="644"/>
      <c r="AL85" s="652"/>
    </row>
    <row r="86" spans="1:41" ht="15.75">
      <c r="A86" s="223"/>
      <c r="B86" s="221" t="s">
        <v>208</v>
      </c>
      <c r="C86" s="223"/>
      <c r="D86" s="223"/>
      <c r="E86" s="311">
        <f>ROUND(SUM(E79:E84),1)</f>
        <v>329.1</v>
      </c>
      <c r="F86" s="311"/>
      <c r="G86" s="311">
        <f>ROUND(SUM(G79:G84),1)</f>
        <v>436.7</v>
      </c>
      <c r="H86" s="311"/>
      <c r="I86" s="311">
        <f>ROUND(SUM(I79:I84),1)</f>
        <v>776.6</v>
      </c>
      <c r="J86" s="311"/>
      <c r="K86" s="311">
        <f>ROUND(SUM(K79:K84),1)</f>
        <v>486.6</v>
      </c>
      <c r="L86" s="256"/>
      <c r="M86" s="256">
        <f>ROUND(SUM(M79:M84),1)</f>
        <v>636.6</v>
      </c>
      <c r="N86" s="256"/>
      <c r="O86" s="256">
        <f>ROUND(SUM(O79:O84),1)</f>
        <v>724</v>
      </c>
      <c r="P86" s="256"/>
      <c r="Q86" s="256">
        <f>ROUND(SUM(Q79:Q84),1)</f>
        <v>544.6</v>
      </c>
      <c r="R86" s="256"/>
      <c r="S86" s="256">
        <f>ROUND(SUM(S79:S84),1)</f>
        <v>634.4</v>
      </c>
      <c r="T86" s="256"/>
      <c r="U86" s="1802">
        <f>ROUND(SUM(U79:U84),1)</f>
        <v>776.6</v>
      </c>
      <c r="V86" s="256"/>
      <c r="W86" s="256">
        <f>ROUND(SUM(W79:W84),1)</f>
        <v>483.2</v>
      </c>
      <c r="X86" s="256"/>
      <c r="Y86" s="256">
        <f>ROUND(SUM(Y79:Y84),1)</f>
        <v>0</v>
      </c>
      <c r="Z86" s="256"/>
      <c r="AA86" s="256">
        <f>ROUND(SUM(AA79:AA84),1)</f>
        <v>0</v>
      </c>
      <c r="AB86" s="311"/>
      <c r="AC86" s="1258"/>
      <c r="AD86" s="311">
        <f>ROUND(SUM(AD79:AD84),1)</f>
        <v>5828.4</v>
      </c>
      <c r="AE86" s="2056"/>
      <c r="AF86" s="314"/>
      <c r="AG86" s="311">
        <f>ROUND(SUM(AG79:AG84),1)</f>
        <v>5280.2</v>
      </c>
      <c r="AH86" s="314"/>
      <c r="AI86" s="2094"/>
      <c r="AJ86" s="312">
        <f>ROUND(AD86-AG86,1)</f>
        <v>548.20000000000005</v>
      </c>
      <c r="AK86" s="662"/>
      <c r="AL86" s="1876">
        <f>ROUND(IF(AG86=0,0,AJ86/ABS(AG86)),3)</f>
        <v>0.104</v>
      </c>
      <c r="AM86" s="649"/>
      <c r="AN86" s="649"/>
      <c r="AO86" s="649"/>
    </row>
    <row r="87" spans="1:41" ht="15.75">
      <c r="A87" s="223"/>
      <c r="B87" s="223"/>
      <c r="C87" s="223"/>
      <c r="D87" s="223"/>
      <c r="E87" s="326"/>
      <c r="F87" s="317"/>
      <c r="G87" s="326"/>
      <c r="H87" s="317"/>
      <c r="I87" s="326"/>
      <c r="J87" s="317"/>
      <c r="K87" s="326"/>
      <c r="L87" s="260"/>
      <c r="M87" s="287"/>
      <c r="N87" s="260"/>
      <c r="O87" s="287"/>
      <c r="P87" s="260"/>
      <c r="Q87" s="287"/>
      <c r="R87" s="260"/>
      <c r="S87" s="287"/>
      <c r="T87" s="260"/>
      <c r="U87" s="287"/>
      <c r="V87" s="260"/>
      <c r="W87" s="287"/>
      <c r="X87" s="260"/>
      <c r="Y87" s="287"/>
      <c r="Z87" s="260"/>
      <c r="AA87" s="287"/>
      <c r="AB87" s="317"/>
      <c r="AC87" s="1257"/>
      <c r="AD87" s="326"/>
      <c r="AE87" s="2051"/>
      <c r="AF87" s="261"/>
      <c r="AG87" s="326"/>
      <c r="AH87" s="261"/>
      <c r="AI87" s="2094"/>
      <c r="AJ87" s="686"/>
      <c r="AK87" s="644"/>
      <c r="AL87" s="652"/>
    </row>
    <row r="88" spans="1:41" ht="15.75">
      <c r="A88" s="223"/>
      <c r="B88" s="221" t="s">
        <v>209</v>
      </c>
      <c r="C88" s="223"/>
      <c r="D88" s="223"/>
      <c r="E88" s="317"/>
      <c r="F88" s="317"/>
      <c r="G88" s="317"/>
      <c r="H88" s="317"/>
      <c r="I88" s="317"/>
      <c r="J88" s="317"/>
      <c r="K88" s="317"/>
      <c r="L88" s="260"/>
      <c r="M88" s="260"/>
      <c r="N88" s="260"/>
      <c r="O88" s="260"/>
      <c r="P88" s="260"/>
      <c r="Q88" s="260"/>
      <c r="R88" s="260"/>
      <c r="S88" s="260"/>
      <c r="T88" s="260"/>
      <c r="U88" s="260"/>
      <c r="V88" s="260"/>
      <c r="W88" s="260"/>
      <c r="X88" s="260"/>
      <c r="Y88" s="260"/>
      <c r="Z88" s="260"/>
      <c r="AA88" s="260"/>
      <c r="AB88" s="317"/>
      <c r="AC88" s="1257"/>
      <c r="AD88" s="686"/>
      <c r="AE88" s="2051"/>
      <c r="AF88" s="261"/>
      <c r="AG88" s="686"/>
      <c r="AH88" s="686"/>
      <c r="AI88" s="2106"/>
      <c r="AJ88" s="686"/>
      <c r="AK88" s="644"/>
      <c r="AL88" s="652"/>
    </row>
    <row r="89" spans="1:41" ht="15.75">
      <c r="A89" s="223"/>
      <c r="B89" s="221" t="s">
        <v>210</v>
      </c>
      <c r="C89" s="223"/>
      <c r="D89" s="223"/>
      <c r="E89" s="311">
        <f>ROUND(SUM(E65-E86),1)</f>
        <v>-152.19999999999999</v>
      </c>
      <c r="F89" s="311"/>
      <c r="G89" s="311">
        <f>ROUND(SUM(G65-G86),1)</f>
        <v>-154.30000000000001</v>
      </c>
      <c r="H89" s="311"/>
      <c r="I89" s="311">
        <f>ROUND(SUM(I65-I86),1)</f>
        <v>17</v>
      </c>
      <c r="J89" s="311"/>
      <c r="K89" s="311">
        <f>ROUND(SUM(K65-K86),1)</f>
        <v>-270</v>
      </c>
      <c r="L89" s="256"/>
      <c r="M89" s="256">
        <f>ROUND(SUM(M65-M86),1)</f>
        <v>-434.7</v>
      </c>
      <c r="N89" s="256"/>
      <c r="O89" s="256">
        <f>ROUND(SUM(O65-O86),1)</f>
        <v>73.900000000000006</v>
      </c>
      <c r="P89" s="256"/>
      <c r="Q89" s="256">
        <f>ROUND(SUM(Q65-Q86),1)</f>
        <v>-108.1</v>
      </c>
      <c r="R89" s="256"/>
      <c r="S89" s="256">
        <f>ROUND(SUM(S65-S86),1)</f>
        <v>-447.2</v>
      </c>
      <c r="T89" s="256"/>
      <c r="U89" s="1802">
        <f>ROUND(SUM(U65-U86),1)</f>
        <v>-511.2</v>
      </c>
      <c r="V89" s="256"/>
      <c r="W89" s="256">
        <f>ROUND(SUM(W65-W86),1)</f>
        <v>-146.4</v>
      </c>
      <c r="X89" s="256"/>
      <c r="Y89" s="256">
        <f>ROUND(SUM(Y65-Y86),1)</f>
        <v>0</v>
      </c>
      <c r="Z89" s="256"/>
      <c r="AA89" s="256">
        <f>ROUND(SUM(AA65-AA86),1)</f>
        <v>0</v>
      </c>
      <c r="AB89" s="311"/>
      <c r="AC89" s="1258"/>
      <c r="AD89" s="311">
        <f>ROUND(SUM(AD65-AD86),1)</f>
        <v>-2133.1999999999998</v>
      </c>
      <c r="AE89" s="2056"/>
      <c r="AF89" s="314"/>
      <c r="AG89" s="311">
        <f>ROUND(SUM(AG65-AG86),1)</f>
        <v>-1075.8</v>
      </c>
      <c r="AH89" s="314"/>
      <c r="AI89" s="2094"/>
      <c r="AJ89" s="312">
        <f>ROUND(AD89-AG89,1)</f>
        <v>-1057.4000000000001</v>
      </c>
      <c r="AK89" s="662"/>
      <c r="AL89" s="2715">
        <f>ROUND(IF(AG89=0,0,AJ89/ABS(AG89)),3)</f>
        <v>-0.98299999999999998</v>
      </c>
      <c r="AM89" s="649"/>
      <c r="AN89" s="659"/>
    </row>
    <row r="90" spans="1:41" ht="15.75">
      <c r="A90" s="223"/>
      <c r="B90" s="223"/>
      <c r="C90" s="223"/>
      <c r="D90" s="223"/>
      <c r="E90" s="326"/>
      <c r="F90" s="317"/>
      <c r="G90" s="326"/>
      <c r="H90" s="317"/>
      <c r="I90" s="326"/>
      <c r="J90" s="317"/>
      <c r="K90" s="326"/>
      <c r="L90" s="260"/>
      <c r="M90" s="287"/>
      <c r="N90" s="260"/>
      <c r="O90" s="287"/>
      <c r="P90" s="260"/>
      <c r="Q90" s="287"/>
      <c r="R90" s="260"/>
      <c r="S90" s="287"/>
      <c r="T90" s="260"/>
      <c r="U90" s="287"/>
      <c r="V90" s="260"/>
      <c r="W90" s="287"/>
      <c r="X90" s="260"/>
      <c r="Y90" s="287"/>
      <c r="Z90" s="260"/>
      <c r="AA90" s="287"/>
      <c r="AB90" s="317"/>
      <c r="AC90" s="1257"/>
      <c r="AD90" s="326"/>
      <c r="AE90" s="2051"/>
      <c r="AF90" s="261"/>
      <c r="AG90" s="326"/>
      <c r="AH90" s="261"/>
      <c r="AI90" s="2094"/>
      <c r="AJ90" s="686"/>
      <c r="AK90" s="644"/>
      <c r="AL90" s="652"/>
    </row>
    <row r="91" spans="1:41" ht="15.75">
      <c r="A91" s="223"/>
      <c r="B91" s="221" t="s">
        <v>211</v>
      </c>
      <c r="C91" s="223"/>
      <c r="D91" s="223"/>
      <c r="E91" s="317"/>
      <c r="F91" s="317"/>
      <c r="G91" s="317"/>
      <c r="H91" s="317"/>
      <c r="I91" s="317"/>
      <c r="J91" s="317"/>
      <c r="K91" s="317"/>
      <c r="L91" s="260"/>
      <c r="M91" s="260"/>
      <c r="N91" s="260"/>
      <c r="O91" s="260"/>
      <c r="P91" s="260"/>
      <c r="Q91" s="260"/>
      <c r="R91" s="260"/>
      <c r="S91" s="260"/>
      <c r="T91" s="260"/>
      <c r="U91" s="260"/>
      <c r="V91" s="260"/>
      <c r="W91" s="260"/>
      <c r="X91" s="260"/>
      <c r="Y91" s="260"/>
      <c r="Z91" s="260"/>
      <c r="AA91" s="260"/>
      <c r="AB91" s="317"/>
      <c r="AC91" s="1257"/>
      <c r="AD91" s="317"/>
      <c r="AE91" s="2051"/>
      <c r="AF91" s="261"/>
      <c r="AG91" s="327"/>
      <c r="AH91" s="327"/>
      <c r="AI91" s="2102"/>
      <c r="AJ91" s="686"/>
      <c r="AK91" s="644"/>
      <c r="AL91" s="652"/>
    </row>
    <row r="92" spans="1:41" ht="15.75">
      <c r="A92" s="223"/>
      <c r="B92" s="223" t="s">
        <v>212</v>
      </c>
      <c r="C92" s="223"/>
      <c r="D92" s="223"/>
      <c r="E92" s="685">
        <v>0</v>
      </c>
      <c r="F92" s="317"/>
      <c r="G92" s="685">
        <v>0</v>
      </c>
      <c r="H92" s="317"/>
      <c r="I92" s="685">
        <v>0</v>
      </c>
      <c r="J92" s="317"/>
      <c r="K92" s="685">
        <v>0</v>
      </c>
      <c r="L92" s="260"/>
      <c r="M92" s="371">
        <v>0</v>
      </c>
      <c r="N92" s="371"/>
      <c r="O92" s="371">
        <v>0</v>
      </c>
      <c r="P92" s="260"/>
      <c r="Q92" s="371">
        <v>0</v>
      </c>
      <c r="R92" s="260"/>
      <c r="S92" s="371">
        <v>0</v>
      </c>
      <c r="T92" s="260"/>
      <c r="U92" s="371">
        <v>0</v>
      </c>
      <c r="V92" s="260"/>
      <c r="W92" s="371">
        <v>0</v>
      </c>
      <c r="X92" s="260"/>
      <c r="Y92" s="371"/>
      <c r="Z92" s="260"/>
      <c r="AA92" s="514"/>
      <c r="AB92" s="317"/>
      <c r="AC92" s="1257"/>
      <c r="AD92" s="318">
        <f>ROUND(SUM(E92:AA92),1)</f>
        <v>0</v>
      </c>
      <c r="AE92" s="2051"/>
      <c r="AF92" s="261"/>
      <c r="AG92" s="327">
        <v>0</v>
      </c>
      <c r="AH92" s="327"/>
      <c r="AI92" s="2102"/>
      <c r="AJ92" s="318">
        <f>ROUND(AD92-AG92,1)</f>
        <v>0</v>
      </c>
      <c r="AK92" s="654"/>
      <c r="AL92" s="2679">
        <f>ROUND(IF(AG92=0,0,AJ92/ABS(AG92)),3)</f>
        <v>0</v>
      </c>
    </row>
    <row r="93" spans="1:41" ht="15.75">
      <c r="A93" s="223"/>
      <c r="B93" s="246" t="s">
        <v>179</v>
      </c>
      <c r="C93" s="223"/>
      <c r="D93" s="223"/>
      <c r="E93" s="2049">
        <v>162.19999999999999</v>
      </c>
      <c r="F93" s="317"/>
      <c r="G93" s="2049">
        <v>183.8</v>
      </c>
      <c r="H93" s="317"/>
      <c r="I93" s="2049">
        <v>138.4</v>
      </c>
      <c r="J93" s="317"/>
      <c r="K93" s="2049">
        <v>362.5</v>
      </c>
      <c r="L93" s="260"/>
      <c r="M93" s="515">
        <v>352.8</v>
      </c>
      <c r="N93" s="260"/>
      <c r="O93" s="515">
        <v>29.9</v>
      </c>
      <c r="P93" s="260"/>
      <c r="Q93" s="515">
        <v>286.89999999999998</v>
      </c>
      <c r="R93" s="260"/>
      <c r="S93" s="515">
        <v>300.89999999999998</v>
      </c>
      <c r="T93" s="260"/>
      <c r="U93" s="515">
        <v>455</v>
      </c>
      <c r="V93" s="260"/>
      <c r="W93" s="515">
        <v>256.2</v>
      </c>
      <c r="X93" s="260"/>
      <c r="Y93" s="371"/>
      <c r="Z93" s="260"/>
      <c r="AA93" s="515"/>
      <c r="AB93" s="317"/>
      <c r="AC93" s="1257"/>
      <c r="AD93" s="318">
        <f>ROUND(SUM(E93:AA93),1)</f>
        <v>2528.6</v>
      </c>
      <c r="AE93" s="2051"/>
      <c r="AF93" s="261"/>
      <c r="AG93" s="317">
        <v>1634.1</v>
      </c>
      <c r="AH93" s="318"/>
      <c r="AI93" s="2052"/>
      <c r="AJ93" s="318">
        <f>ROUND(AD93-AG93,1)</f>
        <v>894.5</v>
      </c>
      <c r="AK93" s="644"/>
      <c r="AL93" s="45">
        <f>ROUND(IF(AG93=0,0,AJ93/ABS(AG93)),3)</f>
        <v>0.54700000000000004</v>
      </c>
      <c r="AM93" s="644"/>
    </row>
    <row r="94" spans="1:41" ht="15.75">
      <c r="A94" s="223"/>
      <c r="B94" s="246" t="s">
        <v>213</v>
      </c>
      <c r="C94" s="223"/>
      <c r="D94" s="223"/>
      <c r="E94" s="2049">
        <v>-25.5</v>
      </c>
      <c r="F94" s="317"/>
      <c r="G94" s="317">
        <v>-29</v>
      </c>
      <c r="H94" s="317"/>
      <c r="I94" s="2049">
        <v>-27.9</v>
      </c>
      <c r="J94" s="317"/>
      <c r="K94" s="2049">
        <v>-29.3</v>
      </c>
      <c r="L94" s="260"/>
      <c r="M94" s="515">
        <v>-30.9</v>
      </c>
      <c r="N94" s="260"/>
      <c r="O94" s="515">
        <v>-266.2</v>
      </c>
      <c r="P94" s="260"/>
      <c r="Q94" s="515">
        <v>-28.7</v>
      </c>
      <c r="R94" s="260"/>
      <c r="S94" s="515">
        <v>-25.8</v>
      </c>
      <c r="T94" s="260"/>
      <c r="U94" s="515">
        <v>-25.4</v>
      </c>
      <c r="V94" s="260"/>
      <c r="W94" s="515">
        <v>-29.1</v>
      </c>
      <c r="X94" s="260"/>
      <c r="Y94" s="371"/>
      <c r="Z94" s="260"/>
      <c r="AA94" s="515"/>
      <c r="AB94" s="317"/>
      <c r="AC94" s="1257"/>
      <c r="AD94" s="318">
        <f>ROUND(SUM(E94:AA94),1)</f>
        <v>-517.79999999999995</v>
      </c>
      <c r="AE94" s="2051"/>
      <c r="AF94" s="261"/>
      <c r="AG94" s="2515">
        <v>-705.9</v>
      </c>
      <c r="AH94" s="261"/>
      <c r="AI94" s="2094"/>
      <c r="AJ94" s="2105">
        <f>ROUND(-AD94+AG94,1)</f>
        <v>-188.1</v>
      </c>
      <c r="AK94" s="644"/>
      <c r="AL94" s="1765">
        <f>ROUND(IF(AG94=0,0,AJ94/ABS(AG94)),3)</f>
        <v>-0.26600000000000001</v>
      </c>
      <c r="AM94" s="644"/>
    </row>
    <row r="95" spans="1:41" ht="15.75">
      <c r="A95" s="223"/>
      <c r="B95" s="223"/>
      <c r="C95" s="223"/>
      <c r="D95" s="223"/>
      <c r="E95" s="326"/>
      <c r="F95" s="317"/>
      <c r="G95" s="326"/>
      <c r="H95" s="317"/>
      <c r="I95" s="326"/>
      <c r="J95" s="317"/>
      <c r="K95" s="326"/>
      <c r="L95" s="260"/>
      <c r="M95" s="287"/>
      <c r="N95" s="260"/>
      <c r="O95" s="287"/>
      <c r="P95" s="260"/>
      <c r="Q95" s="287"/>
      <c r="R95" s="260"/>
      <c r="S95" s="287"/>
      <c r="T95" s="260"/>
      <c r="U95" s="287"/>
      <c r="V95" s="260"/>
      <c r="W95" s="287"/>
      <c r="X95" s="260"/>
      <c r="Y95" s="287"/>
      <c r="Z95" s="260"/>
      <c r="AA95" s="287"/>
      <c r="AB95" s="317"/>
      <c r="AC95" s="1257"/>
      <c r="AD95" s="326"/>
      <c r="AE95" s="2051"/>
      <c r="AF95" s="261"/>
      <c r="AG95" s="686"/>
      <c r="AH95" s="686"/>
      <c r="AI95" s="2106"/>
      <c r="AJ95" s="686"/>
      <c r="AK95" s="644"/>
      <c r="AL95" s="652"/>
    </row>
    <row r="96" spans="1:41" ht="15.75">
      <c r="A96" s="223"/>
      <c r="B96" s="221" t="s">
        <v>1333</v>
      </c>
      <c r="C96" s="223"/>
      <c r="D96" s="223"/>
      <c r="E96" s="311">
        <f>ROUND(SUM(E92:E94),1)</f>
        <v>136.69999999999999</v>
      </c>
      <c r="F96" s="311"/>
      <c r="G96" s="311">
        <f>ROUND(SUM(G92:G94),1)</f>
        <v>154.80000000000001</v>
      </c>
      <c r="H96" s="311"/>
      <c r="I96" s="311">
        <f>ROUND(SUM(I92:I94),1)</f>
        <v>110.5</v>
      </c>
      <c r="J96" s="311"/>
      <c r="K96" s="311">
        <f>ROUND(SUM(K92:K94),1)</f>
        <v>333.2</v>
      </c>
      <c r="L96" s="256"/>
      <c r="M96" s="256">
        <f>ROUND(SUM(M92:M94),1)</f>
        <v>321.89999999999998</v>
      </c>
      <c r="N96" s="256"/>
      <c r="O96" s="256">
        <f>ROUND(SUM(O92:O94),1)</f>
        <v>-236.3</v>
      </c>
      <c r="P96" s="256"/>
      <c r="Q96" s="256">
        <f>ROUND(SUM(Q92:Q94),1)</f>
        <v>258.2</v>
      </c>
      <c r="R96" s="256"/>
      <c r="S96" s="256">
        <f>ROUND(SUM(S92:S94),1)</f>
        <v>275.10000000000002</v>
      </c>
      <c r="T96" s="256"/>
      <c r="U96" s="1802">
        <f>ROUND(SUM(U92:U94),1)</f>
        <v>429.6</v>
      </c>
      <c r="V96" s="256"/>
      <c r="W96" s="256">
        <f>ROUND(SUM(W92:W94),1)</f>
        <v>227.1</v>
      </c>
      <c r="X96" s="256"/>
      <c r="Y96" s="256">
        <f>ROUND(SUM(Y92:Y94),1)</f>
        <v>0</v>
      </c>
      <c r="Z96" s="256"/>
      <c r="AA96" s="256">
        <f>ROUND(SUM(AA92:AA94),1)</f>
        <v>0</v>
      </c>
      <c r="AB96" s="311"/>
      <c r="AC96" s="1258"/>
      <c r="AD96" s="311">
        <f>ROUND(SUM(AD92:AD94),1)</f>
        <v>2010.8</v>
      </c>
      <c r="AE96" s="2056"/>
      <c r="AF96" s="314"/>
      <c r="AG96" s="314">
        <f>ROUND(SUM(AG92:AG94),1)</f>
        <v>928.2</v>
      </c>
      <c r="AH96" s="314"/>
      <c r="AI96" s="2094"/>
      <c r="AJ96" s="312">
        <f>ROUND(AD96-AG96,1)</f>
        <v>1082.5999999999999</v>
      </c>
      <c r="AK96" s="662"/>
      <c r="AL96" s="2715">
        <f>ROUND(IF(AG96=0,0,AJ96/ABS(AG96)),3)</f>
        <v>1.1659999999999999</v>
      </c>
      <c r="AM96" s="649"/>
      <c r="AN96" s="649"/>
      <c r="AO96" s="659"/>
    </row>
    <row r="97" spans="1:41" ht="15.75">
      <c r="A97" s="223"/>
      <c r="B97" s="223"/>
      <c r="C97" s="223"/>
      <c r="D97" s="223"/>
      <c r="E97" s="326"/>
      <c r="F97" s="317"/>
      <c r="G97" s="326"/>
      <c r="H97" s="317"/>
      <c r="I97" s="326"/>
      <c r="J97" s="317"/>
      <c r="K97" s="326"/>
      <c r="L97" s="260"/>
      <c r="M97" s="287"/>
      <c r="N97" s="260"/>
      <c r="O97" s="287"/>
      <c r="P97" s="260"/>
      <c r="Q97" s="287"/>
      <c r="R97" s="260"/>
      <c r="S97" s="287"/>
      <c r="T97" s="260"/>
      <c r="U97" s="287"/>
      <c r="V97" s="260"/>
      <c r="W97" s="287"/>
      <c r="X97" s="260"/>
      <c r="Y97" s="287"/>
      <c r="Z97" s="260"/>
      <c r="AA97" s="287"/>
      <c r="AB97" s="317"/>
      <c r="AC97" s="1257"/>
      <c r="AD97" s="326"/>
      <c r="AE97" s="2051"/>
      <c r="AF97" s="261"/>
      <c r="AG97" s="326"/>
      <c r="AH97" s="261"/>
      <c r="AI97" s="2094"/>
      <c r="AJ97" s="686"/>
      <c r="AK97" s="644"/>
      <c r="AL97" s="652"/>
      <c r="AO97" s="368"/>
    </row>
    <row r="98" spans="1:41" ht="15.75">
      <c r="A98" s="223"/>
      <c r="B98" s="223"/>
      <c r="C98" s="223"/>
      <c r="D98" s="223"/>
      <c r="E98" s="317" t="s">
        <v>15</v>
      </c>
      <c r="F98" s="317" t="s">
        <v>15</v>
      </c>
      <c r="G98" s="317" t="s">
        <v>15</v>
      </c>
      <c r="H98" s="317"/>
      <c r="I98" s="317" t="s">
        <v>15</v>
      </c>
      <c r="J98" s="317"/>
      <c r="K98" s="317"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317"/>
      <c r="AC98" s="1257"/>
      <c r="AD98" s="317" t="s">
        <v>15</v>
      </c>
      <c r="AE98" s="2051"/>
      <c r="AF98" s="261"/>
      <c r="AG98" s="317"/>
      <c r="AH98" s="317"/>
      <c r="AI98" s="2094"/>
      <c r="AJ98" s="686" t="s">
        <v>15</v>
      </c>
      <c r="AK98" s="644"/>
      <c r="AL98" s="652"/>
    </row>
    <row r="99" spans="1:41" ht="15.75">
      <c r="A99" s="223"/>
      <c r="B99" s="221" t="s">
        <v>215</v>
      </c>
      <c r="C99" s="223"/>
      <c r="D99" s="223"/>
      <c r="E99" s="317"/>
      <c r="F99" s="317"/>
      <c r="G99" s="317" t="s">
        <v>15</v>
      </c>
      <c r="H99" s="317"/>
      <c r="I99" s="317" t="s">
        <v>15</v>
      </c>
      <c r="J99" s="317"/>
      <c r="K99" s="317"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317"/>
      <c r="AC99" s="1257"/>
      <c r="AD99" s="317"/>
      <c r="AE99" s="2051"/>
      <c r="AF99" s="261"/>
      <c r="AG99" s="317"/>
      <c r="AH99" s="317"/>
      <c r="AI99" s="2094"/>
      <c r="AJ99" s="686"/>
      <c r="AK99" s="644"/>
      <c r="AL99" s="652"/>
    </row>
    <row r="100" spans="1:41" ht="15.75">
      <c r="A100" s="223"/>
      <c r="B100" s="221" t="s">
        <v>216</v>
      </c>
      <c r="C100" s="223"/>
      <c r="D100" s="223"/>
      <c r="E100" s="317" t="s">
        <v>15</v>
      </c>
      <c r="F100" s="317"/>
      <c r="G100" s="317"/>
      <c r="H100" s="317"/>
      <c r="I100" s="317"/>
      <c r="J100" s="317"/>
      <c r="K100" s="317"/>
      <c r="L100" s="260"/>
      <c r="M100" s="260"/>
      <c r="N100" s="260"/>
      <c r="O100" s="260"/>
      <c r="P100" s="260"/>
      <c r="Q100" s="260"/>
      <c r="R100" s="260"/>
      <c r="S100" s="260"/>
      <c r="T100" s="260"/>
      <c r="U100" s="260"/>
      <c r="V100" s="260"/>
      <c r="W100" s="260"/>
      <c r="X100" s="260"/>
      <c r="Y100" s="260"/>
      <c r="Z100" s="260"/>
      <c r="AA100" s="260"/>
      <c r="AB100" s="317"/>
      <c r="AC100" s="1257"/>
      <c r="AD100" s="2107" t="s">
        <v>15</v>
      </c>
      <c r="AE100" s="2051"/>
      <c r="AF100" s="261"/>
      <c r="AG100" s="686"/>
      <c r="AH100" s="686"/>
      <c r="AI100" s="2106"/>
      <c r="AJ100" s="686"/>
      <c r="AK100" s="644"/>
      <c r="AL100" s="652"/>
      <c r="AO100" s="680"/>
    </row>
    <row r="101" spans="1:41" ht="15.75">
      <c r="A101" s="223"/>
      <c r="B101" s="221" t="s">
        <v>1334</v>
      </c>
      <c r="C101" s="223"/>
      <c r="D101" s="223"/>
      <c r="E101" s="3290">
        <f>ROUND(SUM(E89+E96),1)</f>
        <v>-15.5</v>
      </c>
      <c r="F101" s="2078"/>
      <c r="G101" s="3290">
        <f>ROUND(SUM(G89+G96),1)</f>
        <v>0.5</v>
      </c>
      <c r="H101" s="2078"/>
      <c r="I101" s="3290">
        <f>ROUND(SUM(I89+I96),1)</f>
        <v>127.5</v>
      </c>
      <c r="J101" s="2078"/>
      <c r="K101" s="3290">
        <f>ROUND(SUM(K89+K96),1)</f>
        <v>63.2</v>
      </c>
      <c r="L101" s="681"/>
      <c r="M101" s="3290">
        <f>ROUND(SUM(M89+M96),1)</f>
        <v>-112.8</v>
      </c>
      <c r="N101" s="681"/>
      <c r="O101" s="3290">
        <f>ROUND(SUM(O89+O96),1)</f>
        <v>-162.4</v>
      </c>
      <c r="P101" s="681"/>
      <c r="Q101" s="3290">
        <f>ROUND(SUM(Q89+Q96),1)</f>
        <v>150.1</v>
      </c>
      <c r="R101" s="681"/>
      <c r="S101" s="3290">
        <f>ROUND(SUM(S89+S96),1)</f>
        <v>-172.1</v>
      </c>
      <c r="T101" s="681"/>
      <c r="U101" s="3290">
        <f>ROUND(SUM(U89+U96),1)</f>
        <v>-81.599999999999994</v>
      </c>
      <c r="V101" s="681"/>
      <c r="W101" s="3290">
        <f>ROUND(SUM(W89+W96),1)</f>
        <v>80.7</v>
      </c>
      <c r="X101" s="682"/>
      <c r="Y101" s="3290">
        <f>ROUND(SUM(Y89+Y96),1)</f>
        <v>0</v>
      </c>
      <c r="Z101" s="681"/>
      <c r="AA101" s="3290">
        <f>ROUND(SUM(AA89+AA96),1)</f>
        <v>0</v>
      </c>
      <c r="AB101" s="2078"/>
      <c r="AC101" s="2108"/>
      <c r="AD101" s="3290">
        <f>ROUND(SUM(AD89+AD96),1)</f>
        <v>-122.4</v>
      </c>
      <c r="AE101" s="2109"/>
      <c r="AF101" s="339"/>
      <c r="AG101" s="3290">
        <f>ROUND(SUM(AG89+AG96),1)</f>
        <v>-147.6</v>
      </c>
      <c r="AH101" s="2110"/>
      <c r="AI101" s="2111"/>
      <c r="AJ101" s="3290">
        <f>ROUND(SUM(AJ89+AJ96),1)</f>
        <v>25.2</v>
      </c>
      <c r="AK101" s="662"/>
      <c r="AL101" s="2704">
        <f>ROUND(IF(AG101=0,0,AJ101/ABS(AG101)),3)</f>
        <v>0.17100000000000001</v>
      </c>
      <c r="AM101" s="649"/>
    </row>
    <row r="102" spans="1:41" ht="15.75">
      <c r="A102" s="223"/>
      <c r="B102" s="221"/>
      <c r="C102" s="223"/>
      <c r="D102" s="223"/>
      <c r="E102" s="2564"/>
      <c r="F102" s="2078"/>
      <c r="G102" s="2564"/>
      <c r="H102" s="2078"/>
      <c r="I102" s="2564"/>
      <c r="J102" s="2078"/>
      <c r="K102" s="2564"/>
      <c r="L102" s="681"/>
      <c r="M102" s="2564"/>
      <c r="N102" s="681"/>
      <c r="O102" s="2564"/>
      <c r="P102" s="681"/>
      <c r="Q102" s="2564"/>
      <c r="R102" s="681"/>
      <c r="S102" s="2564"/>
      <c r="T102" s="681"/>
      <c r="U102" s="2564"/>
      <c r="V102" s="681"/>
      <c r="W102" s="2564"/>
      <c r="X102" s="682"/>
      <c r="Y102" s="2564"/>
      <c r="Z102" s="681"/>
      <c r="AA102" s="2564"/>
      <c r="AB102" s="2078"/>
      <c r="AC102" s="2108"/>
      <c r="AD102" s="2564"/>
      <c r="AE102" s="2109"/>
      <c r="AF102" s="339"/>
      <c r="AG102" s="2564"/>
      <c r="AH102" s="2110"/>
      <c r="AI102" s="2111"/>
      <c r="AJ102" s="2564"/>
      <c r="AK102" s="662"/>
      <c r="AL102" s="114"/>
      <c r="AM102" s="649"/>
    </row>
    <row r="103" spans="1:41" ht="16.5" thickBot="1">
      <c r="B103" s="221" t="s">
        <v>1331</v>
      </c>
      <c r="E103" s="3289">
        <f>ROUND(SUM(E15+E101),1)</f>
        <v>-347</v>
      </c>
      <c r="G103" s="3289">
        <f>ROUND(SUM(G15+G101),1)</f>
        <v>-346.5</v>
      </c>
      <c r="I103" s="3289">
        <f>ROUND(SUM(I15+I101),1)</f>
        <v>-219</v>
      </c>
      <c r="K103" s="3289">
        <f>ROUND(SUM(K15+K101),1)</f>
        <v>-155.80000000000001</v>
      </c>
      <c r="M103" s="3289">
        <f>ROUND(SUM(M15+M101),1)</f>
        <v>-268.60000000000002</v>
      </c>
      <c r="O103" s="3289">
        <f>ROUND(SUM(O15+O101),1)</f>
        <v>-431</v>
      </c>
      <c r="Q103" s="3289">
        <f>ROUND(SUM(Q15+Q101),1)</f>
        <v>-280.89999999999998</v>
      </c>
      <c r="S103" s="3289">
        <f>ROUND(SUM(S15+S101),1)</f>
        <v>-453</v>
      </c>
      <c r="U103" s="3289">
        <f>ROUND(SUM(U15+U101),1)</f>
        <v>-534.6</v>
      </c>
      <c r="W103" s="3289">
        <f>ROUND(SUM(W15+W101),1)</f>
        <v>-453.9</v>
      </c>
      <c r="X103" s="683"/>
      <c r="Y103" s="3289">
        <f>ROUND(SUM(Y15+Y101),1)</f>
        <v>0</v>
      </c>
      <c r="AA103" s="3289">
        <f>ROUND(SUM(AA15+AA101),1)</f>
        <v>0</v>
      </c>
      <c r="AB103" s="2078"/>
      <c r="AC103" s="2108"/>
      <c r="AD103" s="3289">
        <f>ROUND(SUM(AD15+AD101),1)</f>
        <v>-453.9</v>
      </c>
      <c r="AE103" s="2109"/>
      <c r="AF103" s="339"/>
      <c r="AG103" s="3289">
        <f>ROUND(SUM(AG15+AG101),1)</f>
        <v>-490</v>
      </c>
      <c r="AH103" s="2110"/>
      <c r="AI103" s="2111"/>
      <c r="AJ103" s="3277">
        <f>ROUND(AD103-AG103,1)</f>
        <v>36.1</v>
      </c>
      <c r="AL103" s="3326">
        <f>ROUND(IF(AG103=0,0,AJ103/ABS(AG103)),3)</f>
        <v>7.3999999999999996E-2</v>
      </c>
    </row>
    <row r="104" spans="1:41" ht="15.75" thickTop="1">
      <c r="B104" s="673"/>
      <c r="C104" s="674"/>
      <c r="D104" s="674"/>
      <c r="E104" s="2079"/>
      <c r="F104" s="2079"/>
      <c r="G104" s="2079"/>
    </row>
    <row r="105" spans="1:41">
      <c r="B105" s="2735" t="s">
        <v>15</v>
      </c>
      <c r="C105" s="674"/>
      <c r="D105" s="674"/>
      <c r="E105" s="2079"/>
      <c r="F105" s="2079"/>
      <c r="G105" s="2079"/>
      <c r="AG105" s="2151"/>
      <c r="AJ105" s="2093"/>
    </row>
    <row r="106" spans="1:41">
      <c r="B106" s="677"/>
    </row>
    <row r="107" spans="1:41">
      <c r="B107" s="677"/>
    </row>
    <row r="108" spans="1:41">
      <c r="B108" s="673"/>
    </row>
    <row r="109" spans="1:41">
      <c r="B109" s="677"/>
    </row>
    <row r="110" spans="1:41">
      <c r="B110" s="677"/>
    </row>
    <row r="111" spans="1:41">
      <c r="B111" s="673"/>
    </row>
    <row r="134" spans="31:31">
      <c r="AE134" s="2066">
        <v>16739.599999999999</v>
      </c>
    </row>
    <row r="135" spans="31:31">
      <c r="AE135" s="2066">
        <v>-16162.7</v>
      </c>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2" orientation="landscape" useFirstPageNumber="1" r:id="rId2"/>
  <headerFooter scaleWithDoc="0" alignWithMargins="0">
    <oddFooter>&amp;C&amp;8&amp;P</oddFooter>
  </headerFooter>
  <rowBreaks count="1" manualBreakCount="1">
    <brk id="66" min="1" max="39" man="1"/>
  </rowBreaks>
  <ignoredErrors>
    <ignoredError sqref="AL40 AL33:AL36 AL38 AL95 AL97:AL100 AL90:AL91 AL87:AL88 AL93:AL94 AL80 AL85 AL86 AL81:AL84 AL77:AL79 AL24 AL32 AL29 AL20:AL23 AL30:AL31 AL25 AL27:AL28" unlockedFormula="1"/>
    <ignoredError sqref="AL47 AL26 AL65 AL63 AL64 AL73:AL74 AL69:AL71 AL72 AL66:AL68 AL62 AL53" formula="1" unlockedFormula="1"/>
    <ignoredError sqref="AL50:AL52 AL54:AL6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135"/>
  <sheetViews>
    <sheetView showGridLines="0" zoomScale="70" zoomScaleNormal="70" workbookViewId="0"/>
  </sheetViews>
  <sheetFormatPr defaultColWidth="8.88671875" defaultRowHeight="15"/>
  <cols>
    <col min="1" max="1" width="2.5546875" style="300" customWidth="1"/>
    <col min="2" max="2" width="14.33203125" style="300" customWidth="1"/>
    <col min="3" max="3" width="32" style="300" customWidth="1"/>
    <col min="4" max="4" width="4.5546875" style="2066" customWidth="1"/>
    <col min="5" max="5" width="9.77734375" style="2066" bestFit="1" customWidth="1"/>
    <col min="6" max="6" width="1.77734375" style="2066" customWidth="1"/>
    <col min="7" max="7" width="11" style="2066" bestFit="1" customWidth="1"/>
    <col min="8" max="8" width="1.77734375" style="2066" customWidth="1"/>
    <col min="9" max="9" width="11" style="2066" bestFit="1" customWidth="1"/>
    <col min="10" max="10" width="1.77734375" style="2066" customWidth="1"/>
    <col min="11" max="11" width="12.21875" style="2066" customWidth="1"/>
    <col min="12" max="12" width="1.77734375" style="300" customWidth="1"/>
    <col min="13" max="13" width="8.88671875" style="300"/>
    <col min="14" max="14" width="1.77734375" style="300" customWidth="1"/>
    <col min="15" max="15" width="11.5546875" style="300" customWidth="1"/>
    <col min="16" max="16" width="1.77734375" style="300" customWidth="1"/>
    <col min="17" max="17" width="12.44140625" style="300" customWidth="1"/>
    <col min="18" max="18" width="1.77734375" style="300" customWidth="1"/>
    <col min="19" max="19" width="12.5546875" style="300" customWidth="1"/>
    <col min="20" max="20" width="1.77734375" style="300" customWidth="1"/>
    <col min="21" max="21" width="10.77734375" style="300" customWidth="1"/>
    <col min="22" max="22" width="1.77734375" style="300" customWidth="1"/>
    <col min="23" max="23" width="10.5546875" style="300" customWidth="1"/>
    <col min="24" max="24" width="1.77734375" style="300" customWidth="1"/>
    <col min="25" max="25" width="10.77734375" style="300" customWidth="1"/>
    <col min="26" max="26" width="1.77734375" style="300" customWidth="1"/>
    <col min="27" max="27" width="11.88671875" style="2066" customWidth="1"/>
    <col min="28" max="29" width="1.77734375" style="2066" customWidth="1"/>
    <col min="30" max="30" width="10.5546875" style="2066" customWidth="1"/>
    <col min="31" max="32" width="1" style="2066" customWidth="1"/>
    <col min="33" max="33" width="12.88671875" style="2066" customWidth="1"/>
    <col min="34" max="35" width="1" style="2066" customWidth="1"/>
    <col min="36" max="36" width="13.109375" style="2066" bestFit="1" customWidth="1"/>
    <col min="37" max="37" width="1.33203125" style="300" customWidth="1"/>
    <col min="38" max="38" width="11.33203125" style="300" customWidth="1"/>
    <col min="39" max="16384" width="8.88671875" style="300"/>
  </cols>
  <sheetData>
    <row r="1" spans="1:39">
      <c r="B1" s="1159" t="s">
        <v>1090</v>
      </c>
    </row>
    <row r="2" spans="1:39">
      <c r="B2" s="1651"/>
    </row>
    <row r="3" spans="1:39" ht="19.5" customHeight="1">
      <c r="A3" s="633"/>
      <c r="B3" s="536" t="s">
        <v>0</v>
      </c>
      <c r="C3" s="634"/>
      <c r="D3" s="2067"/>
      <c r="E3" s="2067"/>
      <c r="F3" s="2068"/>
      <c r="G3" s="2068"/>
      <c r="H3" s="2068"/>
      <c r="I3" s="2068"/>
      <c r="J3" s="2068"/>
      <c r="K3" s="2068"/>
      <c r="L3" s="635"/>
      <c r="M3" s="635"/>
      <c r="N3" s="635"/>
      <c r="O3" s="635"/>
      <c r="P3" s="635"/>
      <c r="Q3" s="635"/>
      <c r="R3" s="635"/>
      <c r="S3" s="684"/>
      <c r="T3" s="635"/>
      <c r="U3" s="635"/>
      <c r="V3" s="635"/>
      <c r="W3" s="635"/>
      <c r="X3" s="635"/>
      <c r="Y3" s="635"/>
      <c r="Z3" s="635"/>
      <c r="AA3" s="2068"/>
      <c r="AB3" s="2068"/>
      <c r="AC3" s="2068"/>
      <c r="AD3" s="2068"/>
      <c r="AE3" s="2068"/>
      <c r="AF3" s="2068"/>
      <c r="AG3" s="2068"/>
      <c r="AH3" s="2068"/>
      <c r="AI3" s="2068"/>
      <c r="AL3" s="505" t="s">
        <v>200</v>
      </c>
    </row>
    <row r="4" spans="1:39" ht="19.5" customHeight="1">
      <c r="A4" s="633"/>
      <c r="B4" s="536" t="s">
        <v>218</v>
      </c>
      <c r="C4" s="634"/>
      <c r="D4" s="2067"/>
      <c r="E4" s="2067"/>
      <c r="F4" s="2068"/>
      <c r="G4" s="2068"/>
      <c r="H4" s="2068"/>
      <c r="I4" s="2068"/>
      <c r="J4" s="2068"/>
      <c r="K4" s="2068"/>
      <c r="L4" s="635"/>
      <c r="M4" s="635"/>
      <c r="N4" s="635"/>
      <c r="O4" s="635"/>
      <c r="P4" s="635"/>
      <c r="Q4" s="635"/>
      <c r="R4" s="635"/>
      <c r="S4" s="635"/>
      <c r="T4" s="635"/>
      <c r="U4" s="635"/>
      <c r="V4" s="635"/>
      <c r="W4" s="635"/>
      <c r="X4" s="635"/>
      <c r="Y4" s="635"/>
      <c r="Z4" s="635"/>
      <c r="AA4" s="2068"/>
      <c r="AB4" s="2068"/>
      <c r="AC4" s="2068"/>
      <c r="AE4" s="2080"/>
      <c r="AF4" s="2080"/>
    </row>
    <row r="5" spans="1:39" ht="19.5" customHeight="1">
      <c r="A5" s="633"/>
      <c r="B5" s="503" t="s">
        <v>1133</v>
      </c>
      <c r="C5" s="634"/>
      <c r="D5" s="2067"/>
      <c r="E5" s="2067"/>
      <c r="F5" s="2068"/>
      <c r="G5" s="2068"/>
      <c r="H5" s="2068"/>
      <c r="I5" s="2068"/>
      <c r="J5" s="2068"/>
      <c r="K5" s="2068"/>
      <c r="L5" s="635"/>
      <c r="M5" s="635"/>
      <c r="N5" s="635"/>
      <c r="O5" s="635"/>
      <c r="P5" s="635"/>
      <c r="Q5" s="635"/>
      <c r="R5" s="635"/>
      <c r="S5" s="635"/>
      <c r="T5" s="635"/>
      <c r="U5" s="635"/>
      <c r="V5" s="635"/>
      <c r="W5" s="635"/>
      <c r="X5" s="635"/>
      <c r="Y5" s="635"/>
      <c r="Z5" s="635"/>
      <c r="AA5" s="2068"/>
      <c r="AB5" s="2068"/>
      <c r="AC5" s="2068"/>
      <c r="AD5" s="2068"/>
      <c r="AE5" s="2068"/>
      <c r="AF5" s="2068"/>
      <c r="AG5" s="2068"/>
      <c r="AH5" s="2068"/>
      <c r="AI5" s="2068"/>
      <c r="AL5" s="505"/>
    </row>
    <row r="6" spans="1:39" ht="19.5" customHeight="1">
      <c r="A6" s="633"/>
      <c r="B6" s="2929" t="s">
        <v>1419</v>
      </c>
      <c r="C6" s="1735"/>
      <c r="D6" s="2067"/>
      <c r="E6" s="2067"/>
      <c r="F6" s="2068"/>
      <c r="G6" s="2068"/>
      <c r="H6" s="2069"/>
      <c r="I6" s="2068"/>
      <c r="J6" s="2068"/>
      <c r="K6" s="2068"/>
      <c r="L6" s="635"/>
      <c r="M6" s="635"/>
      <c r="N6" s="635"/>
      <c r="O6" s="635"/>
      <c r="P6" s="635"/>
      <c r="Q6" s="635"/>
      <c r="R6" s="635"/>
      <c r="S6" s="635"/>
      <c r="T6" s="635"/>
      <c r="U6" s="635"/>
      <c r="V6" s="635"/>
      <c r="W6" s="635"/>
      <c r="X6" s="635"/>
      <c r="Y6" s="635"/>
      <c r="Z6" s="635"/>
      <c r="AA6" s="2068"/>
      <c r="AB6" s="2068"/>
      <c r="AC6" s="2068"/>
      <c r="AD6" s="2068"/>
      <c r="AE6" s="2081"/>
      <c r="AF6" s="2081"/>
      <c r="AG6" s="2081"/>
      <c r="AH6" s="2081"/>
      <c r="AI6" s="2081"/>
    </row>
    <row r="7" spans="1:39" ht="19.5" customHeight="1">
      <c r="A7" s="633"/>
      <c r="B7" s="639" t="s">
        <v>980</v>
      </c>
      <c r="C7" s="634"/>
      <c r="D7" s="2067"/>
      <c r="E7" s="2067"/>
      <c r="F7" s="2068"/>
      <c r="G7" s="2068"/>
      <c r="H7" s="2069"/>
      <c r="I7" s="2068"/>
      <c r="J7" s="2068"/>
      <c r="K7" s="2068"/>
      <c r="L7" s="635"/>
      <c r="M7" s="635"/>
      <c r="N7" s="635"/>
      <c r="O7" s="635"/>
      <c r="P7" s="635"/>
      <c r="Q7" s="635"/>
      <c r="R7" s="635"/>
      <c r="S7" s="635"/>
      <c r="T7" s="635"/>
      <c r="U7" s="635"/>
      <c r="V7" s="635"/>
      <c r="W7" s="635"/>
      <c r="X7" s="635"/>
      <c r="Y7" s="635"/>
      <c r="Z7" s="635"/>
      <c r="AA7" s="2068"/>
      <c r="AB7" s="2068"/>
      <c r="AC7" s="2068"/>
      <c r="AD7" s="2068"/>
      <c r="AE7" s="2081"/>
      <c r="AF7" s="2081"/>
      <c r="AG7" s="2081"/>
      <c r="AH7" s="2081"/>
      <c r="AI7" s="2081"/>
    </row>
    <row r="8" spans="1:39" ht="19.5" customHeight="1">
      <c r="A8" s="633"/>
      <c r="B8" s="503"/>
      <c r="C8" s="634"/>
      <c r="D8" s="2067"/>
      <c r="E8" s="2067"/>
      <c r="F8" s="2068"/>
      <c r="G8" s="2068"/>
      <c r="H8" s="2069"/>
      <c r="I8" s="2068"/>
      <c r="J8" s="2068"/>
      <c r="K8" s="2068"/>
      <c r="L8" s="635"/>
      <c r="M8" s="635"/>
      <c r="N8" s="635"/>
      <c r="O8" s="635"/>
      <c r="P8" s="635"/>
      <c r="Q8" s="635"/>
      <c r="R8" s="635"/>
      <c r="S8" s="635"/>
      <c r="T8" s="635"/>
      <c r="U8" s="635"/>
      <c r="V8" s="635"/>
      <c r="W8" s="635"/>
      <c r="X8" s="635"/>
      <c r="Y8" s="635"/>
      <c r="Z8" s="635"/>
      <c r="AA8" s="2068"/>
      <c r="AB8" s="2068"/>
      <c r="AC8" s="2068"/>
      <c r="AD8" s="2068"/>
      <c r="AE8" s="2081"/>
      <c r="AF8" s="2081"/>
      <c r="AG8" s="2081"/>
      <c r="AH8" s="2081"/>
      <c r="AI8" s="2081"/>
    </row>
    <row r="9" spans="1:39" ht="15.75" customHeight="1">
      <c r="A9" s="633"/>
      <c r="B9" s="639"/>
      <c r="C9" s="634"/>
      <c r="D9" s="2067"/>
      <c r="E9" s="2067"/>
      <c r="F9" s="2068"/>
      <c r="G9" s="2068"/>
      <c r="H9" s="2068"/>
      <c r="I9" s="2068"/>
      <c r="J9" s="2068"/>
      <c r="K9" s="2068"/>
      <c r="L9" s="635"/>
      <c r="M9" s="635"/>
      <c r="N9" s="635"/>
      <c r="O9" s="635"/>
      <c r="P9" s="635"/>
      <c r="Q9" s="635"/>
      <c r="R9" s="635"/>
      <c r="S9" s="635"/>
      <c r="T9" s="635"/>
      <c r="U9" s="635"/>
      <c r="V9" s="635"/>
      <c r="W9" s="635"/>
      <c r="X9" s="635"/>
      <c r="Y9" s="635"/>
      <c r="Z9" s="635"/>
      <c r="AA9" s="2068"/>
      <c r="AB9" s="2068"/>
      <c r="AC9" s="2082"/>
    </row>
    <row r="10" spans="1:39" ht="15.75" customHeight="1">
      <c r="A10" s="633"/>
      <c r="B10" s="639"/>
      <c r="C10" s="634"/>
      <c r="D10" s="2067"/>
      <c r="E10" s="2067"/>
      <c r="F10" s="2068"/>
      <c r="G10" s="2068"/>
      <c r="H10" s="2068"/>
      <c r="I10" s="2068"/>
      <c r="J10" s="2068"/>
      <c r="K10" s="2068"/>
      <c r="L10" s="635"/>
      <c r="M10" s="635"/>
      <c r="N10" s="635"/>
      <c r="O10" s="635"/>
      <c r="P10" s="635"/>
      <c r="Q10" s="635"/>
      <c r="R10" s="635"/>
      <c r="S10" s="635"/>
      <c r="T10" s="635"/>
      <c r="U10" s="635"/>
      <c r="V10" s="635"/>
      <c r="W10" s="635"/>
      <c r="X10" s="635"/>
      <c r="Y10" s="635"/>
      <c r="Z10" s="635"/>
      <c r="AA10" s="2068"/>
      <c r="AB10" s="2068"/>
      <c r="AC10" s="2082"/>
      <c r="AD10" s="3512" t="s">
        <v>1558</v>
      </c>
      <c r="AE10" s="3513"/>
      <c r="AF10" s="3513"/>
      <c r="AG10" s="3513"/>
      <c r="AH10" s="3513"/>
      <c r="AI10" s="3513"/>
      <c r="AJ10" s="3513"/>
      <c r="AK10" s="3513"/>
      <c r="AL10" s="3513"/>
    </row>
    <row r="11" spans="1:39" ht="15.75" customHeight="1">
      <c r="A11" s="633"/>
      <c r="B11" s="641"/>
      <c r="C11" s="634"/>
      <c r="D11" s="2067"/>
      <c r="E11" s="2070"/>
      <c r="F11" s="2071"/>
      <c r="G11" s="2071"/>
      <c r="H11" s="2071"/>
      <c r="I11" s="2071"/>
      <c r="J11" s="2071"/>
      <c r="K11" s="2071"/>
      <c r="L11" s="1477"/>
      <c r="M11" s="1477"/>
      <c r="N11" s="1477"/>
      <c r="O11" s="1477"/>
      <c r="P11" s="1477"/>
      <c r="Q11" s="1477"/>
      <c r="R11" s="1477"/>
      <c r="S11" s="1477"/>
      <c r="T11" s="1477"/>
      <c r="U11" s="1477"/>
      <c r="V11" s="1477"/>
      <c r="W11" s="1477"/>
      <c r="X11" s="1477"/>
      <c r="Y11" s="1477"/>
      <c r="Z11" s="1477"/>
      <c r="AA11" s="2071"/>
      <c r="AB11" s="2071"/>
      <c r="AC11" s="2083"/>
      <c r="AD11" s="2115"/>
      <c r="AE11" s="2115"/>
      <c r="AF11" s="2115"/>
      <c r="AG11" s="2115"/>
      <c r="AH11" s="2115"/>
      <c r="AI11" s="2115"/>
      <c r="AJ11" s="2115"/>
      <c r="AK11" s="1484"/>
      <c r="AL11" s="1484"/>
      <c r="AM11" s="1484"/>
    </row>
    <row r="12" spans="1:39" ht="15.75" customHeight="1">
      <c r="A12" s="642"/>
      <c r="B12" s="642"/>
      <c r="C12" s="642"/>
      <c r="D12" s="2112"/>
      <c r="E12" s="1439">
        <v>2016</v>
      </c>
      <c r="F12" s="2072"/>
      <c r="G12" s="2072"/>
      <c r="H12" s="2072"/>
      <c r="I12" s="2072"/>
      <c r="J12" s="2072"/>
      <c r="K12" s="2072"/>
      <c r="L12" s="1480"/>
      <c r="M12" s="1480"/>
      <c r="N12" s="1480"/>
      <c r="O12" s="1480"/>
      <c r="P12" s="1480"/>
      <c r="Q12" s="1480"/>
      <c r="R12" s="1480"/>
      <c r="S12" s="1480"/>
      <c r="T12" s="1480"/>
      <c r="U12" s="1480"/>
      <c r="V12" s="1480"/>
      <c r="W12" s="1448">
        <v>2017</v>
      </c>
      <c r="X12" s="1480"/>
      <c r="Y12" s="1480"/>
      <c r="Z12" s="1480"/>
      <c r="AA12" s="2072"/>
      <c r="AB12" s="2072"/>
      <c r="AC12" s="2072"/>
      <c r="AD12" s="2086"/>
      <c r="AE12" s="2086"/>
      <c r="AF12" s="2086"/>
      <c r="AG12" s="2086"/>
      <c r="AH12" s="2086"/>
      <c r="AI12" s="2086"/>
      <c r="AJ12" s="2087" t="s">
        <v>8</v>
      </c>
      <c r="AK12" s="1455"/>
      <c r="AL12" s="1450" t="s">
        <v>9</v>
      </c>
      <c r="AM12" s="1484"/>
    </row>
    <row r="13" spans="1:39" ht="15.75">
      <c r="A13" s="223"/>
      <c r="B13" s="223"/>
      <c r="C13" s="223"/>
      <c r="D13" s="306"/>
      <c r="E13" s="1482" t="s">
        <v>128</v>
      </c>
      <c r="F13" s="304"/>
      <c r="G13" s="1482" t="s">
        <v>129</v>
      </c>
      <c r="H13" s="304"/>
      <c r="I13" s="1482" t="s">
        <v>130</v>
      </c>
      <c r="J13" s="304"/>
      <c r="K13" s="1482" t="s">
        <v>131</v>
      </c>
      <c r="L13" s="221"/>
      <c r="M13" s="1431" t="s">
        <v>132</v>
      </c>
      <c r="N13" s="221"/>
      <c r="O13" s="1431" t="s">
        <v>133</v>
      </c>
      <c r="P13" s="221"/>
      <c r="Q13" s="1431" t="s">
        <v>134</v>
      </c>
      <c r="R13" s="221"/>
      <c r="S13" s="1431" t="s">
        <v>135</v>
      </c>
      <c r="T13" s="221"/>
      <c r="U13" s="1431" t="s">
        <v>136</v>
      </c>
      <c r="V13" s="221"/>
      <c r="W13" s="1431" t="s">
        <v>153</v>
      </c>
      <c r="X13" s="221"/>
      <c r="Y13" s="1431" t="s">
        <v>138</v>
      </c>
      <c r="Z13" s="221"/>
      <c r="AA13" s="1482" t="s">
        <v>139</v>
      </c>
      <c r="AB13" s="304"/>
      <c r="AC13" s="304"/>
      <c r="AD13" s="1482">
        <v>2017</v>
      </c>
      <c r="AE13" s="304" t="s">
        <v>15</v>
      </c>
      <c r="AF13" s="304"/>
      <c r="AG13" s="1482">
        <v>2016</v>
      </c>
      <c r="AH13" s="1483"/>
      <c r="AI13" s="1483"/>
      <c r="AJ13" s="2088" t="s">
        <v>12</v>
      </c>
      <c r="AK13" s="1453"/>
      <c r="AL13" s="1463" t="s">
        <v>13</v>
      </c>
      <c r="AM13" s="1484"/>
    </row>
    <row r="14" spans="1:39" ht="15.75">
      <c r="A14" s="223"/>
      <c r="B14" s="221"/>
      <c r="C14" s="221"/>
      <c r="D14" s="306"/>
      <c r="E14" s="340"/>
      <c r="F14" s="340"/>
      <c r="G14" s="340"/>
      <c r="H14" s="340"/>
      <c r="I14" s="340"/>
      <c r="J14" s="340"/>
      <c r="K14" s="340"/>
      <c r="L14" s="366"/>
      <c r="M14" s="366"/>
      <c r="N14" s="366"/>
      <c r="O14" s="366"/>
      <c r="P14" s="366"/>
      <c r="Q14" s="366"/>
      <c r="R14" s="366"/>
      <c r="S14" s="366"/>
      <c r="T14" s="366"/>
      <c r="U14" s="366"/>
      <c r="V14" s="366"/>
      <c r="W14" s="366"/>
      <c r="X14" s="366"/>
      <c r="Y14" s="366"/>
      <c r="Z14" s="366"/>
      <c r="AA14" s="340"/>
      <c r="AB14" s="340"/>
      <c r="AC14" s="2019"/>
      <c r="AD14" s="340"/>
      <c r="AE14" s="316"/>
      <c r="AF14" s="2116"/>
      <c r="AG14" s="340"/>
      <c r="AH14" s="340"/>
      <c r="AI14" s="1923"/>
      <c r="AJ14" s="2091"/>
      <c r="AK14" s="644"/>
      <c r="AL14" s="644"/>
    </row>
    <row r="15" spans="1:39" ht="15.75">
      <c r="A15" s="223"/>
      <c r="B15" s="3267" t="s">
        <v>1386</v>
      </c>
      <c r="C15" s="221"/>
      <c r="D15" s="306"/>
      <c r="E15" s="335">
        <v>-559.29999999999995</v>
      </c>
      <c r="F15" s="335"/>
      <c r="G15" s="335">
        <f>E83</f>
        <v>-510</v>
      </c>
      <c r="H15" s="335"/>
      <c r="I15" s="335">
        <f>G83</f>
        <v>-500.3</v>
      </c>
      <c r="J15" s="335"/>
      <c r="K15" s="335">
        <f>I83</f>
        <v>-433</v>
      </c>
      <c r="L15" s="293"/>
      <c r="M15" s="293">
        <f>K83</f>
        <v>-472.5</v>
      </c>
      <c r="N15" s="293"/>
      <c r="O15" s="293">
        <f>M83</f>
        <v>-458.7</v>
      </c>
      <c r="P15" s="293"/>
      <c r="Q15" s="293">
        <f>O83</f>
        <v>-447.8</v>
      </c>
      <c r="R15" s="293"/>
      <c r="S15" s="293">
        <f>Q83</f>
        <v>-512.29999999999995</v>
      </c>
      <c r="T15" s="293"/>
      <c r="U15" s="293">
        <f>S83</f>
        <v>-497.9</v>
      </c>
      <c r="V15" s="293"/>
      <c r="W15" s="293">
        <f>U83</f>
        <v>-445.3</v>
      </c>
      <c r="X15" s="293"/>
      <c r="Y15" s="293"/>
      <c r="Z15" s="293"/>
      <c r="AA15" s="335"/>
      <c r="AB15" s="335"/>
      <c r="AC15" s="3282"/>
      <c r="AD15" s="335">
        <f>E15</f>
        <v>-559.29999999999995</v>
      </c>
      <c r="AE15" s="316"/>
      <c r="AF15" s="2116"/>
      <c r="AG15" s="335">
        <v>-382</v>
      </c>
      <c r="AH15" s="335"/>
      <c r="AI15" s="3281"/>
      <c r="AJ15" s="3285">
        <f>ROUND(AD15-AG15,1)</f>
        <v>-177.3</v>
      </c>
      <c r="AK15" s="2012"/>
      <c r="AL15" s="2669">
        <f>ROUND(IF(AG15=0,0,AJ15/ABS(AG15)),3)</f>
        <v>-0.46400000000000002</v>
      </c>
    </row>
    <row r="16" spans="1:39" ht="15.75">
      <c r="A16" s="223"/>
      <c r="B16" s="221"/>
      <c r="C16" s="221"/>
      <c r="D16" s="306"/>
      <c r="E16" s="340"/>
      <c r="F16" s="340"/>
      <c r="G16" s="340"/>
      <c r="H16" s="340"/>
      <c r="I16" s="340"/>
      <c r="J16" s="340"/>
      <c r="K16" s="340"/>
      <c r="L16" s="366"/>
      <c r="M16" s="366"/>
      <c r="N16" s="366"/>
      <c r="O16" s="366"/>
      <c r="P16" s="366"/>
      <c r="Q16" s="366"/>
      <c r="R16" s="366"/>
      <c r="S16" s="366"/>
      <c r="T16" s="366"/>
      <c r="U16" s="366"/>
      <c r="V16" s="366"/>
      <c r="W16" s="366"/>
      <c r="X16" s="366"/>
      <c r="Y16" s="366"/>
      <c r="Z16" s="366"/>
      <c r="AA16" s="340"/>
      <c r="AB16" s="340"/>
      <c r="AC16" s="2019"/>
      <c r="AD16" s="340"/>
      <c r="AE16" s="316"/>
      <c r="AF16" s="2116"/>
      <c r="AG16" s="340"/>
      <c r="AH16" s="340"/>
      <c r="AI16" s="1923"/>
      <c r="AJ16" s="2091"/>
      <c r="AK16" s="644"/>
      <c r="AL16" s="644"/>
    </row>
    <row r="17" spans="1:38" ht="15.75">
      <c r="A17" s="223"/>
      <c r="B17" s="221" t="s">
        <v>201</v>
      </c>
      <c r="C17" s="223"/>
      <c r="D17" s="306"/>
      <c r="E17" s="340"/>
      <c r="F17" s="340"/>
      <c r="G17" s="340"/>
      <c r="H17" s="340"/>
      <c r="I17" s="340"/>
      <c r="J17" s="340"/>
      <c r="K17" s="340"/>
      <c r="L17" s="366"/>
      <c r="M17" s="366"/>
      <c r="N17" s="366"/>
      <c r="O17" s="366"/>
      <c r="P17" s="366"/>
      <c r="Q17" s="366"/>
      <c r="R17" s="366"/>
      <c r="S17" s="366"/>
      <c r="T17" s="366"/>
      <c r="U17" s="366"/>
      <c r="V17" s="366"/>
      <c r="W17" s="366"/>
      <c r="X17" s="366"/>
      <c r="Y17" s="366"/>
      <c r="Z17" s="366"/>
      <c r="AA17" s="340"/>
      <c r="AB17" s="340"/>
      <c r="AC17" s="2019"/>
      <c r="AD17" s="340"/>
      <c r="AE17" s="316"/>
      <c r="AF17" s="2116"/>
      <c r="AG17" s="340"/>
      <c r="AH17" s="340"/>
      <c r="AI17" s="1923"/>
      <c r="AJ17" s="2091"/>
      <c r="AK17" s="644"/>
      <c r="AL17" s="644"/>
    </row>
    <row r="18" spans="1:38" ht="15.75">
      <c r="A18" s="223"/>
      <c r="B18" s="1748" t="s">
        <v>1157</v>
      </c>
      <c r="C18" s="223"/>
      <c r="D18" s="306"/>
      <c r="E18" s="2049"/>
      <c r="F18" s="317"/>
      <c r="G18" s="2049"/>
      <c r="H18" s="317"/>
      <c r="I18" s="2049"/>
      <c r="J18" s="317"/>
      <c r="K18" s="2049"/>
      <c r="L18" s="317"/>
      <c r="M18" s="317"/>
      <c r="N18" s="317"/>
      <c r="O18" s="2049"/>
      <c r="P18" s="317"/>
      <c r="Q18" s="2049"/>
      <c r="R18" s="317"/>
      <c r="S18" s="2049"/>
      <c r="T18" s="317"/>
      <c r="U18" s="2049"/>
      <c r="V18" s="317"/>
      <c r="W18" s="2049"/>
      <c r="X18" s="317"/>
      <c r="Y18" s="2049"/>
      <c r="Z18" s="317"/>
      <c r="AA18" s="2049"/>
      <c r="AB18" s="317"/>
      <c r="AC18" s="1257"/>
      <c r="AD18" s="2050"/>
      <c r="AE18" s="2051"/>
      <c r="AF18" s="261"/>
      <c r="AG18" s="317"/>
      <c r="AH18" s="318"/>
      <c r="AI18" s="2052"/>
      <c r="AJ18" s="318"/>
      <c r="AK18" s="2053"/>
      <c r="AL18" s="2054"/>
    </row>
    <row r="19" spans="1:38" ht="15.75">
      <c r="A19" s="223"/>
      <c r="B19" s="1748" t="s">
        <v>1269</v>
      </c>
      <c r="C19" s="223"/>
      <c r="D19" s="306"/>
      <c r="E19" s="2049"/>
      <c r="F19" s="317"/>
      <c r="G19" s="2049"/>
      <c r="H19" s="317"/>
      <c r="I19" s="2049"/>
      <c r="J19" s="317"/>
      <c r="K19" s="2049"/>
      <c r="L19" s="260"/>
      <c r="M19" s="260"/>
      <c r="N19" s="260"/>
      <c r="O19" s="515"/>
      <c r="P19" s="260"/>
      <c r="Q19" s="515"/>
      <c r="R19" s="260"/>
      <c r="S19" s="515"/>
      <c r="T19" s="260"/>
      <c r="U19" s="515"/>
      <c r="V19" s="260"/>
      <c r="W19" s="515"/>
      <c r="X19" s="260"/>
      <c r="Y19" s="515"/>
      <c r="Z19" s="260"/>
      <c r="AA19" s="2049"/>
      <c r="AB19" s="317"/>
      <c r="AC19" s="1257"/>
      <c r="AD19" s="2050"/>
      <c r="AE19" s="2055"/>
      <c r="AF19" s="261"/>
      <c r="AG19" s="317"/>
      <c r="AH19" s="318"/>
      <c r="AI19" s="2052"/>
      <c r="AJ19" s="318"/>
      <c r="AK19" s="654"/>
      <c r="AL19" s="45"/>
    </row>
    <row r="20" spans="1:38">
      <c r="A20" s="223"/>
      <c r="B20" s="1748" t="s">
        <v>1175</v>
      </c>
      <c r="C20" s="223"/>
      <c r="D20" s="306"/>
      <c r="E20" s="2942">
        <v>0</v>
      </c>
      <c r="F20" s="1751"/>
      <c r="G20" s="2942">
        <v>0</v>
      </c>
      <c r="H20" s="1751"/>
      <c r="I20" s="2942">
        <v>0</v>
      </c>
      <c r="J20" s="1751"/>
      <c r="K20" s="2942">
        <v>0</v>
      </c>
      <c r="L20" s="2925"/>
      <c r="M20" s="2942">
        <v>0</v>
      </c>
      <c r="N20" s="2925"/>
      <c r="O20" s="2925">
        <v>0</v>
      </c>
      <c r="P20" s="2925"/>
      <c r="Q20" s="1318">
        <v>0</v>
      </c>
      <c r="R20" s="2925"/>
      <c r="S20" s="1318">
        <v>0</v>
      </c>
      <c r="T20" s="1318"/>
      <c r="U20" s="1318">
        <v>0</v>
      </c>
      <c r="V20" s="2925"/>
      <c r="W20" s="1318">
        <v>0</v>
      </c>
      <c r="X20" s="2925"/>
      <c r="Y20" s="1318"/>
      <c r="Z20" s="2925"/>
      <c r="AA20" s="1318"/>
      <c r="AB20" s="1751"/>
      <c r="AC20" s="2645"/>
      <c r="AD20" s="1314">
        <f>ROUND(SUM(E20:AA20),1)</f>
        <v>0</v>
      </c>
      <c r="AE20" s="3286"/>
      <c r="AF20" s="1959"/>
      <c r="AG20" s="1751">
        <v>0</v>
      </c>
      <c r="AH20" s="1314"/>
      <c r="AI20" s="3287"/>
      <c r="AJ20" s="1314">
        <f t="shared" ref="AJ20:AJ42" si="0">ROUND(AD20-AG20,1)</f>
        <v>0</v>
      </c>
      <c r="AK20" s="1813"/>
      <c r="AL20" s="2679">
        <f>ROUND(IF(AG20=0,0,AJ20/ABS(AG20)),3)</f>
        <v>0</v>
      </c>
    </row>
    <row r="21" spans="1:38" ht="15.75">
      <c r="A21" s="223"/>
      <c r="B21" s="1748" t="s">
        <v>1270</v>
      </c>
      <c r="C21" s="223"/>
      <c r="D21" s="306"/>
      <c r="E21" s="2049"/>
      <c r="F21" s="317"/>
      <c r="G21" s="2049"/>
      <c r="H21" s="317"/>
      <c r="I21" s="2049"/>
      <c r="J21" s="317"/>
      <c r="K21" s="2049"/>
      <c r="L21" s="260"/>
      <c r="M21" s="2049"/>
      <c r="N21" s="260"/>
      <c r="O21" s="515"/>
      <c r="P21" s="260"/>
      <c r="Q21" s="515"/>
      <c r="R21" s="260"/>
      <c r="S21" s="515"/>
      <c r="T21" s="260"/>
      <c r="U21" s="515"/>
      <c r="V21" s="260"/>
      <c r="W21" s="515"/>
      <c r="X21" s="260"/>
      <c r="Y21" s="515"/>
      <c r="Z21" s="260"/>
      <c r="AA21" s="2049"/>
      <c r="AB21" s="317"/>
      <c r="AC21" s="1257"/>
      <c r="AD21" s="2050"/>
      <c r="AE21" s="2055"/>
      <c r="AF21" s="261"/>
      <c r="AG21" s="317"/>
      <c r="AH21" s="318"/>
      <c r="AI21" s="2052"/>
      <c r="AJ21" s="1314" t="s">
        <v>15</v>
      </c>
      <c r="AK21" s="654"/>
      <c r="AL21" s="1780" t="s">
        <v>15</v>
      </c>
    </row>
    <row r="22" spans="1:38" ht="15.75">
      <c r="A22" s="223"/>
      <c r="B22" s="1748" t="s">
        <v>1176</v>
      </c>
      <c r="C22" s="223"/>
      <c r="D22" s="306"/>
      <c r="E22" s="2049">
        <v>0</v>
      </c>
      <c r="F22" s="317"/>
      <c r="G22" s="2049">
        <v>0</v>
      </c>
      <c r="H22" s="317"/>
      <c r="I22" s="2049">
        <v>0</v>
      </c>
      <c r="J22" s="317"/>
      <c r="K22" s="2049">
        <v>0</v>
      </c>
      <c r="L22" s="260"/>
      <c r="M22" s="2049">
        <v>0</v>
      </c>
      <c r="N22" s="260"/>
      <c r="O22" s="2049">
        <v>0</v>
      </c>
      <c r="P22" s="260"/>
      <c r="Q22" s="515">
        <v>0</v>
      </c>
      <c r="R22" s="260"/>
      <c r="S22" s="515">
        <v>0</v>
      </c>
      <c r="T22" s="260"/>
      <c r="U22" s="515">
        <v>0</v>
      </c>
      <c r="V22" s="260"/>
      <c r="W22" s="515">
        <v>0</v>
      </c>
      <c r="X22" s="260"/>
      <c r="Y22" s="515"/>
      <c r="Z22" s="260"/>
      <c r="AA22" s="2049"/>
      <c r="AB22" s="317"/>
      <c r="AC22" s="1257"/>
      <c r="AD22" s="318">
        <f>ROUND(SUM(E22:AA22),1)</f>
        <v>0</v>
      </c>
      <c r="AE22" s="2055"/>
      <c r="AF22" s="261"/>
      <c r="AG22" s="317">
        <v>0</v>
      </c>
      <c r="AH22" s="318"/>
      <c r="AI22" s="2052"/>
      <c r="AJ22" s="318">
        <f t="shared" si="0"/>
        <v>0</v>
      </c>
      <c r="AK22" s="654"/>
      <c r="AL22" s="45">
        <f>ROUND(IF(AG22=0,0,AJ22/ABS(AG22)),3)</f>
        <v>0</v>
      </c>
    </row>
    <row r="23" spans="1:38" ht="15.75">
      <c r="A23" s="223"/>
      <c r="B23" s="1748" t="s">
        <v>1274</v>
      </c>
      <c r="C23" s="223"/>
      <c r="D23" s="306"/>
      <c r="E23" s="2049"/>
      <c r="F23" s="317"/>
      <c r="G23" s="2049"/>
      <c r="H23" s="317"/>
      <c r="I23" s="2049"/>
      <c r="J23" s="317"/>
      <c r="K23" s="2049"/>
      <c r="L23" s="260"/>
      <c r="M23" s="2049"/>
      <c r="N23" s="260"/>
      <c r="O23" s="2049"/>
      <c r="P23" s="260"/>
      <c r="Q23" s="515"/>
      <c r="R23" s="260"/>
      <c r="S23" s="515"/>
      <c r="T23" s="260"/>
      <c r="U23" s="1318" t="s">
        <v>15</v>
      </c>
      <c r="V23" s="260"/>
      <c r="W23" s="515"/>
      <c r="X23" s="260"/>
      <c r="Y23" s="515"/>
      <c r="Z23" s="260"/>
      <c r="AA23" s="2049"/>
      <c r="AB23" s="317"/>
      <c r="AC23" s="1257"/>
      <c r="AD23" s="318"/>
      <c r="AE23" s="2055"/>
      <c r="AF23" s="261"/>
      <c r="AG23" s="317"/>
      <c r="AH23" s="318"/>
      <c r="AI23" s="2052"/>
      <c r="AJ23" s="1314" t="s">
        <v>15</v>
      </c>
      <c r="AK23" s="654"/>
      <c r="AL23" s="1780" t="s">
        <v>15</v>
      </c>
    </row>
    <row r="24" spans="1:38" ht="15.75">
      <c r="A24" s="223"/>
      <c r="B24" s="1748" t="s">
        <v>1180</v>
      </c>
      <c r="C24" s="223"/>
      <c r="D24" s="306"/>
      <c r="E24" s="2049">
        <v>0</v>
      </c>
      <c r="F24" s="317"/>
      <c r="G24" s="2049">
        <v>0</v>
      </c>
      <c r="H24" s="317"/>
      <c r="I24" s="2049">
        <v>0</v>
      </c>
      <c r="J24" s="317"/>
      <c r="K24" s="2049">
        <v>0</v>
      </c>
      <c r="L24" s="260"/>
      <c r="M24" s="2049">
        <v>0</v>
      </c>
      <c r="N24" s="260"/>
      <c r="O24" s="2049">
        <v>0</v>
      </c>
      <c r="P24" s="260"/>
      <c r="Q24" s="515">
        <v>0</v>
      </c>
      <c r="R24" s="260"/>
      <c r="S24" s="515">
        <v>0</v>
      </c>
      <c r="T24" s="260"/>
      <c r="U24" s="515">
        <v>0</v>
      </c>
      <c r="V24" s="260"/>
      <c r="W24" s="515">
        <v>0</v>
      </c>
      <c r="X24" s="260"/>
      <c r="Y24" s="515"/>
      <c r="Z24" s="260"/>
      <c r="AA24" s="2049"/>
      <c r="AB24" s="317"/>
      <c r="AC24" s="1257"/>
      <c r="AD24" s="318">
        <f t="shared" ref="AD24:AD29" si="1">ROUND(SUM(E24:AA24),1)</f>
        <v>0</v>
      </c>
      <c r="AE24" s="2055"/>
      <c r="AF24" s="261"/>
      <c r="AG24" s="317">
        <v>0</v>
      </c>
      <c r="AH24" s="318"/>
      <c r="AI24" s="2052"/>
      <c r="AJ24" s="318">
        <f t="shared" si="0"/>
        <v>0</v>
      </c>
      <c r="AK24" s="654"/>
      <c r="AL24" s="45">
        <f t="shared" ref="AL24:AL29" si="2">ROUND(IF(AG24=0,0,AJ24/ABS(AG24)),3)</f>
        <v>0</v>
      </c>
    </row>
    <row r="25" spans="1:38" ht="15.75">
      <c r="A25" s="223"/>
      <c r="B25" s="1748" t="s">
        <v>1344</v>
      </c>
      <c r="C25" s="223"/>
      <c r="D25" s="306"/>
      <c r="E25" s="2049">
        <v>0</v>
      </c>
      <c r="F25" s="317"/>
      <c r="G25" s="2049">
        <v>0</v>
      </c>
      <c r="H25" s="317"/>
      <c r="I25" s="2049">
        <v>0</v>
      </c>
      <c r="J25" s="317"/>
      <c r="K25" s="2049">
        <v>0</v>
      </c>
      <c r="L25" s="260"/>
      <c r="M25" s="2049">
        <v>0</v>
      </c>
      <c r="N25" s="260"/>
      <c r="O25" s="2049">
        <v>0</v>
      </c>
      <c r="P25" s="260"/>
      <c r="Q25" s="515">
        <v>0</v>
      </c>
      <c r="R25" s="260"/>
      <c r="S25" s="515">
        <v>0</v>
      </c>
      <c r="T25" s="260"/>
      <c r="U25" s="515">
        <v>0</v>
      </c>
      <c r="V25" s="260"/>
      <c r="W25" s="515">
        <v>0</v>
      </c>
      <c r="X25" s="260"/>
      <c r="Y25" s="515"/>
      <c r="Z25" s="260"/>
      <c r="AA25" s="2049"/>
      <c r="AB25" s="317"/>
      <c r="AC25" s="1257"/>
      <c r="AD25" s="318">
        <f t="shared" si="1"/>
        <v>0</v>
      </c>
      <c r="AE25" s="2736"/>
      <c r="AF25" s="261"/>
      <c r="AG25" s="317">
        <v>0</v>
      </c>
      <c r="AH25" s="318"/>
      <c r="AI25" s="2052"/>
      <c r="AJ25" s="318">
        <f>ROUND(AD25-AG25,1)</f>
        <v>0</v>
      </c>
      <c r="AK25" s="654"/>
      <c r="AL25" s="45">
        <f t="shared" si="2"/>
        <v>0</v>
      </c>
    </row>
    <row r="26" spans="1:38" ht="15.75">
      <c r="A26" s="223"/>
      <c r="B26" s="1748" t="s">
        <v>1183</v>
      </c>
      <c r="C26" s="223"/>
      <c r="D26" s="306"/>
      <c r="E26" s="2049">
        <v>0</v>
      </c>
      <c r="F26" s="317"/>
      <c r="G26" s="2049">
        <v>0</v>
      </c>
      <c r="H26" s="317"/>
      <c r="I26" s="2049">
        <v>0</v>
      </c>
      <c r="J26" s="317"/>
      <c r="K26" s="2049">
        <v>0</v>
      </c>
      <c r="L26" s="260"/>
      <c r="M26" s="2049">
        <v>0</v>
      </c>
      <c r="N26" s="260"/>
      <c r="O26" s="2049">
        <v>0</v>
      </c>
      <c r="P26" s="260"/>
      <c r="Q26" s="515">
        <v>0</v>
      </c>
      <c r="R26" s="260"/>
      <c r="S26" s="515">
        <v>0</v>
      </c>
      <c r="T26" s="260"/>
      <c r="U26" s="515">
        <v>0</v>
      </c>
      <c r="V26" s="260"/>
      <c r="W26" s="515">
        <v>0</v>
      </c>
      <c r="X26" s="260"/>
      <c r="Y26" s="515"/>
      <c r="Z26" s="260"/>
      <c r="AA26" s="2049"/>
      <c r="AB26" s="317"/>
      <c r="AC26" s="1257"/>
      <c r="AD26" s="318">
        <f t="shared" si="1"/>
        <v>0</v>
      </c>
      <c r="AE26" s="2055"/>
      <c r="AF26" s="261"/>
      <c r="AG26" s="317">
        <v>0</v>
      </c>
      <c r="AH26" s="318"/>
      <c r="AI26" s="2052"/>
      <c r="AJ26" s="318">
        <f t="shared" si="0"/>
        <v>0</v>
      </c>
      <c r="AK26" s="654"/>
      <c r="AL26" s="45">
        <f t="shared" si="2"/>
        <v>0</v>
      </c>
    </row>
    <row r="27" spans="1:38" ht="15.75">
      <c r="A27" s="223"/>
      <c r="B27" s="1748" t="s">
        <v>1184</v>
      </c>
      <c r="C27" s="223"/>
      <c r="D27" s="306"/>
      <c r="E27" s="2049">
        <v>0</v>
      </c>
      <c r="F27" s="317"/>
      <c r="G27" s="2049">
        <v>0</v>
      </c>
      <c r="H27" s="317"/>
      <c r="I27" s="2049">
        <v>0</v>
      </c>
      <c r="J27" s="317"/>
      <c r="K27" s="2049">
        <v>0</v>
      </c>
      <c r="L27" s="260"/>
      <c r="M27" s="2049">
        <v>0</v>
      </c>
      <c r="N27" s="260"/>
      <c r="O27" s="2049">
        <v>0</v>
      </c>
      <c r="P27" s="260"/>
      <c r="Q27" s="515">
        <v>0</v>
      </c>
      <c r="R27" s="260"/>
      <c r="S27" s="515">
        <v>0</v>
      </c>
      <c r="T27" s="260"/>
      <c r="U27" s="515">
        <v>0</v>
      </c>
      <c r="V27" s="260"/>
      <c r="W27" s="515">
        <v>0</v>
      </c>
      <c r="X27" s="260"/>
      <c r="Y27" s="515"/>
      <c r="Z27" s="260"/>
      <c r="AA27" s="2049"/>
      <c r="AB27" s="317"/>
      <c r="AC27" s="1257"/>
      <c r="AD27" s="318">
        <f t="shared" si="1"/>
        <v>0</v>
      </c>
      <c r="AE27" s="2055"/>
      <c r="AF27" s="261"/>
      <c r="AG27" s="317">
        <v>0</v>
      </c>
      <c r="AH27" s="318"/>
      <c r="AI27" s="2052"/>
      <c r="AJ27" s="318">
        <f t="shared" si="0"/>
        <v>0</v>
      </c>
      <c r="AK27" s="654"/>
      <c r="AL27" s="45">
        <f t="shared" si="2"/>
        <v>0</v>
      </c>
    </row>
    <row r="28" spans="1:38" ht="15.75">
      <c r="A28" s="223"/>
      <c r="B28" s="1748" t="s">
        <v>1158</v>
      </c>
      <c r="C28" s="223"/>
      <c r="D28" s="306"/>
      <c r="E28" s="2049">
        <v>0</v>
      </c>
      <c r="F28" s="317"/>
      <c r="G28" s="2049">
        <v>0</v>
      </c>
      <c r="H28" s="317"/>
      <c r="I28" s="2049">
        <v>0</v>
      </c>
      <c r="J28" s="317"/>
      <c r="K28" s="2049">
        <v>0</v>
      </c>
      <c r="L28" s="260"/>
      <c r="M28" s="2049">
        <v>0</v>
      </c>
      <c r="N28" s="260"/>
      <c r="O28" s="2049">
        <v>0</v>
      </c>
      <c r="P28" s="260"/>
      <c r="Q28" s="515">
        <v>0</v>
      </c>
      <c r="R28" s="260"/>
      <c r="S28" s="515">
        <v>0</v>
      </c>
      <c r="T28" s="260"/>
      <c r="U28" s="515">
        <v>0</v>
      </c>
      <c r="V28" s="260"/>
      <c r="W28" s="515">
        <v>0</v>
      </c>
      <c r="X28" s="260"/>
      <c r="Y28" s="515"/>
      <c r="Z28" s="260"/>
      <c r="AA28" s="2049"/>
      <c r="AB28" s="317"/>
      <c r="AC28" s="1257"/>
      <c r="AD28" s="318">
        <f t="shared" si="1"/>
        <v>0</v>
      </c>
      <c r="AE28" s="2055"/>
      <c r="AF28" s="261"/>
      <c r="AG28" s="317">
        <v>0</v>
      </c>
      <c r="AH28" s="318"/>
      <c r="AI28" s="2052"/>
      <c r="AJ28" s="318">
        <f t="shared" si="0"/>
        <v>0</v>
      </c>
      <c r="AK28" s="654"/>
      <c r="AL28" s="45">
        <f t="shared" si="2"/>
        <v>0</v>
      </c>
    </row>
    <row r="29" spans="1:38" ht="15.75">
      <c r="A29" s="223"/>
      <c r="B29" s="1748" t="s">
        <v>1159</v>
      </c>
      <c r="C29" s="223"/>
      <c r="D29" s="306"/>
      <c r="E29" s="2049">
        <v>0</v>
      </c>
      <c r="F29" s="317"/>
      <c r="G29" s="2049">
        <v>0</v>
      </c>
      <c r="H29" s="317"/>
      <c r="I29" s="2049">
        <v>0</v>
      </c>
      <c r="J29" s="317"/>
      <c r="K29" s="2049">
        <v>0</v>
      </c>
      <c r="L29" s="260"/>
      <c r="M29" s="2049">
        <v>0</v>
      </c>
      <c r="N29" s="260"/>
      <c r="O29" s="2049">
        <v>0</v>
      </c>
      <c r="P29" s="260"/>
      <c r="Q29" s="515">
        <v>0</v>
      </c>
      <c r="R29" s="260"/>
      <c r="S29" s="515">
        <v>0</v>
      </c>
      <c r="T29" s="260"/>
      <c r="U29" s="515">
        <v>0</v>
      </c>
      <c r="V29" s="260"/>
      <c r="W29" s="515">
        <v>0</v>
      </c>
      <c r="X29" s="260"/>
      <c r="Y29" s="515"/>
      <c r="Z29" s="260"/>
      <c r="AA29" s="2049"/>
      <c r="AB29" s="317"/>
      <c r="AC29" s="1257"/>
      <c r="AD29" s="318">
        <f t="shared" si="1"/>
        <v>0</v>
      </c>
      <c r="AE29" s="2055"/>
      <c r="AF29" s="261"/>
      <c r="AG29" s="317">
        <v>0</v>
      </c>
      <c r="AH29" s="318"/>
      <c r="AI29" s="2052"/>
      <c r="AJ29" s="318">
        <f t="shared" si="0"/>
        <v>0</v>
      </c>
      <c r="AK29" s="654"/>
      <c r="AL29" s="45">
        <f t="shared" si="2"/>
        <v>0</v>
      </c>
    </row>
    <row r="30" spans="1:38" ht="15.75">
      <c r="A30" s="223"/>
      <c r="B30" s="1748" t="s">
        <v>1272</v>
      </c>
      <c r="C30" s="223"/>
      <c r="D30" s="306"/>
      <c r="E30" s="2049"/>
      <c r="F30" s="317"/>
      <c r="G30" s="2049"/>
      <c r="H30" s="317"/>
      <c r="I30" s="2049"/>
      <c r="J30" s="317"/>
      <c r="K30" s="2049"/>
      <c r="L30" s="260"/>
      <c r="M30" s="2049"/>
      <c r="N30" s="260"/>
      <c r="O30" s="2049"/>
      <c r="P30" s="260"/>
      <c r="Q30" s="515"/>
      <c r="R30" s="260"/>
      <c r="S30" s="515"/>
      <c r="T30" s="260"/>
      <c r="U30" s="1318" t="s">
        <v>15</v>
      </c>
      <c r="V30" s="260"/>
      <c r="W30" s="515"/>
      <c r="X30" s="260"/>
      <c r="Y30" s="515"/>
      <c r="Z30" s="260"/>
      <c r="AA30" s="2049"/>
      <c r="AB30" s="317"/>
      <c r="AC30" s="1257"/>
      <c r="AD30" s="318"/>
      <c r="AE30" s="2055"/>
      <c r="AF30" s="261"/>
      <c r="AG30" s="317"/>
      <c r="AH30" s="318"/>
      <c r="AI30" s="2052"/>
      <c r="AJ30" s="1314" t="s">
        <v>15</v>
      </c>
      <c r="AK30" s="654"/>
      <c r="AL30" s="1780" t="s">
        <v>15</v>
      </c>
    </row>
    <row r="31" spans="1:38" ht="15.75">
      <c r="A31" s="223"/>
      <c r="B31" s="1748" t="s">
        <v>1188</v>
      </c>
      <c r="C31" s="223"/>
      <c r="D31" s="306"/>
      <c r="E31" s="2049">
        <v>0</v>
      </c>
      <c r="F31" s="317"/>
      <c r="G31" s="2049">
        <v>0</v>
      </c>
      <c r="H31" s="317"/>
      <c r="I31" s="2049">
        <v>0</v>
      </c>
      <c r="J31" s="317"/>
      <c r="K31" s="2049">
        <v>0</v>
      </c>
      <c r="L31" s="260"/>
      <c r="M31" s="2049">
        <v>0</v>
      </c>
      <c r="N31" s="260"/>
      <c r="O31" s="2049">
        <v>0</v>
      </c>
      <c r="P31" s="260"/>
      <c r="Q31" s="515">
        <v>0</v>
      </c>
      <c r="R31" s="260"/>
      <c r="S31" s="515">
        <v>0</v>
      </c>
      <c r="T31" s="260"/>
      <c r="U31" s="515">
        <v>0</v>
      </c>
      <c r="V31" s="260"/>
      <c r="W31" s="515">
        <v>0</v>
      </c>
      <c r="X31" s="260"/>
      <c r="Y31" s="515"/>
      <c r="Z31" s="260"/>
      <c r="AA31" s="2049"/>
      <c r="AB31" s="317"/>
      <c r="AC31" s="1257"/>
      <c r="AD31" s="318">
        <f>ROUND(SUM(E31:AA31),1)</f>
        <v>0</v>
      </c>
      <c r="AE31" s="2055"/>
      <c r="AF31" s="261"/>
      <c r="AG31" s="317">
        <v>0</v>
      </c>
      <c r="AH31" s="318"/>
      <c r="AI31" s="2052"/>
      <c r="AJ31" s="318">
        <f t="shared" si="0"/>
        <v>0</v>
      </c>
      <c r="AK31" s="654"/>
      <c r="AL31" s="45">
        <f>ROUND(IF(AG31=0,0,AJ31/ABS(AG31)),3)</f>
        <v>0</v>
      </c>
    </row>
    <row r="32" spans="1:38" ht="15.75">
      <c r="A32" s="223"/>
      <c r="B32" s="1748" t="s">
        <v>1190</v>
      </c>
      <c r="C32" s="223"/>
      <c r="D32" s="306"/>
      <c r="E32" s="2049">
        <v>0</v>
      </c>
      <c r="F32" s="2049">
        <v>0</v>
      </c>
      <c r="G32" s="2049">
        <v>0</v>
      </c>
      <c r="H32" s="2049"/>
      <c r="I32" s="2049">
        <v>0</v>
      </c>
      <c r="J32" s="2049"/>
      <c r="K32" s="2049">
        <v>0</v>
      </c>
      <c r="L32" s="2049"/>
      <c r="M32" s="2049">
        <v>0</v>
      </c>
      <c r="N32" s="2049"/>
      <c r="O32" s="2049">
        <v>0</v>
      </c>
      <c r="P32" s="2049"/>
      <c r="Q32" s="2049">
        <v>0</v>
      </c>
      <c r="R32" s="2049"/>
      <c r="S32" s="2049">
        <v>0</v>
      </c>
      <c r="T32" s="260"/>
      <c r="U32" s="2049">
        <v>0</v>
      </c>
      <c r="V32" s="260"/>
      <c r="W32" s="515">
        <v>0</v>
      </c>
      <c r="X32" s="260"/>
      <c r="Y32" s="2049"/>
      <c r="Z32" s="260"/>
      <c r="AA32" s="2049"/>
      <c r="AB32" s="317"/>
      <c r="AC32" s="1257"/>
      <c r="AD32" s="318">
        <f>ROUND(SUM(E32:AA32),1)</f>
        <v>0</v>
      </c>
      <c r="AE32" s="2736"/>
      <c r="AF32" s="261"/>
      <c r="AG32" s="317">
        <v>0</v>
      </c>
      <c r="AH32" s="318"/>
      <c r="AI32" s="2052"/>
      <c r="AJ32" s="318">
        <f t="shared" si="0"/>
        <v>0</v>
      </c>
      <c r="AK32" s="654"/>
      <c r="AL32" s="45">
        <f>ROUND(IF(AG32=0,0,AJ32/ABS(AG32)),3)</f>
        <v>0</v>
      </c>
    </row>
    <row r="33" spans="1:39" ht="15.75">
      <c r="A33" s="223"/>
      <c r="B33" s="1748" t="s">
        <v>1191</v>
      </c>
      <c r="C33" s="223"/>
      <c r="D33" s="306"/>
      <c r="E33" s="2049">
        <v>0</v>
      </c>
      <c r="F33" s="317"/>
      <c r="G33" s="2049">
        <v>0</v>
      </c>
      <c r="H33" s="317"/>
      <c r="I33" s="2049">
        <v>0</v>
      </c>
      <c r="J33" s="317"/>
      <c r="K33" s="2049">
        <v>0</v>
      </c>
      <c r="L33" s="260"/>
      <c r="M33" s="2049">
        <v>0</v>
      </c>
      <c r="N33" s="260"/>
      <c r="O33" s="2049">
        <v>0</v>
      </c>
      <c r="P33" s="260"/>
      <c r="Q33" s="515">
        <v>0</v>
      </c>
      <c r="R33" s="260"/>
      <c r="S33" s="515">
        <v>0</v>
      </c>
      <c r="T33" s="260"/>
      <c r="U33" s="515">
        <v>0</v>
      </c>
      <c r="V33" s="260"/>
      <c r="W33" s="515">
        <v>0</v>
      </c>
      <c r="X33" s="260"/>
      <c r="Y33" s="515"/>
      <c r="Z33" s="260"/>
      <c r="AA33" s="2049"/>
      <c r="AB33" s="317"/>
      <c r="AC33" s="1257"/>
      <c r="AD33" s="318">
        <f>ROUND(SUM(E33:AA33),1)</f>
        <v>0</v>
      </c>
      <c r="AE33" s="2055"/>
      <c r="AF33" s="261"/>
      <c r="AG33" s="317">
        <v>0</v>
      </c>
      <c r="AH33" s="318"/>
      <c r="AI33" s="2052"/>
      <c r="AJ33" s="318">
        <f t="shared" si="0"/>
        <v>0</v>
      </c>
      <c r="AK33" s="654"/>
      <c r="AL33" s="45">
        <f>ROUND(IF(AG33=0,0,AJ33/ABS(AG33)),3)</f>
        <v>0</v>
      </c>
    </row>
    <row r="34" spans="1:39" ht="15.75">
      <c r="A34" s="223"/>
      <c r="B34" s="1748" t="s">
        <v>1170</v>
      </c>
      <c r="C34" s="223"/>
      <c r="D34" s="306"/>
      <c r="E34" s="2049">
        <v>0</v>
      </c>
      <c r="F34" s="317"/>
      <c r="G34" s="2049">
        <v>0</v>
      </c>
      <c r="H34" s="317"/>
      <c r="I34" s="2049">
        <v>0</v>
      </c>
      <c r="J34" s="317"/>
      <c r="K34" s="2049">
        <v>0</v>
      </c>
      <c r="L34" s="260"/>
      <c r="M34" s="2049">
        <v>0</v>
      </c>
      <c r="N34" s="260"/>
      <c r="O34" s="2049">
        <v>0</v>
      </c>
      <c r="P34" s="260"/>
      <c r="Q34" s="515">
        <v>0</v>
      </c>
      <c r="R34" s="260"/>
      <c r="S34" s="515">
        <v>0</v>
      </c>
      <c r="T34" s="260"/>
      <c r="U34" s="515">
        <v>0</v>
      </c>
      <c r="V34" s="260"/>
      <c r="W34" s="515">
        <v>0</v>
      </c>
      <c r="X34" s="260"/>
      <c r="Y34" s="515"/>
      <c r="Z34" s="260"/>
      <c r="AA34" s="2049"/>
      <c r="AB34" s="317"/>
      <c r="AC34" s="1257"/>
      <c r="AD34" s="318">
        <f>ROUND(SUM(E34:AA34),1)</f>
        <v>0</v>
      </c>
      <c r="AE34" s="2055"/>
      <c r="AF34" s="261"/>
      <c r="AG34" s="317">
        <v>0</v>
      </c>
      <c r="AH34" s="318"/>
      <c r="AI34" s="2052"/>
      <c r="AJ34" s="318">
        <f t="shared" si="0"/>
        <v>0</v>
      </c>
      <c r="AK34" s="654"/>
      <c r="AL34" s="45">
        <f>ROUND(IF(AG34=0,0,AJ34/ABS(AG34)),3)</f>
        <v>0</v>
      </c>
    </row>
    <row r="35" spans="1:39" ht="15.75">
      <c r="A35" s="223"/>
      <c r="B35" s="1748" t="s">
        <v>1171</v>
      </c>
      <c r="C35" s="223"/>
      <c r="D35" s="306"/>
      <c r="E35" s="2049">
        <v>0.1</v>
      </c>
      <c r="F35" s="317"/>
      <c r="G35" s="2049">
        <v>0</v>
      </c>
      <c r="H35" s="317"/>
      <c r="I35" s="2049">
        <v>0</v>
      </c>
      <c r="J35" s="317"/>
      <c r="K35" s="2049">
        <v>0.1</v>
      </c>
      <c r="L35" s="260"/>
      <c r="M35" s="2049">
        <v>0.1</v>
      </c>
      <c r="N35" s="260"/>
      <c r="O35" s="515">
        <v>0</v>
      </c>
      <c r="P35" s="260"/>
      <c r="Q35" s="515">
        <v>0.1</v>
      </c>
      <c r="R35" s="260"/>
      <c r="S35" s="515">
        <v>0</v>
      </c>
      <c r="T35" s="260"/>
      <c r="U35" s="515">
        <v>0</v>
      </c>
      <c r="V35" s="260"/>
      <c r="W35" s="515">
        <v>0</v>
      </c>
      <c r="X35" s="260"/>
      <c r="Y35" s="515"/>
      <c r="Z35" s="260"/>
      <c r="AA35" s="2049"/>
      <c r="AB35" s="317"/>
      <c r="AC35" s="1257"/>
      <c r="AD35" s="318">
        <f>ROUND(SUM(E35:AA35),1)</f>
        <v>0.4</v>
      </c>
      <c r="AE35" s="2055"/>
      <c r="AF35" s="261"/>
      <c r="AG35" s="317">
        <v>0.5</v>
      </c>
      <c r="AH35" s="318"/>
      <c r="AI35" s="2052"/>
      <c r="AJ35" s="318">
        <f t="shared" si="0"/>
        <v>-0.1</v>
      </c>
      <c r="AK35" s="654"/>
      <c r="AL35" s="45">
        <f>ROUND(IF(AG35=0,0,AJ35/ABS(AG35)),3)</f>
        <v>-0.2</v>
      </c>
    </row>
    <row r="36" spans="1:39" ht="15.75">
      <c r="A36" s="223"/>
      <c r="B36" s="1748" t="s">
        <v>1273</v>
      </c>
      <c r="C36" s="223"/>
      <c r="D36" s="306"/>
      <c r="E36" s="2049"/>
      <c r="F36" s="317"/>
      <c r="G36" s="2049"/>
      <c r="H36" s="317"/>
      <c r="I36" s="2049"/>
      <c r="J36" s="317"/>
      <c r="K36" s="2049"/>
      <c r="L36" s="260"/>
      <c r="M36" s="2049"/>
      <c r="N36" s="260"/>
      <c r="O36" s="515"/>
      <c r="P36" s="260"/>
      <c r="Q36" s="515"/>
      <c r="R36" s="260"/>
      <c r="S36" s="515"/>
      <c r="T36" s="260"/>
      <c r="U36" s="515"/>
      <c r="V36" s="260"/>
      <c r="W36" s="515"/>
      <c r="X36" s="260"/>
      <c r="Y36" s="515"/>
      <c r="Z36" s="260"/>
      <c r="AA36" s="2049"/>
      <c r="AB36" s="317"/>
      <c r="AC36" s="1257"/>
      <c r="AD36" s="318"/>
      <c r="AE36" s="2055"/>
      <c r="AF36" s="261"/>
      <c r="AG36" s="317"/>
      <c r="AH36" s="318"/>
      <c r="AI36" s="2052"/>
      <c r="AJ36" s="1314" t="s">
        <v>15</v>
      </c>
      <c r="AK36" s="654"/>
      <c r="AL36" s="1780" t="s">
        <v>15</v>
      </c>
    </row>
    <row r="37" spans="1:39" ht="15.75">
      <c r="A37" s="223"/>
      <c r="B37" s="1748" t="s">
        <v>1192</v>
      </c>
      <c r="C37" s="223"/>
      <c r="D37" s="306"/>
      <c r="E37" s="2049">
        <v>0</v>
      </c>
      <c r="F37" s="317"/>
      <c r="G37" s="2049">
        <v>0</v>
      </c>
      <c r="H37" s="317"/>
      <c r="I37" s="2049">
        <v>0</v>
      </c>
      <c r="J37" s="317"/>
      <c r="K37" s="2049">
        <v>0</v>
      </c>
      <c r="L37" s="260"/>
      <c r="M37" s="2049">
        <v>0</v>
      </c>
      <c r="N37" s="260"/>
      <c r="O37" s="515">
        <v>0</v>
      </c>
      <c r="P37" s="260"/>
      <c r="Q37" s="515">
        <v>0</v>
      </c>
      <c r="R37" s="260"/>
      <c r="S37" s="515">
        <v>0</v>
      </c>
      <c r="T37" s="260"/>
      <c r="U37" s="515">
        <v>0</v>
      </c>
      <c r="V37" s="260"/>
      <c r="W37" s="515">
        <v>0</v>
      </c>
      <c r="X37" s="260"/>
      <c r="Y37" s="515"/>
      <c r="Z37" s="260"/>
      <c r="AA37" s="2049"/>
      <c r="AB37" s="317"/>
      <c r="AC37" s="1257"/>
      <c r="AD37" s="318">
        <f t="shared" ref="AD37:AD42" si="3">ROUND(SUM(E37:AA37),1)</f>
        <v>0</v>
      </c>
      <c r="AE37" s="2055"/>
      <c r="AF37" s="261"/>
      <c r="AG37" s="317">
        <v>0</v>
      </c>
      <c r="AH37" s="318"/>
      <c r="AI37" s="2052"/>
      <c r="AJ37" s="318">
        <f t="shared" si="0"/>
        <v>0</v>
      </c>
      <c r="AK37" s="654"/>
      <c r="AL37" s="45">
        <f>ROUND(IF(AG37=0,0,AJ37/ABS(AG37)),3)</f>
        <v>0</v>
      </c>
    </row>
    <row r="38" spans="1:39" ht="15.75">
      <c r="A38" s="223"/>
      <c r="B38" s="1748" t="s">
        <v>1194</v>
      </c>
      <c r="C38" s="223"/>
      <c r="D38" s="306"/>
      <c r="E38" s="2049">
        <v>0</v>
      </c>
      <c r="F38" s="317"/>
      <c r="G38" s="2049">
        <v>0</v>
      </c>
      <c r="H38" s="317"/>
      <c r="I38" s="2049">
        <v>0</v>
      </c>
      <c r="J38" s="317"/>
      <c r="K38" s="2049">
        <v>0</v>
      </c>
      <c r="L38" s="260"/>
      <c r="M38" s="2049">
        <v>0</v>
      </c>
      <c r="N38" s="260"/>
      <c r="O38" s="515">
        <v>0</v>
      </c>
      <c r="P38" s="260"/>
      <c r="Q38" s="515">
        <v>0</v>
      </c>
      <c r="R38" s="260"/>
      <c r="S38" s="515">
        <v>0</v>
      </c>
      <c r="T38" s="260"/>
      <c r="U38" s="515">
        <v>0</v>
      </c>
      <c r="V38" s="260"/>
      <c r="W38" s="515">
        <v>0</v>
      </c>
      <c r="X38" s="260"/>
      <c r="Y38" s="515"/>
      <c r="Z38" s="260"/>
      <c r="AA38" s="2049"/>
      <c r="AB38" s="317"/>
      <c r="AC38" s="1257"/>
      <c r="AD38" s="318">
        <f t="shared" si="3"/>
        <v>0</v>
      </c>
      <c r="AE38" s="2055"/>
      <c r="AF38" s="261"/>
      <c r="AG38" s="317">
        <v>0</v>
      </c>
      <c r="AH38" s="318"/>
      <c r="AI38" s="2052"/>
      <c r="AJ38" s="318">
        <f t="shared" si="0"/>
        <v>0</v>
      </c>
      <c r="AK38" s="654"/>
      <c r="AL38" s="45">
        <f>ROUND(IF(AG38=0,0,AJ38/ABS(AG38)),3)</f>
        <v>0</v>
      </c>
    </row>
    <row r="39" spans="1:39" ht="15.75">
      <c r="A39" s="223"/>
      <c r="B39" s="1748" t="s">
        <v>1195</v>
      </c>
      <c r="C39" s="223"/>
      <c r="D39" s="306"/>
      <c r="E39" s="2049">
        <v>0</v>
      </c>
      <c r="F39" s="317"/>
      <c r="G39" s="2049">
        <v>0</v>
      </c>
      <c r="H39" s="317"/>
      <c r="I39" s="2049">
        <v>0</v>
      </c>
      <c r="J39" s="317"/>
      <c r="K39" s="2049">
        <v>0</v>
      </c>
      <c r="L39" s="260"/>
      <c r="M39" s="2049">
        <v>0</v>
      </c>
      <c r="N39" s="260"/>
      <c r="O39" s="515">
        <v>0</v>
      </c>
      <c r="P39" s="260"/>
      <c r="Q39" s="515">
        <v>0</v>
      </c>
      <c r="R39" s="260"/>
      <c r="S39" s="515">
        <v>0</v>
      </c>
      <c r="T39" s="260"/>
      <c r="U39" s="515">
        <v>0</v>
      </c>
      <c r="V39" s="260"/>
      <c r="W39" s="515">
        <v>0</v>
      </c>
      <c r="X39" s="260"/>
      <c r="Y39" s="515"/>
      <c r="Z39" s="260"/>
      <c r="AA39" s="2049"/>
      <c r="AB39" s="317"/>
      <c r="AC39" s="1257"/>
      <c r="AD39" s="318">
        <f t="shared" si="3"/>
        <v>0</v>
      </c>
      <c r="AE39" s="3109"/>
      <c r="AF39" s="261"/>
      <c r="AG39" s="317">
        <v>0</v>
      </c>
      <c r="AH39" s="318"/>
      <c r="AI39" s="2052"/>
      <c r="AJ39" s="318">
        <f t="shared" si="0"/>
        <v>0</v>
      </c>
      <c r="AK39" s="654"/>
      <c r="AL39" s="45">
        <f>ROUND(IF(AG39=0,0,AJ39/ABS(AG39)),3)</f>
        <v>0</v>
      </c>
    </row>
    <row r="40" spans="1:39" ht="15.75">
      <c r="A40" s="223"/>
      <c r="B40" s="1748" t="s">
        <v>1198</v>
      </c>
      <c r="C40" s="223"/>
      <c r="D40" s="306"/>
      <c r="E40" s="2049">
        <v>0</v>
      </c>
      <c r="F40" s="317"/>
      <c r="G40" s="2049">
        <v>0</v>
      </c>
      <c r="H40" s="317"/>
      <c r="I40" s="2049">
        <v>0</v>
      </c>
      <c r="J40" s="317"/>
      <c r="K40" s="2049">
        <v>0</v>
      </c>
      <c r="L40" s="260"/>
      <c r="M40" s="2049">
        <v>0</v>
      </c>
      <c r="N40" s="260"/>
      <c r="O40" s="515">
        <v>0</v>
      </c>
      <c r="P40" s="260"/>
      <c r="Q40" s="515">
        <v>0</v>
      </c>
      <c r="R40" s="260"/>
      <c r="S40" s="515">
        <v>0</v>
      </c>
      <c r="T40" s="260"/>
      <c r="U40" s="515">
        <v>0</v>
      </c>
      <c r="V40" s="260"/>
      <c r="W40" s="515">
        <v>0</v>
      </c>
      <c r="X40" s="260"/>
      <c r="Y40" s="515"/>
      <c r="Z40" s="260"/>
      <c r="AA40" s="2049"/>
      <c r="AB40" s="317"/>
      <c r="AC40" s="1257"/>
      <c r="AD40" s="318">
        <f t="shared" si="3"/>
        <v>0</v>
      </c>
      <c r="AE40" s="2055"/>
      <c r="AF40" s="261"/>
      <c r="AG40" s="317">
        <v>0</v>
      </c>
      <c r="AH40" s="318"/>
      <c r="AI40" s="2052"/>
      <c r="AJ40" s="318">
        <f t="shared" si="0"/>
        <v>0</v>
      </c>
      <c r="AK40" s="654"/>
      <c r="AL40" s="45">
        <f>ROUND(IF(AG40=0,0,AJ40/ABS(AG40)),3)</f>
        <v>0</v>
      </c>
    </row>
    <row r="41" spans="1:39" ht="15.75">
      <c r="A41" s="223"/>
      <c r="B41" s="1748" t="s">
        <v>1200</v>
      </c>
      <c r="C41" s="223"/>
      <c r="D41" s="306"/>
      <c r="E41" s="2049">
        <v>0</v>
      </c>
      <c r="F41" s="317"/>
      <c r="G41" s="2049">
        <v>0</v>
      </c>
      <c r="H41" s="317"/>
      <c r="I41" s="2049">
        <v>0</v>
      </c>
      <c r="J41" s="317"/>
      <c r="K41" s="2049">
        <v>0</v>
      </c>
      <c r="L41" s="260"/>
      <c r="M41" s="2049">
        <v>0</v>
      </c>
      <c r="N41" s="260"/>
      <c r="O41" s="515">
        <v>0</v>
      </c>
      <c r="P41" s="260"/>
      <c r="Q41" s="515">
        <v>0</v>
      </c>
      <c r="R41" s="260"/>
      <c r="S41" s="515">
        <v>0</v>
      </c>
      <c r="T41" s="260"/>
      <c r="U41" s="515">
        <v>0</v>
      </c>
      <c r="V41" s="260"/>
      <c r="W41" s="515">
        <v>0</v>
      </c>
      <c r="X41" s="260"/>
      <c r="Y41" s="515"/>
      <c r="Z41" s="260"/>
      <c r="AA41" s="2049"/>
      <c r="AB41" s="317"/>
      <c r="AC41" s="1257"/>
      <c r="AD41" s="318">
        <f t="shared" si="3"/>
        <v>0</v>
      </c>
      <c r="AE41" s="2055"/>
      <c r="AF41" s="261"/>
      <c r="AG41" s="317">
        <v>0</v>
      </c>
      <c r="AH41" s="318"/>
      <c r="AI41" s="2052"/>
      <c r="AJ41" s="318">
        <f t="shared" si="0"/>
        <v>0</v>
      </c>
      <c r="AK41" s="654"/>
      <c r="AL41" s="45">
        <f>ROUND(IF(AG41=0,0,AJ41/ABS(AG41)),3)</f>
        <v>0</v>
      </c>
    </row>
    <row r="42" spans="1:39" ht="15.75">
      <c r="A42" s="223"/>
      <c r="B42" s="1748" t="s">
        <v>1172</v>
      </c>
      <c r="C42" s="223"/>
      <c r="D42" s="306"/>
      <c r="E42" s="2049">
        <v>0.9</v>
      </c>
      <c r="F42" s="317"/>
      <c r="G42" s="2049">
        <v>0</v>
      </c>
      <c r="H42" s="317"/>
      <c r="I42" s="2049">
        <v>0.1</v>
      </c>
      <c r="J42" s="317"/>
      <c r="K42" s="2049">
        <v>0</v>
      </c>
      <c r="L42" s="260"/>
      <c r="M42" s="2049">
        <v>0</v>
      </c>
      <c r="N42" s="260"/>
      <c r="O42" s="515">
        <v>0</v>
      </c>
      <c r="P42" s="260"/>
      <c r="Q42" s="515">
        <v>0</v>
      </c>
      <c r="R42" s="260"/>
      <c r="S42" s="515">
        <v>0</v>
      </c>
      <c r="T42" s="260"/>
      <c r="U42" s="515">
        <v>0.4</v>
      </c>
      <c r="V42" s="260"/>
      <c r="W42" s="515">
        <v>0</v>
      </c>
      <c r="X42" s="260"/>
      <c r="Y42" s="515"/>
      <c r="Z42" s="260"/>
      <c r="AA42" s="2049"/>
      <c r="AB42" s="317"/>
      <c r="AC42" s="1257"/>
      <c r="AD42" s="318">
        <f t="shared" si="3"/>
        <v>1.4</v>
      </c>
      <c r="AE42" s="2055"/>
      <c r="AF42" s="261"/>
      <c r="AG42" s="317">
        <v>0.2</v>
      </c>
      <c r="AH42" s="318"/>
      <c r="AI42" s="2052"/>
      <c r="AJ42" s="318">
        <f t="shared" si="0"/>
        <v>1.2</v>
      </c>
      <c r="AK42" s="654"/>
      <c r="AL42" s="2679">
        <f>ROUND(IF(AG42=0,1,AJ42/ABS(AG42)),3)</f>
        <v>6</v>
      </c>
    </row>
    <row r="43" spans="1:39" s="649" customFormat="1" ht="15.75" collapsed="1">
      <c r="A43" s="221"/>
      <c r="B43" s="587" t="s">
        <v>1210</v>
      </c>
      <c r="C43" s="221"/>
      <c r="D43" s="304"/>
      <c r="E43" s="1256">
        <f>ROUND(SUM(E20:E42),1)</f>
        <v>1</v>
      </c>
      <c r="F43" s="311"/>
      <c r="G43" s="1256">
        <f>ROUND(SUM(G20:G42),1)</f>
        <v>0</v>
      </c>
      <c r="H43" s="2074"/>
      <c r="I43" s="1256">
        <f>ROUND(SUM(I20:I42),1)</f>
        <v>0.1</v>
      </c>
      <c r="J43" s="311"/>
      <c r="K43" s="1256">
        <f>ROUND(SUM(K20:K42),1)</f>
        <v>0.1</v>
      </c>
      <c r="L43" s="1802"/>
      <c r="M43" s="1256">
        <f>ROUND(SUM(M20:M42),1)</f>
        <v>0.1</v>
      </c>
      <c r="N43" s="1802"/>
      <c r="O43" s="1256">
        <f>ROUND(SUM(O20:O42),1)</f>
        <v>0</v>
      </c>
      <c r="P43" s="1802"/>
      <c r="Q43" s="1256">
        <f>ROUND(SUM(Q20:Q42),1)</f>
        <v>0.1</v>
      </c>
      <c r="R43" s="1802"/>
      <c r="S43" s="1256">
        <f>ROUND(SUM(S20:S42),1)</f>
        <v>0</v>
      </c>
      <c r="T43" s="1802"/>
      <c r="U43" s="2941">
        <f>ROUND(SUM(U20:U42),1)</f>
        <v>0.4</v>
      </c>
      <c r="V43" s="1802"/>
      <c r="W43" s="1256">
        <f>ROUND(SUM(W20:W42),1)</f>
        <v>0</v>
      </c>
      <c r="X43" s="1802"/>
      <c r="Y43" s="1256">
        <f>ROUND(SUM(Y20:Y42),1)</f>
        <v>0</v>
      </c>
      <c r="Z43" s="1802"/>
      <c r="AA43" s="1256">
        <f>ROUND(SUM(AA20:AA42),1)</f>
        <v>0</v>
      </c>
      <c r="AB43" s="311"/>
      <c r="AC43" s="1258"/>
      <c r="AD43" s="1256">
        <f>ROUND(SUM(AD20:AD42),1)</f>
        <v>1.8</v>
      </c>
      <c r="AE43" s="2056"/>
      <c r="AF43" s="314"/>
      <c r="AG43" s="1256">
        <f>ROUND(SUM(AG20:AG42),1)</f>
        <v>0.7</v>
      </c>
      <c r="AH43" s="2098"/>
      <c r="AI43" s="2052"/>
      <c r="AJ43" s="1256">
        <f>ROUND(SUM(AJ20:AJ42),1)</f>
        <v>1.1000000000000001</v>
      </c>
      <c r="AK43" s="2012"/>
      <c r="AL43" s="72">
        <f>ROUND(IF(AG43=0,0,AJ43/ABS(AG43)),3)</f>
        <v>1.571</v>
      </c>
    </row>
    <row r="44" spans="1:39" s="678" customFormat="1" ht="15.75">
      <c r="A44" s="260"/>
      <c r="B44" s="1991"/>
      <c r="C44" s="260"/>
      <c r="D44" s="317"/>
      <c r="E44" s="2049"/>
      <c r="F44" s="317"/>
      <c r="G44" s="685"/>
      <c r="H44" s="317"/>
      <c r="I44" s="2049"/>
      <c r="J44" s="317"/>
      <c r="K44" s="685"/>
      <c r="L44" s="260"/>
      <c r="M44" s="515"/>
      <c r="N44" s="260"/>
      <c r="O44" s="514"/>
      <c r="P44" s="260"/>
      <c r="Q44" s="515"/>
      <c r="R44" s="260"/>
      <c r="S44" s="514"/>
      <c r="T44" s="260"/>
      <c r="U44" s="514"/>
      <c r="V44" s="260"/>
      <c r="W44" s="515"/>
      <c r="X44" s="260"/>
      <c r="Y44" s="515"/>
      <c r="Z44" s="260"/>
      <c r="AA44" s="2049"/>
      <c r="AB44" s="317"/>
      <c r="AC44" s="1257"/>
      <c r="AD44" s="318"/>
      <c r="AE44" s="2051"/>
      <c r="AF44" s="1257"/>
      <c r="AG44" s="2049"/>
      <c r="AH44" s="318"/>
      <c r="AI44" s="2052"/>
      <c r="AJ44" s="686"/>
      <c r="AK44" s="250"/>
      <c r="AL44" s="652"/>
      <c r="AM44" s="250"/>
    </row>
    <row r="45" spans="1:39" ht="15.75">
      <c r="A45" s="223"/>
      <c r="B45" s="223" t="s">
        <v>154</v>
      </c>
      <c r="C45" s="223"/>
      <c r="D45" s="306"/>
      <c r="E45" s="317">
        <v>126.2</v>
      </c>
      <c r="F45" s="317"/>
      <c r="G45" s="2049">
        <v>156.4</v>
      </c>
      <c r="H45" s="317"/>
      <c r="I45" s="2049">
        <v>227.3</v>
      </c>
      <c r="J45" s="317"/>
      <c r="K45" s="2049">
        <v>153.4</v>
      </c>
      <c r="L45" s="260"/>
      <c r="M45" s="515">
        <v>229.5</v>
      </c>
      <c r="N45" s="260"/>
      <c r="O45" s="514">
        <v>359.9</v>
      </c>
      <c r="P45" s="260"/>
      <c r="Q45" s="515">
        <v>164.1</v>
      </c>
      <c r="R45" s="260"/>
      <c r="S45" s="514">
        <v>204.5</v>
      </c>
      <c r="T45" s="260"/>
      <c r="U45" s="514">
        <v>380.3</v>
      </c>
      <c r="V45" s="260"/>
      <c r="W45" s="260">
        <v>138.1</v>
      </c>
      <c r="X45" s="260"/>
      <c r="Y45" s="515"/>
      <c r="Z45" s="260"/>
      <c r="AA45" s="317"/>
      <c r="AB45" s="317"/>
      <c r="AC45" s="1257"/>
      <c r="AD45" s="318">
        <f>ROUND(SUM(E45:AA45),1)</f>
        <v>2139.6999999999998</v>
      </c>
      <c r="AE45" s="2051"/>
      <c r="AF45" s="1257"/>
      <c r="AG45" s="317">
        <v>1812.3</v>
      </c>
      <c r="AH45" s="318"/>
      <c r="AI45" s="2094"/>
      <c r="AJ45" s="2117">
        <f>ROUND(AD45-AG45,1)</f>
        <v>327.39999999999998</v>
      </c>
      <c r="AK45" s="654"/>
      <c r="AL45" s="1765">
        <f>ROUND(IF(AG45=0,0,AJ45/ABS(AG45)),3)</f>
        <v>0.18099999999999999</v>
      </c>
    </row>
    <row r="46" spans="1:39" ht="15.75">
      <c r="A46" s="223"/>
      <c r="B46" s="223"/>
      <c r="C46" s="223"/>
      <c r="D46" s="306"/>
      <c r="E46" s="326"/>
      <c r="F46" s="317"/>
      <c r="G46" s="326"/>
      <c r="H46" s="317"/>
      <c r="I46" s="326"/>
      <c r="J46" s="317"/>
      <c r="K46" s="326"/>
      <c r="L46" s="260"/>
      <c r="M46" s="287"/>
      <c r="N46" s="260"/>
      <c r="O46" s="287"/>
      <c r="P46" s="260"/>
      <c r="Q46" s="287"/>
      <c r="R46" s="260"/>
      <c r="S46" s="287"/>
      <c r="T46" s="260"/>
      <c r="U46" s="287"/>
      <c r="V46" s="260"/>
      <c r="W46" s="287"/>
      <c r="X46" s="260"/>
      <c r="Y46" s="287"/>
      <c r="Z46" s="260"/>
      <c r="AA46" s="326"/>
      <c r="AB46" s="317"/>
      <c r="AC46" s="1257"/>
      <c r="AD46" s="326"/>
      <c r="AE46" s="2051"/>
      <c r="AF46" s="1257"/>
      <c r="AG46" s="326"/>
      <c r="AH46" s="261"/>
      <c r="AI46" s="2094"/>
      <c r="AJ46" s="686"/>
      <c r="AK46" s="644"/>
      <c r="AL46" s="652"/>
    </row>
    <row r="47" spans="1:39" ht="15.75">
      <c r="A47" s="223"/>
      <c r="B47" s="221" t="s">
        <v>202</v>
      </c>
      <c r="C47" s="223"/>
      <c r="D47" s="306"/>
      <c r="E47" s="311">
        <f>ROUND(SUM(E43+E45),1)</f>
        <v>127.2</v>
      </c>
      <c r="F47" s="311"/>
      <c r="G47" s="311">
        <f>ROUND(SUM(G43+G45),1)</f>
        <v>156.4</v>
      </c>
      <c r="H47" s="311"/>
      <c r="I47" s="311">
        <f>ROUND(SUM(I43+I45),1)</f>
        <v>227.4</v>
      </c>
      <c r="J47" s="311"/>
      <c r="K47" s="311">
        <f>ROUND(SUM(K43+K45),1)</f>
        <v>153.5</v>
      </c>
      <c r="L47" s="256"/>
      <c r="M47" s="1802">
        <f>ROUND(SUM(M43+M45),1)</f>
        <v>229.6</v>
      </c>
      <c r="N47" s="256"/>
      <c r="O47" s="1802">
        <f>ROUND(SUM(O43+O45),1)</f>
        <v>359.9</v>
      </c>
      <c r="P47" s="256"/>
      <c r="Q47" s="1802">
        <f>ROUND(SUM(Q43+Q45),1)</f>
        <v>164.2</v>
      </c>
      <c r="R47" s="256"/>
      <c r="S47" s="1802">
        <f>ROUND(SUM(S43+S45),1)</f>
        <v>204.5</v>
      </c>
      <c r="T47" s="256"/>
      <c r="U47" s="1802">
        <f>ROUND(SUM(U43+U45),1)</f>
        <v>380.7</v>
      </c>
      <c r="V47" s="256"/>
      <c r="W47" s="1802">
        <f>ROUND(SUM(W43+W45),1)</f>
        <v>138.1</v>
      </c>
      <c r="X47" s="256"/>
      <c r="Y47" s="1802">
        <f>ROUND(SUM(Y43+Y45),1)</f>
        <v>0</v>
      </c>
      <c r="Z47" s="256"/>
      <c r="AA47" s="311">
        <f>ROUND(SUM(AA43+AA45),1)</f>
        <v>0</v>
      </c>
      <c r="AB47" s="311"/>
      <c r="AC47" s="1258"/>
      <c r="AD47" s="311">
        <f>ROUND(SUM(AD43+AD45),1)</f>
        <v>2141.5</v>
      </c>
      <c r="AE47" s="2056"/>
      <c r="AF47" s="1258"/>
      <c r="AG47" s="311">
        <f>ROUND(SUM(AG43+AG45),1)</f>
        <v>1813</v>
      </c>
      <c r="AH47" s="2098"/>
      <c r="AI47" s="2094"/>
      <c r="AJ47" s="2101">
        <f>ROUND(SUM(AJ43+AJ45),1)</f>
        <v>328.5</v>
      </c>
      <c r="AK47" s="367"/>
      <c r="AL47" s="553">
        <f>ROUND(SUM(AD47-AG47)/ABS(AG47),3)</f>
        <v>0.18099999999999999</v>
      </c>
      <c r="AM47" s="649"/>
    </row>
    <row r="48" spans="1:39" ht="15.75">
      <c r="A48" s="223"/>
      <c r="B48" s="223"/>
      <c r="C48" s="223"/>
      <c r="D48" s="306"/>
      <c r="E48" s="326"/>
      <c r="F48" s="317"/>
      <c r="G48" s="326"/>
      <c r="H48" s="317"/>
      <c r="I48" s="326"/>
      <c r="J48" s="317"/>
      <c r="K48" s="326"/>
      <c r="L48" s="260"/>
      <c r="M48" s="287"/>
      <c r="N48" s="260"/>
      <c r="O48" s="287"/>
      <c r="P48" s="260"/>
      <c r="Q48" s="287"/>
      <c r="R48" s="260"/>
      <c r="S48" s="287"/>
      <c r="T48" s="260"/>
      <c r="U48" s="287"/>
      <c r="V48" s="260"/>
      <c r="W48" s="287"/>
      <c r="X48" s="260"/>
      <c r="Y48" s="287"/>
      <c r="Z48" s="260"/>
      <c r="AA48" s="326"/>
      <c r="AB48" s="317"/>
      <c r="AC48" s="1257"/>
      <c r="AD48" s="326"/>
      <c r="AE48" s="2051"/>
      <c r="AF48" s="1257"/>
      <c r="AG48" s="326"/>
      <c r="AH48" s="261"/>
      <c r="AI48" s="2094"/>
      <c r="AJ48" s="686"/>
      <c r="AK48" s="644"/>
      <c r="AL48" s="652"/>
    </row>
    <row r="49" spans="1:41" ht="15.75">
      <c r="A49" s="223"/>
      <c r="B49" s="221" t="s">
        <v>23</v>
      </c>
      <c r="C49" s="223"/>
      <c r="D49" s="306"/>
      <c r="E49" s="317"/>
      <c r="F49" s="317"/>
      <c r="G49" s="317"/>
      <c r="H49" s="317"/>
      <c r="I49" s="317"/>
      <c r="J49" s="317"/>
      <c r="K49" s="317"/>
      <c r="L49" s="260"/>
      <c r="M49" s="260"/>
      <c r="N49" s="260"/>
      <c r="O49" s="260"/>
      <c r="P49" s="260"/>
      <c r="Q49" s="260"/>
      <c r="R49" s="260"/>
      <c r="S49" s="260"/>
      <c r="T49" s="260"/>
      <c r="U49" s="260"/>
      <c r="V49" s="260"/>
      <c r="W49" s="260"/>
      <c r="X49" s="260"/>
      <c r="Y49" s="260"/>
      <c r="Z49" s="260"/>
      <c r="AA49" s="317"/>
      <c r="AB49" s="317"/>
      <c r="AC49" s="1257"/>
      <c r="AD49" s="317"/>
      <c r="AE49" s="2051"/>
      <c r="AF49" s="1257"/>
      <c r="AG49" s="317"/>
      <c r="AH49" s="317"/>
      <c r="AI49" s="2094"/>
      <c r="AJ49" s="686"/>
      <c r="AK49" s="644"/>
      <c r="AL49" s="652"/>
    </row>
    <row r="50" spans="1:41" ht="15.75">
      <c r="A50" s="223"/>
      <c r="B50" s="223" t="s">
        <v>156</v>
      </c>
      <c r="C50" s="223"/>
      <c r="D50" s="306"/>
      <c r="E50" s="2049"/>
      <c r="F50" s="317"/>
      <c r="G50" s="317"/>
      <c r="H50" s="317"/>
      <c r="I50" s="317"/>
      <c r="J50" s="317"/>
      <c r="K50" s="317"/>
      <c r="L50" s="260"/>
      <c r="M50" s="260"/>
      <c r="N50" s="260"/>
      <c r="O50" s="260"/>
      <c r="P50" s="260"/>
      <c r="Q50" s="515"/>
      <c r="R50" s="260"/>
      <c r="S50" s="260"/>
      <c r="T50" s="260"/>
      <c r="U50" s="260"/>
      <c r="V50" s="260"/>
      <c r="W50" s="260"/>
      <c r="X50" s="260"/>
      <c r="Y50" s="260"/>
      <c r="Z50" s="260"/>
      <c r="AA50" s="317"/>
      <c r="AB50" s="317"/>
      <c r="AC50" s="1257"/>
      <c r="AD50" s="2049"/>
      <c r="AE50" s="2051"/>
      <c r="AF50" s="1257"/>
      <c r="AG50" s="317"/>
      <c r="AH50" s="317"/>
      <c r="AI50" s="2094"/>
      <c r="AJ50" s="686"/>
      <c r="AK50" s="654"/>
      <c r="AL50" s="652"/>
    </row>
    <row r="51" spans="1:41" ht="15.75">
      <c r="A51" s="223"/>
      <c r="B51" s="223" t="s">
        <v>25</v>
      </c>
      <c r="C51" s="223"/>
      <c r="D51" s="306"/>
      <c r="E51" s="685">
        <v>0</v>
      </c>
      <c r="F51" s="317"/>
      <c r="G51" s="685">
        <v>0</v>
      </c>
      <c r="H51" s="317"/>
      <c r="I51" s="685">
        <v>0</v>
      </c>
      <c r="J51" s="317"/>
      <c r="K51" s="685">
        <v>0</v>
      </c>
      <c r="L51" s="260"/>
      <c r="M51" s="685">
        <v>0</v>
      </c>
      <c r="N51" s="260"/>
      <c r="O51" s="371">
        <v>0</v>
      </c>
      <c r="P51" s="260"/>
      <c r="Q51" s="371">
        <v>0</v>
      </c>
      <c r="R51" s="260"/>
      <c r="S51" s="371">
        <v>0</v>
      </c>
      <c r="T51" s="260"/>
      <c r="U51" s="371">
        <v>0</v>
      </c>
      <c r="V51" s="260"/>
      <c r="W51" s="371">
        <v>0</v>
      </c>
      <c r="X51" s="260"/>
      <c r="Y51" s="371"/>
      <c r="Z51" s="260"/>
      <c r="AA51" s="685"/>
      <c r="AB51" s="317"/>
      <c r="AC51" s="1257"/>
      <c r="AD51" s="318">
        <f>ROUND(SUM(E51:AA51),1)</f>
        <v>0</v>
      </c>
      <c r="AE51" s="2051"/>
      <c r="AF51" s="1257"/>
      <c r="AG51" s="685">
        <v>0</v>
      </c>
      <c r="AH51" s="318"/>
      <c r="AI51" s="2052"/>
      <c r="AJ51" s="2118">
        <f>ROUND(AD51-AG51,1)</f>
        <v>0</v>
      </c>
      <c r="AK51" s="654"/>
      <c r="AL51" s="45">
        <f>ROUND(IF(AG51=0,0,AJ51/ABS(AG51)),3)</f>
        <v>0</v>
      </c>
    </row>
    <row r="52" spans="1:41" ht="15.75">
      <c r="A52" s="223"/>
      <c r="B52" s="223" t="s">
        <v>26</v>
      </c>
      <c r="C52" s="223"/>
      <c r="D52" s="306"/>
      <c r="E52" s="2113">
        <v>0</v>
      </c>
      <c r="F52" s="317"/>
      <c r="G52" s="685">
        <v>0</v>
      </c>
      <c r="H52" s="317"/>
      <c r="I52" s="2049">
        <v>0</v>
      </c>
      <c r="J52" s="317"/>
      <c r="K52" s="685">
        <v>0</v>
      </c>
      <c r="L52" s="260"/>
      <c r="M52" s="685">
        <v>0</v>
      </c>
      <c r="N52" s="260"/>
      <c r="O52" s="514">
        <v>0</v>
      </c>
      <c r="P52" s="260"/>
      <c r="Q52" s="514">
        <v>0</v>
      </c>
      <c r="R52" s="260"/>
      <c r="S52" s="514">
        <v>0</v>
      </c>
      <c r="T52" s="260"/>
      <c r="U52" s="514">
        <v>140.30000000000001</v>
      </c>
      <c r="V52" s="260"/>
      <c r="W52" s="371">
        <v>0</v>
      </c>
      <c r="X52" s="260"/>
      <c r="Y52" s="371"/>
      <c r="Z52" s="260"/>
      <c r="AA52" s="685"/>
      <c r="AB52" s="317"/>
      <c r="AC52" s="1257"/>
      <c r="AD52" s="318">
        <f>ROUND(SUM(E52:AA52),1)</f>
        <v>140.30000000000001</v>
      </c>
      <c r="AE52" s="2051"/>
      <c r="AF52" s="1257"/>
      <c r="AG52" s="2113">
        <v>148.9</v>
      </c>
      <c r="AH52" s="318"/>
      <c r="AI52" s="2052"/>
      <c r="AJ52" s="2118">
        <f>ROUND(AD52-AG52,1)</f>
        <v>-8.6</v>
      </c>
      <c r="AK52" s="654"/>
      <c r="AL52" s="2734">
        <f>ROUND(IF(AG52=0,0,AJ52/ABS(AG52)),3)</f>
        <v>-5.8000000000000003E-2</v>
      </c>
    </row>
    <row r="53" spans="1:41" ht="15.75">
      <c r="A53" s="223"/>
      <c r="B53" s="223" t="s">
        <v>27</v>
      </c>
      <c r="C53" s="223"/>
      <c r="D53" s="306"/>
      <c r="E53" s="685">
        <v>0</v>
      </c>
      <c r="F53" s="317"/>
      <c r="G53" s="685">
        <v>0</v>
      </c>
      <c r="H53" s="317"/>
      <c r="I53" s="685">
        <v>0</v>
      </c>
      <c r="J53" s="317"/>
      <c r="K53" s="685">
        <v>0</v>
      </c>
      <c r="L53" s="260"/>
      <c r="M53" s="685">
        <v>0</v>
      </c>
      <c r="N53" s="260"/>
      <c r="O53" s="371">
        <v>0</v>
      </c>
      <c r="P53" s="260"/>
      <c r="Q53" s="371">
        <v>0</v>
      </c>
      <c r="R53" s="260"/>
      <c r="S53" s="371">
        <v>0</v>
      </c>
      <c r="T53" s="260"/>
      <c r="U53" s="371">
        <v>0</v>
      </c>
      <c r="V53" s="260"/>
      <c r="W53" s="371">
        <v>0</v>
      </c>
      <c r="X53" s="260"/>
      <c r="Y53" s="371"/>
      <c r="Z53" s="260"/>
      <c r="AA53" s="317"/>
      <c r="AB53" s="317"/>
      <c r="AC53" s="1257"/>
      <c r="AD53" s="318">
        <f>ROUND(SUM(E53:AA53),1)</f>
        <v>0</v>
      </c>
      <c r="AE53" s="2051"/>
      <c r="AF53" s="1257"/>
      <c r="AG53" s="685">
        <v>0</v>
      </c>
      <c r="AH53" s="318"/>
      <c r="AI53" s="2052"/>
      <c r="AJ53" s="2118">
        <f>ROUND(AD53-AG53,1)</f>
        <v>0</v>
      </c>
      <c r="AK53" s="644"/>
      <c r="AL53" s="45">
        <f>ROUND(IF(AG53=0,0,AJ53/ABS(AG53)),3)</f>
        <v>0</v>
      </c>
    </row>
    <row r="54" spans="1:41" ht="15.75">
      <c r="A54" s="223"/>
      <c r="B54" s="223" t="s">
        <v>28</v>
      </c>
      <c r="C54" s="223"/>
      <c r="D54" s="306"/>
      <c r="E54" s="685"/>
      <c r="F54" s="317"/>
      <c r="G54" s="685"/>
      <c r="H54" s="317"/>
      <c r="I54" s="685"/>
      <c r="J54" s="317"/>
      <c r="K54" s="685"/>
      <c r="L54" s="260"/>
      <c r="M54" s="685"/>
      <c r="N54" s="260"/>
      <c r="O54" s="371"/>
      <c r="P54" s="260"/>
      <c r="Q54" s="371"/>
      <c r="R54" s="260"/>
      <c r="S54" s="371"/>
      <c r="T54" s="260"/>
      <c r="U54" s="371"/>
      <c r="V54" s="260"/>
      <c r="W54" s="371"/>
      <c r="X54" s="260"/>
      <c r="Y54" s="371"/>
      <c r="Z54" s="260"/>
      <c r="AA54" s="685"/>
      <c r="AB54" s="317"/>
      <c r="AC54" s="1257"/>
      <c r="AD54" s="318"/>
      <c r="AE54" s="2051"/>
      <c r="AF54" s="1257"/>
      <c r="AG54" s="685"/>
      <c r="AH54" s="317"/>
      <c r="AI54" s="2094"/>
      <c r="AJ54" s="2119" t="s">
        <v>15</v>
      </c>
      <c r="AK54" s="654"/>
      <c r="AL54" s="1150" t="s">
        <v>15</v>
      </c>
    </row>
    <row r="55" spans="1:41" ht="15.75">
      <c r="A55" s="223"/>
      <c r="B55" s="223" t="s">
        <v>29</v>
      </c>
      <c r="C55" s="221"/>
      <c r="D55" s="306"/>
      <c r="E55" s="685">
        <v>0</v>
      </c>
      <c r="F55" s="317"/>
      <c r="G55" s="685">
        <v>0</v>
      </c>
      <c r="H55" s="317"/>
      <c r="I55" s="685">
        <v>0</v>
      </c>
      <c r="J55" s="317"/>
      <c r="K55" s="685">
        <v>0</v>
      </c>
      <c r="L55" s="260"/>
      <c r="M55" s="685">
        <v>0</v>
      </c>
      <c r="N55" s="260"/>
      <c r="O55" s="371">
        <v>0</v>
      </c>
      <c r="P55" s="260"/>
      <c r="Q55" s="371">
        <v>0</v>
      </c>
      <c r="R55" s="260"/>
      <c r="S55" s="371">
        <v>0</v>
      </c>
      <c r="T55" s="260"/>
      <c r="U55" s="371">
        <v>0</v>
      </c>
      <c r="V55" s="260"/>
      <c r="W55" s="371">
        <v>0</v>
      </c>
      <c r="X55" s="260"/>
      <c r="Y55" s="371"/>
      <c r="Z55" s="260"/>
      <c r="AA55" s="317"/>
      <c r="AB55" s="317"/>
      <c r="AC55" s="1257"/>
      <c r="AD55" s="318">
        <f t="shared" ref="AD55:AD60" si="4">ROUND(SUM(E55:AA55),1)</f>
        <v>0</v>
      </c>
      <c r="AE55" s="2051"/>
      <c r="AF55" s="1257"/>
      <c r="AG55" s="685">
        <v>0</v>
      </c>
      <c r="AH55" s="317"/>
      <c r="AI55" s="2094"/>
      <c r="AJ55" s="2118">
        <f t="shared" ref="AJ55:AJ60" si="5">ROUND(AD55-AG55,1)</f>
        <v>0</v>
      </c>
      <c r="AK55" s="644"/>
      <c r="AL55" s="45">
        <f>ROUND(IF(AG55=0,0,AJ55/ABS(AG55)),3)</f>
        <v>0</v>
      </c>
      <c r="AM55" s="644"/>
    </row>
    <row r="56" spans="1:41" ht="15.75">
      <c r="A56" s="223"/>
      <c r="B56" s="223" t="s">
        <v>30</v>
      </c>
      <c r="C56" s="223"/>
      <c r="D56" s="306"/>
      <c r="E56" s="685">
        <v>0</v>
      </c>
      <c r="F56" s="317"/>
      <c r="G56" s="685">
        <v>0</v>
      </c>
      <c r="H56" s="317"/>
      <c r="I56" s="685">
        <v>0</v>
      </c>
      <c r="J56" s="317"/>
      <c r="K56" s="685">
        <v>0</v>
      </c>
      <c r="L56" s="260"/>
      <c r="M56" s="685">
        <v>0</v>
      </c>
      <c r="N56" s="260"/>
      <c r="O56" s="514">
        <v>3.9</v>
      </c>
      <c r="P56" s="260"/>
      <c r="Q56" s="514">
        <v>0</v>
      </c>
      <c r="R56" s="260"/>
      <c r="S56" s="514">
        <v>0</v>
      </c>
      <c r="T56" s="260"/>
      <c r="U56" s="514">
        <v>3.4</v>
      </c>
      <c r="V56" s="260"/>
      <c r="W56" s="371">
        <v>35.5</v>
      </c>
      <c r="X56" s="260"/>
      <c r="Y56" s="371"/>
      <c r="Z56" s="260"/>
      <c r="AA56" s="685"/>
      <c r="AB56" s="317"/>
      <c r="AC56" s="1257"/>
      <c r="AD56" s="318">
        <f t="shared" si="4"/>
        <v>42.8</v>
      </c>
      <c r="AE56" s="2051"/>
      <c r="AF56" s="1257"/>
      <c r="AG56" s="2113">
        <v>38.9</v>
      </c>
      <c r="AH56" s="318"/>
      <c r="AI56" s="2052"/>
      <c r="AJ56" s="2118">
        <f t="shared" si="5"/>
        <v>3.9</v>
      </c>
      <c r="AK56" s="654"/>
      <c r="AL56" s="2664">
        <f>ROUND(IF(AG56=0,1,AJ56/ABS(AG56)),3)</f>
        <v>0.1</v>
      </c>
    </row>
    <row r="57" spans="1:41" ht="15.75">
      <c r="A57" s="223"/>
      <c r="B57" s="223" t="s">
        <v>31</v>
      </c>
      <c r="C57" s="223"/>
      <c r="D57" s="306"/>
      <c r="E57" s="685">
        <v>0</v>
      </c>
      <c r="F57" s="317"/>
      <c r="G57" s="685">
        <v>0</v>
      </c>
      <c r="H57" s="317"/>
      <c r="I57" s="685">
        <v>0</v>
      </c>
      <c r="J57" s="317"/>
      <c r="K57" s="685">
        <v>0</v>
      </c>
      <c r="L57" s="260"/>
      <c r="M57" s="685">
        <v>0</v>
      </c>
      <c r="N57" s="260"/>
      <c r="O57" s="371">
        <v>2</v>
      </c>
      <c r="P57" s="260"/>
      <c r="Q57" s="371">
        <v>0</v>
      </c>
      <c r="R57" s="260"/>
      <c r="S57" s="371">
        <v>0</v>
      </c>
      <c r="T57" s="260"/>
      <c r="U57" s="371">
        <v>0</v>
      </c>
      <c r="V57" s="260"/>
      <c r="W57" s="371">
        <v>0</v>
      </c>
      <c r="X57" s="260"/>
      <c r="Y57" s="371"/>
      <c r="Z57" s="260"/>
      <c r="AA57" s="317"/>
      <c r="AB57" s="317"/>
      <c r="AC57" s="1257"/>
      <c r="AD57" s="318">
        <f t="shared" si="4"/>
        <v>2</v>
      </c>
      <c r="AE57" s="2051"/>
      <c r="AF57" s="1257"/>
      <c r="AG57" s="685">
        <v>0</v>
      </c>
      <c r="AH57" s="318"/>
      <c r="AI57" s="2052"/>
      <c r="AJ57" s="2118">
        <f t="shared" si="5"/>
        <v>2</v>
      </c>
      <c r="AK57" s="644"/>
      <c r="AL57" s="2664">
        <f>ROUND(IF(AG57=0,1,AJ57/ABS(AG57)),3)</f>
        <v>1</v>
      </c>
    </row>
    <row r="58" spans="1:41" ht="15.75">
      <c r="A58" s="223"/>
      <c r="B58" s="223" t="s">
        <v>32</v>
      </c>
      <c r="C58" s="223"/>
      <c r="D58" s="306"/>
      <c r="E58" s="685">
        <v>0</v>
      </c>
      <c r="F58" s="317"/>
      <c r="G58" s="685">
        <v>0</v>
      </c>
      <c r="H58" s="317"/>
      <c r="I58" s="685">
        <v>0</v>
      </c>
      <c r="J58" s="317"/>
      <c r="K58" s="685">
        <v>0</v>
      </c>
      <c r="L58" s="260"/>
      <c r="M58" s="685">
        <v>0</v>
      </c>
      <c r="N58" s="260"/>
      <c r="O58" s="371">
        <v>0</v>
      </c>
      <c r="P58" s="260"/>
      <c r="Q58" s="371">
        <v>0</v>
      </c>
      <c r="R58" s="260"/>
      <c r="S58" s="371">
        <v>0</v>
      </c>
      <c r="T58" s="260"/>
      <c r="U58" s="371">
        <v>0</v>
      </c>
      <c r="V58" s="260"/>
      <c r="W58" s="371">
        <v>0</v>
      </c>
      <c r="X58" s="260"/>
      <c r="Y58" s="371"/>
      <c r="Z58" s="260"/>
      <c r="AA58" s="685"/>
      <c r="AB58" s="317"/>
      <c r="AC58" s="1257"/>
      <c r="AD58" s="318">
        <f t="shared" si="4"/>
        <v>0</v>
      </c>
      <c r="AE58" s="2051"/>
      <c r="AF58" s="1257"/>
      <c r="AG58" s="685">
        <v>0</v>
      </c>
      <c r="AH58" s="317"/>
      <c r="AI58" s="2094"/>
      <c r="AJ58" s="2118">
        <f t="shared" si="5"/>
        <v>0</v>
      </c>
      <c r="AK58" s="654"/>
      <c r="AL58" s="45">
        <f>ROUND(IF(AG58=0,0,AJ58/ABS(AG58)),3)</f>
        <v>0</v>
      </c>
    </row>
    <row r="59" spans="1:41" ht="15.75">
      <c r="A59" s="223"/>
      <c r="B59" s="223" t="s">
        <v>33</v>
      </c>
      <c r="C59" s="221"/>
      <c r="D59" s="306"/>
      <c r="E59" s="685">
        <v>0</v>
      </c>
      <c r="F59" s="317"/>
      <c r="G59" s="685">
        <v>0</v>
      </c>
      <c r="H59" s="317"/>
      <c r="I59" s="685">
        <v>0</v>
      </c>
      <c r="J59" s="317"/>
      <c r="K59" s="685">
        <v>0</v>
      </c>
      <c r="L59" s="260"/>
      <c r="M59" s="685">
        <v>0</v>
      </c>
      <c r="N59" s="260"/>
      <c r="O59" s="371">
        <v>0</v>
      </c>
      <c r="P59" s="260"/>
      <c r="Q59" s="371">
        <v>0</v>
      </c>
      <c r="R59" s="260"/>
      <c r="S59" s="371">
        <v>0</v>
      </c>
      <c r="T59" s="260"/>
      <c r="U59" s="371">
        <v>0</v>
      </c>
      <c r="V59" s="260"/>
      <c r="W59" s="371">
        <v>0</v>
      </c>
      <c r="X59" s="260"/>
      <c r="Y59" s="371"/>
      <c r="Z59" s="260"/>
      <c r="AA59" s="317"/>
      <c r="AB59" s="317"/>
      <c r="AC59" s="1257"/>
      <c r="AD59" s="318">
        <f t="shared" si="4"/>
        <v>0</v>
      </c>
      <c r="AE59" s="2051"/>
      <c r="AF59" s="1257"/>
      <c r="AG59" s="685">
        <v>0</v>
      </c>
      <c r="AH59" s="317"/>
      <c r="AI59" s="2094"/>
      <c r="AJ59" s="2118">
        <f t="shared" si="5"/>
        <v>0</v>
      </c>
      <c r="AK59" s="644"/>
      <c r="AL59" s="45">
        <f>ROUND(IF(AG59=0,0,AJ59/ABS(AG59)),3)</f>
        <v>0</v>
      </c>
      <c r="AM59" s="644"/>
    </row>
    <row r="60" spans="1:41" ht="15.75">
      <c r="A60" s="223"/>
      <c r="B60" s="223" t="s">
        <v>34</v>
      </c>
      <c r="C60" s="223"/>
      <c r="D60" s="306"/>
      <c r="E60" s="2113">
        <v>22</v>
      </c>
      <c r="F60" s="317"/>
      <c r="G60" s="2049">
        <v>37.200000000000003</v>
      </c>
      <c r="H60" s="317"/>
      <c r="I60" s="2049">
        <v>27.7</v>
      </c>
      <c r="J60" s="317"/>
      <c r="K60" s="1250">
        <v>64.7</v>
      </c>
      <c r="L60" s="260"/>
      <c r="M60" s="1250">
        <v>64.5</v>
      </c>
      <c r="N60" s="260"/>
      <c r="O60" s="514">
        <v>114.9</v>
      </c>
      <c r="P60" s="260"/>
      <c r="Q60" s="514">
        <v>61.2</v>
      </c>
      <c r="R60" s="260"/>
      <c r="S60" s="514">
        <v>29.8</v>
      </c>
      <c r="T60" s="260"/>
      <c r="U60" s="514">
        <v>57.9</v>
      </c>
      <c r="V60" s="260"/>
      <c r="W60" s="371">
        <v>37.9</v>
      </c>
      <c r="X60" s="260"/>
      <c r="Y60" s="371"/>
      <c r="Z60" s="260"/>
      <c r="AA60" s="685"/>
      <c r="AB60" s="317"/>
      <c r="AC60" s="1257"/>
      <c r="AD60" s="318">
        <f t="shared" si="4"/>
        <v>517.79999999999995</v>
      </c>
      <c r="AE60" s="2051"/>
      <c r="AF60" s="1257"/>
      <c r="AG60" s="1777">
        <v>311.89999999999998</v>
      </c>
      <c r="AH60" s="261"/>
      <c r="AI60" s="2094"/>
      <c r="AJ60" s="2118">
        <f t="shared" si="5"/>
        <v>205.9</v>
      </c>
      <c r="AK60" s="644"/>
      <c r="AL60" s="1430">
        <f>ROUND((AD60-AG60)/ABS(AG60),3)</f>
        <v>0.66</v>
      </c>
    </row>
    <row r="61" spans="1:41" ht="15.75">
      <c r="A61" s="223"/>
      <c r="B61" s="221" t="s">
        <v>203</v>
      </c>
      <c r="C61" s="223"/>
      <c r="D61" s="306"/>
      <c r="E61" s="2077">
        <f>ROUND(SUM(E51:E60),1)</f>
        <v>22</v>
      </c>
      <c r="F61" s="311"/>
      <c r="G61" s="2077">
        <f>ROUND(SUM(G51:G60),1)</f>
        <v>37.200000000000003</v>
      </c>
      <c r="H61" s="311"/>
      <c r="I61" s="2077">
        <f>ROUND(SUM(I51:I60),1)</f>
        <v>27.7</v>
      </c>
      <c r="J61" s="311"/>
      <c r="K61" s="2077">
        <f>ROUND(SUM(K51:K60),1)</f>
        <v>64.7</v>
      </c>
      <c r="L61" s="256"/>
      <c r="M61" s="543">
        <f>ROUND(SUM(M51:M60),1)</f>
        <v>64.5</v>
      </c>
      <c r="N61" s="256"/>
      <c r="O61" s="543">
        <f>ROUND(SUM(O51:O60),1)</f>
        <v>120.8</v>
      </c>
      <c r="P61" s="256"/>
      <c r="Q61" s="543">
        <f>ROUND(SUM(Q51:Q60),1)</f>
        <v>61.2</v>
      </c>
      <c r="R61" s="256"/>
      <c r="S61" s="543">
        <f>ROUND(SUM(S51:S60),1)</f>
        <v>29.8</v>
      </c>
      <c r="T61" s="256"/>
      <c r="U61" s="543">
        <f>ROUND(SUM(U51:U60),1)</f>
        <v>201.6</v>
      </c>
      <c r="V61" s="256"/>
      <c r="W61" s="543">
        <f>ROUND(SUM(W51:W60),1)</f>
        <v>73.400000000000006</v>
      </c>
      <c r="X61" s="256"/>
      <c r="Y61" s="543">
        <f>ROUND(SUM(Y51:Y60),1)</f>
        <v>0</v>
      </c>
      <c r="Z61" s="256"/>
      <c r="AA61" s="2077">
        <f>ROUND(SUM(AA51:AA60),1)</f>
        <v>0</v>
      </c>
      <c r="AB61" s="311"/>
      <c r="AC61" s="1258"/>
      <c r="AD61" s="2077">
        <f>ROUND(SUM(AD51:AD60),1)</f>
        <v>702.9</v>
      </c>
      <c r="AE61" s="2056"/>
      <c r="AF61" s="1258"/>
      <c r="AG61" s="2077">
        <f>ROUND(SUM(AG51:AG60),1)</f>
        <v>499.7</v>
      </c>
      <c r="AH61" s="314"/>
      <c r="AI61" s="2094"/>
      <c r="AJ61" s="2077">
        <f>ROUND(SUM(AJ51:AJ60),1)</f>
        <v>203.2</v>
      </c>
      <c r="AK61" s="662"/>
      <c r="AL61" s="663">
        <f>ROUND(SUM(AD61-AG61)/ABS(AG61),3)</f>
        <v>0.40699999999999997</v>
      </c>
      <c r="AM61" s="662"/>
      <c r="AN61" s="649"/>
      <c r="AO61" s="649"/>
    </row>
    <row r="62" spans="1:41" ht="15.75">
      <c r="A62" s="223"/>
      <c r="B62" s="223" t="s">
        <v>204</v>
      </c>
      <c r="C62" s="223"/>
      <c r="D62" s="306"/>
      <c r="E62" s="317"/>
      <c r="F62" s="317"/>
      <c r="G62" s="317"/>
      <c r="H62" s="317"/>
      <c r="I62" s="317"/>
      <c r="J62" s="317"/>
      <c r="K62" s="317"/>
      <c r="L62" s="260"/>
      <c r="M62" s="260"/>
      <c r="N62" s="260"/>
      <c r="O62" s="260"/>
      <c r="P62" s="260"/>
      <c r="Q62" s="260"/>
      <c r="R62" s="260"/>
      <c r="S62" s="260"/>
      <c r="T62" s="260"/>
      <c r="U62" s="260"/>
      <c r="V62" s="260"/>
      <c r="W62" s="260"/>
      <c r="X62" s="260"/>
      <c r="Y62" s="260"/>
      <c r="Z62" s="260"/>
      <c r="AA62" s="317"/>
      <c r="AB62" s="317"/>
      <c r="AC62" s="1257"/>
      <c r="AD62" s="327"/>
      <c r="AE62" s="2051"/>
      <c r="AF62" s="1257"/>
      <c r="AG62" s="317"/>
      <c r="AH62" s="317"/>
      <c r="AI62" s="2094"/>
      <c r="AJ62" s="686"/>
      <c r="AK62" s="644"/>
      <c r="AL62" s="652"/>
    </row>
    <row r="63" spans="1:41" ht="15.75">
      <c r="A63" s="223"/>
      <c r="B63" s="223" t="s">
        <v>205</v>
      </c>
      <c r="C63" s="223"/>
      <c r="D63" s="306"/>
      <c r="E63" s="685">
        <v>0</v>
      </c>
      <c r="F63" s="317"/>
      <c r="G63" s="685">
        <v>0</v>
      </c>
      <c r="H63" s="317"/>
      <c r="I63" s="685">
        <v>0</v>
      </c>
      <c r="J63" s="317"/>
      <c r="K63" s="685">
        <v>0</v>
      </c>
      <c r="L63" s="260"/>
      <c r="M63" s="371">
        <v>0</v>
      </c>
      <c r="N63" s="260"/>
      <c r="O63" s="371">
        <v>0</v>
      </c>
      <c r="P63" s="260"/>
      <c r="Q63" s="371">
        <v>0</v>
      </c>
      <c r="R63" s="260"/>
      <c r="S63" s="371">
        <v>0</v>
      </c>
      <c r="T63" s="260"/>
      <c r="U63" s="371">
        <v>0</v>
      </c>
      <c r="V63" s="260"/>
      <c r="W63" s="371">
        <v>0</v>
      </c>
      <c r="X63" s="260"/>
      <c r="Y63" s="371"/>
      <c r="Z63" s="260"/>
      <c r="AA63" s="685"/>
      <c r="AB63" s="317"/>
      <c r="AC63" s="1257"/>
      <c r="AD63" s="318">
        <f>ROUND(SUM(E63:AA63),1)</f>
        <v>0</v>
      </c>
      <c r="AE63" s="2051"/>
      <c r="AF63" s="1257"/>
      <c r="AG63" s="685">
        <v>0</v>
      </c>
      <c r="AH63" s="327"/>
      <c r="AI63" s="2102"/>
      <c r="AJ63" s="2118">
        <f>ROUND(AD63-AG63,1)</f>
        <v>0</v>
      </c>
      <c r="AK63" s="644"/>
      <c r="AL63" s="45">
        <f>ROUND(IF(AG63=0,0,AJ63/ABS(AG63)),3)</f>
        <v>0</v>
      </c>
      <c r="AM63" s="368"/>
    </row>
    <row r="64" spans="1:41" ht="15.75">
      <c r="A64" s="223"/>
      <c r="B64" s="223" t="s">
        <v>206</v>
      </c>
      <c r="C64" s="223"/>
      <c r="D64" s="306"/>
      <c r="E64" s="685">
        <v>0</v>
      </c>
      <c r="F64" s="317"/>
      <c r="G64" s="685">
        <v>0</v>
      </c>
      <c r="H64" s="317"/>
      <c r="I64" s="685">
        <v>0</v>
      </c>
      <c r="J64" s="317"/>
      <c r="K64" s="685">
        <v>0</v>
      </c>
      <c r="L64" s="260"/>
      <c r="M64" s="371">
        <v>0</v>
      </c>
      <c r="N64" s="260"/>
      <c r="O64" s="371">
        <v>0</v>
      </c>
      <c r="P64" s="260"/>
      <c r="Q64" s="371">
        <v>0</v>
      </c>
      <c r="R64" s="260"/>
      <c r="S64" s="371">
        <v>0</v>
      </c>
      <c r="T64" s="260"/>
      <c r="U64" s="371">
        <v>0</v>
      </c>
      <c r="V64" s="260"/>
      <c r="W64" s="371">
        <v>0</v>
      </c>
      <c r="X64" s="260"/>
      <c r="Y64" s="371"/>
      <c r="Z64" s="260"/>
      <c r="AA64" s="685"/>
      <c r="AB64" s="317"/>
      <c r="AC64" s="1257"/>
      <c r="AD64" s="318">
        <f>ROUND(SUM(E64:AA64),1)</f>
        <v>0</v>
      </c>
      <c r="AE64" s="2051"/>
      <c r="AF64" s="1257"/>
      <c r="AG64" s="685">
        <v>0</v>
      </c>
      <c r="AH64" s="327"/>
      <c r="AI64" s="2102"/>
      <c r="AJ64" s="2118">
        <f>ROUND(AD64-AG64,1)</f>
        <v>0</v>
      </c>
      <c r="AK64" s="644"/>
      <c r="AL64" s="45">
        <f>ROUND(IF(AG64=0,0,AJ64/ABS(AG64)),3)</f>
        <v>0</v>
      </c>
    </row>
    <row r="65" spans="1:39" ht="15.75">
      <c r="A65" s="223"/>
      <c r="B65" s="223" t="s">
        <v>207</v>
      </c>
      <c r="C65" s="223"/>
      <c r="D65" s="306"/>
      <c r="E65" s="685">
        <v>0</v>
      </c>
      <c r="F65" s="317"/>
      <c r="G65" s="685">
        <v>0</v>
      </c>
      <c r="H65" s="317"/>
      <c r="I65" s="685">
        <v>0</v>
      </c>
      <c r="J65" s="317"/>
      <c r="K65" s="685">
        <v>0</v>
      </c>
      <c r="L65" s="260"/>
      <c r="M65" s="371">
        <v>0</v>
      </c>
      <c r="N65" s="260"/>
      <c r="O65" s="371">
        <v>0</v>
      </c>
      <c r="P65" s="260"/>
      <c r="Q65" s="371">
        <v>0</v>
      </c>
      <c r="R65" s="260"/>
      <c r="S65" s="371">
        <v>0</v>
      </c>
      <c r="T65" s="260"/>
      <c r="U65" s="371">
        <v>0</v>
      </c>
      <c r="V65" s="260"/>
      <c r="W65" s="371">
        <v>0</v>
      </c>
      <c r="X65" s="260"/>
      <c r="Y65" s="371"/>
      <c r="Z65" s="665"/>
      <c r="AA65" s="685"/>
      <c r="AB65" s="2103"/>
      <c r="AC65" s="2104"/>
      <c r="AD65" s="318">
        <f>ROUND(SUM(E65:AA65),1)</f>
        <v>0</v>
      </c>
      <c r="AE65" s="2051"/>
      <c r="AF65" s="1257"/>
      <c r="AG65" s="685">
        <v>0</v>
      </c>
      <c r="AH65" s="327"/>
      <c r="AI65" s="2102"/>
      <c r="AJ65" s="2118">
        <f>ROUND(AD65-AG65,1)</f>
        <v>0</v>
      </c>
      <c r="AK65" s="644"/>
      <c r="AL65" s="45">
        <f>ROUND(IF(AG65=0,0,AJ65/ABS(AG65)),3)</f>
        <v>0</v>
      </c>
    </row>
    <row r="66" spans="1:39" ht="15.75">
      <c r="A66" s="223"/>
      <c r="B66" s="246" t="s">
        <v>219</v>
      </c>
      <c r="C66" s="223"/>
      <c r="D66" s="306"/>
      <c r="E66" s="318">
        <v>55.9</v>
      </c>
      <c r="F66" s="317"/>
      <c r="G66" s="2076">
        <v>109.5</v>
      </c>
      <c r="H66" s="317"/>
      <c r="I66" s="2076">
        <v>128.19999999999999</v>
      </c>
      <c r="J66" s="317"/>
      <c r="K66" s="2076">
        <v>126.4</v>
      </c>
      <c r="L66" s="260"/>
      <c r="M66" s="279">
        <v>151.30000000000001</v>
      </c>
      <c r="N66" s="260"/>
      <c r="O66" s="279">
        <v>197.7</v>
      </c>
      <c r="P66" s="260"/>
      <c r="Q66" s="487">
        <v>165.4</v>
      </c>
      <c r="R66" s="260"/>
      <c r="S66" s="487">
        <v>160.30000000000001</v>
      </c>
      <c r="T66" s="260"/>
      <c r="U66" s="487">
        <v>126.5</v>
      </c>
      <c r="V66" s="260"/>
      <c r="W66" s="487">
        <v>124.5</v>
      </c>
      <c r="X66" s="260"/>
      <c r="Y66" s="371"/>
      <c r="Z66" s="260"/>
      <c r="AA66" s="524"/>
      <c r="AB66" s="317"/>
      <c r="AC66" s="1257"/>
      <c r="AD66" s="318">
        <f>ROUND(SUM(E66:AA66),1)</f>
        <v>1345.7</v>
      </c>
      <c r="AE66" s="2051"/>
      <c r="AF66" s="1257"/>
      <c r="AG66" s="1778">
        <v>1283.5</v>
      </c>
      <c r="AH66" s="266"/>
      <c r="AI66" s="2052"/>
      <c r="AJ66" s="2120">
        <f>ROUND(AD66-AG66,1)</f>
        <v>62.2</v>
      </c>
      <c r="AK66" s="644"/>
      <c r="AL66" s="1765">
        <f>ROUND(IF(AG66=0,0,AJ66/ABS(AG66)),3)</f>
        <v>4.8000000000000001E-2</v>
      </c>
    </row>
    <row r="67" spans="1:39" ht="15.75">
      <c r="A67" s="223"/>
      <c r="B67" s="223"/>
      <c r="C67" s="223"/>
      <c r="D67" s="306"/>
      <c r="E67" s="326"/>
      <c r="F67" s="317"/>
      <c r="G67" s="326"/>
      <c r="H67" s="317"/>
      <c r="I67" s="326"/>
      <c r="J67" s="317"/>
      <c r="K67" s="326"/>
      <c r="L67" s="260"/>
      <c r="M67" s="287"/>
      <c r="N67" s="260"/>
      <c r="O67" s="287"/>
      <c r="P67" s="260"/>
      <c r="Q67" s="287"/>
      <c r="R67" s="260"/>
      <c r="S67" s="287"/>
      <c r="T67" s="260"/>
      <c r="U67" s="287"/>
      <c r="V67" s="260"/>
      <c r="W67" s="287"/>
      <c r="X67" s="260"/>
      <c r="Y67" s="287"/>
      <c r="Z67" s="260"/>
      <c r="AA67" s="326"/>
      <c r="AB67" s="317"/>
      <c r="AC67" s="1257"/>
      <c r="AD67" s="326"/>
      <c r="AE67" s="2051"/>
      <c r="AF67" s="1257"/>
      <c r="AG67" s="686"/>
      <c r="AH67" s="686"/>
      <c r="AI67" s="2106"/>
      <c r="AJ67" s="686"/>
      <c r="AK67" s="644"/>
      <c r="AL67" s="652"/>
    </row>
    <row r="68" spans="1:39" ht="15.75">
      <c r="A68" s="223"/>
      <c r="B68" s="221" t="s">
        <v>208</v>
      </c>
      <c r="C68" s="223"/>
      <c r="D68" s="306"/>
      <c r="E68" s="311">
        <f>ROUND(SUM(E61:E66),1)</f>
        <v>77.900000000000006</v>
      </c>
      <c r="F68" s="311"/>
      <c r="G68" s="311">
        <f>ROUND(SUM(G61:G66),1)</f>
        <v>146.69999999999999</v>
      </c>
      <c r="H68" s="311"/>
      <c r="I68" s="311">
        <f>ROUND(SUM(I61:I66),1)</f>
        <v>155.9</v>
      </c>
      <c r="J68" s="311"/>
      <c r="K68" s="311">
        <f>ROUND(SUM(K61:K66),1)</f>
        <v>191.1</v>
      </c>
      <c r="L68" s="256"/>
      <c r="M68" s="256">
        <f>ROUND(SUM(M61:M66),1)</f>
        <v>215.8</v>
      </c>
      <c r="N68" s="256"/>
      <c r="O68" s="256">
        <f>ROUND(SUM(O61:O66),1)</f>
        <v>318.5</v>
      </c>
      <c r="P68" s="256"/>
      <c r="Q68" s="256">
        <f>ROUND(SUM(Q61:Q66),1)</f>
        <v>226.6</v>
      </c>
      <c r="R68" s="256"/>
      <c r="S68" s="256">
        <f>ROUND(SUM(S61:S66),1)</f>
        <v>190.1</v>
      </c>
      <c r="T68" s="256"/>
      <c r="U68" s="1802">
        <f>ROUND(SUM(U61:U66),1)</f>
        <v>328.1</v>
      </c>
      <c r="V68" s="256"/>
      <c r="W68" s="256">
        <f>ROUND(SUM(W61:W66),1)</f>
        <v>197.9</v>
      </c>
      <c r="X68" s="256"/>
      <c r="Y68" s="256">
        <f>ROUND(SUM(Y61:Y66),1)</f>
        <v>0</v>
      </c>
      <c r="Z68" s="256"/>
      <c r="AA68" s="311">
        <f>ROUND(SUM(AA61:AA66),1)</f>
        <v>0</v>
      </c>
      <c r="AB68" s="311"/>
      <c r="AC68" s="1258"/>
      <c r="AD68" s="311">
        <f>ROUND(SUM(AD61:AD66),1)</f>
        <v>2048.6</v>
      </c>
      <c r="AE68" s="2056"/>
      <c r="AF68" s="1258"/>
      <c r="AG68" s="311">
        <f>SUM(AG61:AG66)</f>
        <v>1783.2</v>
      </c>
      <c r="AH68" s="314"/>
      <c r="AI68" s="2094"/>
      <c r="AJ68" s="312">
        <f>ROUND(AD68-AG68,1)</f>
        <v>265.39999999999998</v>
      </c>
      <c r="AK68" s="662"/>
      <c r="AL68" s="553">
        <f>ROUND(SUM(AD68-AG68)/ABS(AG68),3)</f>
        <v>0.14899999999999999</v>
      </c>
    </row>
    <row r="69" spans="1:39" ht="15.75">
      <c r="A69" s="223"/>
      <c r="B69" s="223"/>
      <c r="C69" s="223"/>
      <c r="D69" s="306"/>
      <c r="E69" s="326"/>
      <c r="F69" s="317"/>
      <c r="G69" s="326"/>
      <c r="H69" s="317"/>
      <c r="I69" s="326"/>
      <c r="J69" s="317"/>
      <c r="K69" s="326"/>
      <c r="L69" s="260"/>
      <c r="M69" s="287"/>
      <c r="N69" s="260"/>
      <c r="O69" s="287"/>
      <c r="P69" s="260"/>
      <c r="Q69" s="287"/>
      <c r="R69" s="260"/>
      <c r="S69" s="287"/>
      <c r="T69" s="260"/>
      <c r="U69" s="287"/>
      <c r="V69" s="260"/>
      <c r="W69" s="287"/>
      <c r="X69" s="260"/>
      <c r="Y69" s="287"/>
      <c r="Z69" s="260"/>
      <c r="AA69" s="326"/>
      <c r="AB69" s="317"/>
      <c r="AC69" s="1257"/>
      <c r="AD69" s="326"/>
      <c r="AE69" s="2051"/>
      <c r="AF69" s="1257"/>
      <c r="AG69" s="326"/>
      <c r="AH69" s="261"/>
      <c r="AI69" s="2094"/>
      <c r="AJ69" s="686"/>
      <c r="AK69" s="644"/>
      <c r="AL69" s="652"/>
    </row>
    <row r="70" spans="1:39" ht="15.75">
      <c r="A70" s="223"/>
      <c r="B70" s="221" t="s">
        <v>209</v>
      </c>
      <c r="C70" s="223"/>
      <c r="D70" s="306"/>
      <c r="E70" s="317"/>
      <c r="F70" s="317"/>
      <c r="G70" s="317"/>
      <c r="H70" s="317"/>
      <c r="I70" s="317"/>
      <c r="J70" s="317"/>
      <c r="K70" s="317"/>
      <c r="L70" s="260"/>
      <c r="M70" s="260"/>
      <c r="N70" s="260"/>
      <c r="O70" s="260"/>
      <c r="P70" s="260"/>
      <c r="Q70" s="260"/>
      <c r="R70" s="260"/>
      <c r="S70" s="260"/>
      <c r="T70" s="260"/>
      <c r="U70" s="260"/>
      <c r="V70" s="260"/>
      <c r="W70" s="260"/>
      <c r="X70" s="260"/>
      <c r="Y70" s="260"/>
      <c r="Z70" s="260"/>
      <c r="AA70" s="317"/>
      <c r="AB70" s="317"/>
      <c r="AC70" s="1257"/>
      <c r="AD70" s="686"/>
      <c r="AE70" s="2051"/>
      <c r="AF70" s="261"/>
      <c r="AG70" s="686"/>
      <c r="AH70" s="686"/>
      <c r="AI70" s="2106"/>
      <c r="AJ70" s="686"/>
      <c r="AK70" s="644"/>
      <c r="AL70" s="652"/>
    </row>
    <row r="71" spans="1:39" ht="15.75">
      <c r="A71" s="223"/>
      <c r="B71" s="221" t="s">
        <v>210</v>
      </c>
      <c r="C71" s="223"/>
      <c r="D71" s="306"/>
      <c r="E71" s="311">
        <f>ROUND(E47-E68,1)</f>
        <v>49.3</v>
      </c>
      <c r="F71" s="311"/>
      <c r="G71" s="311">
        <f>ROUND(G47-G68,1)</f>
        <v>9.6999999999999993</v>
      </c>
      <c r="H71" s="311"/>
      <c r="I71" s="311">
        <f>ROUND(I47-I68,1)</f>
        <v>71.5</v>
      </c>
      <c r="J71" s="311"/>
      <c r="K71" s="311">
        <f>ROUND(K47-K68,1)</f>
        <v>-37.6</v>
      </c>
      <c r="L71" s="256"/>
      <c r="M71" s="256">
        <f>ROUND(M47-M68,1)</f>
        <v>13.8</v>
      </c>
      <c r="N71" s="256"/>
      <c r="O71" s="256">
        <f>ROUND(O47-O68,1)</f>
        <v>41.4</v>
      </c>
      <c r="P71" s="256"/>
      <c r="Q71" s="256">
        <f>ROUND(Q47-Q68,1)</f>
        <v>-62.4</v>
      </c>
      <c r="R71" s="256"/>
      <c r="S71" s="256">
        <f>ROUND(S47-S68,1)</f>
        <v>14.4</v>
      </c>
      <c r="T71" s="256"/>
      <c r="U71" s="1802">
        <f>ROUND(U47-U68,1)</f>
        <v>52.6</v>
      </c>
      <c r="V71" s="256"/>
      <c r="W71" s="256">
        <f>ROUND(W47-W68,1)</f>
        <v>-59.8</v>
      </c>
      <c r="X71" s="256"/>
      <c r="Y71" s="256">
        <f>ROUND(Y47-Y68,1)</f>
        <v>0</v>
      </c>
      <c r="Z71" s="256"/>
      <c r="AA71" s="311">
        <f>ROUND(AA47-AA68,1)</f>
        <v>0</v>
      </c>
      <c r="AB71" s="311"/>
      <c r="AC71" s="1258"/>
      <c r="AD71" s="311">
        <f>ROUND(AD47-AD68,1)</f>
        <v>92.9</v>
      </c>
      <c r="AE71" s="2056"/>
      <c r="AF71" s="1258"/>
      <c r="AG71" s="311">
        <f>ROUND(SUM(AG47-AG68),1)</f>
        <v>29.8</v>
      </c>
      <c r="AH71" s="314"/>
      <c r="AI71" s="2094"/>
      <c r="AJ71" s="312">
        <f>ROUND(AD71-AG71,1)</f>
        <v>63.1</v>
      </c>
      <c r="AK71" s="662"/>
      <c r="AL71" s="2715">
        <f>ROUND(SUM(AD71-AG71)/ABS(AG71),3)</f>
        <v>2.117</v>
      </c>
    </row>
    <row r="72" spans="1:39" ht="15.75">
      <c r="A72" s="223"/>
      <c r="B72" s="223"/>
      <c r="C72" s="223"/>
      <c r="D72" s="306"/>
      <c r="E72" s="326"/>
      <c r="F72" s="317"/>
      <c r="G72" s="326"/>
      <c r="H72" s="317"/>
      <c r="I72" s="326"/>
      <c r="J72" s="317"/>
      <c r="K72" s="326"/>
      <c r="L72" s="260"/>
      <c r="M72" s="287"/>
      <c r="N72" s="260"/>
      <c r="O72" s="287"/>
      <c r="P72" s="260"/>
      <c r="Q72" s="287"/>
      <c r="R72" s="260"/>
      <c r="S72" s="287"/>
      <c r="T72" s="260"/>
      <c r="U72" s="287"/>
      <c r="V72" s="260"/>
      <c r="W72" s="287"/>
      <c r="X72" s="260"/>
      <c r="Y72" s="287"/>
      <c r="Z72" s="260"/>
      <c r="AA72" s="326"/>
      <c r="AB72" s="317"/>
      <c r="AC72" s="1257"/>
      <c r="AD72" s="326"/>
      <c r="AE72" s="2051"/>
      <c r="AF72" s="1257"/>
      <c r="AG72" s="326"/>
      <c r="AH72" s="261"/>
      <c r="AI72" s="2094"/>
      <c r="AJ72" s="686"/>
      <c r="AK72" s="644"/>
      <c r="AL72" s="652"/>
    </row>
    <row r="73" spans="1:39" ht="15.75">
      <c r="A73" s="223"/>
      <c r="B73" s="221" t="s">
        <v>211</v>
      </c>
      <c r="C73" s="223"/>
      <c r="D73" s="306"/>
      <c r="E73" s="317"/>
      <c r="F73" s="317"/>
      <c r="G73" s="317"/>
      <c r="H73" s="317"/>
      <c r="I73" s="317"/>
      <c r="J73" s="317"/>
      <c r="K73" s="317"/>
      <c r="L73" s="260"/>
      <c r="M73" s="260"/>
      <c r="N73" s="260"/>
      <c r="O73" s="260"/>
      <c r="P73" s="260"/>
      <c r="Q73" s="260"/>
      <c r="R73" s="260"/>
      <c r="S73" s="260"/>
      <c r="T73" s="260"/>
      <c r="U73" s="260"/>
      <c r="V73" s="260"/>
      <c r="W73" s="260" t="s">
        <v>15</v>
      </c>
      <c r="X73" s="260"/>
      <c r="Y73" s="260"/>
      <c r="Z73" s="260"/>
      <c r="AA73" s="317"/>
      <c r="AB73" s="317"/>
      <c r="AC73" s="1257"/>
      <c r="AD73" s="317"/>
      <c r="AE73" s="2051"/>
      <c r="AF73" s="1257"/>
      <c r="AG73" s="327"/>
      <c r="AH73" s="327"/>
      <c r="AI73" s="2102"/>
      <c r="AJ73" s="686"/>
      <c r="AK73" s="644"/>
      <c r="AL73" s="652"/>
    </row>
    <row r="74" spans="1:39" ht="15.75">
      <c r="A74" s="223"/>
      <c r="B74" s="246" t="s">
        <v>220</v>
      </c>
      <c r="C74" s="223"/>
      <c r="D74" s="306"/>
      <c r="E74" s="685">
        <v>0</v>
      </c>
      <c r="F74" s="317"/>
      <c r="G74" s="685">
        <v>0</v>
      </c>
      <c r="H74" s="317"/>
      <c r="I74" s="685">
        <v>0</v>
      </c>
      <c r="J74" s="317"/>
      <c r="K74" s="685">
        <v>0</v>
      </c>
      <c r="L74" s="260"/>
      <c r="M74" s="371">
        <v>0</v>
      </c>
      <c r="N74" s="260"/>
      <c r="O74" s="371">
        <v>0</v>
      </c>
      <c r="P74" s="260"/>
      <c r="Q74" s="371">
        <v>0</v>
      </c>
      <c r="R74" s="260"/>
      <c r="S74" s="371">
        <v>0</v>
      </c>
      <c r="T74" s="260"/>
      <c r="U74" s="371">
        <v>0</v>
      </c>
      <c r="V74" s="260"/>
      <c r="W74" s="371">
        <v>0</v>
      </c>
      <c r="X74" s="260"/>
      <c r="Y74" s="371"/>
      <c r="Z74" s="260"/>
      <c r="AA74" s="685"/>
      <c r="AB74" s="317"/>
      <c r="AC74" s="1257"/>
      <c r="AD74" s="318">
        <f>ROUND(SUM(E74:AA74),1)</f>
        <v>0</v>
      </c>
      <c r="AE74" s="2051"/>
      <c r="AF74" s="1257"/>
      <c r="AG74" s="685">
        <v>0</v>
      </c>
      <c r="AH74" s="318"/>
      <c r="AI74" s="2052"/>
      <c r="AJ74" s="2118">
        <v>0</v>
      </c>
      <c r="AK74" s="644"/>
      <c r="AL74" s="45">
        <f>ROUND(IF(AG74=0,0,AJ74/ABS(AG74)),3)</f>
        <v>0</v>
      </c>
      <c r="AM74" s="644"/>
    </row>
    <row r="75" spans="1:39" ht="15.75">
      <c r="A75" s="223"/>
      <c r="B75" s="246" t="s">
        <v>221</v>
      </c>
      <c r="C75" s="223"/>
      <c r="D75" s="306"/>
      <c r="E75" s="685">
        <v>0</v>
      </c>
      <c r="F75" s="317"/>
      <c r="G75" s="685">
        <v>0</v>
      </c>
      <c r="H75" s="317"/>
      <c r="I75" s="685">
        <v>-4.2</v>
      </c>
      <c r="J75" s="317"/>
      <c r="K75" s="685">
        <v>-1.9</v>
      </c>
      <c r="L75" s="260"/>
      <c r="M75" s="371">
        <v>0</v>
      </c>
      <c r="N75" s="260"/>
      <c r="O75" s="371">
        <v>-30.5</v>
      </c>
      <c r="P75" s="260"/>
      <c r="Q75" s="371">
        <v>-2.1</v>
      </c>
      <c r="R75" s="260"/>
      <c r="S75" s="371">
        <v>0</v>
      </c>
      <c r="T75" s="260"/>
      <c r="U75" s="371">
        <v>0</v>
      </c>
      <c r="V75" s="260"/>
      <c r="W75" s="371">
        <v>-0.2</v>
      </c>
      <c r="X75" s="260"/>
      <c r="Y75" s="371"/>
      <c r="Z75" s="260"/>
      <c r="AA75" s="317"/>
      <c r="AB75" s="317"/>
      <c r="AC75" s="1257"/>
      <c r="AD75" s="318">
        <f>ROUND(SUM(E75:AA75),1)</f>
        <v>-38.9</v>
      </c>
      <c r="AE75" s="2051"/>
      <c r="AF75" s="1257"/>
      <c r="AG75" s="2514">
        <v>-4.0999999999999996</v>
      </c>
      <c r="AH75" s="261"/>
      <c r="AI75" s="2094"/>
      <c r="AJ75" s="2120">
        <f>ROUND(AD75-AG75,1)*-1</f>
        <v>34.799999999999997</v>
      </c>
      <c r="AK75" s="644"/>
      <c r="AL75" s="2734">
        <f>ROUND(IF(AG75=0,1,AJ75/ABS(AG75)),3)</f>
        <v>8.4879999999999995</v>
      </c>
    </row>
    <row r="76" spans="1:39" ht="15.75">
      <c r="A76" s="223"/>
      <c r="B76" s="223"/>
      <c r="C76" s="223"/>
      <c r="D76" s="306"/>
      <c r="E76" s="326"/>
      <c r="F76" s="317"/>
      <c r="G76" s="326"/>
      <c r="H76" s="317"/>
      <c r="I76" s="326"/>
      <c r="J76" s="317"/>
      <c r="K76" s="326"/>
      <c r="L76" s="260"/>
      <c r="M76" s="287"/>
      <c r="N76" s="260"/>
      <c r="O76" s="287"/>
      <c r="P76" s="260"/>
      <c r="Q76" s="287"/>
      <c r="R76" s="260"/>
      <c r="S76" s="287"/>
      <c r="T76" s="260"/>
      <c r="U76" s="287"/>
      <c r="V76" s="260"/>
      <c r="W76" s="418"/>
      <c r="X76" s="260"/>
      <c r="Y76" s="287"/>
      <c r="Z76" s="260"/>
      <c r="AA76" s="326"/>
      <c r="AB76" s="317"/>
      <c r="AC76" s="1257"/>
      <c r="AD76" s="326"/>
      <c r="AE76" s="2051"/>
      <c r="AF76" s="1257"/>
      <c r="AG76" s="686"/>
      <c r="AH76" s="686"/>
      <c r="AI76" s="2106"/>
      <c r="AJ76" s="2121"/>
      <c r="AK76" s="687"/>
      <c r="AL76" s="2716"/>
      <c r="AM76" s="644"/>
    </row>
    <row r="77" spans="1:39" ht="15.75">
      <c r="A77" s="223"/>
      <c r="B77" s="221" t="s">
        <v>214</v>
      </c>
      <c r="C77" s="223"/>
      <c r="D77" s="306"/>
      <c r="E77" s="2114">
        <f>ROUND(SUM(E74:E76),1)</f>
        <v>0</v>
      </c>
      <c r="F77" s="317"/>
      <c r="G77" s="2114">
        <f>ROUND(SUM(G74:G76),1)</f>
        <v>0</v>
      </c>
      <c r="H77" s="317"/>
      <c r="I77" s="2114">
        <f>ROUND(SUM(I74:I76),1)</f>
        <v>-4.2</v>
      </c>
      <c r="J77" s="317"/>
      <c r="K77" s="2114">
        <f>ROUND(SUM(K74:K76),1)</f>
        <v>-1.9</v>
      </c>
      <c r="L77" s="260"/>
      <c r="M77" s="542">
        <f>ROUND(SUM(M74:M76),1)</f>
        <v>0</v>
      </c>
      <c r="N77" s="260"/>
      <c r="O77" s="542">
        <f>ROUND(SUM(O74:O76),1)</f>
        <v>-30.5</v>
      </c>
      <c r="P77" s="260"/>
      <c r="Q77" s="542">
        <f>ROUND(SUM(Q74:Q76),1)</f>
        <v>-2.1</v>
      </c>
      <c r="R77" s="265"/>
      <c r="S77" s="542">
        <f>ROUND(SUM(S74:S76),1)</f>
        <v>0</v>
      </c>
      <c r="T77" s="260"/>
      <c r="U77" s="542">
        <f>ROUND(SUM(U74:U76),1)</f>
        <v>0</v>
      </c>
      <c r="V77" s="260"/>
      <c r="W77" s="542">
        <f>ROUND(SUM(W74:W76),1)</f>
        <v>-0.2</v>
      </c>
      <c r="X77" s="260"/>
      <c r="Y77" s="542">
        <f>ROUND(SUM(Y74:Y76),1)</f>
        <v>0</v>
      </c>
      <c r="Z77" s="273"/>
      <c r="AA77" s="2114">
        <f>ROUND(SUM(AA74:AA76),1)</f>
        <v>0</v>
      </c>
      <c r="AB77" s="317"/>
      <c r="AC77" s="1257"/>
      <c r="AD77" s="2114">
        <f>ROUND(SUM(AD74:AD76),1)</f>
        <v>-38.9</v>
      </c>
      <c r="AE77" s="2051"/>
      <c r="AF77" s="1257"/>
      <c r="AG77" s="2114">
        <f>ROUND(SUM(AG74:AG76),1)</f>
        <v>-4.0999999999999996</v>
      </c>
      <c r="AH77" s="261"/>
      <c r="AI77" s="2094"/>
      <c r="AJ77" s="2114">
        <f>ROUND(SUM(AJ74:AJ76),1)</f>
        <v>34.799999999999997</v>
      </c>
      <c r="AK77" s="687"/>
      <c r="AL77" s="2765">
        <f>ROUND(IF(AG77=0,1,AJ77/ABS(AG77)),3)</f>
        <v>8.4879999999999995</v>
      </c>
    </row>
    <row r="78" spans="1:39" ht="15.75">
      <c r="A78" s="223"/>
      <c r="B78" s="223"/>
      <c r="C78" s="223"/>
      <c r="D78" s="306"/>
      <c r="E78" s="326"/>
      <c r="F78" s="317"/>
      <c r="G78" s="326"/>
      <c r="H78" s="317"/>
      <c r="I78" s="326"/>
      <c r="J78" s="317"/>
      <c r="K78" s="326"/>
      <c r="L78" s="260"/>
      <c r="M78" s="287"/>
      <c r="N78" s="260"/>
      <c r="O78" s="287"/>
      <c r="P78" s="260"/>
      <c r="Q78" s="287"/>
      <c r="R78" s="260"/>
      <c r="S78" s="287"/>
      <c r="T78" s="260"/>
      <c r="U78" s="287"/>
      <c r="V78" s="260"/>
      <c r="W78" s="287"/>
      <c r="X78" s="260"/>
      <c r="Y78" s="287"/>
      <c r="Z78" s="260"/>
      <c r="AA78" s="326"/>
      <c r="AB78" s="317"/>
      <c r="AC78" s="1257"/>
      <c r="AD78" s="326"/>
      <c r="AE78" s="2051"/>
      <c r="AF78" s="1257"/>
      <c r="AG78" s="326"/>
      <c r="AH78" s="261"/>
      <c r="AI78" s="2094"/>
      <c r="AJ78" s="326"/>
      <c r="AK78" s="644"/>
      <c r="AL78" s="2717"/>
    </row>
    <row r="79" spans="1:39" ht="15.75">
      <c r="A79" s="223"/>
      <c r="B79" s="221" t="s">
        <v>215</v>
      </c>
      <c r="C79" s="223"/>
      <c r="D79" s="306"/>
      <c r="E79" s="317" t="s">
        <v>15</v>
      </c>
      <c r="F79" s="317" t="s">
        <v>15</v>
      </c>
      <c r="G79" s="317" t="s">
        <v>15</v>
      </c>
      <c r="H79" s="317"/>
      <c r="I79" s="317" t="s">
        <v>15</v>
      </c>
      <c r="J79" s="317"/>
      <c r="K79" s="317" t="s">
        <v>15</v>
      </c>
      <c r="L79" s="260"/>
      <c r="M79" s="260" t="s">
        <v>15</v>
      </c>
      <c r="N79" s="260"/>
      <c r="O79" s="260" t="s">
        <v>15</v>
      </c>
      <c r="P79" s="260"/>
      <c r="Q79" s="260" t="s">
        <v>15</v>
      </c>
      <c r="R79" s="260"/>
      <c r="S79" s="260" t="s">
        <v>15</v>
      </c>
      <c r="T79" s="260"/>
      <c r="U79" s="260" t="s">
        <v>15</v>
      </c>
      <c r="V79" s="260"/>
      <c r="W79" s="260" t="s">
        <v>15</v>
      </c>
      <c r="X79" s="260"/>
      <c r="Y79" s="260" t="s">
        <v>15</v>
      </c>
      <c r="Z79" s="260"/>
      <c r="AA79" s="317" t="s">
        <v>15</v>
      </c>
      <c r="AB79" s="317"/>
      <c r="AC79" s="1257"/>
      <c r="AD79" s="317"/>
      <c r="AE79" s="2051"/>
      <c r="AF79" s="1257"/>
      <c r="AG79" s="317"/>
      <c r="AH79" s="317"/>
      <c r="AI79" s="2094"/>
      <c r="AJ79" s="686"/>
      <c r="AK79" s="644"/>
      <c r="AL79" s="652"/>
    </row>
    <row r="80" spans="1:39" ht="15.75">
      <c r="A80" s="223"/>
      <c r="B80" s="221" t="s">
        <v>216</v>
      </c>
      <c r="C80" s="223"/>
      <c r="D80" s="306"/>
      <c r="E80" s="317"/>
      <c r="F80" s="317"/>
      <c r="G80" s="317" t="s">
        <v>15</v>
      </c>
      <c r="H80" s="317"/>
      <c r="I80" s="317" t="s">
        <v>15</v>
      </c>
      <c r="J80" s="317"/>
      <c r="K80" s="317" t="s">
        <v>15</v>
      </c>
      <c r="L80" s="260"/>
      <c r="M80" s="260" t="s">
        <v>15</v>
      </c>
      <c r="N80" s="260"/>
      <c r="O80" s="260" t="s">
        <v>15</v>
      </c>
      <c r="P80" s="260"/>
      <c r="Q80" s="260" t="s">
        <v>15</v>
      </c>
      <c r="R80" s="260"/>
      <c r="S80" s="260" t="s">
        <v>15</v>
      </c>
      <c r="T80" s="260"/>
      <c r="U80" s="260" t="s">
        <v>15</v>
      </c>
      <c r="V80" s="260"/>
      <c r="W80" s="260" t="s">
        <v>15</v>
      </c>
      <c r="X80" s="260"/>
      <c r="Y80" s="260" t="s">
        <v>15</v>
      </c>
      <c r="Z80" s="260"/>
      <c r="AA80" s="317" t="s">
        <v>15</v>
      </c>
      <c r="AB80" s="317"/>
      <c r="AC80" s="1257"/>
      <c r="AD80" s="317"/>
      <c r="AE80" s="2051"/>
      <c r="AF80" s="1257"/>
      <c r="AG80" s="317"/>
      <c r="AH80" s="317"/>
      <c r="AI80" s="2094"/>
      <c r="AJ80" s="686"/>
      <c r="AK80" s="644"/>
      <c r="AL80" s="652"/>
    </row>
    <row r="81" spans="1:39" ht="15.75">
      <c r="A81" s="223"/>
      <c r="B81" s="221" t="s">
        <v>173</v>
      </c>
      <c r="C81" s="223"/>
      <c r="D81" s="306"/>
      <c r="E81" s="2101">
        <f>ROUND(E71+E77,1)</f>
        <v>49.3</v>
      </c>
      <c r="F81" s="317"/>
      <c r="G81" s="2101">
        <f>ROUND(G71+G77,1)</f>
        <v>9.6999999999999993</v>
      </c>
      <c r="H81" s="317"/>
      <c r="I81" s="2101">
        <f>ROUND(I71+I77,1)</f>
        <v>67.3</v>
      </c>
      <c r="J81" s="317"/>
      <c r="K81" s="2101">
        <f>ROUND(K71+K77,1)</f>
        <v>-39.5</v>
      </c>
      <c r="L81" s="260"/>
      <c r="M81" s="2101">
        <f>ROUND(M71+M77,1)</f>
        <v>13.8</v>
      </c>
      <c r="N81" s="260"/>
      <c r="O81" s="2101">
        <f>ROUND(O71+O77,1)</f>
        <v>10.9</v>
      </c>
      <c r="P81" s="260"/>
      <c r="Q81" s="2101">
        <f>ROUND(Q71+Q77,1)</f>
        <v>-64.5</v>
      </c>
      <c r="R81" s="260"/>
      <c r="S81" s="2101">
        <f>ROUND(S71+S77,1)</f>
        <v>14.4</v>
      </c>
      <c r="T81" s="260"/>
      <c r="U81" s="2101">
        <f>ROUND(U71+U77,1)</f>
        <v>52.6</v>
      </c>
      <c r="V81" s="260"/>
      <c r="W81" s="2101">
        <f>ROUND(W71+W77,1)</f>
        <v>-60</v>
      </c>
      <c r="X81" s="260"/>
      <c r="Y81" s="2101">
        <f>ROUND(Y71+Y77,1)</f>
        <v>0</v>
      </c>
      <c r="Z81" s="260"/>
      <c r="AA81" s="2101">
        <f>ROUND(AA71+AA77,1)</f>
        <v>0</v>
      </c>
      <c r="AB81" s="317"/>
      <c r="AC81" s="1257"/>
      <c r="AD81" s="2101">
        <f>ROUND(AD71+AD77,1)</f>
        <v>54</v>
      </c>
      <c r="AE81" s="2587"/>
      <c r="AF81" s="2588"/>
      <c r="AG81" s="2101">
        <f>ROUND(AG71+AG77,1)</f>
        <v>25.7</v>
      </c>
      <c r="AH81" s="2589"/>
      <c r="AI81" s="2590"/>
      <c r="AJ81" s="2101">
        <f>ROUND(AD81-AG81,1)</f>
        <v>28.3</v>
      </c>
      <c r="AK81" s="662"/>
      <c r="AL81" s="2715">
        <f>ROUND(SUM(AD81-AG81)/ABS(AG81),3)</f>
        <v>1.101</v>
      </c>
      <c r="AM81" s="1773"/>
    </row>
    <row r="82" spans="1:39" ht="15.75">
      <c r="A82" s="223"/>
      <c r="B82" s="221"/>
      <c r="C82" s="223"/>
      <c r="D82" s="306"/>
      <c r="E82" s="339"/>
      <c r="F82" s="317"/>
      <c r="G82" s="339"/>
      <c r="H82" s="317"/>
      <c r="I82" s="339"/>
      <c r="J82" s="317"/>
      <c r="K82" s="339"/>
      <c r="L82" s="260"/>
      <c r="M82" s="339"/>
      <c r="N82" s="260"/>
      <c r="O82" s="339"/>
      <c r="P82" s="260"/>
      <c r="Q82" s="339"/>
      <c r="R82" s="260"/>
      <c r="S82" s="339"/>
      <c r="T82" s="260"/>
      <c r="U82" s="339"/>
      <c r="V82" s="260"/>
      <c r="W82" s="339"/>
      <c r="X82" s="260"/>
      <c r="Y82" s="339"/>
      <c r="Z82" s="260"/>
      <c r="AA82" s="339"/>
      <c r="AB82" s="317"/>
      <c r="AC82" s="1257"/>
      <c r="AD82" s="339"/>
      <c r="AE82" s="2587"/>
      <c r="AF82" s="2588"/>
      <c r="AG82" s="339"/>
      <c r="AH82" s="2589"/>
      <c r="AI82" s="2590"/>
      <c r="AJ82" s="339"/>
      <c r="AK82" s="662"/>
      <c r="AL82" s="3283"/>
      <c r="AM82" s="1773"/>
    </row>
    <row r="83" spans="1:39" ht="16.5" thickBot="1">
      <c r="A83" s="223"/>
      <c r="B83" s="221" t="s">
        <v>1331</v>
      </c>
      <c r="C83" s="223"/>
      <c r="D83" s="306"/>
      <c r="E83" s="3277">
        <f>ROUND(SUM(E15+E81),1)</f>
        <v>-510</v>
      </c>
      <c r="F83" s="316"/>
      <c r="G83" s="3277">
        <f>ROUND(SUM(G15+G81),1)</f>
        <v>-500.3</v>
      </c>
      <c r="H83" s="316"/>
      <c r="I83" s="3277">
        <f>ROUND(SUM(I15+I81),1)</f>
        <v>-433</v>
      </c>
      <c r="J83" s="316"/>
      <c r="K83" s="3277">
        <f>ROUND(SUM(K15+K81),1)</f>
        <v>-472.5</v>
      </c>
      <c r="L83" s="252"/>
      <c r="M83" s="3277">
        <f>ROUND(SUM(M15+M81),1)</f>
        <v>-458.7</v>
      </c>
      <c r="N83" s="252"/>
      <c r="O83" s="3277">
        <f>ROUND(SUM(O15+O81),1)</f>
        <v>-447.8</v>
      </c>
      <c r="P83" s="252"/>
      <c r="Q83" s="3277">
        <f>ROUND(SUM(Q15+Q81),1)</f>
        <v>-512.29999999999995</v>
      </c>
      <c r="R83" s="252"/>
      <c r="S83" s="3277">
        <f>ROUND(SUM(S15+S81),1)</f>
        <v>-497.9</v>
      </c>
      <c r="T83" s="252"/>
      <c r="U83" s="3277">
        <f>ROUND(SUM(U15+U81),1)</f>
        <v>-445.3</v>
      </c>
      <c r="V83" s="252"/>
      <c r="W83" s="3277">
        <f>ROUND(SUM(W15+W81),1)</f>
        <v>-505.3</v>
      </c>
      <c r="X83" s="252"/>
      <c r="Y83" s="3277">
        <f>ROUND(SUM(Y15+Y81),1)</f>
        <v>0</v>
      </c>
      <c r="Z83" s="252"/>
      <c r="AA83" s="3277">
        <f>ROUND(SUM(AA15+AA81),1)</f>
        <v>0</v>
      </c>
      <c r="AB83" s="317"/>
      <c r="AC83" s="1257"/>
      <c r="AD83" s="3277">
        <f>ROUND(SUM(AD15+AD81),1)</f>
        <v>-505.3</v>
      </c>
      <c r="AE83" s="2587"/>
      <c r="AF83" s="2588"/>
      <c r="AG83" s="3277">
        <f>ROUND(SUM(AG15+AG81),1)</f>
        <v>-356.3</v>
      </c>
      <c r="AH83" s="2589"/>
      <c r="AI83" s="2590"/>
      <c r="AJ83" s="489">
        <f>ROUND(AD83-AG83,1)</f>
        <v>-149</v>
      </c>
      <c r="AK83" s="662"/>
      <c r="AL83" s="3284">
        <f>ROUND(SUM(AD83-AG83)/ABS(AG83),3)</f>
        <v>-0.41799999999999998</v>
      </c>
    </row>
    <row r="84" spans="1:39" ht="15.75" thickTop="1">
      <c r="A84" s="223"/>
      <c r="B84" s="2735" t="s">
        <v>15</v>
      </c>
      <c r="C84" s="223"/>
      <c r="D84" s="306"/>
      <c r="E84" s="308"/>
      <c r="F84" s="306"/>
      <c r="G84" s="308"/>
      <c r="H84" s="306"/>
      <c r="I84" s="308"/>
      <c r="J84" s="306"/>
      <c r="K84" s="308"/>
      <c r="L84" s="223"/>
      <c r="M84" s="228"/>
      <c r="N84" s="223"/>
      <c r="O84" s="228"/>
      <c r="P84" s="223"/>
      <c r="Q84" s="228"/>
      <c r="R84" s="223"/>
      <c r="S84" s="531" t="s">
        <v>15</v>
      </c>
      <c r="T84" s="223"/>
      <c r="U84" s="531" t="s">
        <v>15</v>
      </c>
      <c r="V84" s="223"/>
      <c r="W84" s="228"/>
      <c r="X84" s="223"/>
      <c r="Y84" s="228"/>
      <c r="Z84" s="223"/>
      <c r="AA84" s="308"/>
      <c r="AB84" s="306"/>
      <c r="AC84" s="306"/>
      <c r="AD84" s="308"/>
      <c r="AE84" s="306"/>
      <c r="AF84" s="306"/>
      <c r="AG84" s="308"/>
      <c r="AH84" s="308"/>
      <c r="AI84" s="308"/>
      <c r="AJ84" s="2091"/>
      <c r="AK84" s="644"/>
      <c r="AL84" s="652"/>
    </row>
    <row r="85" spans="1:39">
      <c r="B85" s="223"/>
      <c r="Y85" s="676" t="s">
        <v>15</v>
      </c>
      <c r="AI85" s="2091"/>
      <c r="AJ85" s="2066" t="s">
        <v>15</v>
      </c>
      <c r="AK85" s="644"/>
      <c r="AL85" s="688"/>
    </row>
    <row r="134" spans="31:31">
      <c r="AE134" s="2066">
        <v>16739.599999999999</v>
      </c>
    </row>
    <row r="135" spans="31:31">
      <c r="AE135" s="2066">
        <v>-16162.7</v>
      </c>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4" orientation="landscape" useFirstPageNumber="1" r:id="rId2"/>
  <headerFooter scaleWithDoc="0" alignWithMargins="0">
    <oddFooter>&amp;C&amp;8&amp;P</oddFooter>
  </headerFooter>
  <ignoredErrors>
    <ignoredError sqref="AL22:AL41 AL43 AL45 AL63:AL66 AL74 AL52:AL55 AL51 AL58:AL59" unlockedFormula="1"/>
    <ignoredError sqref="AL42"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S61"/>
  <sheetViews>
    <sheetView showGridLines="0" zoomScale="60" workbookViewId="0"/>
  </sheetViews>
  <sheetFormatPr defaultColWidth="8.88671875" defaultRowHeight="16.5" customHeight="1"/>
  <cols>
    <col min="1" max="1" width="45.109375" style="301" customWidth="1"/>
    <col min="2" max="2" width="9.88671875" style="301" customWidth="1"/>
    <col min="3" max="3" width="1.6640625" style="301" customWidth="1"/>
    <col min="4" max="4" width="10" style="301" customWidth="1"/>
    <col min="5" max="5" width="1.6640625" style="301" customWidth="1"/>
    <col min="6" max="6" width="8.88671875" style="301" customWidth="1"/>
    <col min="7" max="7" width="1.6640625" style="301" customWidth="1"/>
    <col min="8" max="8" width="8.88671875" style="301" customWidth="1"/>
    <col min="9" max="9" width="1.5546875" style="301" customWidth="1"/>
    <col min="10" max="10" width="9.44140625" style="301" customWidth="1"/>
    <col min="11" max="11" width="1.5546875" style="301" customWidth="1"/>
    <col min="12" max="12" width="13.33203125" style="301" customWidth="1"/>
    <col min="13" max="13" width="1.6640625" style="301" customWidth="1"/>
    <col min="14" max="14" width="11.77734375" style="3417" customWidth="1"/>
    <col min="15" max="15" width="1.6640625" style="301" customWidth="1"/>
    <col min="16" max="16" width="11.77734375" style="301" customWidth="1"/>
    <col min="17" max="17" width="1.6640625" style="301" customWidth="1"/>
    <col min="18" max="18" width="12.44140625" style="301" customWidth="1"/>
    <col min="19" max="19" width="1.6640625" style="301" customWidth="1"/>
    <col min="20" max="20" width="10.5546875" style="301" customWidth="1"/>
    <col min="21" max="21" width="1.6640625" style="301" customWidth="1"/>
    <col min="22" max="22" width="10.88671875" style="301" customWidth="1"/>
    <col min="23" max="23" width="1.6640625" style="301" customWidth="1"/>
    <col min="24" max="24" width="9.33203125" style="301" customWidth="1"/>
    <col min="25" max="26" width="1.6640625" style="301" customWidth="1"/>
    <col min="27" max="27" width="11.5546875" style="301" customWidth="1"/>
    <col min="28" max="29" width="1.6640625" style="301" customWidth="1"/>
    <col min="30" max="30" width="12.44140625" style="301" customWidth="1"/>
    <col min="31" max="31" width="1.77734375" style="737" customWidth="1"/>
    <col min="32" max="32" width="2.44140625" style="2164" customWidth="1"/>
    <col min="33" max="33" width="10.33203125" style="2165" bestFit="1" customWidth="1"/>
    <col min="34" max="34" width="1.6640625" style="2165" customWidth="1"/>
    <col min="35" max="35" width="14.21875" style="2164" bestFit="1" customWidth="1"/>
    <col min="36" max="16384" width="8.88671875" style="301"/>
  </cols>
  <sheetData>
    <row r="1" spans="1:253" ht="16.5" customHeight="1">
      <c r="A1" s="1159" t="s">
        <v>1090</v>
      </c>
    </row>
    <row r="2" spans="1:253" ht="16.5" customHeight="1">
      <c r="A2" s="428"/>
      <c r="B2" s="428"/>
      <c r="C2" s="428"/>
      <c r="D2" s="428"/>
      <c r="E2" s="428"/>
      <c r="F2" s="428"/>
      <c r="G2" s="428"/>
      <c r="H2" s="428"/>
      <c r="I2" s="428"/>
      <c r="J2" s="428"/>
      <c r="K2" s="428"/>
      <c r="L2" s="428"/>
      <c r="M2" s="428"/>
      <c r="N2" s="3418"/>
      <c r="O2" s="428"/>
      <c r="P2" s="428"/>
      <c r="Q2" s="428"/>
      <c r="R2" s="428"/>
      <c r="S2" s="428"/>
      <c r="T2" s="428"/>
      <c r="U2" s="428"/>
      <c r="V2" s="428"/>
      <c r="W2" s="428"/>
      <c r="X2" s="428"/>
      <c r="Y2" s="428"/>
      <c r="Z2" s="428"/>
      <c r="AA2" s="428"/>
      <c r="AB2" s="428"/>
      <c r="AC2" s="428"/>
      <c r="AD2" s="428"/>
    </row>
    <row r="3" spans="1:253" ht="20.25" customHeight="1">
      <c r="A3" s="425" t="s">
        <v>0</v>
      </c>
      <c r="B3" s="424"/>
      <c r="C3" s="424"/>
      <c r="D3" s="424"/>
      <c r="E3" s="424"/>
      <c r="F3" s="424"/>
      <c r="G3" s="424"/>
      <c r="H3" s="424"/>
      <c r="I3" s="424"/>
      <c r="J3" s="424"/>
      <c r="K3" s="424"/>
      <c r="L3" s="424"/>
      <c r="M3" s="424"/>
      <c r="N3" s="3419"/>
      <c r="O3" s="424"/>
      <c r="P3" s="424"/>
      <c r="Q3" s="424"/>
      <c r="R3" s="424"/>
      <c r="S3" s="424"/>
      <c r="T3" s="424"/>
      <c r="U3" s="424"/>
      <c r="V3" s="424"/>
      <c r="W3" s="424"/>
      <c r="X3" s="424"/>
      <c r="Y3" s="424"/>
      <c r="Z3" s="424"/>
      <c r="AA3" s="424"/>
      <c r="AB3" s="424"/>
      <c r="AC3" s="424"/>
      <c r="AD3" s="424"/>
      <c r="AE3" s="223"/>
      <c r="AI3" s="2214" t="s">
        <v>1205</v>
      </c>
      <c r="AJ3" s="426"/>
      <c r="AK3" s="426"/>
      <c r="AL3" s="426"/>
      <c r="AM3" s="426"/>
      <c r="AN3" s="426"/>
      <c r="AO3" s="426"/>
      <c r="AP3" s="426"/>
      <c r="AQ3" s="426"/>
      <c r="AR3" s="426"/>
      <c r="AS3" s="426"/>
      <c r="AT3" s="426"/>
      <c r="AU3" s="426"/>
      <c r="AV3" s="426"/>
      <c r="AW3" s="426"/>
      <c r="AX3" s="426"/>
      <c r="AY3" s="426"/>
      <c r="AZ3" s="426"/>
      <c r="BA3" s="426"/>
      <c r="BB3" s="426"/>
      <c r="BC3" s="426"/>
      <c r="BD3" s="426"/>
      <c r="BE3" s="426"/>
      <c r="BF3" s="426"/>
      <c r="BG3" s="426"/>
      <c r="BH3" s="426"/>
      <c r="BI3" s="426"/>
      <c r="BJ3" s="426"/>
      <c r="BK3" s="426"/>
      <c r="BL3" s="426"/>
      <c r="BM3" s="426"/>
      <c r="BN3" s="426"/>
      <c r="BO3" s="426"/>
      <c r="BP3" s="426"/>
      <c r="BQ3" s="426"/>
      <c r="BR3" s="426"/>
      <c r="BS3" s="426"/>
      <c r="BT3" s="426"/>
      <c r="BU3" s="426"/>
      <c r="BV3" s="426"/>
      <c r="BW3" s="426"/>
      <c r="BX3" s="426"/>
      <c r="BY3" s="426"/>
      <c r="BZ3" s="426"/>
      <c r="CA3" s="426"/>
      <c r="CB3" s="426"/>
      <c r="CC3" s="426"/>
      <c r="CD3" s="426"/>
      <c r="CE3" s="426"/>
      <c r="CF3" s="426"/>
      <c r="CG3" s="426"/>
      <c r="CH3" s="426"/>
      <c r="CI3" s="426"/>
      <c r="CJ3" s="426"/>
      <c r="CK3" s="426"/>
      <c r="CL3" s="426"/>
      <c r="CM3" s="426"/>
      <c r="CN3" s="426"/>
      <c r="CO3" s="426"/>
      <c r="CP3" s="426"/>
      <c r="CQ3" s="426"/>
      <c r="CR3" s="426"/>
      <c r="CS3" s="426"/>
      <c r="CT3" s="426"/>
      <c r="CU3" s="426"/>
      <c r="CV3" s="426"/>
      <c r="CW3" s="426"/>
      <c r="CX3" s="426"/>
      <c r="CY3" s="426"/>
      <c r="CZ3" s="426"/>
      <c r="DA3" s="426"/>
      <c r="DB3" s="426"/>
      <c r="DC3" s="426"/>
      <c r="DD3" s="426"/>
      <c r="DE3" s="426"/>
      <c r="DF3" s="426"/>
      <c r="DG3" s="426"/>
      <c r="DH3" s="426"/>
      <c r="DI3" s="426"/>
      <c r="DJ3" s="426"/>
      <c r="DK3" s="426"/>
      <c r="DL3" s="426"/>
      <c r="DM3" s="426"/>
      <c r="DN3" s="426"/>
      <c r="DO3" s="426"/>
      <c r="DP3" s="426"/>
      <c r="DQ3" s="426"/>
      <c r="DR3" s="426"/>
      <c r="DS3" s="426"/>
      <c r="DT3" s="426"/>
      <c r="DU3" s="426"/>
      <c r="DV3" s="426"/>
      <c r="DW3" s="426"/>
      <c r="DX3" s="426"/>
      <c r="DY3" s="426"/>
      <c r="DZ3" s="426"/>
      <c r="EA3" s="426"/>
      <c r="EB3" s="426"/>
      <c r="EC3" s="426"/>
      <c r="ED3" s="426"/>
      <c r="EE3" s="426"/>
      <c r="EF3" s="426"/>
      <c r="EG3" s="426"/>
      <c r="EH3" s="426"/>
      <c r="EI3" s="426"/>
      <c r="EJ3" s="426"/>
      <c r="EK3" s="426"/>
      <c r="EL3" s="426"/>
      <c r="EM3" s="426"/>
      <c r="EN3" s="426"/>
      <c r="EO3" s="426"/>
      <c r="EP3" s="426"/>
      <c r="EQ3" s="426"/>
      <c r="ER3" s="426"/>
      <c r="ES3" s="426"/>
      <c r="ET3" s="426"/>
      <c r="EU3" s="426"/>
      <c r="EV3" s="426"/>
      <c r="EW3" s="426"/>
      <c r="EX3" s="426"/>
      <c r="EY3" s="426"/>
      <c r="EZ3" s="426"/>
      <c r="FA3" s="426"/>
      <c r="FB3" s="426"/>
      <c r="FC3" s="426"/>
      <c r="FD3" s="426"/>
      <c r="FE3" s="426"/>
      <c r="FF3" s="426"/>
      <c r="FG3" s="426"/>
      <c r="FH3" s="426"/>
      <c r="FI3" s="426"/>
      <c r="FJ3" s="426"/>
      <c r="FK3" s="426"/>
      <c r="FL3" s="426"/>
      <c r="FM3" s="426"/>
      <c r="FN3" s="426"/>
      <c r="FO3" s="426"/>
      <c r="FP3" s="426"/>
      <c r="FQ3" s="426"/>
      <c r="FR3" s="426"/>
      <c r="FS3" s="426"/>
      <c r="FT3" s="426"/>
      <c r="FU3" s="426"/>
      <c r="FV3" s="426"/>
      <c r="FW3" s="426"/>
      <c r="FX3" s="426"/>
      <c r="FY3" s="426"/>
      <c r="FZ3" s="426"/>
      <c r="GA3" s="426"/>
      <c r="GB3" s="426"/>
      <c r="GC3" s="426"/>
      <c r="GD3" s="426"/>
      <c r="GE3" s="426"/>
      <c r="GF3" s="426"/>
      <c r="GG3" s="426"/>
      <c r="GH3" s="426"/>
      <c r="GI3" s="426"/>
      <c r="GJ3" s="426"/>
      <c r="GK3" s="426"/>
      <c r="GL3" s="426"/>
      <c r="GM3" s="426"/>
      <c r="GN3" s="426"/>
      <c r="GO3" s="426"/>
      <c r="GP3" s="426"/>
      <c r="GQ3" s="426"/>
      <c r="GR3" s="426"/>
      <c r="GS3" s="426"/>
      <c r="GT3" s="426"/>
      <c r="GU3" s="426"/>
      <c r="GV3" s="426"/>
      <c r="GW3" s="426"/>
      <c r="GX3" s="426"/>
      <c r="GY3" s="426"/>
      <c r="GZ3" s="426"/>
      <c r="HA3" s="426"/>
      <c r="HB3" s="426"/>
      <c r="HC3" s="426"/>
      <c r="HD3" s="426"/>
      <c r="HE3" s="426"/>
      <c r="HF3" s="426"/>
      <c r="HG3" s="426"/>
      <c r="HH3" s="426"/>
      <c r="HI3" s="426"/>
      <c r="HJ3" s="426"/>
      <c r="HK3" s="426"/>
      <c r="HL3" s="426"/>
      <c r="HM3" s="426"/>
      <c r="HN3" s="426"/>
      <c r="HO3" s="426"/>
      <c r="HP3" s="426"/>
      <c r="HQ3" s="426"/>
      <c r="HR3" s="426"/>
      <c r="HS3" s="426"/>
      <c r="HT3" s="426"/>
      <c r="HU3" s="426"/>
      <c r="HV3" s="426"/>
      <c r="HW3" s="426"/>
      <c r="HX3" s="426"/>
      <c r="HY3" s="426"/>
      <c r="HZ3" s="426"/>
      <c r="IA3" s="426"/>
      <c r="IB3" s="426"/>
      <c r="IC3" s="426"/>
      <c r="ID3" s="426"/>
      <c r="IE3" s="426"/>
      <c r="IF3" s="426"/>
      <c r="IG3" s="426"/>
      <c r="IH3" s="426"/>
      <c r="II3" s="426"/>
      <c r="IJ3" s="426"/>
      <c r="IK3" s="426"/>
      <c r="IL3" s="426"/>
      <c r="IM3" s="426"/>
      <c r="IN3" s="426"/>
      <c r="IO3" s="426"/>
      <c r="IP3" s="426"/>
      <c r="IQ3" s="426"/>
      <c r="IR3" s="426"/>
      <c r="IS3" s="426"/>
    </row>
    <row r="4" spans="1:253" ht="20.25" customHeight="1">
      <c r="A4" s="425" t="s">
        <v>222</v>
      </c>
      <c r="B4" s="424"/>
      <c r="C4" s="424"/>
      <c r="D4" s="424"/>
      <c r="E4" s="424"/>
      <c r="F4" s="424"/>
      <c r="G4" s="424"/>
      <c r="H4" s="424" t="s">
        <v>15</v>
      </c>
      <c r="I4" s="424"/>
      <c r="J4" s="424"/>
      <c r="K4" s="424"/>
      <c r="L4" s="424"/>
      <c r="M4" s="424"/>
      <c r="N4" s="3419"/>
      <c r="O4" s="424"/>
      <c r="P4" s="424"/>
      <c r="Q4" s="424"/>
      <c r="R4" s="424"/>
      <c r="S4" s="424"/>
      <c r="T4" s="424"/>
      <c r="U4" s="424"/>
      <c r="V4" s="424"/>
      <c r="W4" s="424"/>
      <c r="X4" s="424" t="s">
        <v>15</v>
      </c>
      <c r="Y4" s="424"/>
      <c r="Z4" s="424"/>
      <c r="AA4" s="424"/>
      <c r="AB4" s="424"/>
      <c r="AC4" s="424"/>
      <c r="AD4" s="424"/>
      <c r="AE4" s="223"/>
      <c r="AJ4" s="426"/>
      <c r="AK4" s="426"/>
      <c r="AL4" s="426"/>
      <c r="AM4" s="426"/>
      <c r="AN4" s="426"/>
      <c r="AO4" s="426"/>
      <c r="AP4" s="426"/>
      <c r="AQ4" s="426"/>
      <c r="AR4" s="426"/>
      <c r="AS4" s="426"/>
      <c r="AT4" s="426"/>
      <c r="AU4" s="426"/>
      <c r="AV4" s="426"/>
      <c r="AW4" s="426"/>
      <c r="AX4" s="426"/>
      <c r="AY4" s="426"/>
      <c r="AZ4" s="426"/>
      <c r="BA4" s="426"/>
      <c r="BB4" s="426"/>
      <c r="BC4" s="426"/>
      <c r="BD4" s="426"/>
      <c r="BE4" s="426"/>
      <c r="BF4" s="426"/>
      <c r="BG4" s="426"/>
      <c r="BH4" s="426"/>
      <c r="BI4" s="426"/>
      <c r="BJ4" s="426"/>
      <c r="BK4" s="426"/>
      <c r="BL4" s="426"/>
      <c r="BM4" s="426"/>
      <c r="BN4" s="426"/>
      <c r="BO4" s="426"/>
      <c r="BP4" s="426"/>
      <c r="BQ4" s="426"/>
      <c r="BR4" s="426"/>
      <c r="BS4" s="426"/>
      <c r="BT4" s="426"/>
      <c r="BU4" s="426"/>
      <c r="BV4" s="426"/>
      <c r="BW4" s="426"/>
      <c r="BX4" s="426"/>
      <c r="BY4" s="426"/>
      <c r="BZ4" s="426"/>
      <c r="CA4" s="426"/>
      <c r="CB4" s="426"/>
      <c r="CC4" s="426"/>
      <c r="CD4" s="426"/>
      <c r="CE4" s="426"/>
      <c r="CF4" s="426"/>
      <c r="CG4" s="426"/>
      <c r="CH4" s="426"/>
      <c r="CI4" s="426"/>
      <c r="CJ4" s="426"/>
      <c r="CK4" s="426"/>
      <c r="CL4" s="426"/>
      <c r="CM4" s="426"/>
      <c r="CN4" s="426"/>
      <c r="CO4" s="426"/>
      <c r="CP4" s="426"/>
      <c r="CQ4" s="426"/>
      <c r="CR4" s="426"/>
      <c r="CS4" s="426"/>
      <c r="CT4" s="426"/>
      <c r="CU4" s="426"/>
      <c r="CV4" s="426"/>
      <c r="CW4" s="426"/>
      <c r="CX4" s="426"/>
      <c r="CY4" s="426"/>
      <c r="CZ4" s="426"/>
      <c r="DA4" s="426"/>
      <c r="DB4" s="426"/>
      <c r="DC4" s="426"/>
      <c r="DD4" s="426"/>
      <c r="DE4" s="426"/>
      <c r="DF4" s="426"/>
      <c r="DG4" s="426"/>
      <c r="DH4" s="426"/>
      <c r="DI4" s="426"/>
      <c r="DJ4" s="426"/>
      <c r="DK4" s="426"/>
      <c r="DL4" s="426"/>
      <c r="DM4" s="426"/>
      <c r="DN4" s="426"/>
      <c r="DO4" s="426"/>
      <c r="DP4" s="426"/>
      <c r="DQ4" s="426"/>
      <c r="DR4" s="426"/>
      <c r="DS4" s="426"/>
      <c r="DT4" s="426"/>
      <c r="DU4" s="426"/>
      <c r="DV4" s="426"/>
      <c r="DW4" s="426"/>
      <c r="DX4" s="426"/>
      <c r="DY4" s="426"/>
      <c r="DZ4" s="426"/>
      <c r="EA4" s="426"/>
      <c r="EB4" s="426"/>
      <c r="EC4" s="426"/>
      <c r="ED4" s="426"/>
      <c r="EE4" s="426"/>
      <c r="EF4" s="426"/>
      <c r="EG4" s="426"/>
      <c r="EH4" s="426"/>
      <c r="EI4" s="426"/>
      <c r="EJ4" s="426"/>
      <c r="EK4" s="426"/>
      <c r="EL4" s="426"/>
      <c r="EM4" s="426"/>
      <c r="EN4" s="426"/>
      <c r="EO4" s="426"/>
      <c r="EP4" s="426"/>
      <c r="EQ4" s="426"/>
      <c r="ER4" s="426"/>
      <c r="ES4" s="426"/>
      <c r="ET4" s="426"/>
      <c r="EU4" s="426"/>
      <c r="EV4" s="426"/>
      <c r="EW4" s="426"/>
      <c r="EX4" s="426"/>
      <c r="EY4" s="426"/>
      <c r="EZ4" s="426"/>
      <c r="FA4" s="426"/>
      <c r="FB4" s="426"/>
      <c r="FC4" s="426"/>
      <c r="FD4" s="426"/>
      <c r="FE4" s="426"/>
      <c r="FF4" s="426"/>
      <c r="FG4" s="426"/>
      <c r="FH4" s="426"/>
      <c r="FI4" s="426"/>
      <c r="FJ4" s="426"/>
      <c r="FK4" s="426"/>
      <c r="FL4" s="426"/>
      <c r="FM4" s="426"/>
      <c r="FN4" s="426"/>
      <c r="FO4" s="426"/>
      <c r="FP4" s="426"/>
      <c r="FQ4" s="426"/>
      <c r="FR4" s="426"/>
      <c r="FS4" s="426"/>
      <c r="FT4" s="426"/>
      <c r="FU4" s="426"/>
      <c r="FV4" s="426"/>
      <c r="FW4" s="426"/>
      <c r="FX4" s="426"/>
      <c r="FY4" s="426"/>
      <c r="FZ4" s="426"/>
      <c r="GA4" s="426"/>
      <c r="GB4" s="426"/>
      <c r="GC4" s="426"/>
      <c r="GD4" s="426"/>
      <c r="GE4" s="426"/>
      <c r="GF4" s="426"/>
      <c r="GG4" s="426"/>
      <c r="GH4" s="426"/>
      <c r="GI4" s="426"/>
      <c r="GJ4" s="426"/>
      <c r="GK4" s="426"/>
      <c r="GL4" s="426"/>
      <c r="GM4" s="426"/>
      <c r="GN4" s="426"/>
      <c r="GO4" s="426"/>
      <c r="GP4" s="426"/>
      <c r="GQ4" s="426"/>
      <c r="GR4" s="426"/>
      <c r="GS4" s="426"/>
      <c r="GT4" s="426"/>
      <c r="GU4" s="426"/>
      <c r="GV4" s="426"/>
      <c r="GW4" s="426"/>
      <c r="GX4" s="426"/>
      <c r="GY4" s="426"/>
      <c r="GZ4" s="426"/>
      <c r="HA4" s="426"/>
      <c r="HB4" s="426"/>
      <c r="HC4" s="426"/>
      <c r="HD4" s="426"/>
      <c r="HE4" s="426"/>
      <c r="HF4" s="426"/>
      <c r="HG4" s="426"/>
      <c r="HH4" s="426"/>
      <c r="HI4" s="426"/>
      <c r="HJ4" s="426"/>
      <c r="HK4" s="426"/>
      <c r="HL4" s="426"/>
      <c r="HM4" s="426"/>
      <c r="HN4" s="426"/>
      <c r="HO4" s="426"/>
      <c r="HP4" s="426"/>
      <c r="HQ4" s="426"/>
      <c r="HR4" s="426"/>
      <c r="HS4" s="426"/>
      <c r="HT4" s="426"/>
      <c r="HU4" s="426"/>
      <c r="HV4" s="426"/>
      <c r="HW4" s="426"/>
      <c r="HX4" s="426"/>
      <c r="HY4" s="426"/>
      <c r="HZ4" s="426"/>
      <c r="IA4" s="426"/>
      <c r="IB4" s="426"/>
      <c r="IC4" s="426"/>
      <c r="ID4" s="426"/>
      <c r="IE4" s="426"/>
      <c r="IF4" s="426"/>
      <c r="IG4" s="426"/>
      <c r="IH4" s="426"/>
      <c r="II4" s="426"/>
      <c r="IJ4" s="426"/>
      <c r="IK4" s="426"/>
      <c r="IL4" s="426"/>
      <c r="IM4" s="426"/>
      <c r="IN4" s="426"/>
      <c r="IO4" s="426"/>
      <c r="IP4" s="426"/>
      <c r="IQ4" s="426"/>
      <c r="IR4" s="426"/>
      <c r="IS4" s="426"/>
    </row>
    <row r="5" spans="1:253" ht="20.25" customHeight="1">
      <c r="A5" s="427" t="s">
        <v>127</v>
      </c>
      <c r="B5" s="424"/>
      <c r="C5" s="424"/>
      <c r="D5" s="424"/>
      <c r="E5" s="424"/>
      <c r="F5" s="424"/>
      <c r="G5" s="424"/>
      <c r="H5" s="424"/>
      <c r="I5" s="424"/>
      <c r="J5" s="424"/>
      <c r="K5" s="424"/>
      <c r="L5" s="424"/>
      <c r="M5" s="424"/>
      <c r="N5" s="3419"/>
      <c r="O5" s="424"/>
      <c r="P5" s="424"/>
      <c r="Q5" s="424"/>
      <c r="R5" s="424"/>
      <c r="S5" s="424"/>
      <c r="T5" s="424"/>
      <c r="U5" s="424"/>
      <c r="V5" s="424"/>
      <c r="W5" s="424"/>
      <c r="X5" s="424"/>
      <c r="Y5" s="424"/>
      <c r="Z5" s="424"/>
      <c r="AE5" s="1657"/>
      <c r="AJ5" s="425"/>
      <c r="AK5" s="425"/>
      <c r="AL5" s="425"/>
      <c r="AM5" s="426"/>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426"/>
      <c r="CD5" s="426"/>
      <c r="CE5" s="426"/>
      <c r="CF5" s="426"/>
      <c r="CG5" s="426"/>
      <c r="CH5" s="426"/>
      <c r="CI5" s="426"/>
      <c r="CJ5" s="426"/>
      <c r="CK5" s="426"/>
      <c r="CL5" s="426"/>
      <c r="CM5" s="426"/>
      <c r="CN5" s="426"/>
      <c r="CO5" s="426"/>
      <c r="CP5" s="426"/>
      <c r="CQ5" s="426"/>
      <c r="CR5" s="426"/>
      <c r="CS5" s="426"/>
      <c r="CT5" s="426"/>
      <c r="CU5" s="426"/>
      <c r="CV5" s="426"/>
      <c r="CW5" s="426"/>
      <c r="CX5" s="426"/>
      <c r="CY5" s="426"/>
      <c r="CZ5" s="426"/>
      <c r="DA5" s="426"/>
      <c r="DB5" s="426"/>
      <c r="DC5" s="426"/>
      <c r="DD5" s="426"/>
      <c r="DE5" s="426"/>
      <c r="DF5" s="426"/>
      <c r="DG5" s="426"/>
      <c r="DH5" s="426"/>
      <c r="DI5" s="426"/>
      <c r="DJ5" s="426"/>
      <c r="DK5" s="426"/>
      <c r="DL5" s="426"/>
      <c r="DM5" s="426"/>
      <c r="DN5" s="426"/>
      <c r="DO5" s="426"/>
      <c r="DP5" s="426"/>
      <c r="DQ5" s="426"/>
      <c r="DR5" s="426"/>
      <c r="DS5" s="426"/>
      <c r="DT5" s="426"/>
      <c r="DU5" s="426"/>
      <c r="DV5" s="426"/>
      <c r="DW5" s="426"/>
      <c r="DX5" s="426"/>
      <c r="DY5" s="426"/>
      <c r="DZ5" s="426"/>
      <c r="EA5" s="426"/>
      <c r="EB5" s="426"/>
      <c r="EC5" s="426"/>
      <c r="ED5" s="426"/>
      <c r="EE5" s="426"/>
      <c r="EF5" s="426"/>
      <c r="EG5" s="426"/>
      <c r="EH5" s="426"/>
      <c r="EI5" s="426"/>
      <c r="EJ5" s="426"/>
      <c r="EK5" s="426"/>
      <c r="EL5" s="426"/>
      <c r="EM5" s="426"/>
      <c r="EN5" s="426"/>
      <c r="EO5" s="426"/>
      <c r="EP5" s="426"/>
      <c r="EQ5" s="426"/>
      <c r="ER5" s="426"/>
      <c r="ES5" s="426"/>
      <c r="ET5" s="426"/>
      <c r="EU5" s="426"/>
      <c r="EV5" s="426"/>
      <c r="EW5" s="426"/>
      <c r="EX5" s="426"/>
      <c r="EY5" s="426"/>
      <c r="EZ5" s="426"/>
      <c r="FA5" s="426"/>
      <c r="FB5" s="426"/>
      <c r="FC5" s="426"/>
      <c r="FD5" s="426"/>
      <c r="FE5" s="426"/>
      <c r="FF5" s="426"/>
      <c r="FG5" s="426"/>
      <c r="FH5" s="426"/>
      <c r="FI5" s="426"/>
      <c r="FJ5" s="426"/>
      <c r="FK5" s="426"/>
      <c r="FL5" s="426"/>
      <c r="FM5" s="426"/>
      <c r="FN5" s="426"/>
      <c r="FO5" s="426"/>
      <c r="FP5" s="426"/>
      <c r="FQ5" s="426"/>
      <c r="FR5" s="426"/>
      <c r="FS5" s="426"/>
      <c r="FT5" s="426"/>
      <c r="FU5" s="426"/>
      <c r="FV5" s="426"/>
      <c r="FW5" s="426"/>
      <c r="FX5" s="426"/>
      <c r="FY5" s="426"/>
      <c r="FZ5" s="426"/>
      <c r="GA5" s="426"/>
      <c r="GB5" s="426"/>
      <c r="GC5" s="426"/>
      <c r="GD5" s="426"/>
      <c r="GE5" s="426"/>
      <c r="GF5" s="426"/>
      <c r="GG5" s="426"/>
      <c r="GH5" s="426"/>
      <c r="GI5" s="426"/>
      <c r="GJ5" s="426"/>
      <c r="GK5" s="426"/>
      <c r="GL5" s="426"/>
      <c r="GM5" s="426"/>
      <c r="GN5" s="426"/>
      <c r="GO5" s="426"/>
      <c r="GP5" s="426"/>
      <c r="GQ5" s="426"/>
      <c r="GR5" s="426"/>
      <c r="GS5" s="426"/>
      <c r="GT5" s="426"/>
      <c r="GU5" s="426"/>
      <c r="GV5" s="426"/>
      <c r="GW5" s="426"/>
      <c r="GX5" s="426"/>
      <c r="GY5" s="426"/>
      <c r="GZ5" s="426"/>
      <c r="HA5" s="426"/>
      <c r="HB5" s="426"/>
      <c r="HC5" s="426"/>
      <c r="HD5" s="426"/>
      <c r="HE5" s="426"/>
      <c r="HF5" s="426"/>
      <c r="HG5" s="426"/>
      <c r="HH5" s="426"/>
      <c r="HI5" s="426"/>
      <c r="HJ5" s="426"/>
      <c r="HK5" s="426"/>
      <c r="HL5" s="426"/>
      <c r="HM5" s="426"/>
      <c r="HN5" s="426"/>
      <c r="HO5" s="426"/>
      <c r="HP5" s="426"/>
      <c r="HQ5" s="426"/>
      <c r="HR5" s="426"/>
      <c r="HS5" s="426"/>
      <c r="HT5" s="426"/>
      <c r="HU5" s="426"/>
      <c r="HV5" s="426"/>
      <c r="HW5" s="426"/>
      <c r="HX5" s="426"/>
      <c r="HY5" s="426"/>
      <c r="HZ5" s="426"/>
      <c r="IA5" s="426"/>
      <c r="IB5" s="426"/>
      <c r="IC5" s="426"/>
      <c r="ID5" s="426"/>
      <c r="IE5" s="426"/>
      <c r="IF5" s="426"/>
      <c r="IG5" s="426"/>
      <c r="IH5" s="426"/>
      <c r="II5" s="426"/>
      <c r="IJ5" s="426"/>
      <c r="IK5" s="426"/>
      <c r="IL5" s="426"/>
      <c r="IM5" s="426"/>
      <c r="IN5" s="426"/>
      <c r="IO5" s="426"/>
      <c r="IP5" s="426"/>
      <c r="IQ5" s="426"/>
      <c r="IR5" s="426"/>
      <c r="IS5" s="426"/>
    </row>
    <row r="6" spans="1:253" ht="20.25" customHeight="1">
      <c r="A6" s="427" t="s">
        <v>1410</v>
      </c>
      <c r="B6" s="424"/>
      <c r="C6" s="424"/>
      <c r="D6" s="424"/>
      <c r="E6" s="424"/>
      <c r="F6" s="424"/>
      <c r="G6" s="424"/>
      <c r="H6" s="424"/>
      <c r="I6" s="424"/>
      <c r="J6" s="424"/>
      <c r="K6" s="424"/>
      <c r="L6" s="424"/>
      <c r="M6" s="424"/>
      <c r="N6" s="3419"/>
      <c r="O6" s="424"/>
      <c r="P6" s="424"/>
      <c r="Q6" s="424"/>
      <c r="R6" s="424"/>
      <c r="S6" s="424"/>
      <c r="T6" s="424"/>
      <c r="U6" s="424"/>
      <c r="V6" s="424"/>
      <c r="W6" s="424"/>
      <c r="X6" s="424"/>
      <c r="Y6" s="424"/>
      <c r="Z6" s="424"/>
      <c r="AA6" s="424"/>
      <c r="AB6" s="424"/>
      <c r="AC6" s="424"/>
      <c r="AD6" s="424"/>
      <c r="AE6" s="223"/>
      <c r="AJ6" s="426"/>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426"/>
      <c r="CJ6" s="426"/>
      <c r="CK6" s="426"/>
      <c r="CL6" s="426"/>
      <c r="CM6" s="426"/>
      <c r="CN6" s="426"/>
      <c r="CO6" s="426"/>
      <c r="CP6" s="426"/>
      <c r="CQ6" s="426"/>
      <c r="CR6" s="426"/>
      <c r="CS6" s="426"/>
      <c r="CT6" s="426"/>
      <c r="CU6" s="426"/>
      <c r="CV6" s="426"/>
      <c r="CW6" s="426"/>
      <c r="CX6" s="426"/>
      <c r="CY6" s="426"/>
      <c r="CZ6" s="426"/>
      <c r="DA6" s="426"/>
      <c r="DB6" s="426"/>
      <c r="DC6" s="426"/>
      <c r="DD6" s="426"/>
      <c r="DE6" s="426"/>
      <c r="DF6" s="426"/>
      <c r="DG6" s="426"/>
      <c r="DH6" s="426"/>
      <c r="DI6" s="426"/>
      <c r="DJ6" s="426"/>
      <c r="DK6" s="426"/>
      <c r="DL6" s="426"/>
      <c r="DM6" s="426"/>
      <c r="DN6" s="426"/>
      <c r="DO6" s="426"/>
      <c r="DP6" s="426"/>
      <c r="DQ6" s="426"/>
      <c r="DR6" s="426"/>
      <c r="DS6" s="426"/>
      <c r="DT6" s="426"/>
      <c r="DU6" s="426"/>
      <c r="DV6" s="426"/>
      <c r="DW6" s="426"/>
      <c r="DX6" s="426"/>
      <c r="DY6" s="426"/>
      <c r="DZ6" s="426"/>
      <c r="EA6" s="426"/>
      <c r="EB6" s="426"/>
      <c r="EC6" s="426"/>
      <c r="ED6" s="426"/>
      <c r="EE6" s="426"/>
      <c r="EF6" s="426"/>
      <c r="EG6" s="426"/>
      <c r="EH6" s="426"/>
      <c r="EI6" s="426"/>
      <c r="EJ6" s="426"/>
      <c r="EK6" s="426"/>
      <c r="EL6" s="426"/>
      <c r="EM6" s="426"/>
      <c r="EN6" s="426"/>
      <c r="EO6" s="426"/>
      <c r="EP6" s="426"/>
      <c r="EQ6" s="426"/>
      <c r="ER6" s="426"/>
      <c r="ES6" s="426"/>
      <c r="ET6" s="426"/>
      <c r="EU6" s="426"/>
      <c r="EV6" s="426"/>
      <c r="EW6" s="426"/>
      <c r="EX6" s="426"/>
      <c r="EY6" s="426"/>
      <c r="EZ6" s="426"/>
      <c r="FA6" s="426"/>
      <c r="FB6" s="426"/>
      <c r="FC6" s="426"/>
      <c r="FD6" s="426"/>
      <c r="FE6" s="426"/>
      <c r="FF6" s="426"/>
      <c r="FG6" s="426"/>
      <c r="FH6" s="426"/>
      <c r="FI6" s="426"/>
      <c r="FJ6" s="426"/>
      <c r="FK6" s="426"/>
      <c r="FL6" s="426"/>
      <c r="FM6" s="426"/>
      <c r="FN6" s="426"/>
      <c r="FO6" s="426"/>
      <c r="FP6" s="426"/>
      <c r="FQ6" s="426"/>
      <c r="FR6" s="426"/>
      <c r="FS6" s="426"/>
      <c r="FT6" s="426"/>
      <c r="FU6" s="426"/>
      <c r="FV6" s="426"/>
      <c r="FW6" s="426"/>
      <c r="FX6" s="426"/>
      <c r="FY6" s="426"/>
      <c r="FZ6" s="426"/>
      <c r="GA6" s="426"/>
      <c r="GB6" s="426"/>
      <c r="GC6" s="426"/>
      <c r="GD6" s="426"/>
      <c r="GE6" s="426"/>
      <c r="GF6" s="426"/>
      <c r="GG6" s="426"/>
      <c r="GH6" s="426"/>
      <c r="GI6" s="426"/>
      <c r="GJ6" s="426"/>
      <c r="GK6" s="426"/>
      <c r="GL6" s="426"/>
      <c r="GM6" s="426"/>
      <c r="GN6" s="426"/>
      <c r="GO6" s="426"/>
      <c r="GP6" s="426"/>
      <c r="GQ6" s="426"/>
      <c r="GR6" s="426"/>
      <c r="GS6" s="426"/>
      <c r="GT6" s="426"/>
      <c r="GU6" s="426"/>
      <c r="GV6" s="426"/>
      <c r="GW6" s="426"/>
      <c r="GX6" s="426"/>
      <c r="GY6" s="426"/>
      <c r="GZ6" s="426"/>
      <c r="HA6" s="426"/>
      <c r="HB6" s="426"/>
      <c r="HC6" s="426"/>
      <c r="HD6" s="426"/>
      <c r="HE6" s="426"/>
      <c r="HF6" s="426"/>
      <c r="HG6" s="426"/>
      <c r="HH6" s="426"/>
      <c r="HI6" s="426"/>
      <c r="HJ6" s="426"/>
      <c r="HK6" s="426"/>
      <c r="HL6" s="426"/>
      <c r="HM6" s="426"/>
      <c r="HN6" s="426"/>
      <c r="HO6" s="426"/>
      <c r="HP6" s="426"/>
      <c r="HQ6" s="426"/>
      <c r="HR6" s="426"/>
      <c r="HS6" s="426"/>
      <c r="HT6" s="426"/>
      <c r="HU6" s="426"/>
      <c r="HV6" s="426"/>
      <c r="HW6" s="426"/>
      <c r="HX6" s="426"/>
      <c r="HY6" s="426"/>
      <c r="HZ6" s="426"/>
      <c r="IA6" s="426"/>
      <c r="IB6" s="426"/>
      <c r="IC6" s="426"/>
      <c r="ID6" s="426"/>
      <c r="IE6" s="426"/>
      <c r="IF6" s="426"/>
      <c r="IG6" s="426"/>
      <c r="IH6" s="426"/>
      <c r="II6" s="426"/>
      <c r="IJ6" s="426"/>
      <c r="IK6" s="426"/>
      <c r="IL6" s="426"/>
      <c r="IM6" s="426"/>
      <c r="IN6" s="426"/>
      <c r="IO6" s="426"/>
      <c r="IP6" s="426"/>
      <c r="IQ6" s="426"/>
      <c r="IR6" s="426"/>
      <c r="IS6" s="426"/>
    </row>
    <row r="7" spans="1:253" ht="20.25" customHeight="1">
      <c r="A7" s="425" t="s">
        <v>979</v>
      </c>
      <c r="B7" s="424"/>
      <c r="C7" s="424"/>
      <c r="D7" s="424"/>
      <c r="E7" s="424"/>
      <c r="F7" s="424"/>
      <c r="G7" s="424"/>
      <c r="H7" s="424"/>
      <c r="I7" s="424"/>
      <c r="J7" s="424"/>
      <c r="K7" s="424"/>
      <c r="L7" s="424"/>
      <c r="M7" s="424"/>
      <c r="N7" s="3419"/>
      <c r="O7" s="424"/>
      <c r="P7" s="424"/>
      <c r="Q7" s="424"/>
      <c r="R7" s="424"/>
      <c r="S7" s="424"/>
      <c r="T7" s="424"/>
      <c r="U7" s="424"/>
      <c r="V7" s="424"/>
      <c r="W7" s="424"/>
      <c r="X7" s="424"/>
      <c r="Y7" s="424"/>
      <c r="Z7" s="424"/>
      <c r="AA7" s="424"/>
      <c r="AB7" s="424"/>
      <c r="AC7" s="424"/>
      <c r="AD7" s="424"/>
      <c r="AE7" s="223"/>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M7" s="426"/>
      <c r="CN7" s="426"/>
      <c r="CO7" s="426"/>
      <c r="CP7" s="426"/>
      <c r="CQ7" s="426"/>
      <c r="CR7" s="426"/>
      <c r="CS7" s="426"/>
      <c r="CT7" s="426"/>
      <c r="CU7" s="426"/>
      <c r="CV7" s="426"/>
      <c r="CW7" s="426"/>
      <c r="CX7" s="426"/>
      <c r="CY7" s="426"/>
      <c r="CZ7" s="426"/>
      <c r="DA7" s="426"/>
      <c r="DB7" s="426"/>
      <c r="DC7" s="426"/>
      <c r="DD7" s="426"/>
      <c r="DE7" s="426"/>
      <c r="DF7" s="426"/>
      <c r="DG7" s="426"/>
      <c r="DH7" s="426"/>
      <c r="DI7" s="426"/>
      <c r="DJ7" s="426"/>
      <c r="DK7" s="426"/>
      <c r="DL7" s="426"/>
      <c r="DM7" s="426"/>
      <c r="DN7" s="426"/>
      <c r="DO7" s="426"/>
      <c r="DP7" s="426"/>
      <c r="DQ7" s="426"/>
      <c r="DR7" s="426"/>
      <c r="DS7" s="426"/>
      <c r="DT7" s="426"/>
      <c r="DU7" s="426"/>
      <c r="DV7" s="426"/>
      <c r="DW7" s="426"/>
      <c r="DX7" s="426"/>
      <c r="DY7" s="426"/>
      <c r="DZ7" s="426"/>
      <c r="EA7" s="426"/>
      <c r="EB7" s="426"/>
      <c r="EC7" s="426"/>
      <c r="ED7" s="426"/>
      <c r="EE7" s="426"/>
      <c r="EF7" s="426"/>
      <c r="EG7" s="426"/>
      <c r="EH7" s="426"/>
      <c r="EI7" s="426"/>
      <c r="EJ7" s="426"/>
      <c r="EK7" s="426"/>
      <c r="EL7" s="426"/>
      <c r="EM7" s="426"/>
      <c r="EN7" s="426"/>
      <c r="EO7" s="426"/>
      <c r="EP7" s="426"/>
      <c r="EQ7" s="426"/>
      <c r="ER7" s="426"/>
      <c r="ES7" s="426"/>
      <c r="ET7" s="426"/>
      <c r="EU7" s="426"/>
      <c r="EV7" s="426"/>
      <c r="EW7" s="426"/>
      <c r="EX7" s="426"/>
      <c r="EY7" s="426"/>
      <c r="EZ7" s="426"/>
      <c r="FA7" s="426"/>
      <c r="FB7" s="426"/>
      <c r="FC7" s="426"/>
      <c r="FD7" s="426"/>
      <c r="FE7" s="426"/>
      <c r="FF7" s="426"/>
      <c r="FG7" s="426"/>
      <c r="FH7" s="426"/>
      <c r="FI7" s="426"/>
      <c r="FJ7" s="426"/>
      <c r="FK7" s="426"/>
      <c r="FL7" s="426"/>
      <c r="FM7" s="426"/>
      <c r="FN7" s="426"/>
      <c r="FO7" s="426"/>
      <c r="FP7" s="426"/>
      <c r="FQ7" s="426"/>
      <c r="FR7" s="426"/>
      <c r="FS7" s="426"/>
      <c r="FT7" s="426"/>
      <c r="FU7" s="426"/>
      <c r="FV7" s="426"/>
      <c r="FW7" s="426"/>
      <c r="FX7" s="426"/>
      <c r="FY7" s="426"/>
      <c r="FZ7" s="426"/>
      <c r="GA7" s="426"/>
      <c r="GB7" s="426"/>
      <c r="GC7" s="426"/>
      <c r="GD7" s="426"/>
      <c r="GE7" s="426"/>
      <c r="GF7" s="426"/>
      <c r="GG7" s="426"/>
      <c r="GH7" s="426"/>
      <c r="GI7" s="426"/>
      <c r="GJ7" s="426"/>
      <c r="GK7" s="426"/>
      <c r="GL7" s="426"/>
      <c r="GM7" s="426"/>
      <c r="GN7" s="426"/>
      <c r="GO7" s="426"/>
      <c r="GP7" s="426"/>
      <c r="GQ7" s="426"/>
      <c r="GR7" s="426"/>
      <c r="GS7" s="426"/>
      <c r="GT7" s="426"/>
      <c r="GU7" s="426"/>
      <c r="GV7" s="426"/>
      <c r="GW7" s="426"/>
      <c r="GX7" s="426"/>
      <c r="GY7" s="426"/>
      <c r="GZ7" s="426"/>
      <c r="HA7" s="426"/>
      <c r="HB7" s="426"/>
      <c r="HC7" s="426"/>
      <c r="HD7" s="426"/>
      <c r="HE7" s="426"/>
      <c r="HF7" s="426"/>
      <c r="HG7" s="426"/>
      <c r="HH7" s="426"/>
      <c r="HI7" s="426"/>
      <c r="HJ7" s="426"/>
      <c r="HK7" s="426"/>
      <c r="HL7" s="426"/>
      <c r="HM7" s="426"/>
      <c r="HN7" s="426"/>
      <c r="HO7" s="426"/>
      <c r="HP7" s="426"/>
      <c r="HQ7" s="426"/>
      <c r="HR7" s="426"/>
      <c r="HS7" s="426"/>
      <c r="HT7" s="426"/>
      <c r="HU7" s="426"/>
      <c r="HV7" s="426"/>
      <c r="HW7" s="426"/>
      <c r="HX7" s="426"/>
      <c r="HY7" s="426"/>
      <c r="HZ7" s="426"/>
      <c r="IA7" s="426"/>
      <c r="IB7" s="426"/>
      <c r="IC7" s="426"/>
      <c r="ID7" s="426"/>
      <c r="IE7" s="426"/>
      <c r="IF7" s="426"/>
      <c r="IG7" s="426"/>
      <c r="IH7" s="426"/>
      <c r="II7" s="426"/>
      <c r="IJ7" s="426"/>
      <c r="IK7" s="426"/>
      <c r="IL7" s="426"/>
      <c r="IM7" s="426"/>
      <c r="IN7" s="426"/>
      <c r="IO7" s="426"/>
      <c r="IP7" s="426"/>
      <c r="IQ7" s="426"/>
      <c r="IR7" s="426"/>
      <c r="IS7" s="426"/>
    </row>
    <row r="8" spans="1:253" ht="16.5" customHeight="1">
      <c r="A8" s="428"/>
      <c r="B8" s="428"/>
      <c r="C8" s="428"/>
      <c r="D8" s="428"/>
      <c r="E8" s="428"/>
      <c r="F8" s="428"/>
      <c r="G8" s="428"/>
      <c r="H8" s="428"/>
      <c r="I8" s="428"/>
      <c r="J8" s="428"/>
      <c r="K8" s="428"/>
      <c r="L8" s="428"/>
      <c r="M8" s="428"/>
      <c r="N8" s="3418"/>
      <c r="O8" s="428"/>
      <c r="P8" s="428"/>
      <c r="Q8" s="428"/>
      <c r="R8" s="428"/>
      <c r="S8" s="428"/>
      <c r="T8" s="428"/>
      <c r="U8" s="428"/>
      <c r="V8" s="428"/>
      <c r="W8" s="428"/>
      <c r="X8" s="428"/>
      <c r="Y8" s="428"/>
      <c r="Z8" s="428"/>
      <c r="AA8" s="428"/>
      <c r="AB8" s="428"/>
      <c r="AC8" s="428"/>
      <c r="AD8" s="428"/>
      <c r="AE8" s="223"/>
    </row>
    <row r="9" spans="1:253" ht="16.5" customHeight="1">
      <c r="A9" s="428"/>
      <c r="B9" s="428"/>
      <c r="C9" s="428"/>
      <c r="D9" s="428"/>
      <c r="E9" s="428"/>
      <c r="F9" s="428"/>
      <c r="G9" s="428"/>
      <c r="H9" s="428"/>
      <c r="I9" s="428"/>
      <c r="J9" s="428"/>
      <c r="K9" s="428"/>
      <c r="L9" s="428"/>
      <c r="M9" s="428"/>
      <c r="N9" s="3418"/>
      <c r="O9" s="428"/>
      <c r="P9" s="428"/>
      <c r="Q9" s="428"/>
      <c r="R9" s="428"/>
      <c r="S9" s="428"/>
      <c r="T9" s="428"/>
      <c r="U9" s="428"/>
      <c r="V9" s="428"/>
      <c r="W9" s="428"/>
      <c r="X9" s="428"/>
      <c r="Y9" s="428"/>
      <c r="Z9" s="428"/>
      <c r="AA9" s="428"/>
      <c r="AB9" s="428"/>
      <c r="AC9" s="428"/>
      <c r="AD9" s="428"/>
      <c r="AE9" s="409"/>
      <c r="AF9" s="2166"/>
    </row>
    <row r="10" spans="1:253" ht="16.5" customHeight="1">
      <c r="A10" s="428"/>
      <c r="B10" s="428"/>
      <c r="C10" s="428"/>
      <c r="D10" s="428"/>
      <c r="E10" s="428"/>
      <c r="F10" s="428"/>
      <c r="G10" s="428"/>
      <c r="H10" s="428"/>
      <c r="I10" s="428"/>
      <c r="J10" s="428"/>
      <c r="K10" s="428"/>
      <c r="L10" s="428"/>
      <c r="M10" s="428"/>
      <c r="N10" s="3418"/>
      <c r="O10" s="428"/>
      <c r="P10" s="428"/>
      <c r="Q10" s="428"/>
      <c r="R10" s="428"/>
      <c r="S10" s="428"/>
      <c r="T10" s="428"/>
      <c r="U10" s="428"/>
      <c r="V10" s="428"/>
      <c r="W10" s="428"/>
      <c r="X10" s="428"/>
      <c r="Y10" s="428"/>
      <c r="Z10" s="428"/>
      <c r="AA10" s="428"/>
      <c r="AB10" s="428"/>
      <c r="AC10" s="428"/>
      <c r="AD10" s="428"/>
      <c r="AE10" s="301"/>
      <c r="AF10" s="2167"/>
    </row>
    <row r="11" spans="1:253" ht="16.5" customHeight="1">
      <c r="A11" s="428"/>
      <c r="B11" s="428"/>
      <c r="C11" s="428"/>
      <c r="D11" s="428"/>
      <c r="E11" s="428"/>
      <c r="F11" s="428"/>
      <c r="G11" s="428"/>
      <c r="H11" s="428"/>
      <c r="I11" s="428"/>
      <c r="J11" s="428"/>
      <c r="K11" s="428"/>
      <c r="L11" s="428"/>
      <c r="M11" s="428"/>
      <c r="N11" s="3418"/>
      <c r="O11" s="428"/>
      <c r="P11" s="428"/>
      <c r="Q11" s="428"/>
      <c r="R11" s="428"/>
      <c r="S11" s="428"/>
      <c r="T11" s="428"/>
      <c r="U11" s="428"/>
      <c r="V11" s="428"/>
      <c r="W11" s="428"/>
      <c r="X11" s="428"/>
      <c r="Y11" s="428"/>
      <c r="Z11" s="428"/>
      <c r="AB11" s="428"/>
      <c r="AC11" s="428"/>
      <c r="AD11" s="428"/>
      <c r="AE11" s="1904"/>
      <c r="AF11" s="2154"/>
      <c r="AG11" s="2166"/>
      <c r="AH11" s="2166"/>
      <c r="AI11" s="2166"/>
    </row>
    <row r="12" spans="1:253" ht="16.5" customHeight="1">
      <c r="A12" s="424"/>
      <c r="B12" s="433"/>
      <c r="C12" s="433"/>
      <c r="D12" s="433"/>
      <c r="E12" s="433"/>
      <c r="F12" s="433"/>
      <c r="G12" s="433"/>
      <c r="H12" s="433"/>
      <c r="I12" s="433"/>
      <c r="J12" s="433"/>
      <c r="K12" s="433"/>
      <c r="L12" s="433"/>
      <c r="M12" s="433"/>
      <c r="N12" s="3420"/>
      <c r="O12" s="433"/>
      <c r="P12" s="433"/>
      <c r="Q12" s="433"/>
      <c r="R12" s="433"/>
      <c r="S12" s="433"/>
      <c r="T12" s="433"/>
      <c r="U12" s="433"/>
      <c r="V12" s="433"/>
      <c r="W12" s="433"/>
      <c r="X12" s="1485"/>
      <c r="Y12" s="1485"/>
      <c r="Z12" s="433"/>
      <c r="AA12" s="3514" t="s">
        <v>1558</v>
      </c>
      <c r="AB12" s="3514"/>
      <c r="AC12" s="3514"/>
      <c r="AD12" s="3514"/>
      <c r="AE12" s="3514"/>
      <c r="AF12" s="3514"/>
      <c r="AG12" s="3514"/>
      <c r="AH12" s="3514"/>
      <c r="AI12" s="3514"/>
    </row>
    <row r="13" spans="1:253" ht="16.5" customHeight="1">
      <c r="A13" s="424"/>
      <c r="B13" s="1775">
        <v>2016</v>
      </c>
      <c r="C13" s="433"/>
      <c r="D13" s="433"/>
      <c r="E13" s="433"/>
      <c r="F13" s="433"/>
      <c r="G13" s="433"/>
      <c r="H13" s="433"/>
      <c r="I13" s="433"/>
      <c r="J13" s="433"/>
      <c r="K13" s="433"/>
      <c r="L13" s="433"/>
      <c r="M13" s="433"/>
      <c r="N13" s="3420"/>
      <c r="O13" s="433"/>
      <c r="P13" s="433"/>
      <c r="Q13" s="433"/>
      <c r="R13" s="433"/>
      <c r="S13" s="433"/>
      <c r="T13" s="1775">
        <v>2017</v>
      </c>
      <c r="U13" s="433"/>
      <c r="V13" s="433"/>
      <c r="W13" s="433"/>
      <c r="X13" s="433"/>
      <c r="Y13" s="433"/>
      <c r="Z13" s="433"/>
      <c r="AA13" s="966"/>
      <c r="AB13" s="1922"/>
      <c r="AC13" s="1922"/>
      <c r="AD13" s="1922"/>
      <c r="AE13" s="1905"/>
      <c r="AF13" s="2155"/>
      <c r="AG13" s="2168" t="s">
        <v>8</v>
      </c>
      <c r="AH13" s="2168"/>
      <c r="AI13" s="2169" t="s">
        <v>9</v>
      </c>
    </row>
    <row r="14" spans="1:253" ht="16.5" customHeight="1">
      <c r="A14" s="424"/>
      <c r="B14" s="1486" t="s">
        <v>128</v>
      </c>
      <c r="C14" s="433"/>
      <c r="D14" s="1486" t="s">
        <v>129</v>
      </c>
      <c r="E14" s="433"/>
      <c r="F14" s="1486" t="s">
        <v>130</v>
      </c>
      <c r="G14" s="433"/>
      <c r="H14" s="1486" t="s">
        <v>131</v>
      </c>
      <c r="I14" s="433"/>
      <c r="J14" s="1486" t="s">
        <v>132</v>
      </c>
      <c r="K14" s="433"/>
      <c r="L14" s="1486" t="s">
        <v>133</v>
      </c>
      <c r="M14" s="433"/>
      <c r="N14" s="3421" t="s">
        <v>134</v>
      </c>
      <c r="O14" s="433"/>
      <c r="P14" s="1486" t="s">
        <v>135</v>
      </c>
      <c r="Q14" s="433"/>
      <c r="R14" s="1486" t="s">
        <v>136</v>
      </c>
      <c r="S14" s="433"/>
      <c r="T14" s="1486" t="s">
        <v>137</v>
      </c>
      <c r="U14" s="433"/>
      <c r="V14" s="1486" t="s">
        <v>138</v>
      </c>
      <c r="W14" s="433"/>
      <c r="X14" s="1486" t="s">
        <v>139</v>
      </c>
      <c r="Y14" s="433"/>
      <c r="Z14" s="433"/>
      <c r="AA14" s="1775">
        <v>2017</v>
      </c>
      <c r="AB14" s="433" t="s">
        <v>15</v>
      </c>
      <c r="AC14" s="433"/>
      <c r="AD14" s="1775">
        <v>2016</v>
      </c>
      <c r="AE14" s="718"/>
      <c r="AF14" s="2156"/>
      <c r="AG14" s="2170" t="s">
        <v>12</v>
      </c>
      <c r="AH14" s="2171"/>
      <c r="AI14" s="2170" t="s">
        <v>13</v>
      </c>
    </row>
    <row r="15" spans="1:253" ht="4.5" customHeight="1">
      <c r="A15" s="424"/>
      <c r="B15" s="429"/>
      <c r="C15" s="424"/>
      <c r="D15" s="429"/>
      <c r="E15" s="424"/>
      <c r="F15" s="429"/>
      <c r="G15" s="424"/>
      <c r="H15" s="429"/>
      <c r="I15" s="424"/>
      <c r="J15" s="429"/>
      <c r="K15" s="424"/>
      <c r="L15" s="429"/>
      <c r="M15" s="424"/>
      <c r="N15" s="3422" t="s">
        <v>15</v>
      </c>
      <c r="O15" s="424"/>
      <c r="P15" s="429"/>
      <c r="Q15" s="424"/>
      <c r="R15" s="429"/>
      <c r="S15" s="424"/>
      <c r="T15" s="429" t="s">
        <v>15</v>
      </c>
      <c r="U15" s="424"/>
      <c r="V15" s="429"/>
      <c r="W15" s="424"/>
      <c r="X15" s="429"/>
      <c r="Y15" s="424"/>
      <c r="Z15" s="424"/>
      <c r="AA15" s="429"/>
      <c r="AB15" s="424"/>
      <c r="AC15" s="424"/>
      <c r="AD15" s="429"/>
      <c r="AE15" s="718"/>
      <c r="AF15" s="2156"/>
    </row>
    <row r="16" spans="1:253" ht="16.5" customHeight="1">
      <c r="A16" s="430" t="s">
        <v>140</v>
      </c>
      <c r="B16" s="431">
        <v>66.099999999999994</v>
      </c>
      <c r="C16" s="431"/>
      <c r="D16" s="431">
        <f>+B55</f>
        <v>23</v>
      </c>
      <c r="E16" s="689"/>
      <c r="F16" s="431">
        <f>+D55</f>
        <v>23.4</v>
      </c>
      <c r="G16" s="689"/>
      <c r="H16" s="431">
        <f>F55</f>
        <v>24.6</v>
      </c>
      <c r="I16" s="689"/>
      <c r="J16" s="431">
        <f>H55</f>
        <v>22.4</v>
      </c>
      <c r="K16" s="689"/>
      <c r="L16" s="431">
        <f>J55</f>
        <v>24.3</v>
      </c>
      <c r="M16" s="689"/>
      <c r="N16" s="3423">
        <f>L55</f>
        <v>27.1</v>
      </c>
      <c r="O16" s="689"/>
      <c r="P16" s="431">
        <f>N55</f>
        <v>25.4</v>
      </c>
      <c r="Q16" s="689"/>
      <c r="R16" s="689">
        <f>P55</f>
        <v>24.4</v>
      </c>
      <c r="S16" s="689"/>
      <c r="T16" s="431">
        <f>R55</f>
        <v>23.4</v>
      </c>
      <c r="U16" s="689"/>
      <c r="V16" s="431"/>
      <c r="W16" s="689"/>
      <c r="X16" s="431"/>
      <c r="Y16" s="431"/>
      <c r="Z16" s="432"/>
      <c r="AA16" s="431">
        <f>B16</f>
        <v>66.099999999999994</v>
      </c>
      <c r="AB16" s="431"/>
      <c r="AC16" s="432"/>
      <c r="AD16" s="431">
        <v>50.6</v>
      </c>
      <c r="AE16" s="1695"/>
      <c r="AF16" s="2157"/>
      <c r="AG16" s="2172">
        <f>ROUND(SUM(AA16-AD16),1)</f>
        <v>15.5</v>
      </c>
      <c r="AI16" s="2173">
        <f>ROUND(IF(AG16=0,0,AG16/(AD16)),3)</f>
        <v>0.30599999999999999</v>
      </c>
    </row>
    <row r="17" spans="1:37" ht="16.5" customHeight="1">
      <c r="A17" s="424"/>
      <c r="B17" s="424" t="s">
        <v>15</v>
      </c>
      <c r="C17" s="424"/>
      <c r="D17" s="434"/>
      <c r="E17" s="434"/>
      <c r="F17" s="434"/>
      <c r="G17" s="434"/>
      <c r="H17" s="434"/>
      <c r="I17" s="434"/>
      <c r="J17" s="434"/>
      <c r="K17" s="434"/>
      <c r="L17" s="434"/>
      <c r="M17" s="434"/>
      <c r="N17" s="3424"/>
      <c r="O17" s="434"/>
      <c r="P17" s="434"/>
      <c r="Q17" s="434"/>
      <c r="R17" s="434"/>
      <c r="S17" s="434"/>
      <c r="T17" s="434"/>
      <c r="U17" s="434"/>
      <c r="V17" s="434"/>
      <c r="W17" s="434"/>
      <c r="X17" s="434"/>
      <c r="Y17" s="424"/>
      <c r="Z17" s="435"/>
      <c r="AA17" s="424" t="s">
        <v>15</v>
      </c>
      <c r="AB17" s="424"/>
      <c r="AC17" s="435"/>
      <c r="AD17" s="424" t="s">
        <v>15</v>
      </c>
      <c r="AE17" s="1697"/>
      <c r="AF17" s="2157"/>
      <c r="AG17" s="2174"/>
      <c r="AI17" s="2165"/>
    </row>
    <row r="18" spans="1:37" ht="16.5" customHeight="1">
      <c r="A18" s="433" t="s">
        <v>14</v>
      </c>
      <c r="B18" s="424"/>
      <c r="C18" s="424"/>
      <c r="D18" s="434"/>
      <c r="E18" s="434"/>
      <c r="F18" s="434"/>
      <c r="G18" s="434"/>
      <c r="H18" s="434"/>
      <c r="I18" s="434"/>
      <c r="J18" s="434"/>
      <c r="K18" s="434"/>
      <c r="L18" s="434"/>
      <c r="M18" s="434"/>
      <c r="N18" s="3424"/>
      <c r="O18" s="434"/>
      <c r="P18" s="434"/>
      <c r="Q18" s="434"/>
      <c r="R18" s="434"/>
      <c r="S18" s="434"/>
      <c r="T18" s="434"/>
      <c r="U18" s="434"/>
      <c r="V18" s="434"/>
      <c r="W18" s="434"/>
      <c r="X18" s="434"/>
      <c r="Y18" s="424"/>
      <c r="Z18" s="435"/>
      <c r="AA18" s="424"/>
      <c r="AB18" s="424"/>
      <c r="AC18" s="435"/>
      <c r="AD18" s="424"/>
      <c r="AE18" s="447"/>
      <c r="AF18" s="2157"/>
      <c r="AG18" s="2174"/>
      <c r="AI18" s="2165"/>
    </row>
    <row r="19" spans="1:37" ht="18.75" customHeight="1">
      <c r="A19" s="424" t="s">
        <v>184</v>
      </c>
      <c r="B19" s="436">
        <v>4.0999999999999996</v>
      </c>
      <c r="C19" s="436"/>
      <c r="D19" s="441">
        <v>4.5</v>
      </c>
      <c r="E19" s="450"/>
      <c r="F19" s="441">
        <v>5.9</v>
      </c>
      <c r="G19" s="450"/>
      <c r="H19" s="441">
        <v>4.5</v>
      </c>
      <c r="I19" s="450"/>
      <c r="J19" s="691">
        <v>5.0999999999999996</v>
      </c>
      <c r="K19" s="450"/>
      <c r="L19" s="3049">
        <v>8.6000000000000014</v>
      </c>
      <c r="M19" s="450"/>
      <c r="N19" s="3049">
        <v>4.8999999999999986</v>
      </c>
      <c r="O19" s="450"/>
      <c r="P19" s="440">
        <v>3.8</v>
      </c>
      <c r="Q19" s="450"/>
      <c r="R19" s="441">
        <v>3.6</v>
      </c>
      <c r="S19" s="450"/>
      <c r="T19" s="441">
        <v>5.9</v>
      </c>
      <c r="U19" s="450"/>
      <c r="V19" s="440"/>
      <c r="W19" s="450"/>
      <c r="X19" s="440"/>
      <c r="Y19" s="436"/>
      <c r="Z19" s="437"/>
      <c r="AA19" s="3051">
        <f>ROUND(SUM(B19:X19),1)</f>
        <v>50.9</v>
      </c>
      <c r="AB19" s="436"/>
      <c r="AC19" s="437"/>
      <c r="AD19" s="692">
        <v>56.8</v>
      </c>
      <c r="AE19" s="440"/>
      <c r="AF19" s="2157"/>
      <c r="AG19" s="2175">
        <f>ROUND(AA19-AD19,1)</f>
        <v>-5.9</v>
      </c>
      <c r="AH19" s="2176"/>
      <c r="AI19" s="3202">
        <f>ROUND(IF(AD19=0,0,AG19/ABS(AD19)),3)</f>
        <v>-0.104</v>
      </c>
    </row>
    <row r="20" spans="1:37" ht="17.25" customHeight="1">
      <c r="A20" s="430" t="s">
        <v>223</v>
      </c>
      <c r="B20" s="436">
        <v>1.4</v>
      </c>
      <c r="C20" s="436"/>
      <c r="D20" s="441">
        <v>1.3</v>
      </c>
      <c r="E20" s="450"/>
      <c r="F20" s="441">
        <v>1.5</v>
      </c>
      <c r="G20" s="450"/>
      <c r="H20" s="441">
        <v>1.3</v>
      </c>
      <c r="I20" s="450"/>
      <c r="J20" s="441">
        <v>1.6</v>
      </c>
      <c r="K20" s="693"/>
      <c r="L20" s="441">
        <v>1.5</v>
      </c>
      <c r="M20" s="450"/>
      <c r="N20" s="3049">
        <v>1.5</v>
      </c>
      <c r="O20" s="450"/>
      <c r="P20" s="440">
        <v>2.1</v>
      </c>
      <c r="Q20" s="450"/>
      <c r="R20" s="441">
        <v>3.1</v>
      </c>
      <c r="S20" s="450"/>
      <c r="T20" s="441">
        <v>1.3</v>
      </c>
      <c r="U20" s="450"/>
      <c r="V20" s="440"/>
      <c r="W20" s="450"/>
      <c r="X20" s="440"/>
      <c r="Y20" s="436"/>
      <c r="Z20" s="437"/>
      <c r="AA20" s="3051">
        <f>ROUND(SUM(B20:X20),1)</f>
        <v>16.600000000000001</v>
      </c>
      <c r="AB20" s="436"/>
      <c r="AC20" s="437"/>
      <c r="AD20" s="692">
        <v>26.6</v>
      </c>
      <c r="AE20" s="440"/>
      <c r="AF20" s="2157"/>
      <c r="AG20" s="2175">
        <f>ROUND(AA20-AD20,1)</f>
        <v>-10</v>
      </c>
      <c r="AH20" s="2176"/>
      <c r="AI20" s="3021">
        <f>ROUND(IF(AD20=0,0,AG20/ABS(AD20)),3)</f>
        <v>-0.376</v>
      </c>
    </row>
    <row r="21" spans="1:37" ht="17.25" customHeight="1">
      <c r="A21" s="452" t="s">
        <v>224</v>
      </c>
      <c r="B21" s="694">
        <v>132</v>
      </c>
      <c r="C21" s="436"/>
      <c r="D21" s="694">
        <v>184.1</v>
      </c>
      <c r="E21" s="450"/>
      <c r="F21" s="3050">
        <v>159.6</v>
      </c>
      <c r="G21" s="450"/>
      <c r="H21" s="3071">
        <v>167.8</v>
      </c>
      <c r="I21" s="450"/>
      <c r="J21" s="691">
        <f>208</f>
        <v>208</v>
      </c>
      <c r="K21" s="450"/>
      <c r="L21" s="691">
        <v>150.89999999999998</v>
      </c>
      <c r="M21" s="450"/>
      <c r="N21" s="3071">
        <v>154.5</v>
      </c>
      <c r="O21" s="450"/>
      <c r="P21" s="691">
        <v>165.09999999999991</v>
      </c>
      <c r="Q21" s="450"/>
      <c r="R21" s="441">
        <v>175.70000000000005</v>
      </c>
      <c r="S21" s="450"/>
      <c r="T21" s="691">
        <v>250.70000000000005</v>
      </c>
      <c r="U21" s="450"/>
      <c r="V21" s="695"/>
      <c r="W21" s="450"/>
      <c r="X21" s="440"/>
      <c r="Y21" s="436"/>
      <c r="Z21" s="437"/>
      <c r="AA21" s="3051">
        <f>ROUND(SUM(B21:X21),1)</f>
        <v>1748.4</v>
      </c>
      <c r="AB21" s="436"/>
      <c r="AC21" s="437"/>
      <c r="AD21" s="692">
        <v>1831.4</v>
      </c>
      <c r="AE21" s="442"/>
      <c r="AF21" s="2158"/>
      <c r="AG21" s="2177">
        <f>ROUND(AA21-AD21,1)</f>
        <v>-83</v>
      </c>
      <c r="AH21" s="2176"/>
      <c r="AI21" s="3203">
        <f>ROUND(IF(AD21=0,0,AG21/ABS(AD21)),3)</f>
        <v>-4.4999999999999998E-2</v>
      </c>
    </row>
    <row r="22" spans="1:37" ht="16.5" customHeight="1">
      <c r="A22" s="424"/>
      <c r="B22" s="696"/>
      <c r="C22" s="436"/>
      <c r="D22" s="697"/>
      <c r="E22" s="450"/>
      <c r="F22" s="697"/>
      <c r="G22" s="450"/>
      <c r="H22" s="697"/>
      <c r="I22" s="450"/>
      <c r="J22" s="697"/>
      <c r="K22" s="450"/>
      <c r="L22" s="697"/>
      <c r="M22" s="450"/>
      <c r="N22" s="3425"/>
      <c r="O22" s="450"/>
      <c r="P22" s="697"/>
      <c r="Q22" s="450"/>
      <c r="R22" s="697"/>
      <c r="S22" s="450"/>
      <c r="T22" s="697"/>
      <c r="U22" s="450"/>
      <c r="V22" s="445"/>
      <c r="W22" s="450"/>
      <c r="X22" s="697"/>
      <c r="Y22" s="436"/>
      <c r="Z22" s="437"/>
      <c r="AA22" s="3052"/>
      <c r="AB22" s="436"/>
      <c r="AC22" s="437"/>
      <c r="AD22" s="696"/>
      <c r="AE22" s="691"/>
      <c r="AF22" s="2158"/>
      <c r="AG22" s="2178"/>
      <c r="AI22" s="2165"/>
    </row>
    <row r="23" spans="1:37" ht="16.5" customHeight="1">
      <c r="A23" s="433" t="s">
        <v>155</v>
      </c>
      <c r="B23" s="451">
        <f>ROUND(SUM(B19:B22),1)</f>
        <v>137.5</v>
      </c>
      <c r="C23" s="438"/>
      <c r="D23" s="451">
        <f>ROUND(SUM(D19:D22),1)</f>
        <v>189.9</v>
      </c>
      <c r="E23" s="451"/>
      <c r="F23" s="451">
        <f>ROUND(SUM(F19:F22),1)</f>
        <v>167</v>
      </c>
      <c r="G23" s="451"/>
      <c r="H23" s="451">
        <f>ROUND(SUM(H19:H22),1)</f>
        <v>173.6</v>
      </c>
      <c r="I23" s="451"/>
      <c r="J23" s="451">
        <f>ROUND(SUM(J19:J22),1)</f>
        <v>214.7</v>
      </c>
      <c r="K23" s="451"/>
      <c r="L23" s="451">
        <f>ROUND(SUM(L19:L22),1)</f>
        <v>161</v>
      </c>
      <c r="M23" s="451"/>
      <c r="N23" s="3053">
        <f>ROUND(SUM(N19:N22),1)</f>
        <v>160.9</v>
      </c>
      <c r="O23" s="451"/>
      <c r="P23" s="451">
        <f>ROUND(SUM(P19:P22),1)</f>
        <v>171</v>
      </c>
      <c r="Q23" s="451"/>
      <c r="R23" s="451">
        <f>ROUND(SUM(R19:R22),1)</f>
        <v>182.4</v>
      </c>
      <c r="S23" s="451"/>
      <c r="T23" s="451">
        <f>ROUND(SUM(T19:T22),1)</f>
        <v>257.89999999999998</v>
      </c>
      <c r="U23" s="451"/>
      <c r="V23" s="451">
        <f>ROUND(SUM(V19:V22),1)</f>
        <v>0</v>
      </c>
      <c r="W23" s="451"/>
      <c r="X23" s="451">
        <f>ROUND(SUM(X19:X22),1)</f>
        <v>0</v>
      </c>
      <c r="Y23" s="438"/>
      <c r="Z23" s="439"/>
      <c r="AA23" s="3053">
        <f>ROUND(SUM(AA19:AA22),1)</f>
        <v>1815.9</v>
      </c>
      <c r="AB23" s="698"/>
      <c r="AC23" s="438"/>
      <c r="AD23" s="451">
        <f>ROUND(SUM(AD19:AD22),1)</f>
        <v>1914.8</v>
      </c>
      <c r="AE23" s="442"/>
      <c r="AF23" s="2158"/>
      <c r="AG23" s="2179">
        <f>ROUND(SUM(AG19:AG21),1)</f>
        <v>-98.9</v>
      </c>
      <c r="AH23" s="2180"/>
      <c r="AI23" s="2181">
        <f>ROUND(IF(AG23=0,0,AG23/ABS(AD23)),3)</f>
        <v>-5.1999999999999998E-2</v>
      </c>
      <c r="AJ23" s="690"/>
      <c r="AK23" s="690"/>
    </row>
    <row r="24" spans="1:37" ht="16.5" customHeight="1">
      <c r="A24" s="424"/>
      <c r="B24" s="696"/>
      <c r="C24" s="436"/>
      <c r="D24" s="697"/>
      <c r="E24" s="450"/>
      <c r="F24" s="697"/>
      <c r="G24" s="450"/>
      <c r="H24" s="697"/>
      <c r="I24" s="450"/>
      <c r="J24" s="697"/>
      <c r="K24" s="450"/>
      <c r="L24" s="697"/>
      <c r="M24" s="450"/>
      <c r="N24" s="3425"/>
      <c r="O24" s="450"/>
      <c r="P24" s="697"/>
      <c r="Q24" s="450"/>
      <c r="R24" s="697"/>
      <c r="S24" s="450"/>
      <c r="T24" s="697"/>
      <c r="U24" s="450"/>
      <c r="V24" s="697"/>
      <c r="W24" s="450"/>
      <c r="X24" s="697"/>
      <c r="Y24" s="436"/>
      <c r="Z24" s="437"/>
      <c r="AA24" s="3052"/>
      <c r="AB24" s="436"/>
      <c r="AC24" s="437"/>
      <c r="AD24" s="696"/>
      <c r="AE24" s="1717"/>
      <c r="AF24" s="2158"/>
      <c r="AG24" s="2178"/>
      <c r="AI24" s="2165"/>
    </row>
    <row r="25" spans="1:37" ht="16.5" customHeight="1">
      <c r="A25" s="424"/>
      <c r="B25" s="436"/>
      <c r="C25" s="436"/>
      <c r="D25" s="450"/>
      <c r="E25" s="450"/>
      <c r="F25" s="450"/>
      <c r="G25" s="450"/>
      <c r="H25" s="450"/>
      <c r="I25" s="450"/>
      <c r="J25" s="450"/>
      <c r="K25" s="450"/>
      <c r="L25" s="450"/>
      <c r="M25" s="450"/>
      <c r="N25" s="3426"/>
      <c r="O25" s="450"/>
      <c r="P25" s="450"/>
      <c r="Q25" s="450"/>
      <c r="R25" s="450"/>
      <c r="S25" s="450"/>
      <c r="T25" s="450"/>
      <c r="U25" s="450"/>
      <c r="V25" s="450"/>
      <c r="W25" s="450"/>
      <c r="X25" s="450"/>
      <c r="Y25" s="436"/>
      <c r="Z25" s="437"/>
      <c r="AA25" s="3051"/>
      <c r="AB25" s="436"/>
      <c r="AC25" s="437"/>
      <c r="AD25" s="436"/>
      <c r="AE25" s="1718"/>
      <c r="AF25" s="2158"/>
      <c r="AG25" s="2178"/>
      <c r="AI25" s="2165"/>
    </row>
    <row r="26" spans="1:37" ht="16.5" customHeight="1">
      <c r="A26" s="424"/>
      <c r="B26" s="436"/>
      <c r="C26" s="436"/>
      <c r="D26" s="450"/>
      <c r="E26" s="450"/>
      <c r="F26" s="450"/>
      <c r="G26" s="450"/>
      <c r="H26" s="450"/>
      <c r="I26" s="450"/>
      <c r="J26" s="450"/>
      <c r="K26" s="450"/>
      <c r="L26" s="450"/>
      <c r="M26" s="450"/>
      <c r="N26" s="3426"/>
      <c r="O26" s="450"/>
      <c r="P26" s="450"/>
      <c r="Q26" s="450"/>
      <c r="R26" s="450"/>
      <c r="S26" s="450"/>
      <c r="T26" s="450"/>
      <c r="U26" s="450"/>
      <c r="V26" s="450"/>
      <c r="W26" s="450"/>
      <c r="X26" s="450"/>
      <c r="Y26" s="436"/>
      <c r="Z26" s="437"/>
      <c r="AA26" s="3051"/>
      <c r="AB26" s="436"/>
      <c r="AC26" s="437"/>
      <c r="AD26" s="436"/>
      <c r="AE26" s="447"/>
      <c r="AF26" s="2157"/>
      <c r="AG26" s="2178"/>
      <c r="AI26" s="2182"/>
    </row>
    <row r="27" spans="1:37" ht="16.5" customHeight="1">
      <c r="A27" s="433" t="s">
        <v>23</v>
      </c>
      <c r="B27" s="436"/>
      <c r="C27" s="436"/>
      <c r="D27" s="450"/>
      <c r="E27" s="450"/>
      <c r="F27" s="450"/>
      <c r="G27" s="450"/>
      <c r="H27" s="450"/>
      <c r="I27" s="450"/>
      <c r="J27" s="450"/>
      <c r="K27" s="450"/>
      <c r="L27" s="450"/>
      <c r="M27" s="450"/>
      <c r="N27" s="3426"/>
      <c r="O27" s="450"/>
      <c r="P27" s="450"/>
      <c r="Q27" s="450"/>
      <c r="R27" s="450"/>
      <c r="S27" s="450"/>
      <c r="T27" s="450"/>
      <c r="U27" s="450"/>
      <c r="V27" s="450"/>
      <c r="W27" s="450"/>
      <c r="X27" s="450"/>
      <c r="Y27" s="436"/>
      <c r="Z27" s="437"/>
      <c r="AA27" s="3051"/>
      <c r="AB27" s="436"/>
      <c r="AC27" s="437"/>
      <c r="AD27" s="436"/>
      <c r="AE27" s="440"/>
      <c r="AF27" s="2157"/>
      <c r="AG27" s="2178"/>
      <c r="AH27" s="2183"/>
      <c r="AI27" s="2182"/>
    </row>
    <row r="28" spans="1:37" ht="16.5" customHeight="1">
      <c r="A28" s="424" t="s">
        <v>157</v>
      </c>
      <c r="B28" s="436"/>
      <c r="C28" s="436"/>
      <c r="D28" s="450"/>
      <c r="E28" s="450"/>
      <c r="F28" s="450"/>
      <c r="G28" s="450"/>
      <c r="H28" s="450"/>
      <c r="I28" s="450"/>
      <c r="J28" s="450"/>
      <c r="K28" s="450"/>
      <c r="L28" s="450"/>
      <c r="M28" s="450"/>
      <c r="N28" s="3426"/>
      <c r="O28" s="450"/>
      <c r="P28" s="450"/>
      <c r="Q28" s="450"/>
      <c r="R28" s="450"/>
      <c r="S28" s="450"/>
      <c r="T28" s="450"/>
      <c r="U28" s="450"/>
      <c r="V28" s="450"/>
      <c r="W28" s="450"/>
      <c r="X28" s="450"/>
      <c r="Y28" s="436"/>
      <c r="Z28" s="437"/>
      <c r="AA28" s="3051"/>
      <c r="AB28" s="436"/>
      <c r="AC28" s="437"/>
      <c r="AD28" s="436"/>
      <c r="AE28" s="1707"/>
      <c r="AF28" s="2158"/>
      <c r="AG28" s="2178"/>
      <c r="AI28" s="2182"/>
    </row>
    <row r="29" spans="1:37" ht="16.5" customHeight="1">
      <c r="A29" s="424" t="s">
        <v>225</v>
      </c>
      <c r="B29" s="436">
        <v>0.4</v>
      </c>
      <c r="C29" s="436"/>
      <c r="D29" s="441">
        <v>0.1</v>
      </c>
      <c r="E29" s="450"/>
      <c r="F29" s="3049">
        <v>0.4</v>
      </c>
      <c r="G29" s="450"/>
      <c r="H29" s="441">
        <v>0.2</v>
      </c>
      <c r="I29" s="450"/>
      <c r="J29" s="441">
        <v>0.5</v>
      </c>
      <c r="K29" s="450"/>
      <c r="L29" s="441">
        <v>0.1</v>
      </c>
      <c r="M29" s="450"/>
      <c r="N29" s="3049">
        <v>1.7</v>
      </c>
      <c r="O29" s="450"/>
      <c r="P29" s="440">
        <v>0.5</v>
      </c>
      <c r="Q29" s="450"/>
      <c r="R29" s="441">
        <v>0.4</v>
      </c>
      <c r="S29" s="450"/>
      <c r="T29" s="441">
        <v>0.4</v>
      </c>
      <c r="U29" s="450"/>
      <c r="V29" s="441"/>
      <c r="W29" s="450"/>
      <c r="X29" s="440"/>
      <c r="Y29" s="436"/>
      <c r="Z29" s="437"/>
      <c r="AA29" s="3051">
        <f>ROUND(SUM(B29:X29),1)</f>
        <v>4.7</v>
      </c>
      <c r="AB29" s="436"/>
      <c r="AC29" s="437"/>
      <c r="AD29" s="436">
        <v>4.8</v>
      </c>
      <c r="AE29" s="447"/>
      <c r="AF29" s="2159"/>
      <c r="AG29" s="2178">
        <f>ROUND(SUM(AA29-AD29),1)</f>
        <v>-0.1</v>
      </c>
      <c r="AI29" s="2184">
        <f>ROUND(IF(AG29=0,0,AG29/ABS(AD29)),3)</f>
        <v>-2.1000000000000001E-2</v>
      </c>
    </row>
    <row r="30" spans="1:37" ht="16.5" customHeight="1">
      <c r="A30" s="424" t="s">
        <v>185</v>
      </c>
      <c r="B30" s="436">
        <v>2.4</v>
      </c>
      <c r="C30" s="436"/>
      <c r="D30" s="441">
        <v>4.0999999999999996</v>
      </c>
      <c r="E30" s="450"/>
      <c r="F30" s="441">
        <v>4.0999999999999996</v>
      </c>
      <c r="G30" s="450"/>
      <c r="H30" s="3049">
        <v>6.6</v>
      </c>
      <c r="I30" s="450"/>
      <c r="J30" s="441">
        <v>2.6</v>
      </c>
      <c r="K30" s="450"/>
      <c r="L30" s="441">
        <v>5.9</v>
      </c>
      <c r="M30" s="450"/>
      <c r="N30" s="3049">
        <v>5.1000000000000014</v>
      </c>
      <c r="O30" s="450"/>
      <c r="P30" s="440">
        <v>3.9</v>
      </c>
      <c r="Q30" s="450"/>
      <c r="R30" s="441">
        <v>3.9</v>
      </c>
      <c r="S30" s="450"/>
      <c r="T30" s="441">
        <v>4.2</v>
      </c>
      <c r="U30" s="450"/>
      <c r="V30" s="440"/>
      <c r="W30" s="450"/>
      <c r="X30" s="440"/>
      <c r="Y30" s="436"/>
      <c r="Z30" s="437"/>
      <c r="AA30" s="3051">
        <f>ROUND(SUM(B30:X30),1)</f>
        <v>42.8</v>
      </c>
      <c r="AB30" s="436"/>
      <c r="AC30" s="437"/>
      <c r="AD30" s="436">
        <v>62.6</v>
      </c>
      <c r="AE30" s="440"/>
      <c r="AF30" s="2159"/>
      <c r="AG30" s="2178">
        <f>ROUND(SUM(AA30-AD30),1)</f>
        <v>-19.8</v>
      </c>
      <c r="AI30" s="2184">
        <f>ROUND(IF(AG30=0,0,AG30/ABS(AD30)),3)</f>
        <v>-0.316</v>
      </c>
    </row>
    <row r="31" spans="1:37" ht="16.5" customHeight="1">
      <c r="A31" s="424" t="s">
        <v>160</v>
      </c>
      <c r="B31" s="442">
        <v>0.2</v>
      </c>
      <c r="C31" s="436"/>
      <c r="D31" s="442">
        <v>0.1</v>
      </c>
      <c r="E31" s="450"/>
      <c r="F31" s="441">
        <v>0</v>
      </c>
      <c r="G31" s="450"/>
      <c r="H31" s="442">
        <v>0</v>
      </c>
      <c r="I31" s="450"/>
      <c r="J31" s="442">
        <v>0</v>
      </c>
      <c r="K31" s="450"/>
      <c r="L31" s="440">
        <v>0.1</v>
      </c>
      <c r="M31" s="450"/>
      <c r="N31" s="3079">
        <v>0</v>
      </c>
      <c r="O31" s="450"/>
      <c r="P31" s="440">
        <v>0.2</v>
      </c>
      <c r="Q31" s="450"/>
      <c r="R31" s="441">
        <v>0</v>
      </c>
      <c r="S31" s="450"/>
      <c r="T31" s="440">
        <v>0</v>
      </c>
      <c r="U31" s="450"/>
      <c r="V31" s="440"/>
      <c r="W31" s="450"/>
      <c r="X31" s="442"/>
      <c r="Y31" s="436"/>
      <c r="Z31" s="437"/>
      <c r="AA31" s="3051">
        <f>ROUND(SUM(B31:X31),1)</f>
        <v>0.6</v>
      </c>
      <c r="AB31" s="436"/>
      <c r="AC31" s="437"/>
      <c r="AD31" s="436">
        <v>0.5</v>
      </c>
      <c r="AE31" s="442"/>
      <c r="AF31" s="2160"/>
      <c r="AG31" s="2178">
        <f>ROUND(SUM(AA31-AD31),1)</f>
        <v>0.1</v>
      </c>
      <c r="AI31" s="3054">
        <f>ROUND(IF(AD31=0,1,AG31/ABS(AD31)),3)</f>
        <v>0.2</v>
      </c>
    </row>
    <row r="32" spans="1:37" ht="16.5" customHeight="1">
      <c r="A32" s="452" t="s">
        <v>226</v>
      </c>
      <c r="B32" s="3051">
        <v>177.6</v>
      </c>
      <c r="C32" s="436"/>
      <c r="D32" s="441">
        <v>185.2</v>
      </c>
      <c r="E32" s="450"/>
      <c r="F32" s="441">
        <v>161.30000000000001</v>
      </c>
      <c r="G32" s="450"/>
      <c r="H32" s="441">
        <v>169</v>
      </c>
      <c r="I32" s="450"/>
      <c r="J32" s="441">
        <v>209.7</v>
      </c>
      <c r="K32" s="450"/>
      <c r="L32" s="441">
        <v>152.1</v>
      </c>
      <c r="M32" s="450"/>
      <c r="N32" s="3049">
        <v>155.80000000000001</v>
      </c>
      <c r="O32" s="450"/>
      <c r="P32" s="440">
        <v>167.4</v>
      </c>
      <c r="Q32" s="450"/>
      <c r="R32" s="441">
        <v>179.1</v>
      </c>
      <c r="S32" s="450"/>
      <c r="T32" s="441">
        <v>252.39999999999986</v>
      </c>
      <c r="U32" s="450"/>
      <c r="V32" s="446"/>
      <c r="W32" s="450"/>
      <c r="X32" s="440"/>
      <c r="Y32" s="436"/>
      <c r="Z32" s="437"/>
      <c r="AA32" s="3051">
        <f>ROUND(SUM(B32:X32),1)</f>
        <v>1809.6</v>
      </c>
      <c r="AB32" s="436"/>
      <c r="AC32" s="437"/>
      <c r="AD32" s="692">
        <v>1832.5</v>
      </c>
      <c r="AE32" s="442"/>
      <c r="AF32" s="2159"/>
      <c r="AG32" s="2185">
        <f>ROUND(SUM(AA32-AD32),1)</f>
        <v>-22.9</v>
      </c>
      <c r="AI32" s="2186">
        <f>ROUND(IF(AG32=0,0,AG32/ABS(AD32)),3)</f>
        <v>-1.2E-2</v>
      </c>
    </row>
    <row r="33" spans="1:36" ht="16.5" customHeight="1">
      <c r="A33" s="424"/>
      <c r="B33" s="696"/>
      <c r="C33" s="436"/>
      <c r="D33" s="697"/>
      <c r="E33" s="450"/>
      <c r="F33" s="697"/>
      <c r="G33" s="450"/>
      <c r="H33" s="697"/>
      <c r="I33" s="450"/>
      <c r="J33" s="697"/>
      <c r="K33" s="450"/>
      <c r="L33" s="699"/>
      <c r="M33" s="450"/>
      <c r="N33" s="3425"/>
      <c r="O33" s="450"/>
      <c r="P33" s="697"/>
      <c r="Q33" s="450"/>
      <c r="R33" s="697"/>
      <c r="S33" s="450"/>
      <c r="T33" s="697"/>
      <c r="U33" s="450"/>
      <c r="V33" s="445"/>
      <c r="W33" s="450"/>
      <c r="X33" s="697"/>
      <c r="Y33" s="436"/>
      <c r="Z33" s="437"/>
      <c r="AA33" s="3052"/>
      <c r="AB33" s="436"/>
      <c r="AC33" s="437"/>
      <c r="AD33" s="696"/>
      <c r="AE33" s="1723"/>
      <c r="AF33" s="2160"/>
      <c r="AG33" s="2178"/>
      <c r="AH33" s="2187"/>
      <c r="AI33" s="2182"/>
    </row>
    <row r="34" spans="1:36" ht="16.5" customHeight="1">
      <c r="A34" s="433" t="s">
        <v>161</v>
      </c>
      <c r="B34" s="451">
        <f>ROUND(SUM(B29:B33),1)</f>
        <v>180.6</v>
      </c>
      <c r="C34" s="438"/>
      <c r="D34" s="451">
        <f>ROUND(SUM(D29:D33),1)</f>
        <v>189.5</v>
      </c>
      <c r="E34" s="451"/>
      <c r="F34" s="451">
        <f>ROUND(SUM(F29:F33),1)</f>
        <v>165.8</v>
      </c>
      <c r="G34" s="451"/>
      <c r="H34" s="451">
        <f>ROUND(SUM(H29:H33),1)</f>
        <v>175.8</v>
      </c>
      <c r="I34" s="451"/>
      <c r="J34" s="1760">
        <f>ROUND(SUM(J29:J33),1)</f>
        <v>212.8</v>
      </c>
      <c r="K34" s="700"/>
      <c r="L34" s="451">
        <f>ROUND(SUM(L29:L33),1)</f>
        <v>158.19999999999999</v>
      </c>
      <c r="M34" s="451"/>
      <c r="N34" s="3053">
        <f>ROUND(SUM(N29:N33),1)</f>
        <v>162.6</v>
      </c>
      <c r="O34" s="451"/>
      <c r="P34" s="451">
        <f>ROUND(SUM(P29:P33),1)</f>
        <v>172</v>
      </c>
      <c r="Q34" s="451"/>
      <c r="R34" s="451">
        <f>ROUND(SUM(R29:R33),1)</f>
        <v>183.4</v>
      </c>
      <c r="S34" s="451"/>
      <c r="T34" s="451">
        <f>ROUND(SUM(T29:T33),1)</f>
        <v>257</v>
      </c>
      <c r="U34" s="451"/>
      <c r="V34" s="451">
        <f>ROUND(SUM(V29:V33),1)</f>
        <v>0</v>
      </c>
      <c r="W34" s="451"/>
      <c r="X34" s="451">
        <f>ROUND(SUM(X29:X33),1)</f>
        <v>0</v>
      </c>
      <c r="Y34" s="438"/>
      <c r="Z34" s="439"/>
      <c r="AA34" s="3053">
        <f>ROUND(SUM(AA29:AA33),1)</f>
        <v>1857.7</v>
      </c>
      <c r="AB34" s="698"/>
      <c r="AC34" s="438"/>
      <c r="AD34" s="451">
        <f>ROUND(SUM(AD29:AD33),1)</f>
        <v>1900.4</v>
      </c>
      <c r="AE34" s="447"/>
      <c r="AF34" s="2157"/>
      <c r="AG34" s="2179">
        <f>ROUND(SUM(AG29:AG32),1)</f>
        <v>-42.7</v>
      </c>
      <c r="AH34" s="2180"/>
      <c r="AI34" s="2181">
        <f>ROUND(IF(AG34=0,0,AG34/ABS(AD34)),3)</f>
        <v>-2.1999999999999999E-2</v>
      </c>
      <c r="AJ34" s="690"/>
    </row>
    <row r="35" spans="1:36" ht="16.5" customHeight="1">
      <c r="A35" s="424"/>
      <c r="B35" s="696"/>
      <c r="C35" s="436"/>
      <c r="D35" s="697"/>
      <c r="E35" s="450"/>
      <c r="F35" s="697"/>
      <c r="G35" s="450"/>
      <c r="H35" s="697"/>
      <c r="I35" s="450"/>
      <c r="J35" s="445"/>
      <c r="K35" s="450"/>
      <c r="L35" s="697"/>
      <c r="M35" s="450"/>
      <c r="N35" s="3425"/>
      <c r="O35" s="450"/>
      <c r="P35" s="697"/>
      <c r="Q35" s="450"/>
      <c r="R35" s="697"/>
      <c r="S35" s="450"/>
      <c r="T35" s="697"/>
      <c r="U35" s="450"/>
      <c r="V35" s="697"/>
      <c r="W35" s="450"/>
      <c r="X35" s="697"/>
      <c r="Y35" s="436"/>
      <c r="Z35" s="437"/>
      <c r="AA35" s="696"/>
      <c r="AB35" s="444"/>
      <c r="AC35" s="437"/>
      <c r="AD35" s="696"/>
      <c r="AE35" s="440"/>
      <c r="AF35" s="2157"/>
      <c r="AG35" s="2178"/>
      <c r="AI35" s="2165"/>
    </row>
    <row r="36" spans="1:36" ht="16.5" customHeight="1">
      <c r="A36" s="424"/>
      <c r="B36" s="436"/>
      <c r="C36" s="436"/>
      <c r="D36" s="450"/>
      <c r="E36" s="450"/>
      <c r="F36" s="450"/>
      <c r="G36" s="450"/>
      <c r="H36" s="450"/>
      <c r="I36" s="450"/>
      <c r="J36" s="450"/>
      <c r="K36" s="450"/>
      <c r="L36" s="450"/>
      <c r="M36" s="450"/>
      <c r="N36" s="3426"/>
      <c r="O36" s="450"/>
      <c r="P36" s="450"/>
      <c r="Q36" s="450"/>
      <c r="R36" s="450"/>
      <c r="S36" s="450"/>
      <c r="T36" s="450"/>
      <c r="U36" s="450"/>
      <c r="V36" s="450"/>
      <c r="W36" s="450"/>
      <c r="X36" s="450"/>
      <c r="Y36" s="436"/>
      <c r="Z36" s="437"/>
      <c r="AA36" s="436"/>
      <c r="AB36" s="444"/>
      <c r="AC36" s="437"/>
      <c r="AD36" s="436"/>
      <c r="AE36" s="732"/>
      <c r="AF36" s="2161"/>
      <c r="AG36" s="2178"/>
      <c r="AH36" s="2183"/>
      <c r="AI36" s="2182"/>
    </row>
    <row r="37" spans="1:36" ht="16.5" customHeight="1">
      <c r="A37" s="424"/>
      <c r="B37" s="436"/>
      <c r="C37" s="436"/>
      <c r="D37" s="450"/>
      <c r="E37" s="450"/>
      <c r="F37" s="450"/>
      <c r="G37" s="450"/>
      <c r="H37" s="450"/>
      <c r="I37" s="450"/>
      <c r="J37" s="450"/>
      <c r="K37" s="450"/>
      <c r="L37" s="450"/>
      <c r="M37" s="450"/>
      <c r="N37" s="3426"/>
      <c r="O37" s="450"/>
      <c r="P37" s="450"/>
      <c r="Q37" s="450"/>
      <c r="R37" s="450"/>
      <c r="S37" s="450"/>
      <c r="T37" s="450"/>
      <c r="U37" s="450"/>
      <c r="V37" s="450"/>
      <c r="W37" s="450"/>
      <c r="X37" s="450"/>
      <c r="Y37" s="436"/>
      <c r="Z37" s="437"/>
      <c r="AA37" s="436"/>
      <c r="AB37" s="444"/>
      <c r="AC37" s="437"/>
      <c r="AD37" s="436"/>
      <c r="AE37" s="1707"/>
      <c r="AF37" s="2162"/>
      <c r="AG37" s="2178"/>
      <c r="AH37" s="2183"/>
      <c r="AI37" s="2182"/>
    </row>
    <row r="38" spans="1:36" ht="16.5" customHeight="1">
      <c r="A38" s="433" t="s">
        <v>162</v>
      </c>
      <c r="B38" s="436"/>
      <c r="C38" s="436"/>
      <c r="D38" s="450"/>
      <c r="E38" s="450"/>
      <c r="F38" s="450"/>
      <c r="G38" s="450"/>
      <c r="H38" s="450"/>
      <c r="I38" s="450"/>
      <c r="J38" s="450"/>
      <c r="K38" s="450"/>
      <c r="L38" s="450"/>
      <c r="M38" s="450"/>
      <c r="N38" s="3426"/>
      <c r="O38" s="450"/>
      <c r="P38" s="450"/>
      <c r="Q38" s="450"/>
      <c r="R38" s="450"/>
      <c r="S38" s="450"/>
      <c r="T38" s="450"/>
      <c r="U38" s="450"/>
      <c r="V38" s="450"/>
      <c r="W38" s="450"/>
      <c r="X38" s="450"/>
      <c r="Y38" s="436"/>
      <c r="Z38" s="437"/>
      <c r="AA38" s="436"/>
      <c r="AB38" s="444"/>
      <c r="AC38" s="437"/>
      <c r="AD38" s="436"/>
      <c r="AE38" s="717"/>
      <c r="AF38" s="2163"/>
      <c r="AG38" s="2178"/>
      <c r="AH38" s="2183"/>
      <c r="AI38" s="2182"/>
    </row>
    <row r="39" spans="1:36" ht="16.5" customHeight="1">
      <c r="A39" s="433" t="s">
        <v>45</v>
      </c>
      <c r="B39" s="451">
        <f>ROUND(B23-B34,1)</f>
        <v>-43.1</v>
      </c>
      <c r="C39" s="438"/>
      <c r="D39" s="451">
        <f>ROUND(D23-D34,1)</f>
        <v>0.4</v>
      </c>
      <c r="E39" s="451"/>
      <c r="F39" s="451">
        <f>ROUND(F23-F34,1)</f>
        <v>1.2</v>
      </c>
      <c r="G39" s="451"/>
      <c r="H39" s="451">
        <f>ROUND(H23-H34,1)</f>
        <v>-2.2000000000000002</v>
      </c>
      <c r="I39" s="451"/>
      <c r="J39" s="451">
        <f>ROUND(J23-J34,1)</f>
        <v>1.9</v>
      </c>
      <c r="K39" s="451"/>
      <c r="L39" s="451">
        <f>ROUND(L23-L34,1)</f>
        <v>2.8</v>
      </c>
      <c r="M39" s="451"/>
      <c r="N39" s="3053">
        <f>ROUND(N23-N34,1)</f>
        <v>-1.7</v>
      </c>
      <c r="O39" s="451"/>
      <c r="P39" s="451">
        <f>ROUND(P23-P34,1)</f>
        <v>-1</v>
      </c>
      <c r="Q39" s="451"/>
      <c r="R39" s="451">
        <f>ROUND(R23-R34,1)</f>
        <v>-1</v>
      </c>
      <c r="S39" s="451"/>
      <c r="T39" s="451">
        <f>ROUND(T23-T34,1)</f>
        <v>0.9</v>
      </c>
      <c r="U39" s="451"/>
      <c r="V39" s="451">
        <f>ROUND(V23-V34,1)</f>
        <v>0</v>
      </c>
      <c r="W39" s="451"/>
      <c r="X39" s="451">
        <f>ROUND(X23-X34,1)</f>
        <v>0</v>
      </c>
      <c r="Y39" s="438"/>
      <c r="Z39" s="439"/>
      <c r="AA39" s="451">
        <f>ROUND(AA23-AA34,1)</f>
        <v>-41.8</v>
      </c>
      <c r="AB39" s="698"/>
      <c r="AC39" s="438"/>
      <c r="AD39" s="451">
        <f>ROUND(AD23-AD34,1)</f>
        <v>14.4</v>
      </c>
      <c r="AE39" s="1714"/>
      <c r="AF39" s="2161"/>
      <c r="AG39" s="2179">
        <f>ROUND(SUM(AG23-AG34),1)</f>
        <v>-56.2</v>
      </c>
      <c r="AH39" s="2180"/>
      <c r="AI39" s="2181">
        <f>ROUND(IF(AG39=0,0,AG39/ABS(AD39)),3)</f>
        <v>-3.903</v>
      </c>
    </row>
    <row r="40" spans="1:36" ht="16.5" customHeight="1">
      <c r="A40" s="424"/>
      <c r="B40" s="696"/>
      <c r="C40" s="436"/>
      <c r="D40" s="697"/>
      <c r="E40" s="450"/>
      <c r="F40" s="697"/>
      <c r="G40" s="450"/>
      <c r="H40" s="697"/>
      <c r="I40" s="450"/>
      <c r="J40" s="697"/>
      <c r="K40" s="450"/>
      <c r="L40" s="697"/>
      <c r="M40" s="450"/>
      <c r="N40" s="3425"/>
      <c r="O40" s="450"/>
      <c r="P40" s="697"/>
      <c r="Q40" s="450"/>
      <c r="R40" s="697"/>
      <c r="S40" s="450"/>
      <c r="T40" s="697"/>
      <c r="U40" s="450"/>
      <c r="V40" s="697"/>
      <c r="W40" s="450"/>
      <c r="X40" s="697"/>
      <c r="Y40" s="436"/>
      <c r="Z40" s="437"/>
      <c r="AA40" s="696"/>
      <c r="AB40" s="444"/>
      <c r="AC40" s="437"/>
      <c r="AD40" s="696"/>
      <c r="AE40" s="252"/>
      <c r="AF40" s="2161"/>
      <c r="AG40" s="2178"/>
      <c r="AI40" s="2165"/>
    </row>
    <row r="41" spans="1:36" ht="16.5" customHeight="1">
      <c r="A41" s="424"/>
      <c r="B41" s="436"/>
      <c r="C41" s="436"/>
      <c r="D41" s="450"/>
      <c r="E41" s="450"/>
      <c r="F41" s="450"/>
      <c r="G41" s="450"/>
      <c r="H41" s="450"/>
      <c r="I41" s="450"/>
      <c r="J41" s="450"/>
      <c r="K41" s="450"/>
      <c r="L41" s="450"/>
      <c r="M41" s="450"/>
      <c r="N41" s="3426"/>
      <c r="O41" s="450"/>
      <c r="P41" s="450"/>
      <c r="Q41" s="450"/>
      <c r="R41" s="450"/>
      <c r="S41" s="450"/>
      <c r="T41" s="450"/>
      <c r="U41" s="450"/>
      <c r="V41" s="450"/>
      <c r="W41" s="450"/>
      <c r="X41" s="450"/>
      <c r="Y41" s="436"/>
      <c r="Z41" s="437"/>
      <c r="AA41" s="436"/>
      <c r="AB41" s="436"/>
      <c r="AC41" s="437"/>
      <c r="AD41" s="436"/>
      <c r="AE41" s="366"/>
      <c r="AF41" s="2161"/>
      <c r="AG41" s="2178"/>
      <c r="AI41" s="2165"/>
    </row>
    <row r="42" spans="1:36" ht="16.5" customHeight="1">
      <c r="A42" s="424"/>
      <c r="B42" s="436"/>
      <c r="C42" s="436"/>
      <c r="D42" s="450"/>
      <c r="E42" s="450"/>
      <c r="F42" s="450"/>
      <c r="G42" s="450"/>
      <c r="H42" s="450"/>
      <c r="I42" s="450"/>
      <c r="J42" s="450"/>
      <c r="K42" s="450"/>
      <c r="L42" s="450"/>
      <c r="M42" s="450"/>
      <c r="N42" s="3426"/>
      <c r="O42" s="450"/>
      <c r="P42" s="450"/>
      <c r="Q42" s="450"/>
      <c r="R42" s="450"/>
      <c r="S42" s="450"/>
      <c r="T42" s="450"/>
      <c r="U42" s="450"/>
      <c r="V42" s="450"/>
      <c r="W42" s="450"/>
      <c r="X42" s="450"/>
      <c r="Y42" s="436"/>
      <c r="Z42" s="437"/>
      <c r="AA42" s="436"/>
      <c r="AB42" s="436"/>
      <c r="AC42" s="437"/>
      <c r="AD42" s="436"/>
      <c r="AF42" s="2158"/>
      <c r="AG42" s="2178"/>
      <c r="AI42" s="2182"/>
    </row>
    <row r="43" spans="1:36" ht="16.5" customHeight="1">
      <c r="A43" s="433" t="s">
        <v>46</v>
      </c>
      <c r="B43" s="436"/>
      <c r="C43" s="436"/>
      <c r="D43" s="450"/>
      <c r="E43" s="450"/>
      <c r="F43" s="450"/>
      <c r="G43" s="450"/>
      <c r="H43" s="450"/>
      <c r="I43" s="450"/>
      <c r="J43" s="701"/>
      <c r="K43" s="450"/>
      <c r="L43" s="450"/>
      <c r="M43" s="450"/>
      <c r="N43" s="3426"/>
      <c r="O43" s="450"/>
      <c r="P43" s="450"/>
      <c r="Q43" s="450"/>
      <c r="R43" s="450"/>
      <c r="S43" s="450"/>
      <c r="T43" s="450"/>
      <c r="U43" s="450"/>
      <c r="V43" s="450"/>
      <c r="W43" s="450"/>
      <c r="X43" s="450"/>
      <c r="Y43" s="436"/>
      <c r="Z43" s="437"/>
      <c r="AA43" s="436"/>
      <c r="AB43" s="436"/>
      <c r="AC43" s="437"/>
      <c r="AD43" s="436"/>
      <c r="AE43" s="366"/>
      <c r="AF43" s="2161"/>
      <c r="AG43" s="2188"/>
      <c r="AH43" s="2189"/>
      <c r="AI43" s="2182"/>
    </row>
    <row r="44" spans="1:36" ht="16.5" customHeight="1">
      <c r="A44" s="424" t="s">
        <v>187</v>
      </c>
      <c r="B44" s="448">
        <v>0</v>
      </c>
      <c r="C44" s="436"/>
      <c r="D44" s="448">
        <v>0</v>
      </c>
      <c r="E44" s="450"/>
      <c r="F44" s="448">
        <v>0</v>
      </c>
      <c r="G44" s="441"/>
      <c r="H44" s="448">
        <v>0</v>
      </c>
      <c r="I44" s="450"/>
      <c r="J44" s="448">
        <v>0</v>
      </c>
      <c r="K44" s="450"/>
      <c r="L44" s="448">
        <v>0</v>
      </c>
      <c r="M44" s="450"/>
      <c r="N44" s="3427">
        <v>0</v>
      </c>
      <c r="O44" s="450"/>
      <c r="P44" s="448">
        <v>0</v>
      </c>
      <c r="Q44" s="450"/>
      <c r="R44" s="448">
        <v>0</v>
      </c>
      <c r="S44" s="450"/>
      <c r="T44" s="448">
        <v>0</v>
      </c>
      <c r="U44" s="450"/>
      <c r="V44" s="448"/>
      <c r="W44" s="450"/>
      <c r="X44" s="448"/>
      <c r="Y44" s="436"/>
      <c r="Z44" s="437"/>
      <c r="AA44" s="436">
        <f>ROUND(SUM(B44:X44),1)</f>
        <v>0</v>
      </c>
      <c r="AB44" s="436"/>
      <c r="AC44" s="437"/>
      <c r="AD44" s="449">
        <v>0</v>
      </c>
      <c r="AE44" s="366"/>
      <c r="AF44" s="2161"/>
      <c r="AG44" s="2178">
        <f>ROUND(SUM(AA44-AD44),1)</f>
        <v>0</v>
      </c>
      <c r="AI44" s="2640">
        <f>ROUND(IF(AG44=0,0,AG44/ABS(AD44)),3)</f>
        <v>0</v>
      </c>
    </row>
    <row r="45" spans="1:36" ht="16.5" customHeight="1">
      <c r="A45" s="424" t="s">
        <v>188</v>
      </c>
      <c r="B45" s="448">
        <v>0</v>
      </c>
      <c r="C45" s="436"/>
      <c r="D45" s="448">
        <v>0</v>
      </c>
      <c r="E45" s="450"/>
      <c r="F45" s="448">
        <v>0</v>
      </c>
      <c r="G45" s="441"/>
      <c r="H45" s="448">
        <v>0</v>
      </c>
      <c r="I45" s="450"/>
      <c r="J45" s="448">
        <v>0</v>
      </c>
      <c r="K45" s="450"/>
      <c r="L45" s="448">
        <v>0</v>
      </c>
      <c r="M45" s="450"/>
      <c r="N45" s="3427">
        <v>0</v>
      </c>
      <c r="O45" s="450"/>
      <c r="P45" s="448">
        <v>0</v>
      </c>
      <c r="Q45" s="450"/>
      <c r="R45" s="448">
        <v>0</v>
      </c>
      <c r="S45" s="450"/>
      <c r="T45" s="448">
        <v>0</v>
      </c>
      <c r="U45" s="450"/>
      <c r="V45" s="448"/>
      <c r="W45" s="450"/>
      <c r="X45" s="448"/>
      <c r="Y45" s="436"/>
      <c r="Z45" s="437"/>
      <c r="AA45" s="436">
        <f>ROUND(SUM(B45:X45),1)</f>
        <v>0</v>
      </c>
      <c r="AB45" s="436"/>
      <c r="AC45" s="437"/>
      <c r="AD45" s="449">
        <v>0</v>
      </c>
      <c r="AE45" s="366"/>
      <c r="AF45" s="2161"/>
      <c r="AG45" s="2642">
        <f>-ROUND(SUM(AA45-AD45),1)</f>
        <v>0</v>
      </c>
      <c r="AI45" s="2905">
        <f>ROUND(IF(AG45=0,0,AG45/ABS(AD45)),3)</f>
        <v>0</v>
      </c>
    </row>
    <row r="46" spans="1:36" ht="16.5" customHeight="1">
      <c r="A46" s="424"/>
      <c r="B46" s="696"/>
      <c r="C46" s="436"/>
      <c r="D46" s="696"/>
      <c r="E46" s="450"/>
      <c r="F46" s="696"/>
      <c r="G46" s="450"/>
      <c r="H46" s="696"/>
      <c r="I46" s="450"/>
      <c r="J46" s="696"/>
      <c r="K46" s="450"/>
      <c r="L46" s="696"/>
      <c r="M46" s="450"/>
      <c r="N46" s="3052"/>
      <c r="O46" s="450"/>
      <c r="P46" s="696"/>
      <c r="Q46" s="450"/>
      <c r="R46" s="696"/>
      <c r="S46" s="450"/>
      <c r="T46" s="697"/>
      <c r="U46" s="450"/>
      <c r="V46" s="697"/>
      <c r="W46" s="450"/>
      <c r="X46" s="697"/>
      <c r="Y46" s="436"/>
      <c r="Z46" s="437"/>
      <c r="AA46" s="696"/>
      <c r="AB46" s="436"/>
      <c r="AC46" s="437"/>
      <c r="AD46" s="696"/>
      <c r="AE46" s="366"/>
      <c r="AF46" s="2161"/>
      <c r="AG46" s="2174"/>
      <c r="AI46" s="2718"/>
    </row>
    <row r="47" spans="1:36" ht="16.5" customHeight="1">
      <c r="A47" s="433" t="s">
        <v>214</v>
      </c>
      <c r="B47" s="702">
        <f>ROUND(SUM(B44:B46),1)</f>
        <v>0</v>
      </c>
      <c r="C47" s="438"/>
      <c r="D47" s="702">
        <f>ROUND(SUM(D44:D46),1)</f>
        <v>0</v>
      </c>
      <c r="E47" s="451"/>
      <c r="F47" s="702">
        <f>ROUND(SUM(F44:F46),1)</f>
        <v>0</v>
      </c>
      <c r="G47" s="451"/>
      <c r="H47" s="702">
        <f>ROUND(SUM(H44:H46),1)</f>
        <v>0</v>
      </c>
      <c r="I47" s="451"/>
      <c r="J47" s="702">
        <f>ROUND(SUM(J44:J46),1)</f>
        <v>0</v>
      </c>
      <c r="K47" s="451"/>
      <c r="L47" s="702">
        <f>ROUND(SUM(L44:L46),1)</f>
        <v>0</v>
      </c>
      <c r="M47" s="451"/>
      <c r="N47" s="3428">
        <f>ROUND(SUM(N44:N46),1)</f>
        <v>0</v>
      </c>
      <c r="O47" s="451"/>
      <c r="P47" s="702">
        <f>ROUND(SUM(P44:P46),1)</f>
        <v>0</v>
      </c>
      <c r="Q47" s="451"/>
      <c r="R47" s="702">
        <f>ROUND(SUM(R44:R46),1)</f>
        <v>0</v>
      </c>
      <c r="S47" s="451"/>
      <c r="T47" s="702">
        <f>ROUND(SUM(T44:T46),1)</f>
        <v>0</v>
      </c>
      <c r="U47" s="451"/>
      <c r="V47" s="702">
        <f>ROUND(SUM(V44:V46),1)</f>
        <v>0</v>
      </c>
      <c r="W47" s="451"/>
      <c r="X47" s="702">
        <f>ROUND(SUM(X44:X46),1)</f>
        <v>0</v>
      </c>
      <c r="Y47" s="438"/>
      <c r="Z47" s="439"/>
      <c r="AA47" s="2641">
        <f>ROUND(SUM(AA44+AA45),1)</f>
        <v>0</v>
      </c>
      <c r="AB47" s="698"/>
      <c r="AC47" s="438"/>
      <c r="AD47" s="2641">
        <f>ROUND(SUM(AD44+AD45),1)</f>
        <v>0</v>
      </c>
      <c r="AE47" s="223"/>
      <c r="AF47" s="2158"/>
      <c r="AG47" s="2179">
        <f>ROUND(SUM(AG44:AG45),1)</f>
        <v>0</v>
      </c>
      <c r="AH47" s="2190"/>
      <c r="AI47" s="2181">
        <f>ROUND(IF(AG47=0,0,AG47/ABS(AD47)),3)</f>
        <v>0</v>
      </c>
    </row>
    <row r="48" spans="1:36" ht="16.5" customHeight="1">
      <c r="A48" s="424"/>
      <c r="B48" s="696"/>
      <c r="C48" s="436"/>
      <c r="D48" s="697"/>
      <c r="E48" s="450"/>
      <c r="F48" s="697"/>
      <c r="G48" s="450"/>
      <c r="H48" s="697"/>
      <c r="I48" s="450"/>
      <c r="J48" s="697"/>
      <c r="K48" s="450"/>
      <c r="L48" s="697"/>
      <c r="M48" s="450"/>
      <c r="N48" s="3425"/>
      <c r="O48" s="450"/>
      <c r="P48" s="697"/>
      <c r="Q48" s="450"/>
      <c r="R48" s="697"/>
      <c r="S48" s="450"/>
      <c r="T48" s="697"/>
      <c r="U48" s="450"/>
      <c r="V48" s="697"/>
      <c r="W48" s="450"/>
      <c r="X48" s="697"/>
      <c r="Y48" s="436"/>
      <c r="Z48" s="437"/>
      <c r="AA48" s="696"/>
      <c r="AB48" s="436"/>
      <c r="AC48" s="437"/>
      <c r="AD48" s="696"/>
      <c r="AF48" s="2158"/>
      <c r="AG48" s="2174"/>
    </row>
    <row r="49" spans="1:38" ht="16.5" customHeight="1">
      <c r="A49" s="424"/>
      <c r="B49" s="436"/>
      <c r="C49" s="436"/>
      <c r="D49" s="450"/>
      <c r="E49" s="450"/>
      <c r="F49" s="450"/>
      <c r="G49" s="450"/>
      <c r="H49" s="450"/>
      <c r="I49" s="450"/>
      <c r="J49" s="450"/>
      <c r="K49" s="450"/>
      <c r="L49" s="450"/>
      <c r="M49" s="450"/>
      <c r="N49" s="3426"/>
      <c r="O49" s="450"/>
      <c r="P49" s="450"/>
      <c r="Q49" s="450"/>
      <c r="R49" s="450"/>
      <c r="S49" s="450"/>
      <c r="T49" s="450"/>
      <c r="U49" s="450"/>
      <c r="V49" s="450"/>
      <c r="W49" s="450"/>
      <c r="X49" s="450"/>
      <c r="Y49" s="436"/>
      <c r="Z49" s="437"/>
      <c r="AA49" s="436"/>
      <c r="AB49" s="436"/>
      <c r="AC49" s="437"/>
      <c r="AD49" s="436"/>
      <c r="AF49" s="2158"/>
      <c r="AG49" s="2174"/>
    </row>
    <row r="50" spans="1:38" ht="16.5" customHeight="1">
      <c r="A50" s="424"/>
      <c r="B50" s="436"/>
      <c r="C50" s="436"/>
      <c r="D50" s="450"/>
      <c r="E50" s="450"/>
      <c r="F50" s="450"/>
      <c r="G50" s="450"/>
      <c r="H50" s="450"/>
      <c r="I50" s="450"/>
      <c r="J50" s="450"/>
      <c r="K50" s="450"/>
      <c r="L50" s="450"/>
      <c r="M50" s="450"/>
      <c r="N50" s="3426"/>
      <c r="O50" s="450"/>
      <c r="P50" s="450"/>
      <c r="Q50" s="450"/>
      <c r="R50" s="450"/>
      <c r="S50" s="450"/>
      <c r="T50" s="450"/>
      <c r="U50" s="450"/>
      <c r="V50" s="450"/>
      <c r="W50" s="450"/>
      <c r="X50" s="450"/>
      <c r="Y50" s="436"/>
      <c r="Z50" s="437"/>
      <c r="AA50" s="436"/>
      <c r="AB50" s="436"/>
      <c r="AC50" s="437"/>
      <c r="AD50" s="436"/>
      <c r="AF50" s="2158"/>
    </row>
    <row r="51" spans="1:38" ht="16.5" customHeight="1">
      <c r="A51" s="433" t="s">
        <v>171</v>
      </c>
      <c r="B51" s="436"/>
      <c r="C51" s="436"/>
      <c r="D51" s="450"/>
      <c r="E51" s="450"/>
      <c r="F51" s="450"/>
      <c r="G51" s="450"/>
      <c r="H51" s="450"/>
      <c r="I51" s="450"/>
      <c r="J51" s="450"/>
      <c r="K51" s="450"/>
      <c r="L51" s="450"/>
      <c r="M51" s="450"/>
      <c r="N51" s="3426"/>
      <c r="O51" s="450"/>
      <c r="P51" s="450"/>
      <c r="Q51" s="450"/>
      <c r="R51" s="450"/>
      <c r="S51" s="450"/>
      <c r="T51" s="450"/>
      <c r="U51" s="450"/>
      <c r="V51" s="450"/>
      <c r="W51" s="450"/>
      <c r="X51" s="450"/>
      <c r="Y51" s="436"/>
      <c r="Z51" s="437"/>
      <c r="AA51" s="436"/>
      <c r="AB51" s="436"/>
      <c r="AC51" s="437"/>
      <c r="AD51" s="436"/>
      <c r="AF51" s="2158"/>
    </row>
    <row r="52" spans="1:38" ht="16.5" customHeight="1">
      <c r="A52" s="433" t="s">
        <v>233</v>
      </c>
      <c r="B52" s="436"/>
      <c r="C52" s="436"/>
      <c r="D52" s="450"/>
      <c r="E52" s="450"/>
      <c r="F52" s="450"/>
      <c r="G52" s="450"/>
      <c r="H52" s="450"/>
      <c r="I52" s="450"/>
      <c r="J52" s="703"/>
      <c r="K52" s="450"/>
      <c r="L52" s="450"/>
      <c r="M52" s="450"/>
      <c r="N52" s="3426"/>
      <c r="O52" s="450"/>
      <c r="P52" s="450"/>
      <c r="Q52" s="450"/>
      <c r="R52" s="450"/>
      <c r="S52" s="450"/>
      <c r="T52" s="450"/>
      <c r="U52" s="450"/>
      <c r="V52" s="450"/>
      <c r="W52" s="450"/>
      <c r="X52" s="450"/>
      <c r="Y52" s="436"/>
      <c r="Z52" s="437"/>
      <c r="AA52" s="436"/>
      <c r="AB52" s="436"/>
      <c r="AC52" s="437"/>
      <c r="AD52" s="436"/>
      <c r="AF52" s="2158"/>
    </row>
    <row r="53" spans="1:38" ht="16.5" customHeight="1">
      <c r="A53" s="433" t="s">
        <v>173</v>
      </c>
      <c r="B53" s="451">
        <f>ROUND(B39+B47,1)</f>
        <v>-43.1</v>
      </c>
      <c r="C53" s="438"/>
      <c r="D53" s="451">
        <f>ROUND(D39+D47,1)</f>
        <v>0.4</v>
      </c>
      <c r="E53" s="451"/>
      <c r="F53" s="451">
        <f>ROUND(F39+F47,1)</f>
        <v>1.2</v>
      </c>
      <c r="G53" s="451"/>
      <c r="H53" s="451">
        <f>ROUND(H39+H47,1)</f>
        <v>-2.2000000000000002</v>
      </c>
      <c r="I53" s="451"/>
      <c r="J53" s="1760">
        <f>ROUND(J39+J47,1)</f>
        <v>1.9</v>
      </c>
      <c r="K53" s="451"/>
      <c r="L53" s="451">
        <f>ROUND(L39+L47,1)</f>
        <v>2.8</v>
      </c>
      <c r="M53" s="451"/>
      <c r="N53" s="3053">
        <f>ROUND(N39+N47,1)</f>
        <v>-1.7</v>
      </c>
      <c r="O53" s="451"/>
      <c r="P53" s="451">
        <f>ROUND(P39+P47,1)</f>
        <v>-1</v>
      </c>
      <c r="Q53" s="451"/>
      <c r="R53" s="451">
        <f>ROUND(R39+R47,1)</f>
        <v>-1</v>
      </c>
      <c r="S53" s="451"/>
      <c r="T53" s="451">
        <f>ROUND(T39+T47,1)</f>
        <v>0.9</v>
      </c>
      <c r="U53" s="451"/>
      <c r="V53" s="451">
        <f>ROUND(V39+V47,1)</f>
        <v>0</v>
      </c>
      <c r="W53" s="451"/>
      <c r="X53" s="451">
        <f>ROUND(X39+X47,1)</f>
        <v>0</v>
      </c>
      <c r="Y53" s="438"/>
      <c r="Z53" s="439"/>
      <c r="AA53" s="451">
        <f>ROUND(AA39+AA47,1)</f>
        <v>-41.8</v>
      </c>
      <c r="AB53" s="698"/>
      <c r="AC53" s="438"/>
      <c r="AD53" s="451">
        <f>ROUND(AD39+AD47,1)</f>
        <v>14.4</v>
      </c>
      <c r="AF53" s="2158"/>
      <c r="AG53" s="2179">
        <f>ROUND(SUM(AG39+AG47),1)</f>
        <v>-56.2</v>
      </c>
      <c r="AH53" s="2154"/>
      <c r="AI53" s="2181">
        <f>ROUND(IF(AG53=0,0,AG53/ABS(AD53)),3)</f>
        <v>-3.903</v>
      </c>
      <c r="AJ53" s="690"/>
      <c r="AK53" s="690"/>
      <c r="AL53" s="690"/>
    </row>
    <row r="54" spans="1:38" ht="16.5" customHeight="1">
      <c r="A54" s="424"/>
      <c r="B54" s="704"/>
      <c r="C54" s="433"/>
      <c r="D54" s="705"/>
      <c r="E54" s="706"/>
      <c r="F54" s="705"/>
      <c r="G54" s="706"/>
      <c r="H54" s="705"/>
      <c r="I54" s="706"/>
      <c r="J54" s="707"/>
      <c r="K54" s="706"/>
      <c r="L54" s="705"/>
      <c r="M54" s="706"/>
      <c r="N54" s="3429"/>
      <c r="O54" s="706"/>
      <c r="P54" s="705"/>
      <c r="Q54" s="706"/>
      <c r="R54" s="705"/>
      <c r="S54" s="706"/>
      <c r="T54" s="705"/>
      <c r="U54" s="706"/>
      <c r="V54" s="705"/>
      <c r="W54" s="706"/>
      <c r="X54" s="705"/>
      <c r="Y54" s="433"/>
      <c r="Z54" s="708"/>
      <c r="AA54" s="704"/>
      <c r="AB54" s="433"/>
      <c r="AC54" s="708"/>
      <c r="AD54" s="704"/>
      <c r="AF54" s="2158"/>
      <c r="AI54" s="2165"/>
      <c r="AJ54" s="690"/>
      <c r="AK54" s="690"/>
      <c r="AL54" s="690"/>
    </row>
    <row r="55" spans="1:38" ht="16.5" customHeight="1" thickBot="1">
      <c r="A55" s="433" t="s">
        <v>145</v>
      </c>
      <c r="B55" s="431">
        <f>ROUND(B16+B53,1)</f>
        <v>23</v>
      </c>
      <c r="C55" s="431"/>
      <c r="D55" s="431">
        <f>ROUND(D16+D53,1)</f>
        <v>23.4</v>
      </c>
      <c r="E55" s="689"/>
      <c r="F55" s="431">
        <f>ROUND(F16+F53,1)</f>
        <v>24.6</v>
      </c>
      <c r="G55" s="689"/>
      <c r="H55" s="1762">
        <f>ROUND(H16+H53,1)</f>
        <v>22.4</v>
      </c>
      <c r="I55" s="709"/>
      <c r="J55" s="431">
        <f>ROUND(J16+J53,1)</f>
        <v>24.3</v>
      </c>
      <c r="K55" s="709"/>
      <c r="L55" s="431">
        <f>ROUND(L16+L53,1)</f>
        <v>27.1</v>
      </c>
      <c r="M55" s="689"/>
      <c r="N55" s="3423">
        <f>ROUND(N16+N53,1)</f>
        <v>25.4</v>
      </c>
      <c r="O55" s="689"/>
      <c r="P55" s="431">
        <f>ROUND(P16+P53,1)</f>
        <v>24.4</v>
      </c>
      <c r="Q55" s="689"/>
      <c r="R55" s="431">
        <f>ROUND(R16+R53,1)</f>
        <v>23.4</v>
      </c>
      <c r="S55" s="689"/>
      <c r="T55" s="431">
        <f>ROUND(T16+T53,1)</f>
        <v>24.3</v>
      </c>
      <c r="U55" s="689"/>
      <c r="V55" s="431">
        <f>ROUND(V16+V53,1)</f>
        <v>0</v>
      </c>
      <c r="W55" s="689"/>
      <c r="X55" s="431">
        <f>ROUND(X16+X53,1)</f>
        <v>0</v>
      </c>
      <c r="Y55" s="431"/>
      <c r="Z55" s="432"/>
      <c r="AA55" s="431">
        <f>ROUND(AA16+AA53,1)</f>
        <v>24.3</v>
      </c>
      <c r="AB55" s="431"/>
      <c r="AC55" s="432"/>
      <c r="AD55" s="431">
        <f>ROUND(AD16+AD53,1)</f>
        <v>65</v>
      </c>
      <c r="AF55" s="2158"/>
      <c r="AG55" s="2191">
        <f>ROUND(SUM(AA55-AD55),1)</f>
        <v>-40.700000000000003</v>
      </c>
      <c r="AH55" s="2189"/>
      <c r="AI55" s="2192">
        <f>ROUND(IF(AG55=0,0,AG55/ABS(AD55)),3)</f>
        <v>-0.626</v>
      </c>
      <c r="AJ55" s="690"/>
      <c r="AK55" s="690"/>
      <c r="AL55" s="690"/>
    </row>
    <row r="56" spans="1:38" ht="16.5" customHeight="1" thickTop="1">
      <c r="A56" s="426"/>
      <c r="B56" s="710"/>
      <c r="C56" s="426"/>
      <c r="D56" s="710"/>
      <c r="E56" s="426"/>
      <c r="F56" s="710"/>
      <c r="G56" s="426"/>
      <c r="H56" s="443"/>
      <c r="I56" s="443"/>
      <c r="J56" s="710"/>
      <c r="K56" s="443"/>
      <c r="L56" s="710"/>
      <c r="M56" s="426"/>
      <c r="N56" s="3430"/>
      <c r="O56" s="426"/>
      <c r="P56" s="710"/>
      <c r="Q56" s="426"/>
      <c r="R56" s="710"/>
      <c r="S56" s="426"/>
      <c r="T56" s="710"/>
      <c r="U56" s="426"/>
      <c r="V56" s="710"/>
      <c r="W56" s="426"/>
      <c r="X56" s="710"/>
      <c r="Y56" s="426"/>
      <c r="Z56" s="426"/>
      <c r="AA56" s="710"/>
      <c r="AB56" s="426"/>
      <c r="AC56" s="426"/>
      <c r="AD56" s="710"/>
    </row>
    <row r="57" spans="1:38" ht="16.5" customHeight="1">
      <c r="A57" s="452"/>
    </row>
    <row r="58" spans="1:38" ht="16.5" customHeight="1">
      <c r="A58" s="452"/>
    </row>
    <row r="59" spans="1:38" ht="16.5" customHeight="1">
      <c r="A59" s="452"/>
    </row>
    <row r="60" spans="1:38" ht="16.5" customHeight="1">
      <c r="A60" s="452"/>
    </row>
    <row r="61" spans="1:38" ht="16.5" customHeight="1">
      <c r="A61" s="452"/>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A12:AI12"/>
  </mergeCells>
  <pageMargins left="0.5" right="0.5" top="0.5" bottom="0.5" header="0" footer="0.25"/>
  <pageSetup scale="42" firstPageNumber="35" orientation="landscape" useFirstPageNumber="1" r:id="rId2"/>
  <headerFooter scaleWithDoc="0" alignWithMargins="0">
    <oddFooter>&amp;C&amp;8 &amp;P</oddFooter>
  </headerFooter>
  <ignoredErrors>
    <ignoredError sqref="AI31"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workbookViewId="0"/>
  </sheetViews>
  <sheetFormatPr defaultColWidth="8.88671875" defaultRowHeight="16.5" customHeight="1"/>
  <cols>
    <col min="1" max="1" width="45.109375" style="409" customWidth="1"/>
    <col min="2" max="2" width="11" style="409" customWidth="1"/>
    <col min="3" max="3" width="1.6640625" style="409" customWidth="1"/>
    <col min="4" max="4" width="11" style="409" customWidth="1"/>
    <col min="5" max="5" width="1.6640625" style="409" customWidth="1"/>
    <col min="6" max="6" width="11.109375" style="409" customWidth="1"/>
    <col min="7" max="7" width="1.6640625" style="409" customWidth="1"/>
    <col min="8" max="8" width="11" style="409" customWidth="1"/>
    <col min="9" max="9" width="1.77734375" style="409" customWidth="1"/>
    <col min="10" max="10" width="9.77734375" style="409" customWidth="1"/>
    <col min="11" max="11" width="1.77734375" style="409" customWidth="1"/>
    <col min="12" max="12" width="13.33203125" style="409" customWidth="1"/>
    <col min="13" max="13" width="1.6640625" style="409" customWidth="1"/>
    <col min="14" max="14" width="11.109375" style="2062" customWidth="1"/>
    <col min="15" max="15" width="1.6640625" style="409" customWidth="1"/>
    <col min="16" max="16" width="12.33203125" style="409" customWidth="1"/>
    <col min="17" max="17" width="1.6640625" style="409" customWidth="1"/>
    <col min="18" max="18" width="12" style="409" customWidth="1"/>
    <col min="19" max="19" width="1.6640625" style="409" customWidth="1"/>
    <col min="20" max="20" width="11.109375" style="409" customWidth="1"/>
    <col min="21" max="21" width="1.6640625" style="409" customWidth="1"/>
    <col min="22" max="22" width="11.77734375" style="409" customWidth="1"/>
    <col min="23" max="23" width="1.6640625" style="409" customWidth="1"/>
    <col min="24" max="24" width="11.109375" style="409" customWidth="1"/>
    <col min="25" max="26" width="1.6640625" style="409" customWidth="1"/>
    <col min="27" max="27" width="11.5546875" style="409" customWidth="1"/>
    <col min="28" max="29" width="1.6640625" style="409" customWidth="1"/>
    <col min="30" max="30" width="11.5546875" style="409" customWidth="1"/>
    <col min="31" max="31" width="1.77734375" style="737" customWidth="1"/>
    <col min="32" max="32" width="2.44140625" style="2164" customWidth="1"/>
    <col min="33" max="33" width="10.33203125" style="2165" bestFit="1" customWidth="1"/>
    <col min="34" max="34" width="1.6640625" style="2165" customWidth="1"/>
    <col min="35" max="35" width="11.109375" style="2164" customWidth="1"/>
    <col min="36" max="16384" width="8.88671875" style="409"/>
  </cols>
  <sheetData>
    <row r="1" spans="1:251" ht="16.5" customHeight="1">
      <c r="A1" s="1159" t="s">
        <v>1090</v>
      </c>
    </row>
    <row r="2" spans="1:251" ht="16.5" customHeight="1">
      <c r="A2" s="1649"/>
    </row>
    <row r="3" spans="1:251" ht="20.25" customHeight="1">
      <c r="A3" s="1907" t="s">
        <v>0</v>
      </c>
      <c r="B3" s="638"/>
      <c r="C3" s="711"/>
      <c r="D3" s="711"/>
      <c r="E3" s="711"/>
      <c r="F3" s="711"/>
      <c r="G3" s="711"/>
      <c r="H3" s="711"/>
      <c r="I3" s="711"/>
      <c r="J3" s="711"/>
      <c r="K3" s="711"/>
      <c r="L3" s="711"/>
      <c r="M3" s="711"/>
      <c r="N3" s="3408"/>
      <c r="O3" s="711"/>
      <c r="P3" s="711"/>
      <c r="Q3" s="711"/>
      <c r="R3" s="711"/>
      <c r="S3" s="711"/>
      <c r="T3" s="711"/>
      <c r="U3" s="711"/>
      <c r="V3" s="711"/>
      <c r="W3" s="711"/>
      <c r="X3" s="711"/>
      <c r="Y3" s="711"/>
      <c r="Z3" s="711"/>
      <c r="AA3" s="711"/>
      <c r="AB3" s="711"/>
      <c r="AC3" s="711"/>
      <c r="AD3" s="711"/>
      <c r="AE3" s="223"/>
      <c r="AI3" s="2215" t="s">
        <v>229</v>
      </c>
      <c r="AJ3" s="711"/>
      <c r="AK3" s="711"/>
      <c r="AL3" s="711"/>
      <c r="AM3" s="711"/>
      <c r="AN3" s="711"/>
      <c r="AO3" s="711"/>
      <c r="AP3" s="711"/>
      <c r="AQ3" s="711"/>
      <c r="AR3" s="711"/>
      <c r="AS3" s="711"/>
      <c r="AT3" s="711"/>
      <c r="AU3" s="711"/>
      <c r="AV3" s="711"/>
      <c r="AW3" s="711"/>
      <c r="AX3" s="711"/>
      <c r="AY3" s="711"/>
      <c r="AZ3" s="711"/>
      <c r="BA3" s="711"/>
      <c r="BB3" s="711"/>
      <c r="BC3" s="711"/>
      <c r="BD3" s="711"/>
      <c r="BE3" s="711"/>
      <c r="BF3" s="711"/>
      <c r="BG3" s="711"/>
      <c r="BH3" s="711"/>
      <c r="BI3" s="711"/>
      <c r="BJ3" s="711"/>
      <c r="BK3" s="711"/>
      <c r="BL3" s="711"/>
      <c r="BM3" s="711"/>
      <c r="BN3" s="711"/>
      <c r="BO3" s="711"/>
      <c r="BP3" s="711"/>
      <c r="BQ3" s="711"/>
      <c r="BR3" s="711"/>
      <c r="BS3" s="711"/>
      <c r="BT3" s="711"/>
      <c r="BU3" s="711"/>
      <c r="BV3" s="711"/>
      <c r="BW3" s="711"/>
      <c r="BX3" s="711"/>
      <c r="BY3" s="711"/>
      <c r="BZ3" s="711"/>
      <c r="CA3" s="711"/>
      <c r="CB3" s="711"/>
      <c r="CC3" s="711"/>
      <c r="CD3" s="711"/>
      <c r="CE3" s="711"/>
      <c r="CF3" s="711"/>
      <c r="CG3" s="711"/>
      <c r="CH3" s="711"/>
      <c r="CI3" s="711"/>
      <c r="CJ3" s="711"/>
      <c r="CK3" s="711"/>
      <c r="CL3" s="711"/>
      <c r="CM3" s="711"/>
      <c r="CN3" s="711"/>
      <c r="CO3" s="711"/>
      <c r="CP3" s="711"/>
      <c r="CQ3" s="711"/>
      <c r="CR3" s="711"/>
      <c r="CS3" s="711"/>
      <c r="CT3" s="711"/>
      <c r="CU3" s="711"/>
      <c r="CV3" s="711"/>
      <c r="CW3" s="711"/>
      <c r="CX3" s="711"/>
      <c r="CY3" s="711"/>
      <c r="CZ3" s="711"/>
      <c r="DA3" s="711"/>
      <c r="DB3" s="711"/>
      <c r="DC3" s="711"/>
      <c r="DD3" s="711"/>
      <c r="DE3" s="711"/>
      <c r="DF3" s="711"/>
      <c r="DG3" s="711"/>
      <c r="DH3" s="711"/>
      <c r="DI3" s="711"/>
      <c r="DJ3" s="711"/>
      <c r="DK3" s="711"/>
      <c r="DL3" s="711"/>
      <c r="DM3" s="711"/>
      <c r="DN3" s="711"/>
      <c r="DO3" s="711"/>
      <c r="DP3" s="711"/>
      <c r="DQ3" s="711"/>
      <c r="DR3" s="711"/>
      <c r="DS3" s="711"/>
      <c r="DT3" s="711"/>
      <c r="DU3" s="711"/>
      <c r="DV3" s="711"/>
      <c r="DW3" s="711"/>
      <c r="DX3" s="711"/>
      <c r="DY3" s="711"/>
      <c r="DZ3" s="711"/>
      <c r="EA3" s="711"/>
      <c r="EB3" s="711"/>
      <c r="EC3" s="711"/>
      <c r="ED3" s="711"/>
      <c r="EE3" s="711"/>
      <c r="EF3" s="711"/>
      <c r="EG3" s="711"/>
      <c r="EH3" s="711"/>
      <c r="EI3" s="711"/>
      <c r="EJ3" s="711"/>
      <c r="EK3" s="711"/>
      <c r="EL3" s="711"/>
      <c r="EM3" s="711"/>
      <c r="EN3" s="711"/>
      <c r="EO3" s="711"/>
      <c r="EP3" s="711"/>
      <c r="EQ3" s="711"/>
      <c r="ER3" s="711"/>
      <c r="ES3" s="711"/>
      <c r="ET3" s="711"/>
      <c r="EU3" s="711"/>
      <c r="EV3" s="711"/>
      <c r="EW3" s="711"/>
      <c r="EX3" s="711"/>
      <c r="EY3" s="711"/>
      <c r="EZ3" s="711"/>
      <c r="FA3" s="711"/>
      <c r="FB3" s="711"/>
      <c r="FC3" s="711"/>
      <c r="FD3" s="711"/>
      <c r="FE3" s="711"/>
      <c r="FF3" s="711"/>
      <c r="FG3" s="711"/>
      <c r="FH3" s="711"/>
      <c r="FI3" s="711"/>
      <c r="FJ3" s="711"/>
      <c r="FK3" s="711"/>
      <c r="FL3" s="711"/>
      <c r="FM3" s="711"/>
      <c r="FN3" s="711"/>
      <c r="FO3" s="711"/>
      <c r="FP3" s="711"/>
      <c r="FQ3" s="711"/>
      <c r="FR3" s="711"/>
      <c r="FS3" s="711"/>
      <c r="FT3" s="711"/>
      <c r="FU3" s="711"/>
      <c r="FV3" s="711"/>
      <c r="FW3" s="711"/>
      <c r="FX3" s="711"/>
      <c r="FY3" s="711"/>
      <c r="FZ3" s="711"/>
      <c r="GA3" s="711"/>
      <c r="GB3" s="711"/>
      <c r="GC3" s="711"/>
      <c r="GD3" s="711"/>
      <c r="GE3" s="711"/>
      <c r="GF3" s="711"/>
      <c r="GG3" s="711"/>
      <c r="GH3" s="711"/>
      <c r="GI3" s="711"/>
      <c r="GJ3" s="711"/>
      <c r="GK3" s="711"/>
      <c r="GL3" s="711"/>
      <c r="GM3" s="711"/>
      <c r="GN3" s="711"/>
      <c r="GO3" s="711"/>
      <c r="GP3" s="711"/>
      <c r="GQ3" s="711"/>
      <c r="GR3" s="711"/>
      <c r="GS3" s="711"/>
      <c r="GT3" s="711"/>
      <c r="GU3" s="711"/>
      <c r="GV3" s="711"/>
      <c r="GW3" s="711"/>
      <c r="GX3" s="711"/>
      <c r="GY3" s="711"/>
      <c r="GZ3" s="711"/>
      <c r="HA3" s="711"/>
      <c r="HB3" s="711"/>
      <c r="HC3" s="711"/>
      <c r="HD3" s="711"/>
      <c r="HE3" s="711"/>
      <c r="HF3" s="711"/>
      <c r="HG3" s="711"/>
      <c r="HH3" s="711"/>
      <c r="HI3" s="711"/>
      <c r="HJ3" s="711"/>
      <c r="HK3" s="711"/>
      <c r="HL3" s="711"/>
      <c r="HM3" s="711"/>
      <c r="HN3" s="711"/>
      <c r="HO3" s="711"/>
      <c r="HP3" s="711"/>
      <c r="HQ3" s="711"/>
      <c r="HR3" s="711"/>
      <c r="HS3" s="711"/>
      <c r="HT3" s="711"/>
      <c r="HU3" s="711"/>
      <c r="HV3" s="711"/>
      <c r="HW3" s="711"/>
      <c r="HX3" s="711"/>
      <c r="HY3" s="711"/>
      <c r="HZ3" s="711"/>
      <c r="IA3" s="711"/>
      <c r="IB3" s="711"/>
      <c r="IC3" s="711"/>
      <c r="ID3" s="711"/>
      <c r="IE3" s="711"/>
      <c r="IF3" s="711"/>
      <c r="IG3" s="711"/>
      <c r="IH3" s="711"/>
      <c r="II3" s="711"/>
      <c r="IJ3" s="711"/>
      <c r="IK3" s="711"/>
      <c r="IL3" s="711"/>
      <c r="IM3" s="711"/>
      <c r="IN3" s="711"/>
      <c r="IO3" s="711"/>
      <c r="IP3" s="711"/>
      <c r="IQ3" s="711"/>
    </row>
    <row r="4" spans="1:251" ht="22.5" customHeight="1">
      <c r="A4" s="1907" t="s">
        <v>227</v>
      </c>
      <c r="B4" s="638"/>
      <c r="C4" s="711"/>
      <c r="D4" s="711"/>
      <c r="E4" s="711"/>
      <c r="F4" s="711"/>
      <c r="G4" s="711"/>
      <c r="H4" s="638" t="s">
        <v>15</v>
      </c>
      <c r="I4" s="711"/>
      <c r="J4" s="711"/>
      <c r="K4" s="711"/>
      <c r="L4" s="711"/>
      <c r="M4" s="711"/>
      <c r="N4" s="3408"/>
      <c r="O4" s="711"/>
      <c r="P4" s="711"/>
      <c r="Q4" s="711"/>
      <c r="R4" s="711"/>
      <c r="S4" s="711"/>
      <c r="T4" s="711"/>
      <c r="U4" s="711"/>
      <c r="V4" s="711"/>
      <c r="W4" s="711"/>
      <c r="X4" s="711" t="s">
        <v>15</v>
      </c>
      <c r="Y4" s="711"/>
      <c r="Z4" s="711"/>
      <c r="AA4" s="711"/>
      <c r="AB4" s="711"/>
      <c r="AC4" s="711"/>
      <c r="AD4" s="711"/>
      <c r="AE4" s="223"/>
      <c r="AJ4" s="711"/>
      <c r="AK4" s="711"/>
      <c r="AL4" s="711"/>
      <c r="AM4" s="711"/>
      <c r="AN4" s="711"/>
      <c r="AO4" s="711"/>
      <c r="AP4" s="711"/>
      <c r="AQ4" s="711"/>
      <c r="AR4" s="711"/>
      <c r="AS4" s="711"/>
      <c r="AT4" s="711"/>
      <c r="AU4" s="711"/>
      <c r="AV4" s="711"/>
      <c r="AW4" s="711"/>
      <c r="AX4" s="711"/>
      <c r="AY4" s="711"/>
      <c r="AZ4" s="711"/>
      <c r="BA4" s="711"/>
      <c r="BB4" s="711"/>
      <c r="BC4" s="711"/>
      <c r="BD4" s="711"/>
      <c r="BE4" s="711"/>
      <c r="BF4" s="711"/>
      <c r="BG4" s="711"/>
      <c r="BH4" s="711"/>
      <c r="BI4" s="711"/>
      <c r="BJ4" s="711"/>
      <c r="BK4" s="711"/>
      <c r="BL4" s="711"/>
      <c r="BM4" s="711"/>
      <c r="BN4" s="711"/>
      <c r="BO4" s="711"/>
      <c r="BP4" s="711"/>
      <c r="BQ4" s="711"/>
      <c r="BR4" s="711"/>
      <c r="BS4" s="711"/>
      <c r="BT4" s="711"/>
      <c r="BU4" s="711"/>
      <c r="BV4" s="711"/>
      <c r="BW4" s="711"/>
      <c r="BX4" s="711"/>
      <c r="BY4" s="711"/>
      <c r="BZ4" s="711"/>
      <c r="CA4" s="711"/>
      <c r="CB4" s="711"/>
      <c r="CC4" s="711"/>
      <c r="CD4" s="711"/>
      <c r="CE4" s="711"/>
      <c r="CF4" s="711"/>
      <c r="CG4" s="711"/>
      <c r="CH4" s="711"/>
      <c r="CI4" s="711"/>
      <c r="CJ4" s="711"/>
      <c r="CK4" s="711"/>
      <c r="CL4" s="711"/>
      <c r="CM4" s="711"/>
      <c r="CN4" s="711"/>
      <c r="CO4" s="711"/>
      <c r="CP4" s="711"/>
      <c r="CQ4" s="711"/>
      <c r="CR4" s="711"/>
      <c r="CS4" s="711"/>
      <c r="CT4" s="711"/>
      <c r="CU4" s="711"/>
      <c r="CV4" s="711"/>
      <c r="CW4" s="711"/>
      <c r="CX4" s="711"/>
      <c r="CY4" s="711"/>
      <c r="CZ4" s="711"/>
      <c r="DA4" s="711"/>
      <c r="DB4" s="711"/>
      <c r="DC4" s="711"/>
      <c r="DD4" s="711"/>
      <c r="DE4" s="711"/>
      <c r="DF4" s="711"/>
      <c r="DG4" s="711"/>
      <c r="DH4" s="711"/>
      <c r="DI4" s="711"/>
      <c r="DJ4" s="711"/>
      <c r="DK4" s="711"/>
      <c r="DL4" s="711"/>
      <c r="DM4" s="711"/>
      <c r="DN4" s="711"/>
      <c r="DO4" s="711"/>
      <c r="DP4" s="711"/>
      <c r="DQ4" s="711"/>
      <c r="DR4" s="711"/>
      <c r="DS4" s="711"/>
      <c r="DT4" s="711"/>
      <c r="DU4" s="711"/>
      <c r="DV4" s="711"/>
      <c r="DW4" s="711"/>
      <c r="DX4" s="711"/>
      <c r="DY4" s="711"/>
      <c r="DZ4" s="711"/>
      <c r="EA4" s="711"/>
      <c r="EB4" s="711"/>
      <c r="EC4" s="711"/>
      <c r="ED4" s="711"/>
      <c r="EE4" s="711"/>
      <c r="EF4" s="711"/>
      <c r="EG4" s="711"/>
      <c r="EH4" s="711"/>
      <c r="EI4" s="711"/>
      <c r="EJ4" s="711"/>
      <c r="EK4" s="711"/>
      <c r="EL4" s="711"/>
      <c r="EM4" s="711"/>
      <c r="EN4" s="711"/>
      <c r="EO4" s="711"/>
      <c r="EP4" s="711"/>
      <c r="EQ4" s="711"/>
      <c r="ER4" s="711"/>
      <c r="ES4" s="711"/>
      <c r="ET4" s="711"/>
      <c r="EU4" s="711"/>
      <c r="EV4" s="711"/>
      <c r="EW4" s="711"/>
      <c r="EX4" s="711"/>
      <c r="EY4" s="711"/>
      <c r="EZ4" s="711"/>
      <c r="FA4" s="711"/>
      <c r="FB4" s="711"/>
      <c r="FC4" s="711"/>
      <c r="FD4" s="711"/>
      <c r="FE4" s="711"/>
      <c r="FF4" s="711"/>
      <c r="FG4" s="711"/>
      <c r="FH4" s="711"/>
      <c r="FI4" s="711"/>
      <c r="FJ4" s="711"/>
      <c r="FK4" s="711"/>
      <c r="FL4" s="711"/>
      <c r="FM4" s="711"/>
      <c r="FN4" s="711"/>
      <c r="FO4" s="711"/>
      <c r="FP4" s="711"/>
      <c r="FQ4" s="711"/>
      <c r="FR4" s="711"/>
      <c r="FS4" s="711"/>
      <c r="FT4" s="711"/>
      <c r="FU4" s="711"/>
      <c r="FV4" s="711"/>
      <c r="FW4" s="711"/>
      <c r="FX4" s="711"/>
      <c r="FY4" s="711"/>
      <c r="FZ4" s="711"/>
      <c r="GA4" s="711"/>
      <c r="GB4" s="711"/>
      <c r="GC4" s="711"/>
      <c r="GD4" s="711"/>
      <c r="GE4" s="711"/>
      <c r="GF4" s="711"/>
      <c r="GG4" s="711"/>
      <c r="GH4" s="711"/>
      <c r="GI4" s="711"/>
      <c r="GJ4" s="711"/>
      <c r="GK4" s="711"/>
      <c r="GL4" s="711"/>
      <c r="GM4" s="711"/>
      <c r="GN4" s="711"/>
      <c r="GO4" s="711"/>
      <c r="GP4" s="711"/>
      <c r="GQ4" s="711"/>
      <c r="GR4" s="711"/>
      <c r="GS4" s="711"/>
      <c r="GT4" s="711"/>
      <c r="GU4" s="711"/>
      <c r="GV4" s="711"/>
      <c r="GW4" s="711"/>
      <c r="GX4" s="711"/>
      <c r="GY4" s="711"/>
      <c r="GZ4" s="711"/>
      <c r="HA4" s="711"/>
      <c r="HB4" s="711"/>
      <c r="HC4" s="711"/>
      <c r="HD4" s="711"/>
      <c r="HE4" s="711"/>
      <c r="HF4" s="711"/>
      <c r="HG4" s="711"/>
      <c r="HH4" s="711"/>
      <c r="HI4" s="711"/>
      <c r="HJ4" s="711"/>
      <c r="HK4" s="711"/>
      <c r="HL4" s="711"/>
      <c r="HM4" s="711"/>
      <c r="HN4" s="711"/>
      <c r="HO4" s="711"/>
      <c r="HP4" s="711"/>
      <c r="HQ4" s="711"/>
      <c r="HR4" s="711"/>
      <c r="HS4" s="711"/>
      <c r="HT4" s="711"/>
      <c r="HU4" s="711"/>
      <c r="HV4" s="711"/>
      <c r="HW4" s="711"/>
      <c r="HX4" s="711"/>
      <c r="HY4" s="711"/>
      <c r="HZ4" s="711"/>
      <c r="IA4" s="711"/>
      <c r="IB4" s="711"/>
      <c r="IC4" s="711"/>
      <c r="ID4" s="711"/>
      <c r="IE4" s="711"/>
      <c r="IF4" s="711"/>
      <c r="IG4" s="711"/>
      <c r="IH4" s="711"/>
      <c r="II4" s="711"/>
      <c r="IJ4" s="711"/>
      <c r="IK4" s="711"/>
      <c r="IL4" s="711"/>
      <c r="IM4" s="711"/>
      <c r="IN4" s="711"/>
      <c r="IO4" s="711"/>
      <c r="IP4" s="711"/>
      <c r="IQ4" s="711"/>
    </row>
    <row r="5" spans="1:251" ht="20.25" customHeight="1">
      <c r="A5" s="1907" t="s">
        <v>228</v>
      </c>
      <c r="B5" s="638"/>
      <c r="C5" s="711"/>
      <c r="D5" s="711"/>
      <c r="E5" s="711"/>
      <c r="F5" s="711"/>
      <c r="G5" s="711"/>
      <c r="H5" s="711"/>
      <c r="I5" s="711"/>
      <c r="J5" s="711"/>
      <c r="K5" s="711"/>
      <c r="L5" s="711"/>
      <c r="M5" s="711"/>
      <c r="N5" s="3408"/>
      <c r="O5" s="711"/>
      <c r="P5" s="711"/>
      <c r="Q5" s="711"/>
      <c r="R5" s="711"/>
      <c r="S5" s="711"/>
      <c r="T5" s="711"/>
      <c r="U5" s="711"/>
      <c r="V5" s="711"/>
      <c r="W5" s="711"/>
      <c r="X5" s="711"/>
      <c r="Y5" s="711"/>
      <c r="Z5" s="711"/>
      <c r="AB5" s="1898"/>
      <c r="AC5" s="1898"/>
      <c r="AD5" s="1898"/>
      <c r="AE5" s="1657"/>
      <c r="AJ5" s="711"/>
      <c r="AK5" s="711"/>
      <c r="AL5" s="711"/>
      <c r="AM5" s="711"/>
      <c r="AN5" s="711"/>
      <c r="AO5" s="711"/>
      <c r="AP5" s="711"/>
      <c r="AQ5" s="711"/>
      <c r="AR5" s="711"/>
      <c r="AS5" s="711"/>
      <c r="AT5" s="711"/>
      <c r="AU5" s="711"/>
      <c r="AV5" s="711"/>
      <c r="AW5" s="711"/>
      <c r="AX5" s="711"/>
      <c r="AY5" s="711"/>
      <c r="AZ5" s="711"/>
      <c r="BA5" s="711"/>
      <c r="BB5" s="711"/>
      <c r="BC5" s="711"/>
      <c r="BD5" s="711"/>
      <c r="BE5" s="711"/>
      <c r="BF5" s="711"/>
      <c r="BG5" s="711"/>
      <c r="BH5" s="711"/>
      <c r="BI5" s="711"/>
      <c r="BJ5" s="711"/>
      <c r="BK5" s="711"/>
      <c r="BL5" s="711"/>
      <c r="BM5" s="711"/>
      <c r="BN5" s="711"/>
      <c r="BO5" s="711"/>
      <c r="BP5" s="711"/>
      <c r="BQ5" s="711"/>
      <c r="BR5" s="711"/>
      <c r="BS5" s="711"/>
      <c r="BT5" s="711"/>
      <c r="BU5" s="711"/>
      <c r="BV5" s="711"/>
      <c r="BW5" s="711"/>
      <c r="BX5" s="711"/>
      <c r="BY5" s="711"/>
      <c r="BZ5" s="711"/>
      <c r="CA5" s="711"/>
      <c r="CB5" s="711"/>
      <c r="CC5" s="711"/>
      <c r="CD5" s="711"/>
      <c r="CE5" s="711"/>
      <c r="CF5" s="711"/>
      <c r="CG5" s="711"/>
      <c r="CH5" s="711"/>
      <c r="CI5" s="711"/>
      <c r="CJ5" s="711"/>
      <c r="CK5" s="711"/>
      <c r="CL5" s="711"/>
      <c r="CM5" s="711"/>
      <c r="CN5" s="711"/>
      <c r="CO5" s="711"/>
      <c r="CP5" s="711"/>
      <c r="CQ5" s="711"/>
      <c r="CR5" s="711"/>
      <c r="CS5" s="711"/>
      <c r="CT5" s="711"/>
      <c r="CU5" s="711"/>
      <c r="CV5" s="711"/>
      <c r="CW5" s="711"/>
      <c r="CX5" s="711"/>
      <c r="CY5" s="711"/>
      <c r="CZ5" s="711"/>
      <c r="DA5" s="711"/>
      <c r="DB5" s="711"/>
      <c r="DC5" s="711"/>
      <c r="DD5" s="711"/>
      <c r="DE5" s="711"/>
      <c r="DF5" s="711"/>
      <c r="DG5" s="711"/>
      <c r="DH5" s="711"/>
      <c r="DI5" s="711"/>
      <c r="DJ5" s="711"/>
      <c r="DK5" s="711"/>
      <c r="DL5" s="711"/>
      <c r="DM5" s="711"/>
      <c r="DN5" s="711"/>
      <c r="DO5" s="711"/>
      <c r="DP5" s="711"/>
      <c r="DQ5" s="711"/>
      <c r="DR5" s="711"/>
      <c r="DS5" s="711"/>
      <c r="DT5" s="711"/>
      <c r="DU5" s="711"/>
      <c r="DV5" s="711"/>
      <c r="DW5" s="711"/>
      <c r="DX5" s="711"/>
      <c r="DY5" s="711"/>
      <c r="DZ5" s="711"/>
      <c r="EA5" s="711"/>
      <c r="EB5" s="711"/>
      <c r="EC5" s="711"/>
      <c r="ED5" s="711"/>
      <c r="EE5" s="711"/>
      <c r="EF5" s="711"/>
      <c r="EG5" s="711"/>
      <c r="EH5" s="711"/>
      <c r="EI5" s="711"/>
      <c r="EJ5" s="711"/>
      <c r="EK5" s="711"/>
      <c r="EL5" s="711"/>
      <c r="EM5" s="711"/>
      <c r="EN5" s="711"/>
      <c r="EO5" s="711"/>
      <c r="EP5" s="711"/>
      <c r="EQ5" s="711"/>
      <c r="ER5" s="711"/>
      <c r="ES5" s="711"/>
      <c r="ET5" s="711"/>
      <c r="EU5" s="711"/>
      <c r="EV5" s="711"/>
      <c r="EW5" s="711"/>
      <c r="EX5" s="711"/>
      <c r="EY5" s="711"/>
      <c r="EZ5" s="711"/>
      <c r="FA5" s="711"/>
      <c r="FB5" s="711"/>
      <c r="FC5" s="711"/>
      <c r="FD5" s="711"/>
      <c r="FE5" s="711"/>
      <c r="FF5" s="711"/>
      <c r="FG5" s="711"/>
      <c r="FH5" s="711"/>
      <c r="FI5" s="711"/>
      <c r="FJ5" s="711"/>
      <c r="FK5" s="711"/>
      <c r="FL5" s="711"/>
      <c r="FM5" s="711"/>
      <c r="FN5" s="711"/>
      <c r="FO5" s="711"/>
      <c r="FP5" s="711"/>
      <c r="FQ5" s="711"/>
      <c r="FR5" s="711"/>
      <c r="FS5" s="711"/>
      <c r="FT5" s="711"/>
      <c r="FU5" s="711"/>
      <c r="FV5" s="711"/>
      <c r="FW5" s="711"/>
      <c r="FX5" s="711"/>
      <c r="FY5" s="711"/>
      <c r="FZ5" s="711"/>
      <c r="GA5" s="711"/>
      <c r="GB5" s="711"/>
      <c r="GC5" s="711"/>
      <c r="GD5" s="711"/>
      <c r="GE5" s="711"/>
      <c r="GF5" s="711"/>
      <c r="GG5" s="711"/>
      <c r="GH5" s="711"/>
      <c r="GI5" s="711"/>
      <c r="GJ5" s="711"/>
      <c r="GK5" s="711"/>
      <c r="GL5" s="711"/>
      <c r="GM5" s="711"/>
      <c r="GN5" s="711"/>
      <c r="GO5" s="711"/>
      <c r="GP5" s="711"/>
      <c r="GQ5" s="711"/>
      <c r="GR5" s="711"/>
      <c r="GS5" s="711"/>
      <c r="GT5" s="711"/>
      <c r="GU5" s="711"/>
      <c r="GV5" s="711"/>
      <c r="GW5" s="711"/>
      <c r="GX5" s="711"/>
      <c r="GY5" s="711"/>
      <c r="GZ5" s="711"/>
      <c r="HA5" s="711"/>
      <c r="HB5" s="711"/>
      <c r="HC5" s="711"/>
      <c r="HD5" s="711"/>
      <c r="HE5" s="711"/>
      <c r="HF5" s="711"/>
      <c r="HG5" s="711"/>
      <c r="HH5" s="711"/>
      <c r="HI5" s="711"/>
      <c r="HJ5" s="711"/>
      <c r="HK5" s="711"/>
      <c r="HL5" s="711"/>
      <c r="HM5" s="711"/>
      <c r="HN5" s="711"/>
      <c r="HO5" s="711"/>
      <c r="HP5" s="711"/>
      <c r="HQ5" s="711"/>
      <c r="HR5" s="711"/>
      <c r="HS5" s="711"/>
      <c r="HT5" s="711"/>
      <c r="HU5" s="711"/>
      <c r="HV5" s="711"/>
      <c r="HW5" s="711"/>
      <c r="HX5" s="711"/>
      <c r="HY5" s="711"/>
      <c r="HZ5" s="711"/>
      <c r="IA5" s="711"/>
      <c r="IB5" s="711"/>
      <c r="IC5" s="711"/>
      <c r="ID5" s="711"/>
      <c r="IE5" s="711"/>
      <c r="IF5" s="711"/>
      <c r="IG5" s="711"/>
      <c r="IH5" s="711"/>
      <c r="II5" s="711"/>
      <c r="IJ5" s="711"/>
      <c r="IK5" s="711"/>
      <c r="IL5" s="711"/>
      <c r="IM5" s="711"/>
      <c r="IN5" s="711"/>
      <c r="IO5" s="711"/>
      <c r="IP5" s="711"/>
      <c r="IQ5" s="711"/>
    </row>
    <row r="6" spans="1:251" ht="20.25" customHeight="1">
      <c r="A6" s="1908" t="s">
        <v>1410</v>
      </c>
      <c r="B6" s="638"/>
      <c r="C6" s="711"/>
      <c r="D6" s="711"/>
      <c r="E6" s="711"/>
      <c r="F6" s="711"/>
      <c r="G6" s="711"/>
      <c r="H6" s="711"/>
      <c r="I6" s="711"/>
      <c r="J6" s="711"/>
      <c r="K6" s="711"/>
      <c r="L6" s="711"/>
      <c r="M6" s="711"/>
      <c r="N6" s="3408"/>
      <c r="O6" s="711"/>
      <c r="P6" s="711"/>
      <c r="Q6" s="711"/>
      <c r="R6" s="711"/>
      <c r="S6" s="711"/>
      <c r="T6" s="711"/>
      <c r="U6" s="711"/>
      <c r="V6" s="711"/>
      <c r="W6" s="711"/>
      <c r="X6" s="711"/>
      <c r="Y6" s="711"/>
      <c r="Z6" s="711"/>
      <c r="AA6" s="711"/>
      <c r="AB6" s="711"/>
      <c r="AC6" s="711"/>
      <c r="AD6" s="711"/>
      <c r="AE6" s="223"/>
      <c r="AJ6" s="711"/>
      <c r="AK6" s="711"/>
      <c r="AL6" s="711"/>
      <c r="AM6" s="711"/>
      <c r="AN6" s="711"/>
      <c r="AO6" s="711"/>
      <c r="AP6" s="711"/>
      <c r="AQ6" s="711"/>
      <c r="AR6" s="711"/>
      <c r="AS6" s="711"/>
      <c r="AT6" s="711"/>
      <c r="AU6" s="711"/>
      <c r="AV6" s="711"/>
      <c r="AW6" s="711"/>
      <c r="AX6" s="711"/>
      <c r="AY6" s="711"/>
      <c r="AZ6" s="711"/>
      <c r="BA6" s="711"/>
      <c r="BB6" s="711"/>
      <c r="BC6" s="711"/>
      <c r="BD6" s="711"/>
      <c r="BE6" s="711"/>
      <c r="BF6" s="711"/>
      <c r="BG6" s="711"/>
      <c r="BH6" s="711"/>
      <c r="BI6" s="711"/>
      <c r="BJ6" s="711"/>
      <c r="BK6" s="711"/>
      <c r="BL6" s="711"/>
      <c r="BM6" s="711"/>
      <c r="BN6" s="711"/>
      <c r="BO6" s="711"/>
      <c r="BP6" s="711"/>
      <c r="BQ6" s="711"/>
      <c r="BR6" s="711"/>
      <c r="BS6" s="711"/>
      <c r="BT6" s="711"/>
      <c r="BU6" s="711"/>
      <c r="BV6" s="711"/>
      <c r="BW6" s="711"/>
      <c r="BX6" s="711"/>
      <c r="BY6" s="711"/>
      <c r="BZ6" s="711"/>
      <c r="CA6" s="711"/>
      <c r="CB6" s="711"/>
      <c r="CC6" s="711"/>
      <c r="CD6" s="711"/>
      <c r="CE6" s="711"/>
      <c r="CF6" s="711"/>
      <c r="CG6" s="711"/>
      <c r="CH6" s="711"/>
      <c r="CI6" s="711"/>
      <c r="CJ6" s="711"/>
      <c r="CK6" s="711"/>
      <c r="CL6" s="711"/>
      <c r="CM6" s="711"/>
      <c r="CN6" s="711"/>
      <c r="CO6" s="711"/>
      <c r="CP6" s="711"/>
      <c r="CQ6" s="711"/>
      <c r="CR6" s="711"/>
      <c r="CS6" s="711"/>
      <c r="CT6" s="711"/>
      <c r="CU6" s="711"/>
      <c r="CV6" s="711"/>
      <c r="CW6" s="711"/>
      <c r="CX6" s="711"/>
      <c r="CY6" s="711"/>
      <c r="CZ6" s="711"/>
      <c r="DA6" s="711"/>
      <c r="DB6" s="711"/>
      <c r="DC6" s="711"/>
      <c r="DD6" s="711"/>
      <c r="DE6" s="711"/>
      <c r="DF6" s="711"/>
      <c r="DG6" s="711"/>
      <c r="DH6" s="711"/>
      <c r="DI6" s="711"/>
      <c r="DJ6" s="711"/>
      <c r="DK6" s="711"/>
      <c r="DL6" s="711"/>
      <c r="DM6" s="711"/>
      <c r="DN6" s="711"/>
      <c r="DO6" s="711"/>
      <c r="DP6" s="711"/>
      <c r="DQ6" s="711"/>
      <c r="DR6" s="711"/>
      <c r="DS6" s="711"/>
      <c r="DT6" s="711"/>
      <c r="DU6" s="711"/>
      <c r="DV6" s="711"/>
      <c r="DW6" s="711"/>
      <c r="DX6" s="711"/>
      <c r="DY6" s="711"/>
      <c r="DZ6" s="711"/>
      <c r="EA6" s="711"/>
      <c r="EB6" s="711"/>
      <c r="EC6" s="711"/>
      <c r="ED6" s="711"/>
      <c r="EE6" s="711"/>
      <c r="EF6" s="711"/>
      <c r="EG6" s="711"/>
      <c r="EH6" s="711"/>
      <c r="EI6" s="711"/>
      <c r="EJ6" s="711"/>
      <c r="EK6" s="711"/>
      <c r="EL6" s="711"/>
      <c r="EM6" s="711"/>
      <c r="EN6" s="711"/>
      <c r="EO6" s="711"/>
      <c r="EP6" s="711"/>
      <c r="EQ6" s="711"/>
      <c r="ER6" s="711"/>
      <c r="ES6" s="711"/>
      <c r="ET6" s="711"/>
      <c r="EU6" s="711"/>
      <c r="EV6" s="711"/>
      <c r="EW6" s="711"/>
      <c r="EX6" s="711"/>
      <c r="EY6" s="711"/>
      <c r="EZ6" s="711"/>
      <c r="FA6" s="711"/>
      <c r="FB6" s="711"/>
      <c r="FC6" s="711"/>
      <c r="FD6" s="711"/>
      <c r="FE6" s="711"/>
      <c r="FF6" s="711"/>
      <c r="FG6" s="711"/>
      <c r="FH6" s="711"/>
      <c r="FI6" s="711"/>
      <c r="FJ6" s="711"/>
      <c r="FK6" s="711"/>
      <c r="FL6" s="711"/>
      <c r="FM6" s="711"/>
      <c r="FN6" s="711"/>
      <c r="FO6" s="711"/>
      <c r="FP6" s="711"/>
      <c r="FQ6" s="711"/>
      <c r="FR6" s="711"/>
      <c r="FS6" s="711"/>
      <c r="FT6" s="711"/>
      <c r="FU6" s="711"/>
      <c r="FV6" s="711"/>
      <c r="FW6" s="711"/>
      <c r="FX6" s="711"/>
      <c r="FY6" s="711"/>
      <c r="FZ6" s="711"/>
      <c r="GA6" s="711"/>
      <c r="GB6" s="711"/>
      <c r="GC6" s="711"/>
      <c r="GD6" s="711"/>
      <c r="GE6" s="711"/>
      <c r="GF6" s="711"/>
      <c r="GG6" s="711"/>
      <c r="GH6" s="711"/>
      <c r="GI6" s="711"/>
      <c r="GJ6" s="711"/>
      <c r="GK6" s="711"/>
      <c r="GL6" s="711"/>
      <c r="GM6" s="711"/>
      <c r="GN6" s="711"/>
      <c r="GO6" s="711"/>
      <c r="GP6" s="711"/>
      <c r="GQ6" s="711"/>
      <c r="GR6" s="711"/>
      <c r="GS6" s="711"/>
      <c r="GT6" s="711"/>
      <c r="GU6" s="711"/>
      <c r="GV6" s="711"/>
      <c r="GW6" s="711"/>
      <c r="GX6" s="711"/>
      <c r="GY6" s="711"/>
      <c r="GZ6" s="711"/>
      <c r="HA6" s="711"/>
      <c r="HB6" s="711"/>
      <c r="HC6" s="711"/>
      <c r="HD6" s="711"/>
      <c r="HE6" s="711"/>
      <c r="HF6" s="711"/>
      <c r="HG6" s="711"/>
      <c r="HH6" s="711"/>
      <c r="HI6" s="711"/>
      <c r="HJ6" s="711"/>
      <c r="HK6" s="711"/>
      <c r="HL6" s="711"/>
      <c r="HM6" s="711"/>
      <c r="HN6" s="711"/>
      <c r="HO6" s="711"/>
      <c r="HP6" s="711"/>
      <c r="HQ6" s="711"/>
      <c r="HR6" s="711"/>
      <c r="HS6" s="711"/>
      <c r="HT6" s="711"/>
      <c r="HU6" s="711"/>
      <c r="HV6" s="711"/>
      <c r="HW6" s="711"/>
      <c r="HX6" s="711"/>
      <c r="HY6" s="711"/>
      <c r="HZ6" s="711"/>
      <c r="IA6" s="711"/>
      <c r="IB6" s="711"/>
      <c r="IC6" s="711"/>
      <c r="ID6" s="711"/>
      <c r="IE6" s="711"/>
      <c r="IF6" s="711"/>
      <c r="IG6" s="711"/>
      <c r="IH6" s="711"/>
      <c r="II6" s="711"/>
      <c r="IJ6" s="711"/>
      <c r="IK6" s="711"/>
      <c r="IL6" s="711"/>
      <c r="IM6" s="711"/>
      <c r="IN6" s="711"/>
      <c r="IO6" s="711"/>
      <c r="IP6" s="711"/>
      <c r="IQ6" s="711"/>
    </row>
    <row r="7" spans="1:251" ht="20.25" customHeight="1">
      <c r="A7" s="1907" t="s">
        <v>979</v>
      </c>
      <c r="B7" s="638"/>
      <c r="C7" s="711"/>
      <c r="D7" s="711"/>
      <c r="E7" s="711"/>
      <c r="F7" s="711"/>
      <c r="G7" s="711"/>
      <c r="H7" s="711"/>
      <c r="I7" s="711"/>
      <c r="J7" s="711"/>
      <c r="K7" s="711"/>
      <c r="L7" s="711"/>
      <c r="M7" s="711"/>
      <c r="N7" s="3408"/>
      <c r="O7" s="711"/>
      <c r="P7" s="711"/>
      <c r="Q7" s="711"/>
      <c r="R7" s="711"/>
      <c r="S7" s="711"/>
      <c r="T7" s="711"/>
      <c r="U7" s="711"/>
      <c r="V7" s="711"/>
      <c r="W7" s="711"/>
      <c r="X7" s="711"/>
      <c r="Y7" s="711"/>
      <c r="Z7" s="711"/>
      <c r="AA7" s="711"/>
      <c r="AB7" s="711"/>
      <c r="AC7" s="711"/>
      <c r="AD7" s="711"/>
      <c r="AE7" s="223"/>
      <c r="AJ7" s="711"/>
      <c r="AK7" s="711"/>
      <c r="AL7" s="711"/>
      <c r="AM7" s="711"/>
      <c r="AN7" s="711"/>
      <c r="AO7" s="711"/>
      <c r="AP7" s="711"/>
      <c r="AQ7" s="711"/>
      <c r="AR7" s="711"/>
      <c r="AS7" s="711"/>
      <c r="AT7" s="711"/>
      <c r="AU7" s="711"/>
      <c r="AV7" s="711"/>
      <c r="AW7" s="711"/>
      <c r="AX7" s="711"/>
      <c r="AY7" s="711"/>
      <c r="AZ7" s="711"/>
      <c r="BA7" s="711"/>
      <c r="BB7" s="711"/>
      <c r="BC7" s="711"/>
      <c r="BD7" s="711"/>
      <c r="BE7" s="711"/>
      <c r="BF7" s="711"/>
      <c r="BG7" s="711"/>
      <c r="BH7" s="711"/>
      <c r="BI7" s="711"/>
      <c r="BJ7" s="711"/>
      <c r="BK7" s="711"/>
      <c r="BL7" s="711"/>
      <c r="BM7" s="711"/>
      <c r="BN7" s="711"/>
      <c r="BO7" s="711"/>
      <c r="BP7" s="711"/>
      <c r="BQ7" s="711"/>
      <c r="BR7" s="711"/>
      <c r="BS7" s="711"/>
      <c r="BT7" s="711"/>
      <c r="BU7" s="711"/>
      <c r="BV7" s="711"/>
      <c r="BW7" s="711"/>
      <c r="BX7" s="711"/>
      <c r="BY7" s="711"/>
      <c r="BZ7" s="711"/>
      <c r="CA7" s="711"/>
      <c r="CB7" s="711"/>
      <c r="CC7" s="711"/>
      <c r="CD7" s="711"/>
      <c r="CE7" s="711"/>
      <c r="CF7" s="711"/>
      <c r="CG7" s="711"/>
      <c r="CH7" s="711"/>
      <c r="CI7" s="711"/>
      <c r="CJ7" s="711"/>
      <c r="CK7" s="711"/>
      <c r="CL7" s="711"/>
      <c r="CM7" s="711"/>
      <c r="CN7" s="711"/>
      <c r="CO7" s="711"/>
      <c r="CP7" s="711"/>
      <c r="CQ7" s="711"/>
      <c r="CR7" s="711"/>
      <c r="CS7" s="711"/>
      <c r="CT7" s="711"/>
      <c r="CU7" s="711"/>
      <c r="CV7" s="711"/>
      <c r="CW7" s="711"/>
      <c r="CX7" s="711"/>
      <c r="CY7" s="711"/>
      <c r="CZ7" s="711"/>
      <c r="DA7" s="711"/>
      <c r="DB7" s="711"/>
      <c r="DC7" s="711"/>
      <c r="DD7" s="711"/>
      <c r="DE7" s="711"/>
      <c r="DF7" s="711"/>
      <c r="DG7" s="711"/>
      <c r="DH7" s="711"/>
      <c r="DI7" s="711"/>
      <c r="DJ7" s="711"/>
      <c r="DK7" s="711"/>
      <c r="DL7" s="711"/>
      <c r="DM7" s="711"/>
      <c r="DN7" s="711"/>
      <c r="DO7" s="711"/>
      <c r="DP7" s="711"/>
      <c r="DQ7" s="711"/>
      <c r="DR7" s="711"/>
      <c r="DS7" s="711"/>
      <c r="DT7" s="711"/>
      <c r="DU7" s="711"/>
      <c r="DV7" s="711"/>
      <c r="DW7" s="711"/>
      <c r="DX7" s="711"/>
      <c r="DY7" s="711"/>
      <c r="DZ7" s="711"/>
      <c r="EA7" s="711"/>
      <c r="EB7" s="711"/>
      <c r="EC7" s="711"/>
      <c r="ED7" s="711"/>
      <c r="EE7" s="711"/>
      <c r="EF7" s="711"/>
      <c r="EG7" s="711"/>
      <c r="EH7" s="711"/>
      <c r="EI7" s="711"/>
      <c r="EJ7" s="711"/>
      <c r="EK7" s="711"/>
      <c r="EL7" s="711"/>
      <c r="EM7" s="711"/>
      <c r="EN7" s="711"/>
      <c r="EO7" s="711"/>
      <c r="EP7" s="711"/>
      <c r="EQ7" s="711"/>
      <c r="ER7" s="711"/>
      <c r="ES7" s="711"/>
      <c r="ET7" s="711"/>
      <c r="EU7" s="711"/>
      <c r="EV7" s="711"/>
      <c r="EW7" s="711"/>
      <c r="EX7" s="711"/>
      <c r="EY7" s="711"/>
      <c r="EZ7" s="711"/>
      <c r="FA7" s="711"/>
      <c r="FB7" s="711"/>
      <c r="FC7" s="711"/>
      <c r="FD7" s="711"/>
      <c r="FE7" s="711"/>
      <c r="FF7" s="711"/>
      <c r="FG7" s="711"/>
      <c r="FH7" s="711"/>
      <c r="FI7" s="711"/>
      <c r="FJ7" s="711"/>
      <c r="FK7" s="711"/>
      <c r="FL7" s="711"/>
      <c r="FM7" s="711"/>
      <c r="FN7" s="711"/>
      <c r="FO7" s="711"/>
      <c r="FP7" s="711"/>
      <c r="FQ7" s="711"/>
      <c r="FR7" s="711"/>
      <c r="FS7" s="711"/>
      <c r="FT7" s="711"/>
      <c r="FU7" s="711"/>
      <c r="FV7" s="711"/>
      <c r="FW7" s="711"/>
      <c r="FX7" s="711"/>
      <c r="FY7" s="711"/>
      <c r="FZ7" s="711"/>
      <c r="GA7" s="711"/>
      <c r="GB7" s="711"/>
      <c r="GC7" s="711"/>
      <c r="GD7" s="711"/>
      <c r="GE7" s="711"/>
      <c r="GF7" s="711"/>
      <c r="GG7" s="711"/>
      <c r="GH7" s="711"/>
      <c r="GI7" s="711"/>
      <c r="GJ7" s="711"/>
      <c r="GK7" s="711"/>
      <c r="GL7" s="711"/>
      <c r="GM7" s="711"/>
      <c r="GN7" s="711"/>
      <c r="GO7" s="711"/>
      <c r="GP7" s="711"/>
      <c r="GQ7" s="711"/>
      <c r="GR7" s="711"/>
      <c r="GS7" s="711"/>
      <c r="GT7" s="711"/>
      <c r="GU7" s="711"/>
      <c r="GV7" s="711"/>
      <c r="GW7" s="711"/>
      <c r="GX7" s="711"/>
      <c r="GY7" s="711"/>
      <c r="GZ7" s="711"/>
      <c r="HA7" s="711"/>
      <c r="HB7" s="711"/>
      <c r="HC7" s="711"/>
      <c r="HD7" s="711"/>
      <c r="HE7" s="711"/>
      <c r="HF7" s="711"/>
      <c r="HG7" s="711"/>
      <c r="HH7" s="711"/>
      <c r="HI7" s="711"/>
      <c r="HJ7" s="711"/>
      <c r="HK7" s="711"/>
      <c r="HL7" s="711"/>
      <c r="HM7" s="711"/>
      <c r="HN7" s="711"/>
      <c r="HO7" s="711"/>
      <c r="HP7" s="711"/>
      <c r="HQ7" s="711"/>
      <c r="HR7" s="711"/>
      <c r="HS7" s="711"/>
      <c r="HT7" s="711"/>
      <c r="HU7" s="711"/>
      <c r="HV7" s="711"/>
      <c r="HW7" s="711"/>
      <c r="HX7" s="711"/>
      <c r="HY7" s="711"/>
      <c r="HZ7" s="711"/>
      <c r="IA7" s="711"/>
      <c r="IB7" s="711"/>
      <c r="IC7" s="711"/>
      <c r="ID7" s="711"/>
      <c r="IE7" s="711"/>
      <c r="IF7" s="711"/>
      <c r="IG7" s="711"/>
      <c r="IH7" s="711"/>
      <c r="II7" s="711"/>
      <c r="IJ7" s="711"/>
      <c r="IK7" s="711"/>
      <c r="IL7" s="711"/>
      <c r="IM7" s="711"/>
      <c r="IN7" s="711"/>
      <c r="IO7" s="711"/>
      <c r="IP7" s="711"/>
      <c r="IQ7" s="711"/>
    </row>
    <row r="8" spans="1:251" ht="16.5" customHeight="1">
      <c r="AE8" s="223"/>
    </row>
    <row r="9" spans="1:251" ht="16.5" customHeight="1">
      <c r="A9" s="712"/>
      <c r="B9" s="420"/>
      <c r="C9" s="420"/>
      <c r="D9" s="420"/>
      <c r="E9" s="420"/>
      <c r="F9" s="420"/>
      <c r="G9" s="420"/>
      <c r="H9" s="500"/>
      <c r="I9" s="500"/>
      <c r="J9" s="500"/>
      <c r="K9" s="420"/>
      <c r="L9" s="420"/>
      <c r="M9" s="420"/>
      <c r="N9" s="3409"/>
      <c r="O9" s="420"/>
      <c r="P9" s="420"/>
      <c r="Q9" s="420"/>
      <c r="R9" s="420"/>
      <c r="S9" s="420"/>
      <c r="T9" s="420"/>
      <c r="U9" s="420"/>
      <c r="V9" s="420"/>
      <c r="W9" s="420"/>
      <c r="X9" s="420"/>
      <c r="Y9" s="420"/>
      <c r="Z9" s="420"/>
      <c r="AA9" s="420"/>
      <c r="AB9" s="420"/>
      <c r="AC9" s="420"/>
      <c r="AD9" s="420"/>
      <c r="AE9" s="409"/>
      <c r="AF9" s="2166"/>
      <c r="AG9" s="2166"/>
      <c r="AH9" s="2166"/>
      <c r="AI9" s="2166"/>
    </row>
    <row r="10" spans="1:251" ht="16.5" customHeight="1">
      <c r="A10" s="453"/>
      <c r="B10" s="458"/>
      <c r="C10" s="458"/>
      <c r="D10" s="458"/>
      <c r="E10" s="458"/>
      <c r="F10" s="458"/>
      <c r="G10" s="458"/>
      <c r="H10" s="458"/>
      <c r="I10" s="458"/>
      <c r="J10" s="458"/>
      <c r="K10" s="458"/>
      <c r="L10" s="458"/>
      <c r="M10" s="458"/>
      <c r="N10" s="3410"/>
      <c r="O10" s="458"/>
      <c r="P10" s="458"/>
      <c r="Q10" s="458"/>
      <c r="R10" s="458"/>
      <c r="S10" s="458"/>
      <c r="T10" s="458"/>
      <c r="U10" s="458"/>
      <c r="V10" s="458"/>
      <c r="W10" s="458"/>
      <c r="X10" s="458"/>
      <c r="Y10" s="458"/>
      <c r="Z10" s="1492"/>
      <c r="AA10" s="3515" t="s">
        <v>1558</v>
      </c>
      <c r="AB10" s="3515"/>
      <c r="AC10" s="3515"/>
      <c r="AD10" s="3515"/>
      <c r="AE10" s="3515"/>
      <c r="AF10" s="3515"/>
      <c r="AG10" s="3515"/>
      <c r="AH10" s="3515"/>
      <c r="AI10" s="3515"/>
    </row>
    <row r="11" spans="1:251" ht="16.5" customHeight="1">
      <c r="A11" s="453"/>
      <c r="B11" s="1491">
        <v>2016</v>
      </c>
      <c r="C11" s="459"/>
      <c r="D11" s="459"/>
      <c r="E11" s="459"/>
      <c r="F11" s="459"/>
      <c r="G11" s="459"/>
      <c r="H11" s="459"/>
      <c r="I11" s="459"/>
      <c r="J11" s="459"/>
      <c r="K11" s="459"/>
      <c r="L11" s="459"/>
      <c r="M11" s="459"/>
      <c r="N11" s="3376"/>
      <c r="O11" s="459"/>
      <c r="P11" s="459"/>
      <c r="Q11" s="459"/>
      <c r="R11" s="459"/>
      <c r="S11" s="459"/>
      <c r="T11" s="1491">
        <v>2017</v>
      </c>
      <c r="U11" s="459"/>
      <c r="V11" s="459"/>
      <c r="W11" s="459"/>
      <c r="X11" s="459"/>
      <c r="Y11" s="459"/>
      <c r="Z11" s="1492"/>
      <c r="AA11" s="1492"/>
      <c r="AB11" s="1492"/>
      <c r="AC11" s="1492"/>
      <c r="AD11" s="1492"/>
      <c r="AE11" s="1904"/>
      <c r="AF11" s="2154"/>
      <c r="AG11" s="2168" t="s">
        <v>8</v>
      </c>
      <c r="AH11" s="2168"/>
      <c r="AI11" s="2169" t="s">
        <v>9</v>
      </c>
    </row>
    <row r="12" spans="1:251" ht="16.5" customHeight="1">
      <c r="A12" s="453"/>
      <c r="B12" s="1493" t="s">
        <v>128</v>
      </c>
      <c r="C12" s="459"/>
      <c r="D12" s="1493" t="s">
        <v>129</v>
      </c>
      <c r="E12" s="459"/>
      <c r="F12" s="1493" t="s">
        <v>130</v>
      </c>
      <c r="G12" s="459"/>
      <c r="H12" s="1493" t="s">
        <v>131</v>
      </c>
      <c r="I12" s="459"/>
      <c r="J12" s="1493" t="s">
        <v>132</v>
      </c>
      <c r="K12" s="459"/>
      <c r="L12" s="1491" t="s">
        <v>147</v>
      </c>
      <c r="M12" s="459"/>
      <c r="N12" s="3411" t="s">
        <v>148</v>
      </c>
      <c r="O12" s="459"/>
      <c r="P12" s="1493" t="s">
        <v>135</v>
      </c>
      <c r="Q12" s="459"/>
      <c r="R12" s="1493" t="s">
        <v>136</v>
      </c>
      <c r="S12" s="459"/>
      <c r="T12" s="1493" t="s">
        <v>137</v>
      </c>
      <c r="U12" s="459"/>
      <c r="V12" s="1493" t="s">
        <v>138</v>
      </c>
      <c r="W12" s="459"/>
      <c r="X12" s="1491" t="s">
        <v>191</v>
      </c>
      <c r="Y12" s="459"/>
      <c r="Z12" s="459"/>
      <c r="AA12" s="1493">
        <v>2017</v>
      </c>
      <c r="AB12" s="459" t="s">
        <v>15</v>
      </c>
      <c r="AC12" s="459"/>
      <c r="AD12" s="1493">
        <v>2016</v>
      </c>
      <c r="AE12" s="1667"/>
      <c r="AF12" s="2190"/>
      <c r="AG12" s="2170" t="s">
        <v>12</v>
      </c>
      <c r="AH12" s="2171"/>
      <c r="AI12" s="2170" t="s">
        <v>13</v>
      </c>
    </row>
    <row r="13" spans="1:251" ht="4.5" customHeight="1">
      <c r="A13" s="453"/>
      <c r="B13" s="713"/>
      <c r="C13" s="453"/>
      <c r="D13" s="713"/>
      <c r="E13" s="453"/>
      <c r="F13" s="713"/>
      <c r="G13" s="453"/>
      <c r="H13" s="713"/>
      <c r="I13" s="453"/>
      <c r="J13" s="713"/>
      <c r="K13" s="453"/>
      <c r="L13" s="713"/>
      <c r="M13" s="453"/>
      <c r="N13" s="3412"/>
      <c r="O13" s="453"/>
      <c r="P13" s="713"/>
      <c r="Q13" s="453"/>
      <c r="R13" s="713"/>
      <c r="S13" s="453"/>
      <c r="T13" s="713"/>
      <c r="U13" s="453"/>
      <c r="V13" s="713"/>
      <c r="W13" s="453"/>
      <c r="X13" s="713"/>
      <c r="Y13" s="453"/>
      <c r="Z13" s="453"/>
      <c r="AA13" s="713"/>
      <c r="AB13" s="453"/>
      <c r="AC13" s="453"/>
      <c r="AD13" s="713"/>
      <c r="AE13" s="1905"/>
      <c r="AF13" s="2193"/>
    </row>
    <row r="14" spans="1:251" ht="16.5" customHeight="1">
      <c r="A14" s="639" t="s">
        <v>140</v>
      </c>
      <c r="B14" s="714">
        <v>-127.2</v>
      </c>
      <c r="C14" s="714"/>
      <c r="D14" s="714">
        <f>+B50</f>
        <v>-191.3</v>
      </c>
      <c r="E14" s="714"/>
      <c r="F14" s="714">
        <f>+D50</f>
        <v>-213.4</v>
      </c>
      <c r="G14" s="714"/>
      <c r="H14" s="714">
        <f>F50</f>
        <v>-219.3</v>
      </c>
      <c r="I14" s="714"/>
      <c r="J14" s="714">
        <f>H50</f>
        <v>-213.4</v>
      </c>
      <c r="K14" s="714"/>
      <c r="L14" s="714">
        <f>J50</f>
        <v>-235.5</v>
      </c>
      <c r="M14" s="714"/>
      <c r="N14" s="3413">
        <f>L50</f>
        <v>-258.60000000000002</v>
      </c>
      <c r="O14" s="714"/>
      <c r="P14" s="714">
        <f>N50</f>
        <v>-201.8</v>
      </c>
      <c r="Q14" s="714"/>
      <c r="R14" s="714">
        <f>P50</f>
        <v>-223.3</v>
      </c>
      <c r="S14" s="714"/>
      <c r="T14" s="714">
        <f>R50</f>
        <v>-242</v>
      </c>
      <c r="U14" s="714"/>
      <c r="V14" s="714"/>
      <c r="W14" s="714"/>
      <c r="X14" s="714"/>
      <c r="Y14" s="714"/>
      <c r="Z14" s="715"/>
      <c r="AA14" s="714">
        <f>B14</f>
        <v>-127.2</v>
      </c>
      <c r="AB14" s="716"/>
      <c r="AC14" s="717"/>
      <c r="AD14" s="714">
        <v>-196.7</v>
      </c>
      <c r="AE14" s="718"/>
      <c r="AF14" s="2194"/>
      <c r="AG14" s="2172">
        <f>ROUND(SUM(AA14-AD14),1)</f>
        <v>69.5</v>
      </c>
      <c r="AI14" s="2565">
        <f>-ROUND(IF(AG14=0,0,AG14/(AD14)),3)</f>
        <v>0.35299999999999998</v>
      </c>
    </row>
    <row r="15" spans="1:251" ht="16.5" customHeight="1">
      <c r="A15" s="350"/>
      <c r="B15" s="718"/>
      <c r="C15" s="718"/>
      <c r="D15" s="718"/>
      <c r="E15" s="718"/>
      <c r="F15" s="718"/>
      <c r="G15" s="718"/>
      <c r="H15" s="718"/>
      <c r="I15" s="718"/>
      <c r="J15" s="718"/>
      <c r="K15" s="718"/>
      <c r="L15" s="718"/>
      <c r="M15" s="718"/>
      <c r="N15" s="3414"/>
      <c r="O15" s="718"/>
      <c r="P15" s="718"/>
      <c r="Q15" s="718"/>
      <c r="R15" s="718"/>
      <c r="S15" s="718"/>
      <c r="T15" s="718"/>
      <c r="U15" s="718"/>
      <c r="V15" s="718"/>
      <c r="W15" s="718"/>
      <c r="X15" s="718"/>
      <c r="Y15" s="718"/>
      <c r="Z15" s="719"/>
      <c r="AA15" s="718"/>
      <c r="AB15" s="720"/>
      <c r="AC15" s="721"/>
      <c r="AD15" s="718"/>
      <c r="AE15" s="718"/>
      <c r="AF15" s="2194"/>
      <c r="AG15" s="2174"/>
      <c r="AI15" s="2165"/>
    </row>
    <row r="16" spans="1:251" ht="16.5" customHeight="1">
      <c r="A16" s="459" t="s">
        <v>14</v>
      </c>
      <c r="B16" s="718"/>
      <c r="C16" s="718"/>
      <c r="D16" s="718"/>
      <c r="E16" s="718"/>
      <c r="F16" s="718"/>
      <c r="G16" s="718"/>
      <c r="H16" s="718"/>
      <c r="I16" s="718"/>
      <c r="J16" s="718"/>
      <c r="K16" s="718"/>
      <c r="L16" s="718"/>
      <c r="M16" s="718"/>
      <c r="N16" s="3414"/>
      <c r="O16" s="718"/>
      <c r="P16" s="718"/>
      <c r="Q16" s="718"/>
      <c r="R16" s="718"/>
      <c r="S16" s="718"/>
      <c r="T16" s="718"/>
      <c r="U16" s="718"/>
      <c r="V16" s="718"/>
      <c r="W16" s="718"/>
      <c r="X16" s="718"/>
      <c r="Y16" s="718"/>
      <c r="Z16" s="719"/>
      <c r="AA16" s="718"/>
      <c r="AB16" s="720"/>
      <c r="AC16" s="721"/>
      <c r="AD16" s="718"/>
      <c r="AE16" s="1695"/>
      <c r="AF16" s="2157"/>
      <c r="AG16" s="2178"/>
      <c r="AI16" s="2182"/>
    </row>
    <row r="17" spans="1:35" ht="16.5" customHeight="1">
      <c r="A17" s="350" t="s">
        <v>184</v>
      </c>
      <c r="B17" s="440">
        <v>17.5</v>
      </c>
      <c r="C17" s="440"/>
      <c r="D17" s="722">
        <v>30.1</v>
      </c>
      <c r="E17" s="440"/>
      <c r="F17" s="722">
        <v>43.1</v>
      </c>
      <c r="G17" s="440"/>
      <c r="H17" s="722">
        <v>32.9</v>
      </c>
      <c r="I17" s="440"/>
      <c r="J17" s="722">
        <v>35.1</v>
      </c>
      <c r="K17" s="440"/>
      <c r="L17" s="722">
        <v>29.5</v>
      </c>
      <c r="M17" s="440"/>
      <c r="N17" s="3089">
        <v>28.5</v>
      </c>
      <c r="O17" s="440"/>
      <c r="P17" s="722">
        <v>28</v>
      </c>
      <c r="Q17" s="440"/>
      <c r="R17" s="722">
        <v>43.600000000000023</v>
      </c>
      <c r="S17" s="440"/>
      <c r="T17" s="722">
        <v>31.5</v>
      </c>
      <c r="U17" s="440"/>
      <c r="V17" s="691"/>
      <c r="W17" s="440"/>
      <c r="X17" s="691"/>
      <c r="Y17" s="440"/>
      <c r="Z17" s="723"/>
      <c r="AA17" s="440">
        <f>ROUND(SUM(B17:X17),1)</f>
        <v>319.8</v>
      </c>
      <c r="AB17" s="724"/>
      <c r="AC17" s="447"/>
      <c r="AD17" s="440">
        <v>390.1</v>
      </c>
      <c r="AE17" s="1697"/>
      <c r="AF17" s="2157"/>
      <c r="AG17" s="2185">
        <f>ROUND(SUM(AA17-AD17),1)</f>
        <v>-70.3</v>
      </c>
      <c r="AI17" s="2186">
        <f>ROUND(IF(AG17=0,0,AG17/ABS(AD17)),3)</f>
        <v>-0.18</v>
      </c>
    </row>
    <row r="18" spans="1:35" ht="16.5" customHeight="1">
      <c r="A18" s="350"/>
      <c r="B18" s="725"/>
      <c r="C18" s="440"/>
      <c r="D18" s="725"/>
      <c r="E18" s="440"/>
      <c r="F18" s="725"/>
      <c r="G18" s="440"/>
      <c r="H18" s="725"/>
      <c r="I18" s="440"/>
      <c r="J18" s="725"/>
      <c r="K18" s="440"/>
      <c r="L18" s="725"/>
      <c r="M18" s="440"/>
      <c r="N18" s="3080"/>
      <c r="O18" s="440"/>
      <c r="P18" s="725"/>
      <c r="Q18" s="440"/>
      <c r="R18" s="725"/>
      <c r="S18" s="440"/>
      <c r="T18" s="725"/>
      <c r="U18" s="440"/>
      <c r="V18" s="725"/>
      <c r="W18" s="440"/>
      <c r="X18" s="725"/>
      <c r="Y18" s="440"/>
      <c r="Z18" s="723"/>
      <c r="AA18" s="725"/>
      <c r="AB18" s="724"/>
      <c r="AC18" s="447"/>
      <c r="AD18" s="725"/>
      <c r="AE18" s="447"/>
      <c r="AF18" s="2157"/>
      <c r="AG18" s="2178"/>
      <c r="AI18" s="2165"/>
    </row>
    <row r="19" spans="1:35" ht="16.5" customHeight="1">
      <c r="A19" s="459" t="s">
        <v>155</v>
      </c>
      <c r="B19" s="726">
        <f>ROUND(SUM(B17),1)</f>
        <v>17.5</v>
      </c>
      <c r="C19" s="726"/>
      <c r="D19" s="726">
        <f>ROUND(SUM(D17),1)</f>
        <v>30.1</v>
      </c>
      <c r="E19" s="726"/>
      <c r="F19" s="726">
        <f>ROUND(SUM(F17),1)</f>
        <v>43.1</v>
      </c>
      <c r="G19" s="726"/>
      <c r="H19" s="726">
        <f>ROUND(SUM(H17),1)</f>
        <v>32.9</v>
      </c>
      <c r="I19" s="726"/>
      <c r="J19" s="726">
        <f>ROUND(SUM(J17),1)</f>
        <v>35.1</v>
      </c>
      <c r="K19" s="726"/>
      <c r="L19" s="726">
        <f>ROUND(SUM(L17),1)</f>
        <v>29.5</v>
      </c>
      <c r="M19" s="726"/>
      <c r="N19" s="3081">
        <f>ROUND(SUM(N17),1)</f>
        <v>28.5</v>
      </c>
      <c r="O19" s="726"/>
      <c r="P19" s="726">
        <f>ROUND(SUM(P17),1)</f>
        <v>28</v>
      </c>
      <c r="Q19" s="726"/>
      <c r="R19" s="726">
        <f>ROUND(SUM(R17),1)</f>
        <v>43.6</v>
      </c>
      <c r="S19" s="726"/>
      <c r="T19" s="726">
        <f>ROUND(SUM(T17),1)</f>
        <v>31.5</v>
      </c>
      <c r="U19" s="726"/>
      <c r="V19" s="726">
        <f>ROUND(SUM(V17),1)</f>
        <v>0</v>
      </c>
      <c r="W19" s="726"/>
      <c r="X19" s="726">
        <f>ROUND(SUM(X17),1)</f>
        <v>0</v>
      </c>
      <c r="Y19" s="726"/>
      <c r="Z19" s="727"/>
      <c r="AA19" s="726">
        <f>ROUND(SUM(AA17),1)</f>
        <v>319.8</v>
      </c>
      <c r="AB19" s="728"/>
      <c r="AC19" s="729"/>
      <c r="AD19" s="726">
        <f>ROUND(SUM(AD17),1)</f>
        <v>390.1</v>
      </c>
      <c r="AE19" s="440"/>
      <c r="AF19" s="2157"/>
      <c r="AG19" s="2179">
        <f>ROUND(SUM(AG17),1)</f>
        <v>-70.3</v>
      </c>
      <c r="AH19" s="2180"/>
      <c r="AI19" s="2181">
        <f>ROUND(IF(AG19=0,0,AG19/ABS(AD19)),3)</f>
        <v>-0.18</v>
      </c>
    </row>
    <row r="20" spans="1:35" ht="16.5" customHeight="1">
      <c r="A20" s="350"/>
      <c r="B20" s="725"/>
      <c r="C20" s="440"/>
      <c r="D20" s="725"/>
      <c r="E20" s="440"/>
      <c r="F20" s="725"/>
      <c r="G20" s="440"/>
      <c r="H20" s="725"/>
      <c r="I20" s="440"/>
      <c r="J20" s="725"/>
      <c r="K20" s="440"/>
      <c r="L20" s="725"/>
      <c r="M20" s="440"/>
      <c r="N20" s="3080"/>
      <c r="O20" s="440"/>
      <c r="P20" s="725"/>
      <c r="Q20" s="440"/>
      <c r="R20" s="725"/>
      <c r="S20" s="440"/>
      <c r="T20" s="725"/>
      <c r="U20" s="440"/>
      <c r="V20" s="725"/>
      <c r="W20" s="440"/>
      <c r="X20" s="725"/>
      <c r="Y20" s="440"/>
      <c r="Z20" s="723"/>
      <c r="AA20" s="725"/>
      <c r="AB20" s="724"/>
      <c r="AC20" s="447"/>
      <c r="AD20" s="725"/>
      <c r="AE20" s="440"/>
      <c r="AF20" s="2157"/>
      <c r="AG20" s="2178"/>
      <c r="AI20" s="2165"/>
    </row>
    <row r="21" spans="1:35" ht="16.5" customHeight="1">
      <c r="A21" s="350"/>
      <c r="B21" s="440"/>
      <c r="C21" s="440"/>
      <c r="D21" s="440"/>
      <c r="E21" s="440"/>
      <c r="F21" s="440"/>
      <c r="G21" s="440"/>
      <c r="H21" s="440"/>
      <c r="I21" s="440"/>
      <c r="J21" s="440"/>
      <c r="K21" s="440"/>
      <c r="L21" s="440"/>
      <c r="M21" s="440"/>
      <c r="N21" s="3079"/>
      <c r="O21" s="440"/>
      <c r="P21" s="440"/>
      <c r="Q21" s="440"/>
      <c r="R21" s="440"/>
      <c r="S21" s="440"/>
      <c r="T21" s="440"/>
      <c r="U21" s="440"/>
      <c r="V21" s="440"/>
      <c r="W21" s="440"/>
      <c r="X21" s="440"/>
      <c r="Y21" s="440"/>
      <c r="Z21" s="723"/>
      <c r="AA21" s="440"/>
      <c r="AB21" s="724"/>
      <c r="AC21" s="447"/>
      <c r="AD21" s="440"/>
      <c r="AE21" s="442"/>
      <c r="AF21" s="2158"/>
      <c r="AG21" s="2178"/>
      <c r="AI21" s="2165"/>
    </row>
    <row r="22" spans="1:35" ht="16.5" customHeight="1">
      <c r="A22" s="350"/>
      <c r="B22" s="440"/>
      <c r="C22" s="440"/>
      <c r="D22" s="440"/>
      <c r="E22" s="440"/>
      <c r="F22" s="440"/>
      <c r="G22" s="440"/>
      <c r="H22" s="440"/>
      <c r="I22" s="440"/>
      <c r="J22" s="440"/>
      <c r="K22" s="440"/>
      <c r="L22" s="440"/>
      <c r="M22" s="440"/>
      <c r="N22" s="3079"/>
      <c r="O22" s="440"/>
      <c r="P22" s="440"/>
      <c r="Q22" s="440"/>
      <c r="R22" s="440"/>
      <c r="S22" s="440"/>
      <c r="T22" s="440"/>
      <c r="U22" s="440"/>
      <c r="V22" s="440"/>
      <c r="W22" s="440"/>
      <c r="X22" s="440"/>
      <c r="Y22" s="440"/>
      <c r="Z22" s="723"/>
      <c r="AA22" s="440"/>
      <c r="AB22" s="724"/>
      <c r="AC22" s="447"/>
      <c r="AD22" s="440"/>
      <c r="AE22" s="691"/>
      <c r="AF22" s="2158"/>
      <c r="AG22" s="2178"/>
      <c r="AI22" s="2182"/>
    </row>
    <row r="23" spans="1:35" ht="16.5" customHeight="1">
      <c r="A23" s="459" t="s">
        <v>23</v>
      </c>
      <c r="B23" s="440"/>
      <c r="C23" s="440"/>
      <c r="D23" s="440"/>
      <c r="E23" s="440"/>
      <c r="F23" s="440"/>
      <c r="G23" s="440"/>
      <c r="H23" s="440"/>
      <c r="I23" s="440"/>
      <c r="J23" s="440"/>
      <c r="K23" s="440"/>
      <c r="L23" s="440"/>
      <c r="M23" s="440"/>
      <c r="N23" s="3079"/>
      <c r="O23" s="440"/>
      <c r="P23" s="440"/>
      <c r="Q23" s="440"/>
      <c r="R23" s="440"/>
      <c r="S23" s="440"/>
      <c r="T23" s="440"/>
      <c r="U23" s="440"/>
      <c r="V23" s="440"/>
      <c r="W23" s="440"/>
      <c r="X23" s="440"/>
      <c r="Y23" s="440"/>
      <c r="Z23" s="723"/>
      <c r="AA23" s="440"/>
      <c r="AB23" s="724"/>
      <c r="AC23" s="447"/>
      <c r="AD23" s="440"/>
      <c r="AE23" s="442"/>
      <c r="AF23" s="2158"/>
      <c r="AG23" s="2178"/>
      <c r="AH23" s="2183"/>
      <c r="AI23" s="2182"/>
    </row>
    <row r="24" spans="1:35" ht="16.5" customHeight="1">
      <c r="A24" s="350" t="s">
        <v>157</v>
      </c>
      <c r="B24" s="440"/>
      <c r="C24" s="440"/>
      <c r="D24" s="440"/>
      <c r="E24" s="440"/>
      <c r="F24" s="440"/>
      <c r="G24" s="440"/>
      <c r="H24" s="440"/>
      <c r="I24" s="440"/>
      <c r="J24" s="440"/>
      <c r="K24" s="440"/>
      <c r="L24" s="440"/>
      <c r="M24" s="440"/>
      <c r="N24" s="3079"/>
      <c r="O24" s="440"/>
      <c r="P24" s="440"/>
      <c r="Q24" s="440"/>
      <c r="R24" s="440"/>
      <c r="S24" s="440"/>
      <c r="T24" s="440"/>
      <c r="U24" s="440"/>
      <c r="V24" s="440"/>
      <c r="W24" s="440"/>
      <c r="X24" s="440"/>
      <c r="Y24" s="440"/>
      <c r="Z24" s="723"/>
      <c r="AA24" s="440"/>
      <c r="AB24" s="724"/>
      <c r="AC24" s="447"/>
      <c r="AD24" s="442"/>
      <c r="AE24" s="1717"/>
      <c r="AF24" s="2158"/>
      <c r="AG24" s="2178"/>
      <c r="AI24" s="2182"/>
    </row>
    <row r="25" spans="1:35" ht="16.5" customHeight="1">
      <c r="A25" s="350" t="s">
        <v>225</v>
      </c>
      <c r="B25" s="440">
        <v>7.4</v>
      </c>
      <c r="C25" s="440"/>
      <c r="D25" s="722">
        <v>7.2</v>
      </c>
      <c r="E25" s="440"/>
      <c r="F25" s="722">
        <v>10.4</v>
      </c>
      <c r="G25" s="440"/>
      <c r="H25" s="722">
        <v>6.9</v>
      </c>
      <c r="I25" s="440"/>
      <c r="J25" s="722">
        <v>8.6999999999999993</v>
      </c>
      <c r="K25" s="440"/>
      <c r="L25" s="722">
        <v>7.6999999999999957</v>
      </c>
      <c r="M25" s="440"/>
      <c r="N25" s="3089">
        <v>7.2000000000000028</v>
      </c>
      <c r="O25" s="440"/>
      <c r="P25" s="722">
        <v>10.1</v>
      </c>
      <c r="Q25" s="440"/>
      <c r="R25" s="722">
        <v>7.1</v>
      </c>
      <c r="S25" s="440"/>
      <c r="T25" s="722">
        <v>7.1</v>
      </c>
      <c r="U25" s="440"/>
      <c r="V25" s="691"/>
      <c r="W25" s="440"/>
      <c r="X25" s="691"/>
      <c r="Y25" s="440"/>
      <c r="Z25" s="723"/>
      <c r="AA25" s="3079">
        <f>ROUND(SUM(B25:X25),1)</f>
        <v>79.8</v>
      </c>
      <c r="AB25" s="724"/>
      <c r="AC25" s="447"/>
      <c r="AD25" s="440">
        <v>72.7</v>
      </c>
      <c r="AE25" s="1718"/>
      <c r="AF25" s="2158"/>
      <c r="AG25" s="2178">
        <f>ROUND(SUM(AA25-AD25),1)</f>
        <v>7.1</v>
      </c>
      <c r="AI25" s="2184">
        <f>ROUND(IF(AG25=0,0,AG25/ABS(AD25)),3)</f>
        <v>9.8000000000000004E-2</v>
      </c>
    </row>
    <row r="26" spans="1:35" ht="16.5" customHeight="1">
      <c r="A26" s="350" t="s">
        <v>185</v>
      </c>
      <c r="B26" s="440">
        <v>79.5</v>
      </c>
      <c r="C26" s="440"/>
      <c r="D26" s="722">
        <v>41.1</v>
      </c>
      <c r="E26" s="440"/>
      <c r="F26" s="722">
        <v>36.1</v>
      </c>
      <c r="G26" s="440"/>
      <c r="H26" s="722">
        <v>20.9</v>
      </c>
      <c r="I26" s="440"/>
      <c r="J26" s="722">
        <v>47.5</v>
      </c>
      <c r="K26" s="440"/>
      <c r="L26" s="722">
        <v>39.000000000000028</v>
      </c>
      <c r="M26" s="440"/>
      <c r="N26" s="3089">
        <v>-32.4</v>
      </c>
      <c r="O26" s="440"/>
      <c r="P26" s="722">
        <v>30.8</v>
      </c>
      <c r="Q26" s="440"/>
      <c r="R26" s="722">
        <v>54.100000000000023</v>
      </c>
      <c r="S26" s="440"/>
      <c r="T26" s="722">
        <v>27.8</v>
      </c>
      <c r="U26" s="440"/>
      <c r="V26" s="691"/>
      <c r="W26" s="440"/>
      <c r="X26" s="691"/>
      <c r="Y26" s="440"/>
      <c r="Z26" s="723"/>
      <c r="AA26" s="3079">
        <f>ROUND(SUM(B26:X26),1)</f>
        <v>344.4</v>
      </c>
      <c r="AB26" s="724"/>
      <c r="AC26" s="447"/>
      <c r="AD26" s="440">
        <v>395.1</v>
      </c>
      <c r="AE26" s="447"/>
      <c r="AF26" s="2157"/>
      <c r="AG26" s="2178">
        <f>ROUND(SUM(AA26-AD26),1)</f>
        <v>-50.7</v>
      </c>
      <c r="AI26" s="2184">
        <f>ROUND(IF(AG26=0,0,AG26/ABS(AD26)),3)</f>
        <v>-0.128</v>
      </c>
    </row>
    <row r="27" spans="1:35" ht="16.5" customHeight="1">
      <c r="A27" s="350" t="s">
        <v>160</v>
      </c>
      <c r="B27" s="440">
        <v>0</v>
      </c>
      <c r="C27" s="440"/>
      <c r="D27" s="722">
        <v>8.1999999999999993</v>
      </c>
      <c r="E27" s="440"/>
      <c r="F27" s="722">
        <v>4.0999999999999996</v>
      </c>
      <c r="G27" s="440"/>
      <c r="H27" s="442">
        <v>0</v>
      </c>
      <c r="I27" s="440"/>
      <c r="J27" s="722">
        <v>6</v>
      </c>
      <c r="K27" s="440"/>
      <c r="L27" s="722">
        <v>2.8999999999999986</v>
      </c>
      <c r="M27" s="440"/>
      <c r="N27" s="3089">
        <v>0</v>
      </c>
      <c r="O27" s="440"/>
      <c r="P27" s="722">
        <v>11.7</v>
      </c>
      <c r="Q27" s="440"/>
      <c r="R27" s="442">
        <v>2.4</v>
      </c>
      <c r="S27" s="440"/>
      <c r="T27" s="722">
        <v>2.1</v>
      </c>
      <c r="U27" s="440"/>
      <c r="V27" s="691"/>
      <c r="W27" s="440"/>
      <c r="X27" s="691"/>
      <c r="Y27" s="440"/>
      <c r="Z27" s="723"/>
      <c r="AA27" s="3079">
        <f>ROUND(SUM(B27:X27),1)</f>
        <v>37.4</v>
      </c>
      <c r="AB27" s="724"/>
      <c r="AC27" s="447"/>
      <c r="AD27" s="691">
        <v>31.5</v>
      </c>
      <c r="AE27" s="440"/>
      <c r="AF27" s="2157"/>
      <c r="AG27" s="2185">
        <f>ROUND(SUM(AA27-AD27),1)</f>
        <v>5.9</v>
      </c>
      <c r="AI27" s="2186">
        <f>ROUND(IF(AG27=0,0,AG27/ABS(AD27)),3)</f>
        <v>0.187</v>
      </c>
    </row>
    <row r="28" spans="1:35" ht="16.5" customHeight="1">
      <c r="A28" s="350"/>
      <c r="B28" s="725"/>
      <c r="C28" s="440"/>
      <c r="D28" s="725"/>
      <c r="E28" s="440"/>
      <c r="F28" s="725"/>
      <c r="G28" s="440"/>
      <c r="H28" s="725"/>
      <c r="I28" s="440"/>
      <c r="J28" s="725"/>
      <c r="K28" s="440"/>
      <c r="L28" s="725"/>
      <c r="M28" s="440"/>
      <c r="N28" s="3080"/>
      <c r="O28" s="440"/>
      <c r="P28" s="725"/>
      <c r="Q28" s="440"/>
      <c r="R28" s="725"/>
      <c r="S28" s="440"/>
      <c r="T28" s="725"/>
      <c r="U28" s="440"/>
      <c r="V28" s="725"/>
      <c r="W28" s="440"/>
      <c r="X28" s="725"/>
      <c r="Y28" s="440"/>
      <c r="Z28" s="723"/>
      <c r="AA28" s="3080"/>
      <c r="AB28" s="724"/>
      <c r="AC28" s="447"/>
      <c r="AD28" s="725"/>
      <c r="AE28" s="1707"/>
      <c r="AF28" s="2158"/>
      <c r="AG28" s="2178"/>
      <c r="AH28" s="2187"/>
      <c r="AI28" s="2182"/>
    </row>
    <row r="29" spans="1:35" ht="16.5" customHeight="1">
      <c r="A29" s="459" t="s">
        <v>161</v>
      </c>
      <c r="B29" s="726">
        <f>ROUND(SUM(B25:B28),1)</f>
        <v>86.9</v>
      </c>
      <c r="C29" s="726"/>
      <c r="D29" s="726">
        <f>ROUND(SUM(D25:D28),1)</f>
        <v>56.5</v>
      </c>
      <c r="E29" s="726"/>
      <c r="F29" s="726">
        <f>ROUND(SUM(F25:F28),1)</f>
        <v>50.6</v>
      </c>
      <c r="G29" s="726"/>
      <c r="H29" s="726">
        <f>ROUND(SUM(H25:H28),1)</f>
        <v>27.8</v>
      </c>
      <c r="I29" s="726"/>
      <c r="J29" s="726">
        <f>ROUND(SUM(J25:J28),1)</f>
        <v>62.2</v>
      </c>
      <c r="K29" s="726"/>
      <c r="L29" s="726">
        <f>ROUND(SUM(L25:L28),1)</f>
        <v>49.6</v>
      </c>
      <c r="M29" s="726"/>
      <c r="N29" s="3081">
        <f>ROUND(SUM(N25:N28),1)</f>
        <v>-25.2</v>
      </c>
      <c r="O29" s="726"/>
      <c r="P29" s="726">
        <f>ROUND(SUM(P25:P28),1)</f>
        <v>52.6</v>
      </c>
      <c r="Q29" s="726"/>
      <c r="R29" s="726">
        <f>ROUND(SUM(R25:R28),1)</f>
        <v>63.6</v>
      </c>
      <c r="S29" s="726"/>
      <c r="T29" s="726">
        <f>ROUND(SUM(T25:T28),1)</f>
        <v>37</v>
      </c>
      <c r="U29" s="726"/>
      <c r="V29" s="726">
        <f>ROUND(SUM(V25:V28),1)</f>
        <v>0</v>
      </c>
      <c r="W29" s="726">
        <f>SUM(W25:W28)</f>
        <v>0</v>
      </c>
      <c r="X29" s="726">
        <f>ROUND(SUM(X25:X27),1)</f>
        <v>0</v>
      </c>
      <c r="Y29" s="726"/>
      <c r="Z29" s="727"/>
      <c r="AA29" s="3081">
        <f>ROUND(SUM(AA24:AA27),1)</f>
        <v>461.6</v>
      </c>
      <c r="AB29" s="728"/>
      <c r="AC29" s="729"/>
      <c r="AD29" s="726">
        <f>ROUND(SUM(AD24:AD27),1)</f>
        <v>499.3</v>
      </c>
      <c r="AE29" s="447"/>
      <c r="AF29" s="2159"/>
      <c r="AG29" s="2179">
        <f>ROUND(SUM(AG25:AG27),1)</f>
        <v>-37.700000000000003</v>
      </c>
      <c r="AH29" s="2180"/>
      <c r="AI29" s="2181">
        <f>ROUND(IF(AG29=0,0,AG29/ABS(AD29)),3)</f>
        <v>-7.5999999999999998E-2</v>
      </c>
    </row>
    <row r="30" spans="1:35" ht="16.5" customHeight="1">
      <c r="A30" s="350"/>
      <c r="B30" s="725"/>
      <c r="C30" s="440"/>
      <c r="D30" s="725"/>
      <c r="E30" s="440"/>
      <c r="F30" s="725"/>
      <c r="G30" s="440"/>
      <c r="H30" s="725"/>
      <c r="I30" s="440"/>
      <c r="J30" s="725"/>
      <c r="K30" s="440"/>
      <c r="L30" s="725"/>
      <c r="M30" s="440"/>
      <c r="N30" s="3080"/>
      <c r="O30" s="440"/>
      <c r="P30" s="725"/>
      <c r="Q30" s="440"/>
      <c r="R30" s="725"/>
      <c r="S30" s="440"/>
      <c r="T30" s="725"/>
      <c r="U30" s="440"/>
      <c r="V30" s="725"/>
      <c r="W30" s="440"/>
      <c r="X30" s="725"/>
      <c r="Y30" s="440"/>
      <c r="Z30" s="723"/>
      <c r="AA30" s="3080"/>
      <c r="AB30" s="724"/>
      <c r="AC30" s="447"/>
      <c r="AD30" s="725"/>
      <c r="AE30" s="440"/>
      <c r="AF30" s="2159"/>
      <c r="AG30" s="2178"/>
      <c r="AI30" s="2165"/>
    </row>
    <row r="31" spans="1:35" ht="16.5" customHeight="1">
      <c r="A31" s="350"/>
      <c r="B31" s="440"/>
      <c r="C31" s="440"/>
      <c r="D31" s="440"/>
      <c r="E31" s="440"/>
      <c r="F31" s="440"/>
      <c r="G31" s="440"/>
      <c r="H31" s="440"/>
      <c r="I31" s="440"/>
      <c r="J31" s="440"/>
      <c r="K31" s="440"/>
      <c r="L31" s="440"/>
      <c r="M31" s="440"/>
      <c r="N31" s="3079"/>
      <c r="O31" s="440"/>
      <c r="P31" s="440"/>
      <c r="Q31" s="440"/>
      <c r="R31" s="440"/>
      <c r="S31" s="440"/>
      <c r="T31" s="440"/>
      <c r="U31" s="440"/>
      <c r="V31" s="440"/>
      <c r="W31" s="440"/>
      <c r="X31" s="440"/>
      <c r="Y31" s="440"/>
      <c r="Z31" s="723"/>
      <c r="AA31" s="3079"/>
      <c r="AB31" s="724"/>
      <c r="AC31" s="447"/>
      <c r="AD31" s="440"/>
      <c r="AE31" s="442"/>
      <c r="AF31" s="2160"/>
      <c r="AG31" s="2178"/>
      <c r="AH31" s="2183"/>
      <c r="AI31" s="2182"/>
    </row>
    <row r="32" spans="1:35" ht="16.5" customHeight="1">
      <c r="A32" s="350"/>
      <c r="B32" s="440"/>
      <c r="C32" s="440"/>
      <c r="D32" s="440"/>
      <c r="E32" s="440"/>
      <c r="F32" s="440"/>
      <c r="G32" s="440"/>
      <c r="H32" s="440"/>
      <c r="I32" s="440"/>
      <c r="J32" s="440"/>
      <c r="K32" s="440"/>
      <c r="L32" s="440"/>
      <c r="M32" s="440"/>
      <c r="N32" s="3079"/>
      <c r="O32" s="440"/>
      <c r="P32" s="440"/>
      <c r="Q32" s="440"/>
      <c r="R32" s="440"/>
      <c r="S32" s="440"/>
      <c r="T32" s="440"/>
      <c r="U32" s="440"/>
      <c r="V32" s="440"/>
      <c r="W32" s="440"/>
      <c r="X32" s="440"/>
      <c r="Y32" s="440"/>
      <c r="Z32" s="723"/>
      <c r="AA32" s="3079"/>
      <c r="AB32" s="724"/>
      <c r="AC32" s="447"/>
      <c r="AD32" s="440"/>
      <c r="AE32" s="442"/>
      <c r="AF32" s="2159"/>
      <c r="AG32" s="2178"/>
      <c r="AH32" s="2183"/>
      <c r="AI32" s="2182"/>
    </row>
    <row r="33" spans="1:35" ht="16.5" customHeight="1">
      <c r="A33" s="459" t="s">
        <v>162</v>
      </c>
      <c r="B33" s="440"/>
      <c r="C33" s="440"/>
      <c r="D33" s="440"/>
      <c r="E33" s="440"/>
      <c r="F33" s="440"/>
      <c r="G33" s="440"/>
      <c r="H33" s="440"/>
      <c r="I33" s="440"/>
      <c r="J33" s="440"/>
      <c r="K33" s="440"/>
      <c r="L33" s="440"/>
      <c r="M33" s="440"/>
      <c r="N33" s="3079"/>
      <c r="O33" s="440"/>
      <c r="P33" s="440"/>
      <c r="Q33" s="440"/>
      <c r="R33" s="440"/>
      <c r="S33" s="440"/>
      <c r="T33" s="440"/>
      <c r="U33" s="440"/>
      <c r="V33" s="440"/>
      <c r="W33" s="440"/>
      <c r="X33" s="440"/>
      <c r="Y33" s="440"/>
      <c r="Z33" s="723"/>
      <c r="AA33" s="3079"/>
      <c r="AB33" s="724"/>
      <c r="AC33" s="447"/>
      <c r="AD33" s="440"/>
      <c r="AE33" s="1723"/>
      <c r="AF33" s="2160"/>
      <c r="AG33" s="2178"/>
      <c r="AH33" s="2183"/>
      <c r="AI33" s="2182"/>
    </row>
    <row r="34" spans="1:35" ht="16.5" customHeight="1">
      <c r="A34" s="459" t="s">
        <v>45</v>
      </c>
      <c r="B34" s="726">
        <f>ROUND(B19-B29,1)</f>
        <v>-69.400000000000006</v>
      </c>
      <c r="C34" s="726"/>
      <c r="D34" s="726">
        <f>ROUND(D19-D29,1)</f>
        <v>-26.4</v>
      </c>
      <c r="E34" s="726"/>
      <c r="F34" s="726">
        <f>ROUND(F19-F29,1)</f>
        <v>-7.5</v>
      </c>
      <c r="G34" s="726"/>
      <c r="H34" s="726">
        <f>ROUND(H19-H29,1)</f>
        <v>5.0999999999999996</v>
      </c>
      <c r="I34" s="726"/>
      <c r="J34" s="726">
        <f>ROUND(J19-J29,1)</f>
        <v>-27.1</v>
      </c>
      <c r="K34" s="726"/>
      <c r="L34" s="726">
        <f>ROUND(L19-L29,1)</f>
        <v>-20.100000000000001</v>
      </c>
      <c r="M34" s="726"/>
      <c r="N34" s="3081">
        <f>ROUND(N19-N29,1)</f>
        <v>53.7</v>
      </c>
      <c r="O34" s="726"/>
      <c r="P34" s="726">
        <f>ROUND(P19-P29,1)</f>
        <v>-24.6</v>
      </c>
      <c r="Q34" s="726"/>
      <c r="R34" s="726">
        <f>ROUND(R19-R29,1)</f>
        <v>-20</v>
      </c>
      <c r="S34" s="726"/>
      <c r="T34" s="726">
        <f>ROUND(T19-T29,1)</f>
        <v>-5.5</v>
      </c>
      <c r="U34" s="726"/>
      <c r="V34" s="726">
        <f>ROUND(V19-V29,1)</f>
        <v>0</v>
      </c>
      <c r="W34" s="726"/>
      <c r="X34" s="726">
        <f>ROUND(X19-X29,1)</f>
        <v>0</v>
      </c>
      <c r="Y34" s="726"/>
      <c r="Z34" s="727"/>
      <c r="AA34" s="3081">
        <f>ROUND(AA19-AA29,1)</f>
        <v>-141.80000000000001</v>
      </c>
      <c r="AB34" s="728"/>
      <c r="AC34" s="729"/>
      <c r="AD34" s="726">
        <f>ROUND(AD19-AD29,1)</f>
        <v>-109.2</v>
      </c>
      <c r="AE34" s="447"/>
      <c r="AF34" s="2157"/>
      <c r="AG34" s="2179">
        <f>ROUND(SUM(AG19-AG29),1)</f>
        <v>-32.6</v>
      </c>
      <c r="AH34" s="2180"/>
      <c r="AI34" s="2181">
        <f>ROUND(IF(AG34=0,0,AG34/ABS(AD34)),3)</f>
        <v>-0.29899999999999999</v>
      </c>
    </row>
    <row r="35" spans="1:35" ht="16.5" customHeight="1">
      <c r="A35" s="350"/>
      <c r="B35" s="725"/>
      <c r="C35" s="440"/>
      <c r="D35" s="725"/>
      <c r="E35" s="440"/>
      <c r="F35" s="725"/>
      <c r="G35" s="440"/>
      <c r="H35" s="725"/>
      <c r="I35" s="440"/>
      <c r="J35" s="725"/>
      <c r="K35" s="440"/>
      <c r="L35" s="725"/>
      <c r="M35" s="440"/>
      <c r="N35" s="3080"/>
      <c r="O35" s="440"/>
      <c r="P35" s="725"/>
      <c r="Q35" s="440"/>
      <c r="R35" s="725"/>
      <c r="S35" s="440"/>
      <c r="T35" s="725"/>
      <c r="U35" s="440"/>
      <c r="V35" s="725"/>
      <c r="W35" s="440"/>
      <c r="X35" s="725"/>
      <c r="Y35" s="440"/>
      <c r="Z35" s="723"/>
      <c r="AA35" s="3080"/>
      <c r="AB35" s="724"/>
      <c r="AC35" s="447"/>
      <c r="AD35" s="725"/>
      <c r="AE35" s="440"/>
      <c r="AF35" s="2157"/>
      <c r="AG35" s="2178"/>
      <c r="AI35" s="2165"/>
    </row>
    <row r="36" spans="1:35" ht="16.5" customHeight="1">
      <c r="A36" s="350"/>
      <c r="B36" s="440"/>
      <c r="C36" s="440"/>
      <c r="D36" s="440"/>
      <c r="E36" s="440"/>
      <c r="F36" s="440"/>
      <c r="G36" s="440"/>
      <c r="H36" s="440"/>
      <c r="I36" s="440"/>
      <c r="J36" s="440"/>
      <c r="K36" s="440"/>
      <c r="L36" s="440"/>
      <c r="M36" s="440"/>
      <c r="N36" s="3079"/>
      <c r="O36" s="440"/>
      <c r="P36" s="440"/>
      <c r="Q36" s="440"/>
      <c r="R36" s="440"/>
      <c r="S36" s="440"/>
      <c r="T36" s="440"/>
      <c r="U36" s="440"/>
      <c r="V36" s="440"/>
      <c r="W36" s="440"/>
      <c r="X36" s="440"/>
      <c r="Y36" s="440"/>
      <c r="Z36" s="723"/>
      <c r="AA36" s="3079"/>
      <c r="AB36" s="724"/>
      <c r="AC36" s="447"/>
      <c r="AD36" s="440"/>
      <c r="AE36" s="732"/>
      <c r="AF36" s="2161"/>
      <c r="AG36" s="2178"/>
      <c r="AI36" s="2165"/>
    </row>
    <row r="37" spans="1:35" ht="16.5" customHeight="1">
      <c r="A37" s="350"/>
      <c r="B37" s="440"/>
      <c r="C37" s="440"/>
      <c r="D37" s="440"/>
      <c r="E37" s="440"/>
      <c r="F37" s="440"/>
      <c r="G37" s="440"/>
      <c r="H37" s="440"/>
      <c r="I37" s="440"/>
      <c r="J37" s="440"/>
      <c r="K37" s="440"/>
      <c r="L37" s="440"/>
      <c r="M37" s="440"/>
      <c r="N37" s="3079"/>
      <c r="O37" s="440"/>
      <c r="P37" s="440"/>
      <c r="Q37" s="440"/>
      <c r="R37" s="440"/>
      <c r="S37" s="440"/>
      <c r="T37" s="440"/>
      <c r="U37" s="440"/>
      <c r="V37" s="440"/>
      <c r="W37" s="440"/>
      <c r="X37" s="440"/>
      <c r="Y37" s="440"/>
      <c r="Z37" s="723"/>
      <c r="AA37" s="3079"/>
      <c r="AB37" s="724"/>
      <c r="AC37" s="447"/>
      <c r="AD37" s="440"/>
      <c r="AE37" s="1707"/>
      <c r="AF37" s="2162"/>
      <c r="AG37" s="2178"/>
      <c r="AI37" s="2182"/>
    </row>
    <row r="38" spans="1:35" ht="16.5" customHeight="1">
      <c r="A38" s="459" t="s">
        <v>46</v>
      </c>
      <c r="B38" s="440"/>
      <c r="C38" s="440"/>
      <c r="D38" s="440"/>
      <c r="E38" s="440"/>
      <c r="F38" s="440"/>
      <c r="G38" s="440"/>
      <c r="H38" s="440"/>
      <c r="I38" s="440"/>
      <c r="J38" s="440"/>
      <c r="K38" s="440"/>
      <c r="L38" s="440"/>
      <c r="M38" s="440"/>
      <c r="N38" s="3079"/>
      <c r="O38" s="440"/>
      <c r="P38" s="440"/>
      <c r="Q38" s="440"/>
      <c r="R38" s="440"/>
      <c r="S38" s="440"/>
      <c r="T38" s="440"/>
      <c r="U38" s="440"/>
      <c r="V38" s="440"/>
      <c r="W38" s="440"/>
      <c r="X38" s="440"/>
      <c r="Y38" s="440"/>
      <c r="Z38" s="723"/>
      <c r="AA38" s="3079"/>
      <c r="AB38" s="724"/>
      <c r="AC38" s="447"/>
      <c r="AD38" s="440"/>
      <c r="AE38" s="717"/>
      <c r="AF38" s="2163"/>
      <c r="AG38" s="2188"/>
      <c r="AH38" s="2189"/>
      <c r="AI38" s="2182"/>
    </row>
    <row r="39" spans="1:35" ht="16.5" customHeight="1">
      <c r="A39" s="350" t="s">
        <v>187</v>
      </c>
      <c r="B39" s="691">
        <v>5.3</v>
      </c>
      <c r="C39" s="440"/>
      <c r="D39" s="722">
        <v>4.3</v>
      </c>
      <c r="E39" s="440"/>
      <c r="F39" s="722">
        <v>1.8</v>
      </c>
      <c r="G39" s="440"/>
      <c r="H39" s="722">
        <v>0.8</v>
      </c>
      <c r="I39" s="440"/>
      <c r="J39" s="722">
        <v>5</v>
      </c>
      <c r="K39" s="440"/>
      <c r="L39" s="722">
        <v>4.5</v>
      </c>
      <c r="M39" s="440"/>
      <c r="N39" s="3089">
        <v>3.1000000000000014</v>
      </c>
      <c r="O39" s="440"/>
      <c r="P39" s="722">
        <v>3.2</v>
      </c>
      <c r="Q39" s="440"/>
      <c r="R39" s="722">
        <v>1.4</v>
      </c>
      <c r="S39" s="440"/>
      <c r="T39" s="722">
        <v>2.2000000000000002</v>
      </c>
      <c r="U39" s="440"/>
      <c r="V39" s="691"/>
      <c r="W39" s="440"/>
      <c r="X39" s="691"/>
      <c r="Y39" s="440"/>
      <c r="Z39" s="723"/>
      <c r="AA39" s="3079">
        <f>ROUND(SUM(B39:X39),1)</f>
        <v>31.6</v>
      </c>
      <c r="AB39" s="724"/>
      <c r="AC39" s="447"/>
      <c r="AD39" s="730">
        <v>48.4</v>
      </c>
      <c r="AE39" s="1714"/>
      <c r="AF39" s="2161"/>
      <c r="AG39" s="2178">
        <f>ROUND(SUM(AA39-AD39),1)</f>
        <v>-16.8</v>
      </c>
      <c r="AH39" s="2183"/>
      <c r="AI39" s="2184">
        <f>ROUND(IF(AG39=0,0,AG39/ABS(AD39)),3)</f>
        <v>-0.34699999999999998</v>
      </c>
    </row>
    <row r="40" spans="1:35" ht="16.5" customHeight="1">
      <c r="A40" s="350" t="s">
        <v>188</v>
      </c>
      <c r="B40" s="448">
        <v>0</v>
      </c>
      <c r="C40" s="440"/>
      <c r="D40" s="442">
        <v>0</v>
      </c>
      <c r="E40" s="440"/>
      <c r="F40" s="442">
        <v>-0.2</v>
      </c>
      <c r="G40" s="440"/>
      <c r="H40" s="691">
        <v>0</v>
      </c>
      <c r="I40" s="440"/>
      <c r="J40" s="442">
        <v>0</v>
      </c>
      <c r="K40" s="440"/>
      <c r="L40" s="722">
        <v>-7.5</v>
      </c>
      <c r="M40" s="440"/>
      <c r="N40" s="3386">
        <v>0</v>
      </c>
      <c r="O40" s="440"/>
      <c r="P40" s="442">
        <v>-0.1</v>
      </c>
      <c r="Q40" s="440"/>
      <c r="R40" s="442">
        <v>-0.1</v>
      </c>
      <c r="S40" s="440"/>
      <c r="T40" s="442">
        <v>-2.7</v>
      </c>
      <c r="U40" s="440"/>
      <c r="V40" s="722"/>
      <c r="W40" s="440"/>
      <c r="X40" s="691"/>
      <c r="Y40" s="440"/>
      <c r="Z40" s="723"/>
      <c r="AA40" s="3079">
        <f>ROUND(SUM(B40:X40),1)</f>
        <v>-10.6</v>
      </c>
      <c r="AB40" s="724"/>
      <c r="AC40" s="447"/>
      <c r="AD40" s="440">
        <v>-10</v>
      </c>
      <c r="AE40" s="252"/>
      <c r="AF40" s="2161"/>
      <c r="AG40" s="2185">
        <f>ROUND(SUM(AA40-AD40),1)</f>
        <v>-0.6</v>
      </c>
      <c r="AH40" s="2183"/>
      <c r="AI40" s="2527">
        <f>ROUND(IF(AG40=0,0,AG40/ABS(AD40)),3)</f>
        <v>-0.06</v>
      </c>
    </row>
    <row r="41" spans="1:35" ht="16.5" customHeight="1">
      <c r="A41" s="350"/>
      <c r="B41" s="725"/>
      <c r="C41" s="440"/>
      <c r="D41" s="725"/>
      <c r="E41" s="440"/>
      <c r="F41" s="725"/>
      <c r="G41" s="440"/>
      <c r="H41" s="725"/>
      <c r="I41" s="440"/>
      <c r="J41" s="725"/>
      <c r="K41" s="440"/>
      <c r="L41" s="725"/>
      <c r="M41" s="440"/>
      <c r="N41" s="3080"/>
      <c r="O41" s="440"/>
      <c r="P41" s="725"/>
      <c r="Q41" s="440"/>
      <c r="R41" s="725"/>
      <c r="S41" s="440"/>
      <c r="T41" s="725"/>
      <c r="U41" s="440"/>
      <c r="V41" s="725"/>
      <c r="W41" s="440"/>
      <c r="X41" s="725"/>
      <c r="Y41" s="440"/>
      <c r="Z41" s="723"/>
      <c r="AA41" s="731"/>
      <c r="AB41" s="724"/>
      <c r="AC41" s="447"/>
      <c r="AD41" s="731"/>
      <c r="AE41" s="366"/>
      <c r="AF41" s="2161"/>
      <c r="AG41" s="2174"/>
    </row>
    <row r="42" spans="1:35" ht="16.5" customHeight="1">
      <c r="A42" s="459" t="s">
        <v>214</v>
      </c>
      <c r="B42" s="726">
        <f>ROUND(SUM(B39:B41),1)</f>
        <v>5.3</v>
      </c>
      <c r="C42" s="726"/>
      <c r="D42" s="726">
        <f>ROUND(SUM(D39:D41),1)</f>
        <v>4.3</v>
      </c>
      <c r="E42" s="726"/>
      <c r="F42" s="726">
        <f>ROUND(SUM(F39:F41),1)</f>
        <v>1.6</v>
      </c>
      <c r="G42" s="726"/>
      <c r="H42" s="726">
        <f>ROUND(SUM(H39:H41),1)</f>
        <v>0.8</v>
      </c>
      <c r="I42" s="726"/>
      <c r="J42" s="726">
        <f>ROUND(SUM(J39:J41),1)</f>
        <v>5</v>
      </c>
      <c r="K42" s="726"/>
      <c r="L42" s="726">
        <f>ROUND(SUM(L39:L41),1)</f>
        <v>-3</v>
      </c>
      <c r="M42" s="726"/>
      <c r="N42" s="3081">
        <f>ROUND(SUM(N39:N41),1)</f>
        <v>3.1</v>
      </c>
      <c r="O42" s="726"/>
      <c r="P42" s="726">
        <f>ROUND(SUM(P39:P41),1)</f>
        <v>3.1</v>
      </c>
      <c r="Q42" s="726"/>
      <c r="R42" s="726">
        <f>ROUND(SUM(R39:R41),1)</f>
        <v>1.3</v>
      </c>
      <c r="S42" s="726"/>
      <c r="T42" s="726">
        <f>ROUND(SUM(T39:T41),1)</f>
        <v>-0.5</v>
      </c>
      <c r="U42" s="726"/>
      <c r="V42" s="726">
        <f>ROUND(SUM(V39:V41),1)</f>
        <v>0</v>
      </c>
      <c r="W42" s="726"/>
      <c r="X42" s="726">
        <f>ROUND(SUM(X39:X41),1)</f>
        <v>0</v>
      </c>
      <c r="Y42" s="726"/>
      <c r="Z42" s="727"/>
      <c r="AA42" s="726">
        <f>ROUND(SUM(AA39:AA41),1)</f>
        <v>21</v>
      </c>
      <c r="AB42" s="728"/>
      <c r="AC42" s="729"/>
      <c r="AD42" s="726">
        <f>ROUND(SUM(AD39:AD41),1)</f>
        <v>38.4</v>
      </c>
      <c r="AF42" s="2158"/>
      <c r="AG42" s="2179">
        <f>ROUND(SUM(AG39-AG40),1)</f>
        <v>-16.2</v>
      </c>
      <c r="AH42" s="2190"/>
      <c r="AI42" s="2181">
        <f>ROUND(IF(AG42=0,0,AG42/ABS(AD42)),3)</f>
        <v>-0.42199999999999999</v>
      </c>
    </row>
    <row r="43" spans="1:35" ht="16.5" customHeight="1">
      <c r="A43" s="350"/>
      <c r="B43" s="725"/>
      <c r="C43" s="440"/>
      <c r="D43" s="725"/>
      <c r="E43" s="440"/>
      <c r="F43" s="725"/>
      <c r="G43" s="440"/>
      <c r="H43" s="725"/>
      <c r="I43" s="440"/>
      <c r="J43" s="725"/>
      <c r="K43" s="440"/>
      <c r="L43" s="725"/>
      <c r="M43" s="440"/>
      <c r="N43" s="3080"/>
      <c r="O43" s="440"/>
      <c r="P43" s="725"/>
      <c r="Q43" s="440"/>
      <c r="R43" s="725"/>
      <c r="S43" s="440"/>
      <c r="T43" s="725"/>
      <c r="U43" s="440"/>
      <c r="V43" s="725"/>
      <c r="W43" s="440"/>
      <c r="X43" s="725"/>
      <c r="Y43" s="440"/>
      <c r="Z43" s="723"/>
      <c r="AA43" s="725"/>
      <c r="AB43" s="724"/>
      <c r="AC43" s="447"/>
      <c r="AD43" s="725"/>
      <c r="AE43" s="366"/>
      <c r="AF43" s="2161"/>
      <c r="AG43" s="2174"/>
    </row>
    <row r="44" spans="1:35" ht="16.5" customHeight="1">
      <c r="A44" s="350"/>
      <c r="B44" s="440"/>
      <c r="C44" s="440"/>
      <c r="D44" s="440"/>
      <c r="E44" s="440"/>
      <c r="F44" s="440"/>
      <c r="G44" s="440"/>
      <c r="H44" s="440"/>
      <c r="I44" s="440"/>
      <c r="J44" s="440"/>
      <c r="K44" s="440"/>
      <c r="L44" s="440"/>
      <c r="M44" s="440"/>
      <c r="N44" s="3079"/>
      <c r="O44" s="440"/>
      <c r="P44" s="440"/>
      <c r="Q44" s="440"/>
      <c r="R44" s="440"/>
      <c r="S44" s="440"/>
      <c r="T44" s="440"/>
      <c r="U44" s="440"/>
      <c r="V44" s="440"/>
      <c r="W44" s="440"/>
      <c r="X44" s="440"/>
      <c r="Y44" s="440"/>
      <c r="Z44" s="723"/>
      <c r="AA44" s="440"/>
      <c r="AB44" s="724"/>
      <c r="AC44" s="447"/>
      <c r="AD44" s="440"/>
      <c r="AE44" s="366"/>
      <c r="AF44" s="2161"/>
      <c r="AG44" s="2174"/>
    </row>
    <row r="45" spans="1:35" ht="16.5" customHeight="1">
      <c r="A45" s="350"/>
      <c r="B45" s="440"/>
      <c r="C45" s="440"/>
      <c r="D45" s="440"/>
      <c r="E45" s="440"/>
      <c r="F45" s="440"/>
      <c r="G45" s="440"/>
      <c r="H45" s="440"/>
      <c r="I45" s="440"/>
      <c r="J45" s="440"/>
      <c r="K45" s="440"/>
      <c r="L45" s="440"/>
      <c r="M45" s="440"/>
      <c r="N45" s="3079"/>
      <c r="O45" s="440"/>
      <c r="P45" s="440"/>
      <c r="Q45" s="440"/>
      <c r="R45" s="440"/>
      <c r="S45" s="440"/>
      <c r="T45" s="440"/>
      <c r="U45" s="440"/>
      <c r="V45" s="440"/>
      <c r="W45" s="440"/>
      <c r="X45" s="440"/>
      <c r="Y45" s="440"/>
      <c r="Z45" s="723"/>
      <c r="AA45" s="440"/>
      <c r="AB45" s="724"/>
      <c r="AC45" s="447"/>
      <c r="AD45" s="440"/>
      <c r="AE45" s="366"/>
      <c r="AF45" s="2161"/>
    </row>
    <row r="46" spans="1:35" ht="16.5" customHeight="1">
      <c r="A46" s="459" t="s">
        <v>171</v>
      </c>
      <c r="B46" s="440"/>
      <c r="C46" s="440"/>
      <c r="D46" s="440"/>
      <c r="E46" s="440"/>
      <c r="F46" s="440"/>
      <c r="G46" s="440"/>
      <c r="H46" s="440"/>
      <c r="I46" s="440"/>
      <c r="J46" s="440"/>
      <c r="K46" s="440"/>
      <c r="L46" s="440"/>
      <c r="M46" s="440"/>
      <c r="N46" s="3079"/>
      <c r="O46" s="440"/>
      <c r="P46" s="440"/>
      <c r="Q46" s="440"/>
      <c r="R46" s="440"/>
      <c r="S46" s="440"/>
      <c r="T46" s="440"/>
      <c r="U46" s="440"/>
      <c r="V46" s="440"/>
      <c r="W46" s="440"/>
      <c r="X46" s="440"/>
      <c r="Y46" s="440"/>
      <c r="Z46" s="723"/>
      <c r="AA46" s="440"/>
      <c r="AB46" s="724"/>
      <c r="AC46" s="447"/>
      <c r="AD46" s="440"/>
      <c r="AE46" s="366"/>
      <c r="AF46" s="2161"/>
    </row>
    <row r="47" spans="1:35" ht="16.5" customHeight="1">
      <c r="A47" s="459" t="s">
        <v>233</v>
      </c>
      <c r="B47" s="440"/>
      <c r="C47" s="440"/>
      <c r="D47" s="440"/>
      <c r="E47" s="440"/>
      <c r="F47" s="440"/>
      <c r="G47" s="440"/>
      <c r="H47" s="440"/>
      <c r="I47" s="440"/>
      <c r="J47" s="440"/>
      <c r="K47" s="440"/>
      <c r="L47" s="440"/>
      <c r="M47" s="440"/>
      <c r="N47" s="3079"/>
      <c r="O47" s="440"/>
      <c r="P47" s="440"/>
      <c r="Q47" s="440"/>
      <c r="R47" s="440"/>
      <c r="S47" s="440"/>
      <c r="T47" s="440"/>
      <c r="U47" s="440"/>
      <c r="V47" s="440"/>
      <c r="W47" s="440"/>
      <c r="X47" s="440"/>
      <c r="Y47" s="440"/>
      <c r="Z47" s="723"/>
      <c r="AA47" s="440"/>
      <c r="AB47" s="724"/>
      <c r="AC47" s="447"/>
      <c r="AD47" s="440"/>
      <c r="AE47" s="223"/>
      <c r="AF47" s="2158"/>
    </row>
    <row r="48" spans="1:35" s="420" customFormat="1" ht="16.5" customHeight="1">
      <c r="A48" s="459" t="s">
        <v>173</v>
      </c>
      <c r="B48" s="726">
        <f>ROUND(SUM(B34,B42),1)</f>
        <v>-64.099999999999994</v>
      </c>
      <c r="C48" s="726"/>
      <c r="D48" s="726">
        <f>ROUND(SUM(D34,D42),1)</f>
        <v>-22.1</v>
      </c>
      <c r="E48" s="726"/>
      <c r="F48" s="726">
        <f>ROUND(SUM(F34,F42),1)</f>
        <v>-5.9</v>
      </c>
      <c r="G48" s="726"/>
      <c r="H48" s="726">
        <f>ROUND(SUM(H34,H42),1)</f>
        <v>5.9</v>
      </c>
      <c r="I48" s="726"/>
      <c r="J48" s="726">
        <f>ROUND(SUM(J34,J42),1)</f>
        <v>-22.1</v>
      </c>
      <c r="K48" s="726"/>
      <c r="L48" s="726">
        <f>ROUND(SUM(L34,L42),1)</f>
        <v>-23.1</v>
      </c>
      <c r="M48" s="726"/>
      <c r="N48" s="3081">
        <f>ROUND(SUM(N34,N42),1)</f>
        <v>56.8</v>
      </c>
      <c r="O48" s="726"/>
      <c r="P48" s="726">
        <f>ROUND(SUM(P34,P42),1)</f>
        <v>-21.5</v>
      </c>
      <c r="Q48" s="726"/>
      <c r="R48" s="726">
        <f>ROUND(SUM(R34,R42),1)</f>
        <v>-18.7</v>
      </c>
      <c r="S48" s="726"/>
      <c r="T48" s="726">
        <f>ROUND(SUM(T34,T42),1)</f>
        <v>-6</v>
      </c>
      <c r="U48" s="726"/>
      <c r="V48" s="726">
        <f>ROUND(SUM(V34,V42),1)</f>
        <v>0</v>
      </c>
      <c r="W48" s="726"/>
      <c r="X48" s="726">
        <f>ROUND(SUM(X34,X42),1)</f>
        <v>0</v>
      </c>
      <c r="Y48" s="726"/>
      <c r="Z48" s="727"/>
      <c r="AA48" s="732">
        <f>ROUND(AA34+AA42,1)</f>
        <v>-120.8</v>
      </c>
      <c r="AB48" s="728"/>
      <c r="AC48" s="729"/>
      <c r="AD48" s="732">
        <f>ROUND(AD34+AD42,1)</f>
        <v>-70.8</v>
      </c>
      <c r="AE48" s="737"/>
      <c r="AF48" s="2158"/>
      <c r="AG48" s="2179">
        <f>ROUND(SUM(AG34+AG42),1)</f>
        <v>-48.8</v>
      </c>
      <c r="AH48" s="2154"/>
      <c r="AI48" s="2181">
        <f>ROUND(IF(AG48=0,0,AG48/ABS(AD48)),3)</f>
        <v>-0.68899999999999995</v>
      </c>
    </row>
    <row r="49" spans="1:35" ht="16.5" customHeight="1">
      <c r="A49" s="350"/>
      <c r="B49" s="733"/>
      <c r="C49" s="718"/>
      <c r="D49" s="733"/>
      <c r="E49" s="718"/>
      <c r="F49" s="733"/>
      <c r="G49" s="718"/>
      <c r="H49" s="733"/>
      <c r="I49" s="718"/>
      <c r="J49" s="733"/>
      <c r="K49" s="718"/>
      <c r="L49" s="733"/>
      <c r="M49" s="718"/>
      <c r="N49" s="3415"/>
      <c r="O49" s="718"/>
      <c r="P49" s="733"/>
      <c r="Q49" s="718"/>
      <c r="R49" s="733"/>
      <c r="S49" s="718"/>
      <c r="T49" s="733"/>
      <c r="U49" s="718"/>
      <c r="V49" s="733"/>
      <c r="W49" s="718"/>
      <c r="X49" s="733"/>
      <c r="Y49" s="718"/>
      <c r="Z49" s="719"/>
      <c r="AA49" s="733"/>
      <c r="AB49" s="720"/>
      <c r="AC49" s="721"/>
      <c r="AD49" s="733"/>
      <c r="AF49" s="2158"/>
      <c r="AI49" s="2165"/>
    </row>
    <row r="50" spans="1:35" ht="16.5" customHeight="1" thickBot="1">
      <c r="A50" s="639" t="s">
        <v>145</v>
      </c>
      <c r="B50" s="714">
        <f>ROUND(SUM(B14,B48),1)</f>
        <v>-191.3</v>
      </c>
      <c r="C50" s="714"/>
      <c r="D50" s="714">
        <f>ROUND(SUM(D14,D48),1)</f>
        <v>-213.4</v>
      </c>
      <c r="E50" s="714"/>
      <c r="F50" s="714">
        <f>ROUND(SUM(F14,F48),1)</f>
        <v>-219.3</v>
      </c>
      <c r="G50" s="714"/>
      <c r="H50" s="714">
        <f>ROUND(SUM(H14,H48),1)</f>
        <v>-213.4</v>
      </c>
      <c r="I50" s="714"/>
      <c r="J50" s="714">
        <f>ROUND(SUM(J14,J48),1)</f>
        <v>-235.5</v>
      </c>
      <c r="K50" s="714"/>
      <c r="L50" s="714">
        <f>ROUND(SUM(L14,L48),1)</f>
        <v>-258.60000000000002</v>
      </c>
      <c r="M50" s="714"/>
      <c r="N50" s="3413">
        <f>ROUND(SUM(N14,N48),1)</f>
        <v>-201.8</v>
      </c>
      <c r="O50" s="714"/>
      <c r="P50" s="714">
        <f>ROUND(SUM(P14,P48),1)</f>
        <v>-223.3</v>
      </c>
      <c r="Q50" s="714"/>
      <c r="R50" s="734">
        <f>ROUND(SUM(R14,R48),1)</f>
        <v>-242</v>
      </c>
      <c r="S50" s="714"/>
      <c r="T50" s="714">
        <f>ROUND(SUM(T14,T48),1)</f>
        <v>-248</v>
      </c>
      <c r="U50" s="714"/>
      <c r="V50" s="714">
        <f>ROUND(SUM(V14,V48),1)</f>
        <v>0</v>
      </c>
      <c r="W50" s="714"/>
      <c r="X50" s="714">
        <f>ROUND(SUM(X14,X48),1)</f>
        <v>0</v>
      </c>
      <c r="Y50" s="714"/>
      <c r="Z50" s="715"/>
      <c r="AA50" s="714">
        <f>ROUND(SUM(AA14,AA48),1)</f>
        <v>-248</v>
      </c>
      <c r="AB50" s="716"/>
      <c r="AC50" s="717"/>
      <c r="AD50" s="714">
        <f>ROUND(SUM(AD14,AD48),1)</f>
        <v>-267.5</v>
      </c>
      <c r="AF50" s="2158"/>
      <c r="AG50" s="2191">
        <f>ROUND(SUM(AA50-AD50),1)</f>
        <v>19.5</v>
      </c>
      <c r="AH50" s="2189"/>
      <c r="AI50" s="2192">
        <f>ROUND(IF(AG50=0,0,AG50/ABS(AD50)),3)</f>
        <v>7.2999999999999995E-2</v>
      </c>
    </row>
    <row r="51" spans="1:35" ht="16.5" customHeight="1" thickTop="1">
      <c r="A51" s="350"/>
      <c r="B51" s="735"/>
      <c r="C51" s="718"/>
      <c r="D51" s="735"/>
      <c r="E51" s="718"/>
      <c r="F51" s="735"/>
      <c r="G51" s="718"/>
      <c r="H51" s="735"/>
      <c r="I51" s="718"/>
      <c r="J51" s="735"/>
      <c r="K51" s="718"/>
      <c r="L51" s="735"/>
      <c r="M51" s="718"/>
      <c r="N51" s="3416"/>
      <c r="O51" s="718"/>
      <c r="P51" s="735"/>
      <c r="Q51" s="718"/>
      <c r="R51" s="721"/>
      <c r="S51" s="718"/>
      <c r="T51" s="735"/>
      <c r="U51" s="718"/>
      <c r="V51" s="735"/>
      <c r="W51" s="718"/>
      <c r="X51" s="735"/>
      <c r="Y51" s="718"/>
      <c r="Z51" s="718"/>
      <c r="AA51" s="735"/>
      <c r="AB51" s="718"/>
      <c r="AC51" s="718"/>
      <c r="AD51" s="735"/>
    </row>
    <row r="53" spans="1:35" ht="16.5" customHeight="1">
      <c r="A53" s="736"/>
    </row>
    <row r="54" spans="1:35" ht="16.5" customHeight="1">
      <c r="A54" s="455"/>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2" firstPageNumber="36"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60" workbookViewId="0"/>
  </sheetViews>
  <sheetFormatPr defaultColWidth="8.88671875" defaultRowHeight="18"/>
  <cols>
    <col min="1" max="1" width="45.5546875" style="737" customWidth="1"/>
    <col min="2" max="2" width="8.6640625" style="737" customWidth="1"/>
    <col min="3" max="3" width="1.6640625" style="737" customWidth="1"/>
    <col min="4" max="4" width="8.6640625" style="737" customWidth="1"/>
    <col min="5" max="5" width="1.6640625" style="737" customWidth="1"/>
    <col min="6" max="6" width="8.6640625" style="737" customWidth="1"/>
    <col min="7" max="7" width="1.6640625" style="737" customWidth="1"/>
    <col min="8" max="8" width="8.6640625" style="737" customWidth="1"/>
    <col min="9" max="9" width="1.6640625" style="737" customWidth="1"/>
    <col min="10" max="10" width="10.6640625" style="737" customWidth="1"/>
    <col min="11" max="11" width="1.6640625" style="737" customWidth="1"/>
    <col min="12" max="12" width="13" style="737" customWidth="1"/>
    <col min="13" max="13" width="1.6640625" style="737" customWidth="1"/>
    <col min="14" max="14" width="12" style="3375" bestFit="1" customWidth="1"/>
    <col min="15" max="15" width="1.6640625" style="737" customWidth="1"/>
    <col min="16" max="16" width="12.77734375" style="737" customWidth="1"/>
    <col min="17" max="17" width="1.6640625" style="737" customWidth="1"/>
    <col min="18" max="18" width="13.21875" style="737" customWidth="1"/>
    <col min="19" max="19" width="1.6640625" style="737" customWidth="1"/>
    <col min="20" max="20" width="11" style="737" bestFit="1" customWidth="1"/>
    <col min="21" max="21" width="1.6640625" style="737" customWidth="1"/>
    <col min="22" max="22" width="12.77734375" style="737" bestFit="1" customWidth="1"/>
    <col min="23" max="23" width="1.6640625" style="737" customWidth="1"/>
    <col min="24" max="24" width="8.6640625" style="737" customWidth="1"/>
    <col min="25" max="26" width="1.6640625" style="737" customWidth="1"/>
    <col min="27" max="27" width="10.109375" style="737" customWidth="1"/>
    <col min="28" max="29" width="1.77734375" style="737" customWidth="1"/>
    <col min="30" max="30" width="10.109375" style="1664" customWidth="1"/>
    <col min="31" max="31" width="1.77734375" style="2164" customWidth="1"/>
    <col min="32" max="32" width="2.44140625" style="2164" customWidth="1"/>
    <col min="33" max="33" width="10.33203125" style="2165" bestFit="1" customWidth="1"/>
    <col min="34" max="34" width="1.6640625" style="2165" customWidth="1"/>
    <col min="35" max="35" width="11.109375" style="2164" customWidth="1"/>
    <col min="36" max="16384" width="8.88671875" style="737"/>
  </cols>
  <sheetData>
    <row r="1" spans="1:35">
      <c r="A1" s="1159" t="s">
        <v>1090</v>
      </c>
    </row>
    <row r="2" spans="1:35">
      <c r="A2" s="1649"/>
    </row>
    <row r="3" spans="1:35" ht="20.25" customHeight="1">
      <c r="A3" s="1658" t="s">
        <v>0</v>
      </c>
      <c r="B3" s="223"/>
      <c r="C3" s="223"/>
      <c r="D3" s="223"/>
      <c r="E3" s="223"/>
      <c r="F3" s="223"/>
      <c r="G3" s="223"/>
      <c r="H3" s="223"/>
      <c r="I3" s="223"/>
      <c r="J3" s="223"/>
      <c r="K3" s="221"/>
      <c r="L3" s="221"/>
      <c r="M3" s="223"/>
      <c r="N3" s="306"/>
      <c r="O3" s="223"/>
      <c r="P3" s="223"/>
      <c r="Q3" s="223"/>
      <c r="R3" s="223"/>
      <c r="S3" s="223"/>
      <c r="T3" s="223"/>
      <c r="U3" s="223"/>
      <c r="V3" s="223"/>
      <c r="W3" s="223"/>
      <c r="X3" s="223"/>
      <c r="Y3" s="223"/>
      <c r="Z3" s="223"/>
      <c r="AA3" s="223"/>
      <c r="AB3" s="223"/>
      <c r="AC3" s="223"/>
      <c r="AD3" s="350"/>
      <c r="AI3" s="2215" t="s">
        <v>231</v>
      </c>
    </row>
    <row r="4" spans="1:35" ht="20.25" customHeight="1">
      <c r="A4" s="1659" t="s">
        <v>230</v>
      </c>
      <c r="B4" s="223"/>
      <c r="C4" s="223"/>
      <c r="D4" s="223"/>
      <c r="E4" s="223"/>
      <c r="F4" s="223"/>
      <c r="G4" s="223"/>
      <c r="H4" s="221" t="s">
        <v>15</v>
      </c>
      <c r="I4" s="223"/>
      <c r="J4" s="223"/>
      <c r="K4" s="221"/>
      <c r="L4" s="221"/>
      <c r="M4" s="223"/>
      <c r="N4" s="306"/>
      <c r="O4" s="223"/>
      <c r="P4" s="223"/>
      <c r="Q4" s="223"/>
      <c r="R4" s="223"/>
      <c r="S4" s="223"/>
      <c r="T4" s="223"/>
      <c r="U4" s="223"/>
      <c r="V4" s="223"/>
      <c r="W4" s="223"/>
      <c r="X4" s="223" t="s">
        <v>15</v>
      </c>
      <c r="Y4" s="223"/>
      <c r="Z4" s="223"/>
      <c r="AA4" s="223"/>
      <c r="AB4" s="223"/>
      <c r="AC4" s="223"/>
      <c r="AD4" s="350"/>
    </row>
    <row r="5" spans="1:35" ht="20.25" customHeight="1">
      <c r="A5" s="1660" t="s">
        <v>127</v>
      </c>
      <c r="B5" s="223"/>
      <c r="C5" s="223"/>
      <c r="D5" s="223"/>
      <c r="E5" s="223"/>
      <c r="F5" s="223"/>
      <c r="G5" s="223"/>
      <c r="H5" s="223"/>
      <c r="I5" s="223"/>
      <c r="J5" s="223"/>
      <c r="K5" s="221"/>
      <c r="L5" s="221"/>
      <c r="M5" s="223"/>
      <c r="N5" s="306"/>
      <c r="O5" s="223"/>
      <c r="P5" s="223"/>
      <c r="Q5" s="223"/>
      <c r="R5" s="223"/>
      <c r="S5" s="223"/>
      <c r="T5" s="223"/>
      <c r="U5" s="223"/>
      <c r="V5" s="223"/>
      <c r="W5" s="223"/>
      <c r="X5" s="223"/>
      <c r="Y5" s="223"/>
      <c r="Z5" s="223"/>
      <c r="AB5" s="738"/>
      <c r="AC5" s="738"/>
      <c r="AE5" s="2195"/>
    </row>
    <row r="6" spans="1:35" ht="20.25" customHeight="1">
      <c r="A6" s="1660" t="s">
        <v>1410</v>
      </c>
      <c r="B6" s="223"/>
      <c r="C6" s="223"/>
      <c r="D6" s="223"/>
      <c r="E6" s="223"/>
      <c r="F6" s="223"/>
      <c r="G6" s="223"/>
      <c r="H6" s="223"/>
      <c r="I6" s="223"/>
      <c r="J6" s="223"/>
      <c r="K6" s="221"/>
      <c r="L6" s="221"/>
      <c r="M6" s="223"/>
      <c r="N6" s="306"/>
      <c r="O6" s="223"/>
      <c r="P6" s="223"/>
      <c r="Q6" s="223"/>
      <c r="R6" s="223"/>
      <c r="S6" s="223"/>
      <c r="T6" s="223"/>
      <c r="U6" s="223"/>
      <c r="V6" s="223"/>
      <c r="W6" s="223"/>
      <c r="X6" s="223"/>
      <c r="Y6" s="223"/>
      <c r="Z6" s="223"/>
      <c r="AA6" s="223"/>
      <c r="AB6" s="223"/>
      <c r="AC6" s="223"/>
      <c r="AD6" s="350"/>
    </row>
    <row r="7" spans="1:35" ht="20.25" customHeight="1">
      <c r="A7" s="1658" t="s">
        <v>979</v>
      </c>
      <c r="B7" s="223"/>
      <c r="C7" s="223"/>
      <c r="D7" s="223"/>
      <c r="E7" s="223"/>
      <c r="F7" s="223"/>
      <c r="G7" s="223"/>
      <c r="H7" s="223"/>
      <c r="I7" s="223"/>
      <c r="J7" s="223"/>
      <c r="K7" s="221"/>
      <c r="L7" s="223"/>
      <c r="M7" s="223"/>
      <c r="N7" s="306"/>
      <c r="O7" s="223"/>
      <c r="P7" s="223"/>
      <c r="Q7" s="223"/>
      <c r="R7" s="223"/>
      <c r="S7" s="223"/>
      <c r="T7" s="223"/>
      <c r="U7" s="223"/>
      <c r="V7" s="223"/>
      <c r="W7" s="223"/>
      <c r="X7" s="223"/>
      <c r="Y7" s="223"/>
      <c r="Z7" s="223"/>
      <c r="AA7" s="223"/>
      <c r="AB7" s="223"/>
      <c r="AC7" s="223"/>
      <c r="AD7" s="350"/>
    </row>
    <row r="8" spans="1:35" s="739" customFormat="1" ht="18.95" customHeight="1">
      <c r="A8" s="639"/>
      <c r="B8" s="223"/>
      <c r="C8" s="223"/>
      <c r="D8" s="223"/>
      <c r="E8" s="223"/>
      <c r="F8" s="223"/>
      <c r="G8" s="223"/>
      <c r="H8" s="223"/>
      <c r="I8" s="223"/>
      <c r="J8" s="223"/>
      <c r="K8" s="223"/>
      <c r="L8" s="223"/>
      <c r="M8" s="223"/>
      <c r="N8" s="306"/>
      <c r="O8" s="223"/>
      <c r="P8" s="223"/>
      <c r="Q8" s="223"/>
      <c r="R8" s="223"/>
      <c r="S8" s="223"/>
      <c r="T8" s="223"/>
      <c r="U8" s="223"/>
      <c r="V8" s="223"/>
      <c r="W8" s="223"/>
      <c r="X8" s="223"/>
      <c r="Y8" s="223"/>
      <c r="Z8" s="350"/>
      <c r="AA8" s="350"/>
      <c r="AB8" s="350"/>
      <c r="AC8" s="350"/>
      <c r="AD8" s="350"/>
      <c r="AE8" s="2164"/>
      <c r="AF8" s="2164"/>
      <c r="AG8" s="2165"/>
      <c r="AH8" s="2165"/>
      <c r="AI8" s="2164"/>
    </row>
    <row r="9" spans="1:35" s="739" customFormat="1" ht="18.95" customHeight="1">
      <c r="A9" s="1321"/>
      <c r="B9" s="1321"/>
      <c r="C9" s="1321"/>
      <c r="D9" s="1321"/>
      <c r="E9" s="1321"/>
      <c r="F9" s="1321"/>
      <c r="G9" s="1321"/>
      <c r="H9" s="221"/>
      <c r="I9" s="221"/>
      <c r="J9" s="221"/>
      <c r="K9" s="1321"/>
      <c r="L9" s="1321"/>
      <c r="M9" s="1321"/>
      <c r="N9" s="1928"/>
      <c r="O9" s="1321"/>
      <c r="P9" s="1321"/>
      <c r="Q9" s="1321"/>
      <c r="R9" s="1321"/>
      <c r="S9" s="1321"/>
      <c r="T9" s="1321"/>
      <c r="U9" s="1321"/>
      <c r="V9" s="1321"/>
      <c r="W9" s="1321"/>
      <c r="X9" s="1321"/>
      <c r="Y9" s="1321"/>
      <c r="Z9" s="350"/>
      <c r="AA9" s="350"/>
      <c r="AB9" s="350"/>
      <c r="AC9" s="3516"/>
      <c r="AD9" s="3517"/>
      <c r="AE9" s="3517"/>
      <c r="AF9" s="3517"/>
      <c r="AG9" s="3517"/>
      <c r="AH9" s="3517"/>
      <c r="AI9" s="3517"/>
    </row>
    <row r="10" spans="1:35" s="739" customFormat="1" ht="18.95" customHeight="1">
      <c r="A10" s="350"/>
      <c r="B10" s="350"/>
      <c r="C10" s="350"/>
      <c r="D10" s="350"/>
      <c r="E10" s="350"/>
      <c r="F10" s="350"/>
      <c r="G10" s="350"/>
      <c r="H10" s="350"/>
      <c r="I10" s="350"/>
      <c r="J10" s="350"/>
      <c r="K10" s="350"/>
      <c r="L10" s="350"/>
      <c r="M10" s="350"/>
      <c r="N10" s="394"/>
      <c r="O10" s="350"/>
      <c r="P10" s="350"/>
      <c r="Q10" s="350"/>
      <c r="R10" s="350"/>
      <c r="S10" s="350"/>
      <c r="T10" s="350"/>
      <c r="U10" s="350"/>
      <c r="V10" s="1661"/>
      <c r="W10" s="1662"/>
      <c r="X10" s="1663"/>
      <c r="Y10" s="1664"/>
      <c r="Z10" s="3518" t="s">
        <v>1558</v>
      </c>
      <c r="AA10" s="3518"/>
      <c r="AB10" s="3518"/>
      <c r="AC10" s="3518"/>
      <c r="AD10" s="3518"/>
      <c r="AE10" s="3518"/>
      <c r="AF10" s="3518"/>
      <c r="AG10" s="3518"/>
      <c r="AH10" s="3518"/>
      <c r="AI10" s="3518"/>
    </row>
    <row r="11" spans="1:35" s="739" customFormat="1" ht="18.95" customHeight="1">
      <c r="A11" s="350"/>
      <c r="B11" s="1491">
        <v>2016</v>
      </c>
      <c r="C11" s="459"/>
      <c r="D11" s="459"/>
      <c r="E11" s="459"/>
      <c r="F11" s="459"/>
      <c r="G11" s="459"/>
      <c r="H11" s="459"/>
      <c r="I11" s="459"/>
      <c r="J11" s="459"/>
      <c r="K11" s="459"/>
      <c r="L11" s="459"/>
      <c r="M11" s="459"/>
      <c r="N11" s="3376"/>
      <c r="O11" s="459"/>
      <c r="P11" s="459"/>
      <c r="Q11" s="459"/>
      <c r="R11" s="459"/>
      <c r="S11" s="459"/>
      <c r="T11" s="1491">
        <v>2017</v>
      </c>
      <c r="U11" s="459"/>
      <c r="V11" s="459"/>
      <c r="W11" s="459"/>
      <c r="X11" s="459"/>
      <c r="Y11" s="459"/>
      <c r="Z11" s="1492"/>
      <c r="AA11" s="1492"/>
      <c r="AB11" s="1492"/>
      <c r="AC11" s="1492"/>
      <c r="AD11" s="1904"/>
      <c r="AE11" s="2196"/>
      <c r="AF11" s="2154"/>
      <c r="AG11" s="2168" t="s">
        <v>8</v>
      </c>
      <c r="AH11" s="2168"/>
      <c r="AI11" s="2169" t="s">
        <v>9</v>
      </c>
    </row>
    <row r="12" spans="1:35" s="739" customFormat="1" ht="18.95" customHeight="1">
      <c r="A12" s="350"/>
      <c r="B12" s="1665" t="s">
        <v>128</v>
      </c>
      <c r="C12" s="459"/>
      <c r="D12" s="1665" t="s">
        <v>129</v>
      </c>
      <c r="E12" s="459"/>
      <c r="F12" s="1665" t="s">
        <v>130</v>
      </c>
      <c r="G12" s="459"/>
      <c r="H12" s="1665" t="s">
        <v>131</v>
      </c>
      <c r="I12" s="459"/>
      <c r="J12" s="1666" t="s">
        <v>232</v>
      </c>
      <c r="K12" s="459"/>
      <c r="L12" s="1666" t="s">
        <v>147</v>
      </c>
      <c r="M12" s="459"/>
      <c r="N12" s="3377" t="s">
        <v>148</v>
      </c>
      <c r="O12" s="459"/>
      <c r="P12" s="1665" t="s">
        <v>135</v>
      </c>
      <c r="Q12" s="459"/>
      <c r="R12" s="1665" t="s">
        <v>136</v>
      </c>
      <c r="S12" s="459"/>
      <c r="T12" s="1666" t="s">
        <v>137</v>
      </c>
      <c r="U12" s="459"/>
      <c r="V12" s="1665" t="s">
        <v>138</v>
      </c>
      <c r="W12" s="459"/>
      <c r="X12" s="1666" t="s">
        <v>191</v>
      </c>
      <c r="Y12" s="459"/>
      <c r="Z12" s="459"/>
      <c r="AA12" s="1493">
        <v>2017</v>
      </c>
      <c r="AB12" s="1493"/>
      <c r="AC12" s="1667"/>
      <c r="AD12" s="1665">
        <v>2016</v>
      </c>
      <c r="AE12" s="2190"/>
      <c r="AF12" s="2190"/>
      <c r="AG12" s="2170" t="s">
        <v>12</v>
      </c>
      <c r="AH12" s="2171"/>
      <c r="AI12" s="2170" t="s">
        <v>13</v>
      </c>
    </row>
    <row r="13" spans="1:35" s="739" customFormat="1" ht="18.95" customHeight="1">
      <c r="A13" s="459" t="s">
        <v>140</v>
      </c>
      <c r="B13" s="1668">
        <v>0.1</v>
      </c>
      <c r="C13" s="714"/>
      <c r="D13" s="1668">
        <f>+B38</f>
        <v>1.8</v>
      </c>
      <c r="E13" s="714"/>
      <c r="F13" s="1668">
        <f>+D38</f>
        <v>1</v>
      </c>
      <c r="G13" s="1669"/>
      <c r="H13" s="1669">
        <f>F38</f>
        <v>-2.1</v>
      </c>
      <c r="I13" s="1669"/>
      <c r="J13" s="1669">
        <f>H38</f>
        <v>-3.3</v>
      </c>
      <c r="K13" s="1669"/>
      <c r="L13" s="1669">
        <f>J38</f>
        <v>-14.1</v>
      </c>
      <c r="M13" s="1669"/>
      <c r="N13" s="3378">
        <f>L38</f>
        <v>-14.9</v>
      </c>
      <c r="O13" s="1669"/>
      <c r="P13" s="1670">
        <f>N38</f>
        <v>-15.8</v>
      </c>
      <c r="Q13" s="1669"/>
      <c r="R13" s="1669">
        <f>P38</f>
        <v>-16.899999999999999</v>
      </c>
      <c r="S13" s="1669"/>
      <c r="T13" s="1668">
        <f>R38</f>
        <v>-11.9</v>
      </c>
      <c r="U13" s="1669"/>
      <c r="V13" s="1668"/>
      <c r="W13" s="1669"/>
      <c r="X13" s="1669"/>
      <c r="Y13" s="1671"/>
      <c r="Z13" s="1672"/>
      <c r="AA13" s="1670">
        <f>+B13</f>
        <v>0.1</v>
      </c>
      <c r="AB13" s="1671"/>
      <c r="AC13" s="1673"/>
      <c r="AD13" s="1670">
        <v>-16.899999999999999</v>
      </c>
      <c r="AE13" s="2197"/>
      <c r="AF13" s="2193"/>
      <c r="AG13" s="2172">
        <f>ROUND(SUM(AA13-AD13),1)</f>
        <v>17</v>
      </c>
      <c r="AH13" s="2165"/>
      <c r="AI13" s="2173">
        <f>-ROUND(IF(AG13=0,0,AG13/(AD13)),3)</f>
        <v>1.006</v>
      </c>
    </row>
    <row r="14" spans="1:35" s="739" customFormat="1" ht="18.95" customHeight="1">
      <c r="A14" s="350"/>
      <c r="B14" s="718"/>
      <c r="C14" s="718"/>
      <c r="D14" s="718"/>
      <c r="E14" s="718"/>
      <c r="F14" s="1674"/>
      <c r="G14" s="1674"/>
      <c r="H14" s="1675"/>
      <c r="I14" s="1675"/>
      <c r="J14" s="1675"/>
      <c r="K14" s="1674"/>
      <c r="L14" s="1675"/>
      <c r="M14" s="1675"/>
      <c r="N14" s="3379"/>
      <c r="O14" s="1675"/>
      <c r="P14" s="1675"/>
      <c r="Q14" s="1675"/>
      <c r="R14" s="1675"/>
      <c r="S14" s="1675"/>
      <c r="T14" s="1675"/>
      <c r="U14" s="1675"/>
      <c r="V14" s="1675"/>
      <c r="W14" s="1675"/>
      <c r="X14" s="1675"/>
      <c r="Y14" s="1676"/>
      <c r="Z14" s="1677"/>
      <c r="AA14" s="718"/>
      <c r="AB14" s="1676"/>
      <c r="AC14" s="1678"/>
      <c r="AD14" s="718"/>
      <c r="AE14" s="2198"/>
      <c r="AF14" s="2194"/>
      <c r="AG14" s="2174"/>
      <c r="AH14" s="2165"/>
      <c r="AI14" s="2164"/>
    </row>
    <row r="15" spans="1:35" s="739" customFormat="1" ht="18.95" customHeight="1">
      <c r="A15" s="459" t="s">
        <v>14</v>
      </c>
      <c r="B15" s="718"/>
      <c r="C15" s="718"/>
      <c r="D15" s="718"/>
      <c r="E15" s="718"/>
      <c r="F15" s="1674"/>
      <c r="G15" s="1674"/>
      <c r="H15" s="1675"/>
      <c r="I15" s="1675"/>
      <c r="J15" s="1675"/>
      <c r="K15" s="1674"/>
      <c r="L15" s="1675"/>
      <c r="M15" s="1675"/>
      <c r="N15" s="3379"/>
      <c r="O15" s="1675"/>
      <c r="P15" s="1675"/>
      <c r="Q15" s="1675"/>
      <c r="R15" s="1675"/>
      <c r="S15" s="1675"/>
      <c r="T15" s="1675"/>
      <c r="U15" s="1675"/>
      <c r="V15" s="1675"/>
      <c r="W15" s="1675"/>
      <c r="X15" s="1675"/>
      <c r="Y15" s="1676"/>
      <c r="Z15" s="1677"/>
      <c r="AA15" s="718"/>
      <c r="AB15" s="1676"/>
      <c r="AC15" s="1678"/>
      <c r="AD15" s="718"/>
      <c r="AE15" s="2198"/>
      <c r="AF15" s="2194"/>
      <c r="AG15" s="2174"/>
      <c r="AH15" s="2165"/>
      <c r="AI15" s="2164"/>
    </row>
    <row r="16" spans="1:35" s="739" customFormat="1" ht="18.95" customHeight="1">
      <c r="A16" s="1679" t="s">
        <v>184</v>
      </c>
      <c r="B16" s="1680">
        <v>7.2</v>
      </c>
      <c r="C16" s="440"/>
      <c r="D16" s="722">
        <v>4.5</v>
      </c>
      <c r="E16" s="440"/>
      <c r="F16" s="3089">
        <v>6.9</v>
      </c>
      <c r="G16" s="440"/>
      <c r="H16" s="722">
        <f>4.7-0.1</f>
        <v>4.6000000000000005</v>
      </c>
      <c r="I16" s="1681"/>
      <c r="J16" s="722">
        <v>5.3</v>
      </c>
      <c r="K16" s="440"/>
      <c r="L16" s="722">
        <v>4.7999999999999972</v>
      </c>
      <c r="M16" s="1682"/>
      <c r="N16" s="3089">
        <v>4.8000000000000043</v>
      </c>
      <c r="O16" s="1682"/>
      <c r="P16" s="722">
        <v>7</v>
      </c>
      <c r="Q16" s="1682"/>
      <c r="R16" s="722">
        <v>21.9</v>
      </c>
      <c r="S16" s="1682"/>
      <c r="T16" s="722">
        <v>4.8</v>
      </c>
      <c r="U16" s="1682"/>
      <c r="V16" s="722"/>
      <c r="W16" s="1682"/>
      <c r="X16" s="722"/>
      <c r="Y16" s="1683"/>
      <c r="Z16" s="1684"/>
      <c r="AA16" s="1716">
        <f>ROUND(SUM(B16:X16),1)</f>
        <v>71.8</v>
      </c>
      <c r="AB16" s="1683"/>
      <c r="AC16" s="1682"/>
      <c r="AD16" s="1680">
        <v>95.4</v>
      </c>
      <c r="AE16" s="2199"/>
      <c r="AF16" s="2157"/>
      <c r="AG16" s="2178">
        <f>ROUND(SUM(AA16-AD16),1)</f>
        <v>-23.6</v>
      </c>
      <c r="AH16" s="2165"/>
      <c r="AI16" s="2184">
        <f>ROUND(IF(AG16=0,0,AG16/ABS(AD16)),3)</f>
        <v>-0.247</v>
      </c>
    </row>
    <row r="17" spans="1:35" s="739" customFormat="1" ht="24" customHeight="1">
      <c r="A17" s="459" t="s">
        <v>155</v>
      </c>
      <c r="B17" s="1685">
        <f>ROUND(SUM(B16),1)</f>
        <v>7.2</v>
      </c>
      <c r="C17" s="726"/>
      <c r="D17" s="1685">
        <f>ROUND(SUM(D16),1)</f>
        <v>4.5</v>
      </c>
      <c r="E17" s="726"/>
      <c r="F17" s="1685">
        <f>ROUND(SUM(F16),1)</f>
        <v>6.9</v>
      </c>
      <c r="G17" s="726"/>
      <c r="H17" s="1685">
        <f>ROUND(SUM(H16),1)</f>
        <v>4.5999999999999996</v>
      </c>
      <c r="I17" s="1686"/>
      <c r="J17" s="1685">
        <f>ROUND(SUM(J16),1)</f>
        <v>5.3</v>
      </c>
      <c r="K17" s="726"/>
      <c r="L17" s="1685">
        <f>ROUND(SUM(L16),1)</f>
        <v>4.8</v>
      </c>
      <c r="M17" s="1687"/>
      <c r="N17" s="3380">
        <f>ROUND(SUM(N16),1)</f>
        <v>4.8</v>
      </c>
      <c r="O17" s="1687"/>
      <c r="P17" s="1685">
        <f>ROUND(SUM(P16),1)</f>
        <v>7</v>
      </c>
      <c r="Q17" s="1687"/>
      <c r="R17" s="1685">
        <f>ROUND(SUM(R16),1)</f>
        <v>21.9</v>
      </c>
      <c r="S17" s="1687"/>
      <c r="T17" s="1685">
        <f>ROUND(SUM(T16),1)</f>
        <v>4.8</v>
      </c>
      <c r="U17" s="1687"/>
      <c r="V17" s="1685">
        <f>ROUND(SUM(V16),1)</f>
        <v>0</v>
      </c>
      <c r="W17" s="1687"/>
      <c r="X17" s="1685">
        <f>ROUND(SUM(X16),1)</f>
        <v>0</v>
      </c>
      <c r="Y17" s="1688"/>
      <c r="Z17" s="1689"/>
      <c r="AA17" s="1697">
        <f>ROUND(SUM(AA16),1)</f>
        <v>71.8</v>
      </c>
      <c r="AB17" s="1688"/>
      <c r="AC17" s="1689"/>
      <c r="AD17" s="1697">
        <f>ROUND(SUM(AD16),1)</f>
        <v>95.4</v>
      </c>
      <c r="AE17" s="2200"/>
      <c r="AF17" s="2157"/>
      <c r="AG17" s="2209">
        <f>ROUND(SUM(AG16),1)</f>
        <v>-23.6</v>
      </c>
      <c r="AH17" s="2210"/>
      <c r="AI17" s="2211">
        <f>ROUND(IF(AG17=0,0,AG17/ABS(AD17)),3)</f>
        <v>-0.247</v>
      </c>
    </row>
    <row r="18" spans="1:35" s="739" customFormat="1" ht="18.95" customHeight="1">
      <c r="A18" s="350"/>
      <c r="B18" s="725"/>
      <c r="C18" s="440"/>
      <c r="D18" s="725" t="s">
        <v>15</v>
      </c>
      <c r="E18" s="440"/>
      <c r="F18" s="725"/>
      <c r="G18" s="440"/>
      <c r="H18" s="1690"/>
      <c r="I18" s="1682"/>
      <c r="J18" s="1690"/>
      <c r="K18" s="440"/>
      <c r="L18" s="1691"/>
      <c r="M18" s="1682"/>
      <c r="N18" s="3381"/>
      <c r="O18" s="1682"/>
      <c r="P18" s="1690"/>
      <c r="Q18" s="1682"/>
      <c r="R18" s="1690"/>
      <c r="S18" s="1682"/>
      <c r="T18" s="1690"/>
      <c r="U18" s="1682"/>
      <c r="V18" s="1690"/>
      <c r="W18" s="1682"/>
      <c r="X18" s="1690"/>
      <c r="Y18" s="1683"/>
      <c r="Z18" s="1684"/>
      <c r="AA18" s="725"/>
      <c r="AB18" s="1683"/>
      <c r="AC18" s="1681"/>
      <c r="AD18" s="725"/>
      <c r="AE18" s="2178"/>
      <c r="AF18" s="2157"/>
      <c r="AG18" s="2178"/>
      <c r="AH18" s="2165"/>
      <c r="AI18" s="2164"/>
    </row>
    <row r="19" spans="1:35" s="739" customFormat="1" ht="18.95" customHeight="1">
      <c r="A19" s="350"/>
      <c r="B19" s="440"/>
      <c r="C19" s="440"/>
      <c r="D19" s="440" t="s">
        <v>15</v>
      </c>
      <c r="E19" s="440"/>
      <c r="F19" s="440"/>
      <c r="G19" s="440"/>
      <c r="H19" s="1682"/>
      <c r="I19" s="1682"/>
      <c r="J19" s="1682"/>
      <c r="K19" s="440"/>
      <c r="L19" s="1692"/>
      <c r="M19" s="1682"/>
      <c r="N19" s="3382"/>
      <c r="O19" s="1682"/>
      <c r="P19" s="1682"/>
      <c r="Q19" s="1682"/>
      <c r="R19" s="1682"/>
      <c r="S19" s="1682"/>
      <c r="T19" s="1682"/>
      <c r="U19" s="1682"/>
      <c r="V19" s="1682"/>
      <c r="W19" s="1682"/>
      <c r="X19" s="1682"/>
      <c r="Y19" s="1683"/>
      <c r="Z19" s="1684"/>
      <c r="AA19" s="440"/>
      <c r="AB19" s="1683"/>
      <c r="AC19" s="1682"/>
      <c r="AD19" s="440"/>
      <c r="AE19" s="2201"/>
      <c r="AF19" s="2157"/>
      <c r="AG19" s="2178"/>
      <c r="AH19" s="2165"/>
      <c r="AI19" s="2164"/>
    </row>
    <row r="20" spans="1:35" s="739" customFormat="1" ht="18.95" customHeight="1">
      <c r="A20" s="459" t="s">
        <v>23</v>
      </c>
      <c r="B20" s="440"/>
      <c r="C20" s="440"/>
      <c r="D20" s="440" t="s">
        <v>15</v>
      </c>
      <c r="E20" s="440"/>
      <c r="F20" s="440"/>
      <c r="G20" s="440"/>
      <c r="H20" s="1682"/>
      <c r="I20" s="1682"/>
      <c r="J20" s="1682"/>
      <c r="K20" s="440"/>
      <c r="L20" s="1692"/>
      <c r="M20" s="1682"/>
      <c r="N20" s="3382"/>
      <c r="O20" s="1682"/>
      <c r="P20" s="1682"/>
      <c r="Q20" s="1682"/>
      <c r="R20" s="1682"/>
      <c r="S20" s="1682"/>
      <c r="T20" s="1682"/>
      <c r="U20" s="1682"/>
      <c r="V20" s="1682"/>
      <c r="W20" s="1682"/>
      <c r="X20" s="1682"/>
      <c r="Y20" s="1683"/>
      <c r="Z20" s="1684"/>
      <c r="AA20" s="440"/>
      <c r="AB20" s="1683"/>
      <c r="AC20" s="1682"/>
      <c r="AD20" s="440"/>
      <c r="AE20" s="2201"/>
      <c r="AF20" s="2157"/>
      <c r="AG20" s="2178"/>
      <c r="AH20" s="2165"/>
      <c r="AI20" s="2164"/>
    </row>
    <row r="21" spans="1:35" s="739" customFormat="1" ht="18.95" customHeight="1">
      <c r="A21" s="350" t="s">
        <v>157</v>
      </c>
      <c r="B21" s="442"/>
      <c r="C21" s="440"/>
      <c r="D21" s="440"/>
      <c r="E21" s="440"/>
      <c r="F21" s="440"/>
      <c r="G21" s="440"/>
      <c r="H21" s="1682"/>
      <c r="I21" s="1682"/>
      <c r="J21" s="1682"/>
      <c r="K21" s="440"/>
      <c r="L21" s="1692"/>
      <c r="M21" s="1682"/>
      <c r="N21" s="3382"/>
      <c r="O21" s="1682"/>
      <c r="P21" s="1682"/>
      <c r="Q21" s="1682"/>
      <c r="R21" s="1682"/>
      <c r="S21" s="1682"/>
      <c r="T21" s="1682"/>
      <c r="U21" s="1682"/>
      <c r="V21" s="1682"/>
      <c r="W21" s="1682"/>
      <c r="X21" s="1682"/>
      <c r="Y21" s="1683"/>
      <c r="Z21" s="1684"/>
      <c r="AA21" s="442"/>
      <c r="AB21" s="1693"/>
      <c r="AC21" s="1694"/>
      <c r="AD21" s="442"/>
      <c r="AE21" s="2202"/>
      <c r="AF21" s="2158"/>
      <c r="AG21" s="2178"/>
      <c r="AH21" s="2165"/>
      <c r="AI21" s="2164"/>
    </row>
    <row r="22" spans="1:35" s="739" customFormat="1" ht="18.95" customHeight="1">
      <c r="A22" s="350" t="s">
        <v>225</v>
      </c>
      <c r="B22" s="1695">
        <v>4.8</v>
      </c>
      <c r="C22" s="440"/>
      <c r="D22" s="1695">
        <v>4.5999999999999996</v>
      </c>
      <c r="E22" s="440"/>
      <c r="F22" s="722">
        <v>6.9</v>
      </c>
      <c r="G22" s="440"/>
      <c r="H22" s="722">
        <v>4.5</v>
      </c>
      <c r="I22" s="1682"/>
      <c r="J22" s="722">
        <v>5.1999999999999993</v>
      </c>
      <c r="K22" s="440"/>
      <c r="L22" s="722">
        <v>4.6999999999999993</v>
      </c>
      <c r="M22" s="1682"/>
      <c r="N22" s="3089">
        <v>4.8</v>
      </c>
      <c r="O22" s="1682"/>
      <c r="P22" s="722">
        <v>7</v>
      </c>
      <c r="Q22" s="1682"/>
      <c r="R22" s="722">
        <v>4.7000000000000028</v>
      </c>
      <c r="S22" s="1682"/>
      <c r="T22" s="722">
        <v>1.4</v>
      </c>
      <c r="U22" s="1682"/>
      <c r="V22" s="722"/>
      <c r="W22" s="1682"/>
      <c r="X22" s="722"/>
      <c r="Y22" s="1683"/>
      <c r="Z22" s="1684"/>
      <c r="AA22" s="1717">
        <f>ROUND(SUM(B22:X22),1)</f>
        <v>48.6</v>
      </c>
      <c r="AB22" s="1683"/>
      <c r="AC22" s="1682"/>
      <c r="AD22" s="691">
        <v>49.2</v>
      </c>
      <c r="AE22" s="2203"/>
      <c r="AF22" s="2158"/>
      <c r="AG22" s="2178">
        <f>ROUND(SUM(AA22-AD22),1)</f>
        <v>-0.6</v>
      </c>
      <c r="AH22" s="2165"/>
      <c r="AI22" s="2184">
        <f>ROUND(IF(AG22=0,0,AG22/ABS(AD22)),3)</f>
        <v>-1.2E-2</v>
      </c>
    </row>
    <row r="23" spans="1:35" s="739" customFormat="1" ht="18.95" customHeight="1">
      <c r="A23" s="1679" t="s">
        <v>176</v>
      </c>
      <c r="B23" s="1695">
        <v>0.7</v>
      </c>
      <c r="C23" s="440"/>
      <c r="D23" s="1695">
        <v>0.7</v>
      </c>
      <c r="E23" s="440"/>
      <c r="F23" s="722">
        <v>1.1000000000000001</v>
      </c>
      <c r="G23" s="440"/>
      <c r="H23" s="722">
        <f>1.2+0.1</f>
        <v>1.3</v>
      </c>
      <c r="I23" s="1682"/>
      <c r="J23" s="722">
        <v>1.4</v>
      </c>
      <c r="K23" s="440"/>
      <c r="L23" s="722">
        <v>0.89999999999999947</v>
      </c>
      <c r="M23" s="1682"/>
      <c r="N23" s="3089">
        <v>0.9</v>
      </c>
      <c r="O23" s="1682"/>
      <c r="P23" s="722">
        <v>1.1000000000000001</v>
      </c>
      <c r="Q23" s="1682"/>
      <c r="R23" s="722">
        <v>3.7000000000000011</v>
      </c>
      <c r="S23" s="1682"/>
      <c r="T23" s="722">
        <v>7.9</v>
      </c>
      <c r="U23" s="1682"/>
      <c r="V23" s="722"/>
      <c r="W23" s="1682"/>
      <c r="X23" s="722"/>
      <c r="Y23" s="1683"/>
      <c r="Z23" s="1684"/>
      <c r="AA23" s="3090">
        <f>ROUND(SUM(B23:X23),1)</f>
        <v>19.7</v>
      </c>
      <c r="AB23" s="1683"/>
      <c r="AC23" s="1682"/>
      <c r="AD23" s="442">
        <v>14.6</v>
      </c>
      <c r="AE23" s="2202"/>
      <c r="AF23" s="2158"/>
      <c r="AG23" s="2178">
        <f>ROUND(SUM(AA23-AD23),1)</f>
        <v>5.0999999999999996</v>
      </c>
      <c r="AH23" s="2183"/>
      <c r="AI23" s="2184">
        <f>ROUND(IF(AG23=0,0,AG23/ABS(AD23)),3)</f>
        <v>0.34899999999999998</v>
      </c>
    </row>
    <row r="24" spans="1:35" s="739" customFormat="1" ht="18.95" customHeight="1">
      <c r="A24" s="350" t="s">
        <v>160</v>
      </c>
      <c r="B24" s="1696">
        <v>0</v>
      </c>
      <c r="C24" s="440"/>
      <c r="D24" s="1680">
        <v>0</v>
      </c>
      <c r="E24" s="440"/>
      <c r="F24" s="1680">
        <v>2</v>
      </c>
      <c r="G24" s="440"/>
      <c r="H24" s="1696">
        <v>0</v>
      </c>
      <c r="I24" s="1682"/>
      <c r="J24" s="695">
        <v>9.5</v>
      </c>
      <c r="K24" s="440"/>
      <c r="L24" s="1696">
        <v>0</v>
      </c>
      <c r="M24" s="1682"/>
      <c r="N24" s="3383">
        <v>0</v>
      </c>
      <c r="O24" s="1682"/>
      <c r="P24" s="1680">
        <v>0</v>
      </c>
      <c r="Q24" s="1682"/>
      <c r="R24" s="1696">
        <v>8.5</v>
      </c>
      <c r="S24" s="1682"/>
      <c r="T24" s="695">
        <v>9.6</v>
      </c>
      <c r="U24" s="1682"/>
      <c r="V24" s="1696"/>
      <c r="W24" s="1682"/>
      <c r="X24" s="1680"/>
      <c r="Y24" s="1683"/>
      <c r="Z24" s="1684"/>
      <c r="AA24" s="1716">
        <f>ROUND(SUM(B24:X24),1)</f>
        <v>29.6</v>
      </c>
      <c r="AB24" s="1683"/>
      <c r="AC24" s="1682"/>
      <c r="AD24" s="1716">
        <v>23.6</v>
      </c>
      <c r="AE24" s="2204"/>
      <c r="AF24" s="2158"/>
      <c r="AG24" s="2178">
        <f>ROUND(SUM(AA24-AD24),1)</f>
        <v>6</v>
      </c>
      <c r="AH24" s="2165"/>
      <c r="AI24" s="2184">
        <f>ROUND(IF(AG24=0,0,AG24/ABS(AD24)),3)</f>
        <v>0.254</v>
      </c>
    </row>
    <row r="25" spans="1:35" s="739" customFormat="1" ht="22.5" customHeight="1">
      <c r="A25" s="459" t="s">
        <v>161</v>
      </c>
      <c r="B25" s="1697">
        <f>ROUND(SUM(B22)+SUM(B23)+SUM(B24),1)</f>
        <v>5.5</v>
      </c>
      <c r="C25" s="726"/>
      <c r="D25" s="1697">
        <f>ROUND(SUM(D22)+SUM(D23)+SUM(D24),1)</f>
        <v>5.3</v>
      </c>
      <c r="E25" s="726"/>
      <c r="F25" s="1697">
        <f>ROUND(SUM(F22)+SUM(F23)+SUM(F24),1)</f>
        <v>10</v>
      </c>
      <c r="G25" s="1697"/>
      <c r="H25" s="1697">
        <f>ROUND(SUM(H22)+SUM(H23)+SUM(H24),1)</f>
        <v>5.8</v>
      </c>
      <c r="I25" s="1687"/>
      <c r="J25" s="1697">
        <f>ROUND(SUM(J22)+SUM(J23)+SUM(J24),1)</f>
        <v>16.100000000000001</v>
      </c>
      <c r="K25" s="726"/>
      <c r="L25" s="1697">
        <f>ROUND(SUM(L22)+SUM(L23)+SUM(L24),1)</f>
        <v>5.6</v>
      </c>
      <c r="M25" s="1687"/>
      <c r="N25" s="3384">
        <f>ROUND(SUM(N22)+SUM(N23)+SUM(N24),1)</f>
        <v>5.7</v>
      </c>
      <c r="O25" s="1687"/>
      <c r="P25" s="1697">
        <f>ROUND(SUM(P22)+SUM(P23)+SUM(P24),1)</f>
        <v>8.1</v>
      </c>
      <c r="Q25" s="1687"/>
      <c r="R25" s="1697">
        <f>ROUND(SUM(R22)+SUM(R23)+SUM(R24),1)</f>
        <v>16.899999999999999</v>
      </c>
      <c r="S25" s="1687"/>
      <c r="T25" s="1697">
        <f>ROUND(SUM(T22)+SUM(T23)+SUM(T24),1)</f>
        <v>18.899999999999999</v>
      </c>
      <c r="U25" s="1687"/>
      <c r="V25" s="1697">
        <f>ROUND(SUM(V22)+SUM(V23)+SUM(V24),1)</f>
        <v>0</v>
      </c>
      <c r="W25" s="1687"/>
      <c r="X25" s="1697">
        <f>ROUND(SUM(X22)+SUM(X23)+SUM(X24),1)</f>
        <v>0</v>
      </c>
      <c r="Y25" s="1688"/>
      <c r="Z25" s="1689"/>
      <c r="AA25" s="1718">
        <f>ROUND(SUM(AA22:AA24),1)</f>
        <v>97.9</v>
      </c>
      <c r="AB25" s="1688"/>
      <c r="AC25" s="1689"/>
      <c r="AD25" s="1718">
        <f>ROUND(SUM(AD22:AD24),1)</f>
        <v>87.4</v>
      </c>
      <c r="AE25" s="2205"/>
      <c r="AF25" s="2158"/>
      <c r="AG25" s="2209">
        <f>ROUND(SUM(AG22:AG24),1)</f>
        <v>10.5</v>
      </c>
      <c r="AH25" s="2180"/>
      <c r="AI25" s="2211">
        <f>ROUND(IF(AG25=0,0,AG25/ABS(AD25)),3)</f>
        <v>0.12</v>
      </c>
    </row>
    <row r="26" spans="1:35" s="739" customFormat="1" ht="18.95" customHeight="1">
      <c r="A26" s="350"/>
      <c r="B26" s="725"/>
      <c r="C26" s="440"/>
      <c r="D26" s="725" t="s">
        <v>15</v>
      </c>
      <c r="E26" s="440"/>
      <c r="F26" s="725"/>
      <c r="G26" s="440"/>
      <c r="H26" s="1690"/>
      <c r="I26" s="1682"/>
      <c r="J26" s="1690"/>
      <c r="K26" s="440"/>
      <c r="L26" s="1690"/>
      <c r="M26" s="1682"/>
      <c r="N26" s="3381"/>
      <c r="O26" s="1682"/>
      <c r="P26" s="1690"/>
      <c r="Q26" s="1682"/>
      <c r="R26" s="1690"/>
      <c r="S26" s="1682"/>
      <c r="T26" s="1690"/>
      <c r="U26" s="1682"/>
      <c r="V26" s="1690"/>
      <c r="W26" s="1682"/>
      <c r="X26" s="1690"/>
      <c r="Y26" s="1683"/>
      <c r="Z26" s="1684"/>
      <c r="AA26" s="725"/>
      <c r="AB26" s="1683"/>
      <c r="AC26" s="1681"/>
      <c r="AD26" s="725"/>
      <c r="AE26" s="2178"/>
      <c r="AF26" s="2157"/>
      <c r="AG26" s="2178"/>
      <c r="AH26" s="2165"/>
      <c r="AI26" s="2164"/>
    </row>
    <row r="27" spans="1:35" s="739" customFormat="1" ht="18.95" customHeight="1">
      <c r="A27" s="459" t="s">
        <v>162</v>
      </c>
      <c r="B27" s="440"/>
      <c r="C27" s="440"/>
      <c r="D27" s="447" t="s">
        <v>15</v>
      </c>
      <c r="E27" s="440"/>
      <c r="F27" s="440"/>
      <c r="G27" s="440"/>
      <c r="H27" s="1682"/>
      <c r="I27" s="1682"/>
      <c r="J27" s="1682"/>
      <c r="K27" s="440"/>
      <c r="L27" s="1682"/>
      <c r="M27" s="1682"/>
      <c r="N27" s="3382"/>
      <c r="O27" s="1682"/>
      <c r="P27" s="1682"/>
      <c r="Q27" s="1682"/>
      <c r="R27" s="1682"/>
      <c r="S27" s="1682"/>
      <c r="T27" s="1682"/>
      <c r="U27" s="1682"/>
      <c r="V27" s="1682"/>
      <c r="W27" s="1682"/>
      <c r="X27" s="1682"/>
      <c r="Y27" s="1683"/>
      <c r="Z27" s="1684"/>
      <c r="AA27" s="440"/>
      <c r="AB27" s="1683"/>
      <c r="AC27" s="1682"/>
      <c r="AD27" s="440"/>
      <c r="AE27" s="2201"/>
      <c r="AF27" s="2157"/>
      <c r="AG27" s="2178"/>
      <c r="AH27" s="2165"/>
      <c r="AI27" s="2164"/>
    </row>
    <row r="28" spans="1:35" s="739" customFormat="1" ht="18.75" customHeight="1">
      <c r="A28" s="459" t="s">
        <v>45</v>
      </c>
      <c r="B28" s="1698">
        <f>ROUND(B17-B25,1)</f>
        <v>1.7</v>
      </c>
      <c r="C28" s="726"/>
      <c r="D28" s="1698">
        <f>ROUND(D17-D25,1)</f>
        <v>-0.8</v>
      </c>
      <c r="E28" s="726"/>
      <c r="F28" s="1698">
        <f>ROUND(F17-F25,1)</f>
        <v>-3.1</v>
      </c>
      <c r="G28" s="726"/>
      <c r="H28" s="1698">
        <f>ROUND(H17-H25,1)</f>
        <v>-1.2</v>
      </c>
      <c r="I28" s="729"/>
      <c r="J28" s="1698">
        <f>ROUND(J17-J25,1)</f>
        <v>-10.8</v>
      </c>
      <c r="K28" s="726"/>
      <c r="L28" s="1698">
        <f>ROUND(L17-L25,1)</f>
        <v>-0.8</v>
      </c>
      <c r="M28" s="1687"/>
      <c r="N28" s="3385">
        <f>ROUND(N17-N25,1)</f>
        <v>-0.9</v>
      </c>
      <c r="O28" s="1687"/>
      <c r="P28" s="1698">
        <f>ROUND(P17-P25,1)</f>
        <v>-1.1000000000000001</v>
      </c>
      <c r="Q28" s="1687"/>
      <c r="R28" s="1698">
        <f>ROUND(R17-R25,1)</f>
        <v>5</v>
      </c>
      <c r="S28" s="1687"/>
      <c r="T28" s="1698">
        <f>ROUND(T17-T25,1)</f>
        <v>-14.1</v>
      </c>
      <c r="U28" s="1687"/>
      <c r="V28" s="1698">
        <f>ROUND(V17-V25,1)</f>
        <v>0</v>
      </c>
      <c r="W28" s="1687"/>
      <c r="X28" s="1698">
        <f>ROUND(X17-X25,1)</f>
        <v>0</v>
      </c>
      <c r="Y28" s="1688"/>
      <c r="Z28" s="1689"/>
      <c r="AA28" s="1699">
        <f>ROUND(AA17-AA25,1)</f>
        <v>-26.1</v>
      </c>
      <c r="AB28" s="1688"/>
      <c r="AC28" s="1700"/>
      <c r="AD28" s="1699">
        <f>ROUND(AD17-AD25,1)</f>
        <v>8</v>
      </c>
      <c r="AE28" s="2206"/>
      <c r="AF28" s="2158"/>
      <c r="AG28" s="2641">
        <f>ROUND(SUM(AA28-AD28),1)</f>
        <v>-34.1</v>
      </c>
      <c r="AH28" s="2165"/>
      <c r="AI28" s="3108">
        <f>ROUND(IF(AG28=0,0,AG28/ABS(AD28)),3)</f>
        <v>-4.2629999999999999</v>
      </c>
    </row>
    <row r="29" spans="1:35" s="739" customFormat="1" ht="18.95" customHeight="1">
      <c r="A29" s="350"/>
      <c r="B29" s="447"/>
      <c r="C29" s="440"/>
      <c r="D29" s="447" t="s">
        <v>15</v>
      </c>
      <c r="E29" s="440"/>
      <c r="F29" s="447"/>
      <c r="G29" s="440"/>
      <c r="H29" s="1681"/>
      <c r="I29" s="1682"/>
      <c r="J29" s="1681"/>
      <c r="K29" s="440"/>
      <c r="L29" s="1681"/>
      <c r="M29" s="1682"/>
      <c r="N29" s="3381"/>
      <c r="O29" s="1682"/>
      <c r="P29" s="1681"/>
      <c r="Q29" s="1682"/>
      <c r="R29" s="1690"/>
      <c r="S29" s="1682"/>
      <c r="T29" s="1681"/>
      <c r="U29" s="1682"/>
      <c r="V29" s="1681"/>
      <c r="W29" s="1682"/>
      <c r="X29" s="1690"/>
      <c r="Y29" s="1683"/>
      <c r="Z29" s="1684"/>
      <c r="AA29" s="447"/>
      <c r="AB29" s="1683"/>
      <c r="AC29" s="1681"/>
      <c r="AD29" s="447"/>
      <c r="AE29" s="2178"/>
      <c r="AF29" s="2159"/>
      <c r="AG29" s="2178"/>
      <c r="AH29" s="2165"/>
      <c r="AI29" s="2164"/>
    </row>
    <row r="30" spans="1:35" s="739" customFormat="1" ht="18.95" customHeight="1">
      <c r="A30" s="459" t="s">
        <v>46</v>
      </c>
      <c r="B30" s="440"/>
      <c r="C30" s="440"/>
      <c r="D30" s="440"/>
      <c r="E30" s="440"/>
      <c r="F30" s="440"/>
      <c r="G30" s="440"/>
      <c r="H30" s="1682"/>
      <c r="I30" s="1682"/>
      <c r="J30" s="1682"/>
      <c r="K30" s="440"/>
      <c r="L30" s="1682"/>
      <c r="M30" s="1682"/>
      <c r="N30" s="3382"/>
      <c r="O30" s="1682"/>
      <c r="P30" s="1682"/>
      <c r="Q30" s="1682"/>
      <c r="R30" s="1682"/>
      <c r="S30" s="1682"/>
      <c r="T30" s="1682"/>
      <c r="U30" s="1682"/>
      <c r="V30" s="1682"/>
      <c r="W30" s="1682"/>
      <c r="X30" s="1682"/>
      <c r="Y30" s="1683"/>
      <c r="Z30" s="1684"/>
      <c r="AA30" s="440"/>
      <c r="AB30" s="1683"/>
      <c r="AC30" s="1682"/>
      <c r="AD30" s="440"/>
      <c r="AE30" s="2201"/>
      <c r="AF30" s="2159"/>
      <c r="AG30" s="2178"/>
      <c r="AH30" s="2165"/>
      <c r="AI30" s="2164"/>
    </row>
    <row r="31" spans="1:35" s="739" customFormat="1" ht="18.95" customHeight="1">
      <c r="A31" s="350" t="s">
        <v>187</v>
      </c>
      <c r="B31" s="442">
        <v>0</v>
      </c>
      <c r="C31" s="440"/>
      <c r="D31" s="442">
        <v>0</v>
      </c>
      <c r="E31" s="440"/>
      <c r="F31" s="442">
        <v>0</v>
      </c>
      <c r="G31" s="440"/>
      <c r="H31" s="442">
        <v>0</v>
      </c>
      <c r="I31" s="1682"/>
      <c r="J31" s="442">
        <v>0</v>
      </c>
      <c r="K31" s="440"/>
      <c r="L31" s="442">
        <v>0</v>
      </c>
      <c r="M31" s="1682"/>
      <c r="N31" s="3386">
        <v>0</v>
      </c>
      <c r="O31" s="1682"/>
      <c r="P31" s="442">
        <v>0</v>
      </c>
      <c r="Q31" s="1682"/>
      <c r="R31" s="442">
        <v>0</v>
      </c>
      <c r="S31" s="1682"/>
      <c r="T31" s="442">
        <v>0</v>
      </c>
      <c r="U31" s="1682"/>
      <c r="V31" s="442"/>
      <c r="W31" s="1682"/>
      <c r="X31" s="442"/>
      <c r="Y31" s="1683"/>
      <c r="Z31" s="1684"/>
      <c r="AA31" s="1717">
        <f>ROUND(SUM(B31:X31),1)</f>
        <v>0</v>
      </c>
      <c r="AB31" s="1683"/>
      <c r="AC31" s="1682"/>
      <c r="AD31" s="442">
        <v>0</v>
      </c>
      <c r="AE31" s="2202"/>
      <c r="AF31" s="2160"/>
      <c r="AG31" s="447">
        <f>ROUND(SUM(AA31-AD31),1)</f>
        <v>0</v>
      </c>
      <c r="AH31" s="2183"/>
      <c r="AI31" s="2184">
        <f>ROUND(IF(AG31=0,0,AG31/ABS(AD31)),3)</f>
        <v>0</v>
      </c>
    </row>
    <row r="32" spans="1:35" s="739" customFormat="1" ht="18.95" customHeight="1">
      <c r="A32" s="350" t="s">
        <v>188</v>
      </c>
      <c r="B32" s="442">
        <v>0</v>
      </c>
      <c r="C32" s="440"/>
      <c r="D32" s="442">
        <v>0</v>
      </c>
      <c r="E32" s="440"/>
      <c r="F32" s="442">
        <v>0</v>
      </c>
      <c r="G32" s="440"/>
      <c r="H32" s="442">
        <v>0</v>
      </c>
      <c r="I32" s="1682"/>
      <c r="J32" s="442">
        <v>0</v>
      </c>
      <c r="K32" s="440"/>
      <c r="L32" s="442">
        <v>0</v>
      </c>
      <c r="M32" s="1681"/>
      <c r="N32" s="3386">
        <v>0</v>
      </c>
      <c r="O32" s="1681"/>
      <c r="P32" s="442">
        <v>0</v>
      </c>
      <c r="Q32" s="1681"/>
      <c r="R32" s="442">
        <v>0</v>
      </c>
      <c r="S32" s="1681"/>
      <c r="T32" s="442">
        <v>0</v>
      </c>
      <c r="U32" s="1681"/>
      <c r="V32" s="442"/>
      <c r="W32" s="1681"/>
      <c r="X32" s="442"/>
      <c r="Y32" s="1683"/>
      <c r="Z32" s="1684"/>
      <c r="AA32" s="1717">
        <f>ROUND(SUM(B32:X32),1)</f>
        <v>0</v>
      </c>
      <c r="AB32" s="1701"/>
      <c r="AC32" s="1702"/>
      <c r="AD32" s="442">
        <v>0</v>
      </c>
      <c r="AE32" s="2202"/>
      <c r="AF32" s="2159"/>
      <c r="AG32" s="447">
        <f>ROUND(SUM(AA32-AD32),1)</f>
        <v>0</v>
      </c>
      <c r="AH32" s="2183"/>
      <c r="AI32" s="2184">
        <f>ROUND(IF(AG32=0,0,AG32/ABS(AD32)),3)</f>
        <v>0</v>
      </c>
    </row>
    <row r="33" spans="1:35" s="739" customFormat="1" ht="22.5" customHeight="1">
      <c r="A33" s="459" t="s">
        <v>214</v>
      </c>
      <c r="B33" s="1703">
        <f>ROUND(SUM(B31:B32),1)</f>
        <v>0</v>
      </c>
      <c r="C33" s="726"/>
      <c r="D33" s="1703">
        <f>ROUND(SUM(D31:D32),1)</f>
        <v>0</v>
      </c>
      <c r="E33" s="732"/>
      <c r="F33" s="1703">
        <f>ROUND(SUM(F31:F32),1)</f>
        <v>0</v>
      </c>
      <c r="G33" s="732"/>
      <c r="H33" s="1703">
        <f>ROUND(SUM(H31:H32),1)</f>
        <v>0</v>
      </c>
      <c r="I33" s="1704"/>
      <c r="J33" s="1703">
        <f>ROUND(SUM(J31:J32),1)</f>
        <v>0</v>
      </c>
      <c r="K33" s="732"/>
      <c r="L33" s="1703">
        <f>ROUND(SUM(L31:L32),1)</f>
        <v>0</v>
      </c>
      <c r="M33" s="1704"/>
      <c r="N33" s="3387">
        <f>ROUND(SUM(N31:N32),1)</f>
        <v>0</v>
      </c>
      <c r="O33" s="1704"/>
      <c r="P33" s="1703">
        <f>ROUND(SUM(P31:P32),1)</f>
        <v>0</v>
      </c>
      <c r="Q33" s="1704"/>
      <c r="R33" s="1703">
        <f>ROUND(SUM(R31:R32),1)</f>
        <v>0</v>
      </c>
      <c r="S33" s="1704"/>
      <c r="T33" s="1703">
        <f>ROUND(SUM(T31:T32),1)</f>
        <v>0</v>
      </c>
      <c r="U33" s="1704"/>
      <c r="V33" s="1703">
        <f>ROUND(SUM(V31:V32),1)</f>
        <v>0</v>
      </c>
      <c r="W33" s="1704"/>
      <c r="X33" s="1703">
        <f>ROUND(SUM(X31:X32),1)</f>
        <v>0</v>
      </c>
      <c r="Y33" s="1688"/>
      <c r="Z33" s="1689"/>
      <c r="AA33" s="1722">
        <f>ROUND(SUM(AA31:AA32),1)</f>
        <v>0</v>
      </c>
      <c r="AB33" s="1705"/>
      <c r="AC33" s="1706"/>
      <c r="AD33" s="1722">
        <f>ROUND(SUM(AD31:AD32),1)</f>
        <v>0</v>
      </c>
      <c r="AE33" s="2207"/>
      <c r="AF33" s="2160"/>
      <c r="AG33" s="2209">
        <f>ROUND(SUM(AG31-AG32),1)</f>
        <v>0</v>
      </c>
      <c r="AH33" s="2190"/>
      <c r="AI33" s="2211">
        <f>ROUND(IF(AG33=0,0,AG33/ABS(AD33)),3)</f>
        <v>0</v>
      </c>
    </row>
    <row r="34" spans="1:35" s="739" customFormat="1" ht="18.95" customHeight="1">
      <c r="A34" s="350"/>
      <c r="B34" s="725"/>
      <c r="C34" s="440"/>
      <c r="D34" s="725" t="s">
        <v>15</v>
      </c>
      <c r="E34" s="440"/>
      <c r="F34" s="725"/>
      <c r="G34" s="440"/>
      <c r="H34" s="1690"/>
      <c r="I34" s="1682"/>
      <c r="J34" s="1690"/>
      <c r="K34" s="440"/>
      <c r="L34" s="1690"/>
      <c r="M34" s="1682"/>
      <c r="N34" s="3381"/>
      <c r="O34" s="1682"/>
      <c r="P34" s="1690"/>
      <c r="Q34" s="1682"/>
      <c r="R34" s="1690"/>
      <c r="S34" s="1682"/>
      <c r="T34" s="1690"/>
      <c r="U34" s="1682"/>
      <c r="V34" s="1690"/>
      <c r="W34" s="1682"/>
      <c r="X34" s="1690"/>
      <c r="Y34" s="1683"/>
      <c r="Z34" s="1684"/>
      <c r="AA34" s="725"/>
      <c r="AB34" s="1683"/>
      <c r="AC34" s="1681"/>
      <c r="AD34" s="725"/>
      <c r="AE34" s="2178"/>
      <c r="AF34" s="2157"/>
      <c r="AG34" s="2178"/>
      <c r="AH34" s="2165"/>
      <c r="AI34" s="2164"/>
    </row>
    <row r="35" spans="1:35" s="739" customFormat="1" ht="18.95" customHeight="1">
      <c r="A35" s="459" t="s">
        <v>171</v>
      </c>
      <c r="B35" s="440"/>
      <c r="C35" s="440"/>
      <c r="D35" s="440" t="s">
        <v>15</v>
      </c>
      <c r="E35" s="440"/>
      <c r="F35" s="440"/>
      <c r="G35" s="440"/>
      <c r="H35" s="1682"/>
      <c r="I35" s="1682"/>
      <c r="J35" s="1682"/>
      <c r="K35" s="440"/>
      <c r="L35" s="1682"/>
      <c r="M35" s="1682"/>
      <c r="N35" s="3382"/>
      <c r="O35" s="1682"/>
      <c r="P35" s="1682"/>
      <c r="Q35" s="1682"/>
      <c r="R35" s="1682"/>
      <c r="S35" s="1682"/>
      <c r="T35" s="1682"/>
      <c r="U35" s="1682"/>
      <c r="V35" s="1682"/>
      <c r="W35" s="1682"/>
      <c r="X35" s="1682"/>
      <c r="Y35" s="1683"/>
      <c r="Z35" s="1684"/>
      <c r="AA35" s="440"/>
      <c r="AB35" s="1683"/>
      <c r="AC35" s="1682"/>
      <c r="AD35" s="440"/>
      <c r="AE35" s="2201"/>
      <c r="AF35" s="2157"/>
      <c r="AG35" s="2178"/>
      <c r="AH35" s="2165"/>
      <c r="AI35" s="2164"/>
    </row>
    <row r="36" spans="1:35" s="739" customFormat="1" ht="18.95" customHeight="1">
      <c r="A36" s="459" t="s">
        <v>233</v>
      </c>
      <c r="B36" s="440"/>
      <c r="C36" s="440"/>
      <c r="D36" s="440"/>
      <c r="E36" s="440"/>
      <c r="F36" s="440"/>
      <c r="G36" s="440"/>
      <c r="H36" s="1682"/>
      <c r="I36" s="1682"/>
      <c r="J36" s="1682"/>
      <c r="K36" s="440"/>
      <c r="L36" s="1682"/>
      <c r="M36" s="1682"/>
      <c r="N36" s="3382"/>
      <c r="O36" s="1682"/>
      <c r="P36" s="1682"/>
      <c r="Q36" s="1682"/>
      <c r="R36" s="1682"/>
      <c r="S36" s="1682"/>
      <c r="T36" s="1715"/>
      <c r="U36" s="1682"/>
      <c r="V36" s="1682"/>
      <c r="W36" s="1682"/>
      <c r="X36" s="1682"/>
      <c r="Y36" s="1683"/>
      <c r="Z36" s="1684"/>
      <c r="AA36" s="440"/>
      <c r="AB36" s="1683"/>
      <c r="AC36" s="1682"/>
      <c r="AD36" s="732"/>
      <c r="AE36" s="2208"/>
      <c r="AF36" s="2161"/>
      <c r="AG36" s="2178"/>
      <c r="AH36" s="2165"/>
      <c r="AI36" s="2164"/>
    </row>
    <row r="37" spans="1:35" s="741" customFormat="1" ht="18.95" customHeight="1">
      <c r="A37" s="459" t="s">
        <v>1057</v>
      </c>
      <c r="B37" s="1697">
        <f>ROUND(+B28+B33,1)</f>
        <v>1.7</v>
      </c>
      <c r="C37" s="726"/>
      <c r="D37" s="1697">
        <f>ROUND(+D28+D33,1)</f>
        <v>-0.8</v>
      </c>
      <c r="E37" s="732"/>
      <c r="F37" s="1697">
        <f>ROUND(+F28+F33,1)</f>
        <v>-3.1</v>
      </c>
      <c r="G37" s="732"/>
      <c r="H37" s="1697">
        <f>ROUND(+H28+H33,1)</f>
        <v>-1.2</v>
      </c>
      <c r="I37" s="1704"/>
      <c r="J37" s="1697">
        <f>ROUND(+J28+J33,1)</f>
        <v>-10.8</v>
      </c>
      <c r="K37" s="732"/>
      <c r="L37" s="1697">
        <f>ROUND(+L28+L33,1)</f>
        <v>-0.8</v>
      </c>
      <c r="M37" s="1707"/>
      <c r="N37" s="3384">
        <f>ROUND(+N28+N33,1)</f>
        <v>-0.9</v>
      </c>
      <c r="O37" s="1707"/>
      <c r="P37" s="1697">
        <f>ROUND(+P28+P33,1)</f>
        <v>-1.1000000000000001</v>
      </c>
      <c r="Q37" s="1707"/>
      <c r="R37" s="1697">
        <f>ROUND(+R28+R33,1)</f>
        <v>5</v>
      </c>
      <c r="S37" s="1704"/>
      <c r="T37" s="1697">
        <f>ROUND(+T28+T33,1)</f>
        <v>-14.1</v>
      </c>
      <c r="U37" s="1704"/>
      <c r="V37" s="1697">
        <f>ROUND(+V28+V33,1)</f>
        <v>0</v>
      </c>
      <c r="W37" s="1704"/>
      <c r="X37" s="1697">
        <f>ROUND(+X28+X33,1)</f>
        <v>0</v>
      </c>
      <c r="Y37" s="1688"/>
      <c r="Z37" s="1689"/>
      <c r="AA37" s="1707">
        <f>ROUND(AA28+AA33,1)</f>
        <v>-26.1</v>
      </c>
      <c r="AB37" s="729"/>
      <c r="AC37" s="1708"/>
      <c r="AD37" s="1707">
        <f>ROUND(AD28+AD33,1)</f>
        <v>8</v>
      </c>
      <c r="AE37" s="2206"/>
      <c r="AF37" s="2162"/>
      <c r="AG37" s="2641">
        <f>ROUND(SUM(AA37-AD37),1)</f>
        <v>-34.1</v>
      </c>
      <c r="AH37" s="2165"/>
      <c r="AI37" s="3107">
        <f>ROUND(IF(AG37=0,0,AG37/ABS(AD37)),3)</f>
        <v>-4.2629999999999999</v>
      </c>
    </row>
    <row r="38" spans="1:35" s="739" customFormat="1" ht="22.5" customHeight="1" thickBot="1">
      <c r="A38" s="459" t="s">
        <v>145</v>
      </c>
      <c r="B38" s="1709">
        <f>ROUND(B13+B37,1)</f>
        <v>1.8</v>
      </c>
      <c r="C38" s="714"/>
      <c r="D38" s="1709">
        <f>ROUND(D13+D37,1)</f>
        <v>1</v>
      </c>
      <c r="E38" s="714"/>
      <c r="F38" s="1709">
        <f>ROUND(F13+F37,1)</f>
        <v>-2.1</v>
      </c>
      <c r="G38" s="714"/>
      <c r="H38" s="1709">
        <f>ROUND(H13+H37,1)</f>
        <v>-3.3</v>
      </c>
      <c r="I38" s="1710"/>
      <c r="J38" s="1709">
        <f>ROUND(J13+J37,1)</f>
        <v>-14.1</v>
      </c>
      <c r="K38" s="714"/>
      <c r="L38" s="1709">
        <f>ROUND(L13+L37,1)</f>
        <v>-14.9</v>
      </c>
      <c r="M38" s="717"/>
      <c r="N38" s="3388">
        <f>ROUND(N13+N37,1)</f>
        <v>-15.8</v>
      </c>
      <c r="O38" s="717"/>
      <c r="P38" s="1709">
        <f>ROUND(P13+P37,1)</f>
        <v>-16.899999999999999</v>
      </c>
      <c r="Q38" s="717"/>
      <c r="R38" s="1709">
        <f>ROUND(R13+R37,1)</f>
        <v>-11.9</v>
      </c>
      <c r="S38" s="1710"/>
      <c r="T38" s="1709">
        <f>ROUND(T13+T37,1)</f>
        <v>-26</v>
      </c>
      <c r="U38" s="1710"/>
      <c r="V38" s="1709">
        <f>ROUND(V13+V37,1)</f>
        <v>0</v>
      </c>
      <c r="W38" s="1710"/>
      <c r="X38" s="1709">
        <f>ROUND(X13+X37,1)</f>
        <v>0</v>
      </c>
      <c r="Y38" s="1671"/>
      <c r="Z38" s="1672"/>
      <c r="AA38" s="1709">
        <f>ROUND(SUM(AA13,AA37),1)</f>
        <v>-26</v>
      </c>
      <c r="AB38" s="717"/>
      <c r="AC38" s="1711"/>
      <c r="AD38" s="1759">
        <f>ROUND(SUM(AD13,AD37),1)</f>
        <v>-8.9</v>
      </c>
      <c r="AE38" s="2172"/>
      <c r="AF38" s="2163"/>
      <c r="AG38" s="2213">
        <f>ROUND(SUM(AA38-AD38),1)</f>
        <v>-17.100000000000001</v>
      </c>
      <c r="AH38" s="2189"/>
      <c r="AI38" s="2731">
        <f>ROUND(IF(AG38=0,0,AG38/ABS(AD38)),3)</f>
        <v>-1.921</v>
      </c>
    </row>
    <row r="39" spans="1:35" s="739" customFormat="1" ht="18.95" customHeight="1" thickTop="1">
      <c r="A39" s="350" t="s">
        <v>15</v>
      </c>
      <c r="B39" s="1712"/>
      <c r="C39" s="1713"/>
      <c r="D39" s="1712"/>
      <c r="E39" s="1713"/>
      <c r="F39" s="1712"/>
      <c r="G39" s="1713"/>
      <c r="H39" s="1712"/>
      <c r="I39" s="1713"/>
      <c r="J39" s="1712"/>
      <c r="K39" s="1713"/>
      <c r="L39" s="1712"/>
      <c r="M39" s="1713"/>
      <c r="N39" s="3389"/>
      <c r="O39" s="1713"/>
      <c r="P39" s="1712"/>
      <c r="Q39" s="1713"/>
      <c r="R39" s="1712"/>
      <c r="S39" s="1713"/>
      <c r="T39" s="1712"/>
      <c r="U39" s="1713"/>
      <c r="V39" s="1712"/>
      <c r="W39" s="1713"/>
      <c r="X39" s="1712"/>
      <c r="Y39" s="1713"/>
      <c r="Z39" s="1713"/>
      <c r="AA39" s="1712"/>
      <c r="AB39" s="1714"/>
      <c r="AC39" s="1714"/>
      <c r="AD39" s="1714"/>
      <c r="AE39" s="2187"/>
      <c r="AF39" s="2187"/>
      <c r="AG39" s="2174"/>
      <c r="AH39" s="2165"/>
      <c r="AI39" s="2164"/>
    </row>
    <row r="40" spans="1:35" s="739" customFormat="1" ht="18.95" customHeight="1">
      <c r="B40" s="1240"/>
      <c r="C40" s="1632"/>
      <c r="D40" s="1240"/>
      <c r="E40" s="1240"/>
      <c r="F40" s="1240"/>
      <c r="G40" s="1240"/>
      <c r="H40" s="1240"/>
      <c r="I40" s="1240"/>
      <c r="J40" s="1240"/>
      <c r="K40" s="1240"/>
      <c r="L40" s="1240"/>
      <c r="M40" s="1240"/>
      <c r="N40" s="1174"/>
      <c r="O40" s="1240"/>
      <c r="P40" s="1240"/>
      <c r="Q40" s="1240"/>
      <c r="R40" s="1240"/>
      <c r="S40" s="1240"/>
      <c r="T40" s="1240"/>
      <c r="U40" s="1240"/>
      <c r="V40" s="1240"/>
      <c r="W40" s="1240"/>
      <c r="X40" s="1240"/>
      <c r="Y40" s="1240"/>
      <c r="Z40" s="1714"/>
      <c r="AA40" s="1714"/>
      <c r="AB40" s="1714"/>
      <c r="AC40" s="1714"/>
      <c r="AD40" s="1714"/>
      <c r="AE40" s="2187"/>
      <c r="AF40" s="2187"/>
      <c r="AG40" s="2174"/>
      <c r="AH40" s="2165"/>
      <c r="AI40" s="2164"/>
    </row>
    <row r="41" spans="1:35" ht="15.75" customHeight="1">
      <c r="A41" s="743"/>
      <c r="B41" s="1632"/>
      <c r="C41" s="1632"/>
      <c r="D41" s="1632"/>
      <c r="E41" s="1632"/>
      <c r="F41" s="1632"/>
      <c r="G41" s="1632"/>
      <c r="H41" s="1632"/>
      <c r="I41" s="1632"/>
      <c r="J41" s="1632"/>
      <c r="K41" s="1632"/>
      <c r="L41" s="1632"/>
      <c r="M41" s="1632"/>
      <c r="N41" s="1747"/>
      <c r="O41" s="1632"/>
      <c r="P41" s="1632"/>
      <c r="Q41" s="1632"/>
      <c r="R41" s="1632"/>
      <c r="S41" s="1632"/>
      <c r="T41" s="1632"/>
      <c r="U41" s="1632"/>
      <c r="V41" s="1632"/>
      <c r="W41" s="1632"/>
      <c r="X41" s="1632"/>
      <c r="Y41" s="1632"/>
      <c r="Z41" s="1632"/>
      <c r="AA41" s="366"/>
      <c r="AB41" s="366"/>
      <c r="AC41" s="366"/>
      <c r="AD41" s="1713"/>
      <c r="AE41" s="2167"/>
      <c r="AF41" s="2167"/>
      <c r="AG41" s="2174"/>
    </row>
    <row r="42" spans="1:35">
      <c r="A42" s="739"/>
      <c r="B42" s="739"/>
      <c r="C42" s="739"/>
      <c r="D42" s="739"/>
      <c r="E42" s="739"/>
      <c r="F42" s="739"/>
      <c r="G42" s="739"/>
      <c r="H42" s="739"/>
      <c r="I42" s="739"/>
      <c r="J42" s="739"/>
      <c r="K42" s="739"/>
      <c r="L42" s="739"/>
      <c r="M42" s="739"/>
      <c r="N42" s="3390"/>
      <c r="O42" s="739"/>
      <c r="P42" s="739"/>
      <c r="Q42" s="739"/>
      <c r="R42" s="739"/>
      <c r="S42" s="739"/>
      <c r="T42" s="739"/>
      <c r="U42" s="739"/>
      <c r="V42" s="739"/>
      <c r="W42" s="739"/>
      <c r="X42" s="739"/>
      <c r="Y42" s="739"/>
      <c r="Z42" s="739"/>
    </row>
    <row r="43" spans="1:35" ht="13.5" customHeight="1">
      <c r="A43" s="1321"/>
      <c r="B43" s="1632"/>
      <c r="C43" s="1632"/>
      <c r="D43" s="1632"/>
      <c r="E43" s="1632"/>
      <c r="F43" s="1632"/>
      <c r="G43" s="1632"/>
      <c r="H43" s="1632"/>
      <c r="I43" s="1632"/>
      <c r="J43" s="1632"/>
      <c r="K43" s="1632"/>
      <c r="L43" s="1632"/>
      <c r="M43" s="1632"/>
      <c r="N43" s="1747"/>
      <c r="O43" s="1632"/>
      <c r="P43" s="1632"/>
      <c r="Q43" s="1632"/>
      <c r="R43" s="1632"/>
      <c r="S43" s="1632"/>
      <c r="T43" s="1632"/>
      <c r="U43" s="1632"/>
      <c r="V43" s="1632"/>
      <c r="W43" s="1632"/>
      <c r="X43" s="1632"/>
      <c r="Y43" s="1632"/>
      <c r="Z43" s="1632"/>
      <c r="AA43" s="366"/>
      <c r="AB43" s="366"/>
      <c r="AC43" s="366"/>
      <c r="AD43" s="1713"/>
      <c r="AE43" s="2167"/>
      <c r="AF43" s="2167"/>
      <c r="AG43" s="2174"/>
    </row>
    <row r="44" spans="1:35">
      <c r="A44" s="1321"/>
      <c r="B44" s="1632"/>
      <c r="C44" s="1632"/>
      <c r="D44" s="1632"/>
      <c r="E44" s="1632"/>
      <c r="F44" s="1632"/>
      <c r="G44" s="1632"/>
      <c r="H44" s="1632"/>
      <c r="I44" s="1632"/>
      <c r="J44" s="1632"/>
      <c r="K44" s="1632"/>
      <c r="L44" s="1632"/>
      <c r="M44" s="1632"/>
      <c r="N44" s="1747"/>
      <c r="O44" s="1632"/>
      <c r="P44" s="1632"/>
      <c r="Q44" s="1632"/>
      <c r="R44" s="1632"/>
      <c r="S44" s="1632"/>
      <c r="T44" s="1632"/>
      <c r="U44" s="1632"/>
      <c r="V44" s="1632"/>
      <c r="W44" s="1632"/>
      <c r="X44" s="1632"/>
      <c r="Y44" s="1632"/>
      <c r="Z44" s="1632"/>
      <c r="AA44" s="366"/>
      <c r="AB44" s="366"/>
      <c r="AC44" s="366"/>
      <c r="AD44" s="1713"/>
      <c r="AE44" s="2167"/>
      <c r="AF44" s="2167"/>
      <c r="AG44" s="2174"/>
    </row>
    <row r="45" spans="1:35">
      <c r="A45" s="1321"/>
      <c r="B45" s="1632"/>
      <c r="C45" s="1632"/>
      <c r="D45" s="1632"/>
      <c r="E45" s="1632"/>
      <c r="F45" s="1632"/>
      <c r="G45" s="1632"/>
      <c r="H45" s="1632"/>
      <c r="I45" s="1632"/>
      <c r="J45" s="1632"/>
      <c r="K45" s="1632"/>
      <c r="L45" s="1632"/>
      <c r="M45" s="1632"/>
      <c r="N45" s="1747"/>
      <c r="O45" s="1632"/>
      <c r="P45" s="1632"/>
      <c r="Q45" s="1632"/>
      <c r="R45" s="1632"/>
      <c r="S45" s="1632"/>
      <c r="T45" s="1632"/>
      <c r="U45" s="1632"/>
      <c r="V45" s="1632"/>
      <c r="W45" s="1632"/>
      <c r="X45" s="1632"/>
      <c r="Y45" s="1632"/>
      <c r="Z45" s="1632"/>
      <c r="AA45" s="366"/>
      <c r="AB45" s="366"/>
      <c r="AC45" s="366"/>
      <c r="AD45" s="1713"/>
      <c r="AE45" s="2167"/>
      <c r="AF45" s="2167"/>
    </row>
    <row r="46" spans="1:35">
      <c r="A46" s="1321"/>
      <c r="B46" s="1632"/>
      <c r="C46" s="1632"/>
      <c r="D46" s="1632"/>
      <c r="E46" s="1632"/>
      <c r="F46" s="1632"/>
      <c r="G46" s="1632"/>
      <c r="H46" s="1632"/>
      <c r="I46" s="1632"/>
      <c r="J46" s="1632"/>
      <c r="K46" s="1632"/>
      <c r="L46" s="1632"/>
      <c r="M46" s="1632"/>
      <c r="N46" s="1747"/>
      <c r="O46" s="1632"/>
      <c r="P46" s="1632"/>
      <c r="Q46" s="1632"/>
      <c r="R46" s="1632"/>
      <c r="S46" s="1632"/>
      <c r="T46" s="1632"/>
      <c r="U46" s="1632"/>
      <c r="V46" s="1632"/>
      <c r="W46" s="1632"/>
      <c r="X46" s="1632"/>
      <c r="Y46" s="1632"/>
      <c r="Z46" s="1632"/>
      <c r="AA46" s="366"/>
      <c r="AB46" s="366"/>
      <c r="AC46" s="366"/>
      <c r="AD46" s="1713"/>
      <c r="AE46" s="2167"/>
      <c r="AF46" s="2167"/>
    </row>
    <row r="47" spans="1:35">
      <c r="A47" s="1321"/>
      <c r="B47" s="1321"/>
      <c r="C47" s="1321"/>
      <c r="D47" s="1321"/>
      <c r="E47" s="1321"/>
      <c r="F47" s="1321"/>
      <c r="G47" s="1321"/>
      <c r="H47" s="1321"/>
      <c r="I47" s="1321"/>
      <c r="J47" s="1321"/>
      <c r="K47" s="1321"/>
      <c r="L47" s="1321"/>
      <c r="M47" s="1321"/>
      <c r="N47" s="1928"/>
      <c r="O47" s="1321"/>
      <c r="P47" s="1321"/>
      <c r="Q47" s="1321"/>
      <c r="R47" s="1321"/>
      <c r="S47" s="1321"/>
      <c r="T47" s="1321"/>
      <c r="U47" s="1321"/>
      <c r="V47" s="1321"/>
      <c r="W47" s="1321"/>
      <c r="X47" s="1321"/>
      <c r="Y47" s="1321"/>
      <c r="Z47" s="1321"/>
      <c r="AA47" s="223"/>
      <c r="AB47" s="223"/>
      <c r="AC47" s="223"/>
      <c r="AD47" s="350"/>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4" firstPageNumber="37"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70" workbookViewId="0"/>
  </sheetViews>
  <sheetFormatPr defaultColWidth="8.88671875" defaultRowHeight="12.75"/>
  <cols>
    <col min="1" max="1" width="46.88671875" style="737" customWidth="1"/>
    <col min="2" max="2" width="8.6640625" style="737" customWidth="1"/>
    <col min="3" max="3" width="1.6640625" style="737" customWidth="1"/>
    <col min="4" max="4" width="8.6640625" style="737" customWidth="1"/>
    <col min="5" max="5" width="1.6640625" style="737" customWidth="1"/>
    <col min="6" max="6" width="8.6640625" style="737" customWidth="1"/>
    <col min="7" max="7" width="1.6640625" style="737" customWidth="1"/>
    <col min="8" max="8" width="8.6640625" style="737" customWidth="1"/>
    <col min="9" max="9" width="1.6640625" style="737" customWidth="1"/>
    <col min="10" max="10" width="10.6640625" style="737" customWidth="1"/>
    <col min="11" max="11" width="1.6640625" style="737" customWidth="1"/>
    <col min="12" max="12" width="14.77734375" style="737" bestFit="1" customWidth="1"/>
    <col min="13" max="13" width="1.6640625" style="737" customWidth="1"/>
    <col min="14" max="14" width="11.88671875" style="3375" bestFit="1" customWidth="1"/>
    <col min="15" max="15" width="1.6640625" style="737" customWidth="1"/>
    <col min="16" max="16" width="13.5546875" style="737" bestFit="1" customWidth="1"/>
    <col min="17" max="17" width="1.6640625" style="737" customWidth="1"/>
    <col min="18" max="18" width="13.5546875" style="737" bestFit="1" customWidth="1"/>
    <col min="19" max="19" width="1.6640625" style="737" customWidth="1"/>
    <col min="20" max="20" width="11" style="737" bestFit="1" customWidth="1"/>
    <col min="21" max="21" width="1.6640625" style="737" customWidth="1"/>
    <col min="22" max="22" width="12.6640625" style="737" bestFit="1" customWidth="1"/>
    <col min="23" max="23" width="1.6640625" style="737" customWidth="1"/>
    <col min="24" max="24" width="8.6640625" style="737" customWidth="1"/>
    <col min="25" max="26" width="1.6640625" style="737" customWidth="1"/>
    <col min="27" max="27" width="10.109375" style="737" customWidth="1"/>
    <col min="28" max="29" width="1.77734375" style="737" customWidth="1"/>
    <col min="30" max="30" width="10.109375" style="737" customWidth="1"/>
    <col min="31" max="31" width="1.77734375" style="737" customWidth="1"/>
    <col min="32" max="32" width="2.44140625" style="737" customWidth="1"/>
    <col min="33" max="33" width="10.33203125" style="745" bestFit="1" customWidth="1"/>
    <col min="34" max="34" width="1.6640625" style="745" customWidth="1"/>
    <col min="35" max="35" width="11.109375" style="737" customWidth="1"/>
    <col min="36" max="16384" width="8.88671875" style="737"/>
  </cols>
  <sheetData>
    <row r="1" spans="1:35" ht="15">
      <c r="A1" s="1159" t="s">
        <v>1090</v>
      </c>
    </row>
    <row r="2" spans="1:35" ht="15">
      <c r="A2" s="1649"/>
    </row>
    <row r="3" spans="1:35" ht="20.25" customHeight="1">
      <c r="A3" s="1658" t="s">
        <v>0</v>
      </c>
      <c r="B3" s="223"/>
      <c r="C3" s="223"/>
      <c r="D3" s="223"/>
      <c r="E3" s="223"/>
      <c r="F3" s="223"/>
      <c r="G3" s="223"/>
      <c r="H3" s="223"/>
      <c r="I3" s="223"/>
      <c r="J3" s="223"/>
      <c r="K3" s="221"/>
      <c r="L3" s="221"/>
      <c r="M3" s="223"/>
      <c r="N3" s="306"/>
      <c r="O3" s="223"/>
      <c r="P3" s="223"/>
      <c r="Q3" s="223"/>
      <c r="R3" s="223"/>
      <c r="S3" s="223"/>
      <c r="T3" s="223"/>
      <c r="U3" s="223"/>
      <c r="V3" s="223"/>
      <c r="W3" s="223"/>
      <c r="X3" s="223"/>
      <c r="Y3" s="223"/>
      <c r="Z3" s="223"/>
      <c r="AA3" s="223"/>
      <c r="AB3" s="223"/>
      <c r="AC3" s="223"/>
      <c r="AD3" s="223"/>
      <c r="AE3" s="223"/>
      <c r="AF3" s="223"/>
      <c r="AG3" s="744"/>
      <c r="AI3" s="1657" t="s">
        <v>235</v>
      </c>
    </row>
    <row r="4" spans="1:35" ht="20.25" customHeight="1">
      <c r="A4" s="1660" t="s">
        <v>234</v>
      </c>
      <c r="B4" s="223"/>
      <c r="C4" s="223"/>
      <c r="D4" s="223"/>
      <c r="E4" s="223"/>
      <c r="F4" s="223"/>
      <c r="G4" s="223"/>
      <c r="H4" s="221" t="s">
        <v>15</v>
      </c>
      <c r="I4" s="223"/>
      <c r="J4" s="223"/>
      <c r="K4" s="221"/>
      <c r="L4" s="221"/>
      <c r="M4" s="223"/>
      <c r="N4" s="306"/>
      <c r="O4" s="223"/>
      <c r="P4" s="223"/>
      <c r="Q4" s="223"/>
      <c r="R4" s="223"/>
      <c r="S4" s="223"/>
      <c r="T4" s="223"/>
      <c r="U4" s="223"/>
      <c r="V4" s="223"/>
      <c r="W4" s="223"/>
      <c r="X4" s="223" t="s">
        <v>15</v>
      </c>
      <c r="Y4" s="223"/>
      <c r="Z4" s="223"/>
      <c r="AA4" s="223"/>
      <c r="AB4" s="223"/>
      <c r="AC4" s="223"/>
      <c r="AD4" s="223"/>
      <c r="AE4" s="223"/>
      <c r="AF4" s="223"/>
      <c r="AG4" s="744"/>
    </row>
    <row r="5" spans="1:35" ht="20.25" customHeight="1">
      <c r="A5" s="1660" t="s">
        <v>127</v>
      </c>
      <c r="B5" s="223"/>
      <c r="C5" s="223"/>
      <c r="D5" s="223"/>
      <c r="E5" s="223"/>
      <c r="F5" s="223"/>
      <c r="G5" s="223"/>
      <c r="H5" s="223"/>
      <c r="I5" s="223"/>
      <c r="J5" s="223"/>
      <c r="K5" s="221"/>
      <c r="L5" s="221"/>
      <c r="M5" s="223"/>
      <c r="N5" s="306"/>
      <c r="O5" s="223"/>
      <c r="P5" s="223"/>
      <c r="Q5" s="223"/>
      <c r="R5" s="223"/>
      <c r="S5" s="223"/>
      <c r="T5" s="223"/>
      <c r="U5" s="223"/>
      <c r="V5" s="223"/>
      <c r="W5" s="223"/>
      <c r="X5" s="223"/>
      <c r="Y5" s="223"/>
      <c r="Z5" s="223"/>
      <c r="AB5" s="738"/>
      <c r="AC5" s="738"/>
      <c r="AE5" s="1657"/>
      <c r="AG5" s="744"/>
    </row>
    <row r="6" spans="1:35" ht="20.25" customHeight="1">
      <c r="A6" s="1660" t="s">
        <v>1410</v>
      </c>
      <c r="B6" s="223"/>
      <c r="C6" s="223"/>
      <c r="D6" s="223"/>
      <c r="E6" s="223"/>
      <c r="F6" s="223"/>
      <c r="G6" s="223"/>
      <c r="H6" s="223"/>
      <c r="I6" s="223"/>
      <c r="J6" s="223"/>
      <c r="K6" s="221"/>
      <c r="L6" s="221"/>
      <c r="M6" s="223"/>
      <c r="N6" s="306"/>
      <c r="O6" s="223"/>
      <c r="P6" s="223"/>
      <c r="Q6" s="223"/>
      <c r="R6" s="223"/>
      <c r="S6" s="223"/>
      <c r="T6" s="223"/>
      <c r="U6" s="223"/>
      <c r="V6" s="223"/>
      <c r="W6" s="223"/>
      <c r="X6" s="223"/>
      <c r="Y6" s="223"/>
      <c r="Z6" s="223"/>
      <c r="AA6" s="223"/>
      <c r="AB6" s="223"/>
      <c r="AC6" s="223"/>
      <c r="AD6" s="223"/>
      <c r="AE6" s="223"/>
      <c r="AF6" s="223"/>
      <c r="AG6" s="744"/>
    </row>
    <row r="7" spans="1:35" ht="20.25" customHeight="1">
      <c r="A7" s="1658" t="s">
        <v>979</v>
      </c>
      <c r="B7" s="223"/>
      <c r="C7" s="223"/>
      <c r="D7" s="223"/>
      <c r="E7" s="223"/>
      <c r="F7" s="223"/>
      <c r="G7" s="223"/>
      <c r="H7" s="223"/>
      <c r="I7" s="223"/>
      <c r="J7" s="223"/>
      <c r="K7" s="221"/>
      <c r="L7" s="223"/>
      <c r="M7" s="223"/>
      <c r="N7" s="306"/>
      <c r="O7" s="223"/>
      <c r="P7" s="223"/>
      <c r="Q7" s="223"/>
      <c r="R7" s="223"/>
      <c r="S7" s="223"/>
      <c r="T7" s="223"/>
      <c r="U7" s="223"/>
      <c r="V7" s="223"/>
      <c r="W7" s="223"/>
      <c r="X7" s="223"/>
      <c r="Y7" s="223"/>
      <c r="Z7" s="223"/>
      <c r="AA7" s="2164"/>
      <c r="AB7" s="2164"/>
      <c r="AC7" s="2164"/>
      <c r="AD7" s="2164"/>
      <c r="AE7" s="2164"/>
      <c r="AF7" s="2164"/>
      <c r="AG7" s="2165"/>
      <c r="AH7" s="2165"/>
      <c r="AI7" s="2164"/>
    </row>
    <row r="8" spans="1:35" s="739" customFormat="1" ht="18.95" customHeight="1">
      <c r="A8" s="639"/>
      <c r="B8" s="223"/>
      <c r="C8" s="223"/>
      <c r="D8" s="223"/>
      <c r="E8" s="223"/>
      <c r="F8" s="223"/>
      <c r="G8" s="223"/>
      <c r="H8" s="223"/>
      <c r="I8" s="223"/>
      <c r="J8" s="223"/>
      <c r="K8" s="223"/>
      <c r="L8" s="223"/>
      <c r="M8" s="223"/>
      <c r="N8" s="306"/>
      <c r="O8" s="223"/>
      <c r="P8" s="223"/>
      <c r="Q8" s="223"/>
      <c r="R8" s="223"/>
      <c r="S8" s="223"/>
      <c r="T8" s="223"/>
      <c r="U8" s="223"/>
      <c r="V8" s="223"/>
      <c r="W8" s="223"/>
      <c r="X8" s="223"/>
      <c r="Y8" s="223"/>
      <c r="Z8" s="223"/>
      <c r="AA8" s="2164"/>
      <c r="AB8" s="2164"/>
      <c r="AC8" s="2164"/>
      <c r="AD8" s="2164"/>
      <c r="AE8" s="2164"/>
      <c r="AF8" s="2164"/>
      <c r="AG8" s="2165"/>
      <c r="AH8" s="2165"/>
      <c r="AI8" s="2164"/>
    </row>
    <row r="9" spans="1:35" s="739" customFormat="1" ht="18.95" customHeight="1">
      <c r="A9" s="223"/>
      <c r="B9" s="223"/>
      <c r="C9" s="223"/>
      <c r="D9" s="223"/>
      <c r="E9" s="223"/>
      <c r="F9" s="223"/>
      <c r="G9" s="223"/>
      <c r="H9" s="221"/>
      <c r="I9" s="221"/>
      <c r="J9" s="221"/>
      <c r="K9" s="223"/>
      <c r="L9" s="223"/>
      <c r="M9" s="223"/>
      <c r="N9" s="306"/>
      <c r="O9" s="223"/>
      <c r="P9" s="223"/>
      <c r="Q9" s="223"/>
      <c r="R9" s="223"/>
      <c r="S9" s="223"/>
      <c r="T9" s="223"/>
      <c r="U9" s="223"/>
      <c r="V9" s="223"/>
      <c r="W9" s="223"/>
      <c r="X9" s="223"/>
      <c r="Y9" s="223"/>
      <c r="Z9" s="223"/>
      <c r="AA9" s="2164"/>
      <c r="AB9" s="2164"/>
      <c r="AC9" s="3519"/>
      <c r="AD9" s="3520"/>
      <c r="AE9" s="3520"/>
      <c r="AF9" s="3520"/>
      <c r="AG9" s="3520"/>
      <c r="AH9" s="3520"/>
      <c r="AI9" s="3520"/>
    </row>
    <row r="10" spans="1:35" s="739" customFormat="1" ht="18.95" customHeight="1">
      <c r="A10" s="350"/>
      <c r="B10" s="350"/>
      <c r="C10" s="350"/>
      <c r="D10" s="350"/>
      <c r="E10" s="350"/>
      <c r="F10" s="350"/>
      <c r="G10" s="350"/>
      <c r="H10" s="350"/>
      <c r="I10" s="350"/>
      <c r="J10" s="350"/>
      <c r="K10" s="350"/>
      <c r="L10" s="350"/>
      <c r="M10" s="350"/>
      <c r="N10" s="394"/>
      <c r="O10" s="350"/>
      <c r="P10" s="350"/>
      <c r="Q10" s="350"/>
      <c r="R10" s="350"/>
      <c r="S10" s="350"/>
      <c r="T10" s="350"/>
      <c r="U10" s="350"/>
      <c r="V10" s="1661"/>
      <c r="W10" s="1662"/>
      <c r="X10" s="1663"/>
      <c r="Y10" s="1664"/>
      <c r="AA10" s="3518" t="s">
        <v>1558</v>
      </c>
      <c r="AB10" s="3521"/>
      <c r="AC10" s="3521"/>
      <c r="AD10" s="3521"/>
      <c r="AE10" s="3521"/>
      <c r="AF10" s="3521"/>
      <c r="AG10" s="3521"/>
      <c r="AH10" s="3521"/>
      <c r="AI10" s="3521"/>
    </row>
    <row r="11" spans="1:35" s="739" customFormat="1" ht="18.95" customHeight="1">
      <c r="A11" s="350"/>
      <c r="B11" s="1491">
        <v>2016</v>
      </c>
      <c r="C11" s="459"/>
      <c r="D11" s="459"/>
      <c r="E11" s="459"/>
      <c r="F11" s="459"/>
      <c r="G11" s="459"/>
      <c r="H11" s="459"/>
      <c r="I11" s="459"/>
      <c r="J11" s="459"/>
      <c r="K11" s="459"/>
      <c r="L11" s="459"/>
      <c r="M11" s="459"/>
      <c r="N11" s="3376"/>
      <c r="O11" s="459"/>
      <c r="P11" s="459"/>
      <c r="Q11" s="459"/>
      <c r="R11" s="459"/>
      <c r="S11" s="459"/>
      <c r="T11" s="1491">
        <v>2017</v>
      </c>
      <c r="U11" s="459"/>
      <c r="V11" s="459"/>
      <c r="W11" s="459"/>
      <c r="X11" s="459"/>
      <c r="Y11" s="459"/>
      <c r="Z11" s="1492"/>
      <c r="AA11" s="2154"/>
      <c r="AB11" s="2154"/>
      <c r="AC11" s="2154"/>
      <c r="AD11" s="2196"/>
      <c r="AE11" s="2196"/>
      <c r="AF11" s="2154"/>
      <c r="AG11" s="2168" t="s">
        <v>8</v>
      </c>
      <c r="AH11" s="2168"/>
      <c r="AI11" s="2169" t="s">
        <v>9</v>
      </c>
    </row>
    <row r="12" spans="1:35" s="739" customFormat="1" ht="18.95" customHeight="1">
      <c r="A12" s="350"/>
      <c r="B12" s="1493" t="s">
        <v>128</v>
      </c>
      <c r="C12" s="459"/>
      <c r="D12" s="1665" t="s">
        <v>129</v>
      </c>
      <c r="E12" s="459"/>
      <c r="F12" s="1665" t="s">
        <v>130</v>
      </c>
      <c r="G12" s="459"/>
      <c r="H12" s="1665" t="s">
        <v>131</v>
      </c>
      <c r="I12" s="459"/>
      <c r="J12" s="1666" t="s">
        <v>232</v>
      </c>
      <c r="K12" s="459"/>
      <c r="L12" s="1666" t="s">
        <v>147</v>
      </c>
      <c r="M12" s="459"/>
      <c r="N12" s="3377" t="s">
        <v>148</v>
      </c>
      <c r="O12" s="459"/>
      <c r="P12" s="1665" t="s">
        <v>135</v>
      </c>
      <c r="Q12" s="459"/>
      <c r="R12" s="1665" t="s">
        <v>136</v>
      </c>
      <c r="S12" s="459"/>
      <c r="T12" s="1666" t="s">
        <v>137</v>
      </c>
      <c r="U12" s="459"/>
      <c r="V12" s="1665" t="s">
        <v>138</v>
      </c>
      <c r="W12" s="459"/>
      <c r="X12" s="1666" t="s">
        <v>191</v>
      </c>
      <c r="Y12" s="459"/>
      <c r="Z12" s="459"/>
      <c r="AA12" s="2216">
        <v>2017</v>
      </c>
      <c r="AB12" s="2216"/>
      <c r="AC12" s="2190"/>
      <c r="AD12" s="2217">
        <v>2016</v>
      </c>
      <c r="AE12" s="2190"/>
      <c r="AF12" s="2190"/>
      <c r="AG12" s="2170" t="s">
        <v>12</v>
      </c>
      <c r="AH12" s="2171"/>
      <c r="AI12" s="2170" t="s">
        <v>13</v>
      </c>
    </row>
    <row r="13" spans="1:35" s="739" customFormat="1" ht="18.95" customHeight="1">
      <c r="A13" s="459" t="s">
        <v>140</v>
      </c>
      <c r="B13" s="1670">
        <v>11.6</v>
      </c>
      <c r="C13" s="714"/>
      <c r="D13" s="1670">
        <f>+B38</f>
        <v>10</v>
      </c>
      <c r="E13" s="714"/>
      <c r="F13" s="1670">
        <f>+D38</f>
        <v>11.7</v>
      </c>
      <c r="G13" s="714"/>
      <c r="H13" s="1670">
        <f>F38</f>
        <v>10.199999999999999</v>
      </c>
      <c r="I13" s="1710"/>
      <c r="J13" s="1670">
        <f>H38</f>
        <v>10.199999999999999</v>
      </c>
      <c r="K13" s="714"/>
      <c r="L13" s="1670">
        <f>J38</f>
        <v>10.199999999999999</v>
      </c>
      <c r="M13" s="1710"/>
      <c r="N13" s="3378">
        <f>L38</f>
        <v>10.199999999999999</v>
      </c>
      <c r="O13" s="1710"/>
      <c r="P13" s="1670">
        <f>N38</f>
        <v>10.3</v>
      </c>
      <c r="Q13" s="1710"/>
      <c r="R13" s="1670">
        <f>P38</f>
        <v>10.3</v>
      </c>
      <c r="S13" s="1710"/>
      <c r="T13" s="1670">
        <f>R38</f>
        <v>10.6</v>
      </c>
      <c r="U13" s="1710"/>
      <c r="V13" s="1670"/>
      <c r="W13" s="1710"/>
      <c r="X13" s="1670"/>
      <c r="Y13" s="1671"/>
      <c r="Z13" s="1672"/>
      <c r="AA13" s="2218">
        <f>+B13</f>
        <v>11.6</v>
      </c>
      <c r="AB13" s="2219"/>
      <c r="AC13" s="2220"/>
      <c r="AD13" s="2218">
        <v>11.5</v>
      </c>
      <c r="AE13" s="2197"/>
      <c r="AF13" s="2193"/>
      <c r="AG13" s="2172">
        <f>ROUND(SUM(AA13-AD13),1)</f>
        <v>0.1</v>
      </c>
      <c r="AH13" s="2165"/>
      <c r="AI13" s="2565">
        <f>ROUND(IF(AG13=0,0,AG13/(AD13)),3)</f>
        <v>8.9999999999999993E-3</v>
      </c>
    </row>
    <row r="14" spans="1:35" s="739" customFormat="1" ht="18.95" customHeight="1">
      <c r="A14" s="350"/>
      <c r="B14" s="718"/>
      <c r="C14" s="718"/>
      <c r="D14" s="718"/>
      <c r="E14" s="718"/>
      <c r="F14" s="718"/>
      <c r="G14" s="718"/>
      <c r="H14" s="1678"/>
      <c r="I14" s="1678"/>
      <c r="J14" s="1678"/>
      <c r="K14" s="718"/>
      <c r="L14" s="1678"/>
      <c r="M14" s="1678"/>
      <c r="N14" s="3397"/>
      <c r="O14" s="1678"/>
      <c r="P14" s="1678"/>
      <c r="Q14" s="1678"/>
      <c r="R14" s="1678"/>
      <c r="S14" s="1678"/>
      <c r="T14" s="1678"/>
      <c r="U14" s="1678"/>
      <c r="V14" s="1678"/>
      <c r="W14" s="1678"/>
      <c r="X14" s="1678"/>
      <c r="Y14" s="1676"/>
      <c r="Z14" s="1677"/>
      <c r="AA14" s="2198"/>
      <c r="AB14" s="2221"/>
      <c r="AC14" s="2222"/>
      <c r="AD14" s="2198"/>
      <c r="AE14" s="2198"/>
      <c r="AF14" s="2194"/>
      <c r="AG14" s="2174"/>
      <c r="AH14" s="2165"/>
      <c r="AI14" s="3440"/>
    </row>
    <row r="15" spans="1:35" s="739" customFormat="1" ht="18.95" customHeight="1">
      <c r="A15" s="459" t="s">
        <v>14</v>
      </c>
      <c r="B15" s="718"/>
      <c r="C15" s="718"/>
      <c r="D15" s="718"/>
      <c r="E15" s="718"/>
      <c r="F15" s="718"/>
      <c r="G15" s="718"/>
      <c r="H15" s="1678"/>
      <c r="I15" s="1678"/>
      <c r="J15" s="1678"/>
      <c r="K15" s="718"/>
      <c r="L15" s="1678"/>
      <c r="M15" s="1678"/>
      <c r="N15" s="3397"/>
      <c r="O15" s="1678"/>
      <c r="P15" s="1678"/>
      <c r="Q15" s="1678"/>
      <c r="R15" s="1678"/>
      <c r="S15" s="1678"/>
      <c r="T15" s="1678"/>
      <c r="U15" s="1678"/>
      <c r="V15" s="1678"/>
      <c r="W15" s="1678"/>
      <c r="X15" s="1678"/>
      <c r="Y15" s="1676"/>
      <c r="Z15" s="1677"/>
      <c r="AA15" s="2198"/>
      <c r="AB15" s="2221"/>
      <c r="AC15" s="2222"/>
      <c r="AD15" s="2198"/>
      <c r="AE15" s="2198"/>
      <c r="AF15" s="2194"/>
      <c r="AG15" s="2174"/>
      <c r="AH15" s="2165"/>
      <c r="AI15" s="3440"/>
    </row>
    <row r="16" spans="1:35" s="739" customFormat="1" ht="18.95" customHeight="1">
      <c r="A16" s="1679" t="s">
        <v>184</v>
      </c>
      <c r="B16" s="1680">
        <v>-1.5</v>
      </c>
      <c r="C16" s="440"/>
      <c r="D16" s="1680">
        <v>1.7</v>
      </c>
      <c r="E16" s="440"/>
      <c r="F16" s="695">
        <v>-1.5</v>
      </c>
      <c r="G16" s="440"/>
      <c r="H16" s="695">
        <v>0</v>
      </c>
      <c r="I16" s="1681"/>
      <c r="J16" s="695">
        <v>0</v>
      </c>
      <c r="K16" s="440"/>
      <c r="L16" s="1696">
        <v>0.1</v>
      </c>
      <c r="M16" s="1682"/>
      <c r="N16" s="3398">
        <v>0.1</v>
      </c>
      <c r="O16" s="1682"/>
      <c r="P16" s="1680">
        <v>0</v>
      </c>
      <c r="Q16" s="1682"/>
      <c r="R16" s="1696">
        <v>0.3</v>
      </c>
      <c r="S16" s="1682"/>
      <c r="T16" s="695">
        <v>0.1</v>
      </c>
      <c r="U16" s="1682"/>
      <c r="V16" s="1696"/>
      <c r="W16" s="1682"/>
      <c r="X16" s="695"/>
      <c r="Y16" s="1683"/>
      <c r="Z16" s="1684"/>
      <c r="AA16" s="2223">
        <f>ROUND(SUM(B16:X16),1)</f>
        <v>-0.7</v>
      </c>
      <c r="AB16" s="2224"/>
      <c r="AC16" s="2225"/>
      <c r="AD16" s="2226">
        <v>0.3</v>
      </c>
      <c r="AE16" s="2199"/>
      <c r="AF16" s="2157"/>
      <c r="AG16" s="447">
        <f>ROUND(SUM(AA16-AD16),1)</f>
        <v>-1</v>
      </c>
      <c r="AH16" s="2165"/>
      <c r="AI16" s="3441">
        <f>ROUND(IF(AD16=0,1,AG16/AD16),3)</f>
        <v>-3.3330000000000002</v>
      </c>
    </row>
    <row r="17" spans="1:35" s="739" customFormat="1" ht="24" customHeight="1">
      <c r="A17" s="459" t="s">
        <v>155</v>
      </c>
      <c r="B17" s="1697">
        <f>ROUND(SUM(B16),1)</f>
        <v>-1.5</v>
      </c>
      <c r="C17" s="726"/>
      <c r="D17" s="1697">
        <f>ROUND(SUM(D16),1)</f>
        <v>1.7</v>
      </c>
      <c r="E17" s="726"/>
      <c r="F17" s="1697">
        <f>ROUND(SUM(F16),1)</f>
        <v>-1.5</v>
      </c>
      <c r="G17" s="726"/>
      <c r="H17" s="1697">
        <f>ROUND(SUM(H16),1)</f>
        <v>0</v>
      </c>
      <c r="I17" s="1686"/>
      <c r="J17" s="1697">
        <f>ROUND(SUM(J16),1)</f>
        <v>0</v>
      </c>
      <c r="K17" s="726"/>
      <c r="L17" s="1697">
        <f>ROUND(SUM(L16),1)</f>
        <v>0.1</v>
      </c>
      <c r="M17" s="1687"/>
      <c r="N17" s="3384">
        <f>ROUND(SUM(N16),1)</f>
        <v>0.1</v>
      </c>
      <c r="O17" s="1687"/>
      <c r="P17" s="1697">
        <f>ROUND(SUM(P16),1)</f>
        <v>0</v>
      </c>
      <c r="Q17" s="1687"/>
      <c r="R17" s="1697">
        <f>ROUND(SUM(R16),1)</f>
        <v>0.3</v>
      </c>
      <c r="S17" s="1687"/>
      <c r="T17" s="1697">
        <f>ROUND(SUM(T16),1)</f>
        <v>0.1</v>
      </c>
      <c r="U17" s="1687"/>
      <c r="V17" s="1697">
        <f>ROUND(SUM(V16),1)</f>
        <v>0</v>
      </c>
      <c r="W17" s="1687"/>
      <c r="X17" s="1697">
        <f>ROUND(SUM(X16),1)</f>
        <v>0</v>
      </c>
      <c r="Y17" s="1688"/>
      <c r="Z17" s="1689"/>
      <c r="AA17" s="2200">
        <f>ROUND(SUM(AA16),1)</f>
        <v>-0.7</v>
      </c>
      <c r="AB17" s="2227"/>
      <c r="AC17" s="2228"/>
      <c r="AD17" s="2200">
        <f>ROUND(SUM(AD16),1)</f>
        <v>0.3</v>
      </c>
      <c r="AE17" s="2200"/>
      <c r="AF17" s="2157"/>
      <c r="AG17" s="2209">
        <f>ROUND(SUM(AG16),1)</f>
        <v>-1</v>
      </c>
      <c r="AH17" s="2210"/>
      <c r="AI17" s="3442">
        <f>ROUND(IF(AD17=0,1,AG17/ABS(AD17)),3)</f>
        <v>-3.3330000000000002</v>
      </c>
    </row>
    <row r="18" spans="1:35" s="739" customFormat="1" ht="18.95" customHeight="1">
      <c r="A18" s="350"/>
      <c r="B18" s="725"/>
      <c r="C18" s="440"/>
      <c r="D18" s="725" t="s">
        <v>15</v>
      </c>
      <c r="E18" s="440"/>
      <c r="F18" s="725"/>
      <c r="G18" s="440"/>
      <c r="H18" s="1690"/>
      <c r="I18" s="1682"/>
      <c r="J18" s="1690"/>
      <c r="K18" s="440"/>
      <c r="L18" s="1691"/>
      <c r="M18" s="1682"/>
      <c r="N18" s="3381"/>
      <c r="O18" s="1682"/>
      <c r="P18" s="1690"/>
      <c r="Q18" s="1682"/>
      <c r="R18" s="1690"/>
      <c r="S18" s="1682"/>
      <c r="T18" s="1690"/>
      <c r="U18" s="1682"/>
      <c r="V18" s="1690"/>
      <c r="W18" s="1682"/>
      <c r="X18" s="1690"/>
      <c r="Y18" s="1683"/>
      <c r="Z18" s="1684"/>
      <c r="AA18" s="2229"/>
      <c r="AB18" s="2224"/>
      <c r="AC18" s="2230"/>
      <c r="AD18" s="2229"/>
      <c r="AE18" s="2178"/>
      <c r="AF18" s="2157"/>
      <c r="AG18" s="2178"/>
      <c r="AH18" s="2165"/>
      <c r="AI18" s="3440"/>
    </row>
    <row r="19" spans="1:35" s="739" customFormat="1" ht="18.95" customHeight="1">
      <c r="A19" s="350"/>
      <c r="B19" s="440"/>
      <c r="C19" s="440"/>
      <c r="D19" s="440" t="s">
        <v>15</v>
      </c>
      <c r="E19" s="440"/>
      <c r="F19" s="440"/>
      <c r="G19" s="440"/>
      <c r="H19" s="1682"/>
      <c r="I19" s="1682"/>
      <c r="J19" s="1682"/>
      <c r="K19" s="440"/>
      <c r="L19" s="1692"/>
      <c r="M19" s="1682"/>
      <c r="N19" s="3382"/>
      <c r="O19" s="1682"/>
      <c r="P19" s="1682"/>
      <c r="Q19" s="1682"/>
      <c r="R19" s="1682"/>
      <c r="S19" s="1682"/>
      <c r="T19" s="1682"/>
      <c r="U19" s="1682"/>
      <c r="V19" s="1682"/>
      <c r="W19" s="1682"/>
      <c r="X19" s="1682"/>
      <c r="Y19" s="1683"/>
      <c r="Z19" s="1684"/>
      <c r="AA19" s="2201"/>
      <c r="AB19" s="2224"/>
      <c r="AC19" s="2225"/>
      <c r="AD19" s="2201"/>
      <c r="AE19" s="2201"/>
      <c r="AF19" s="2157"/>
      <c r="AG19" s="2178"/>
      <c r="AH19" s="2165"/>
      <c r="AI19" s="3440"/>
    </row>
    <row r="20" spans="1:35" s="739" customFormat="1" ht="18.95" customHeight="1">
      <c r="A20" s="459" t="s">
        <v>23</v>
      </c>
      <c r="B20" s="440"/>
      <c r="C20" s="440"/>
      <c r="D20" s="440" t="s">
        <v>15</v>
      </c>
      <c r="E20" s="440"/>
      <c r="F20" s="440"/>
      <c r="G20" s="440"/>
      <c r="H20" s="1682"/>
      <c r="I20" s="1682"/>
      <c r="J20" s="1682"/>
      <c r="K20" s="440"/>
      <c r="L20" s="1692"/>
      <c r="M20" s="1682"/>
      <c r="N20" s="3382"/>
      <c r="O20" s="1682"/>
      <c r="P20" s="1682"/>
      <c r="Q20" s="1682"/>
      <c r="R20" s="1682"/>
      <c r="S20" s="1682"/>
      <c r="T20" s="1682"/>
      <c r="U20" s="1682"/>
      <c r="V20" s="1682"/>
      <c r="W20" s="1682"/>
      <c r="X20" s="1682"/>
      <c r="Y20" s="1683"/>
      <c r="Z20" s="1684"/>
      <c r="AA20" s="2201"/>
      <c r="AB20" s="2224"/>
      <c r="AC20" s="2225"/>
      <c r="AD20" s="2201"/>
      <c r="AE20" s="2201"/>
      <c r="AF20" s="2157"/>
      <c r="AG20" s="2178"/>
      <c r="AH20" s="2165"/>
      <c r="AI20" s="3440"/>
    </row>
    <row r="21" spans="1:35" s="739" customFormat="1" ht="18.95" customHeight="1">
      <c r="A21" s="350" t="s">
        <v>157</v>
      </c>
      <c r="B21" s="442"/>
      <c r="C21" s="440"/>
      <c r="D21" s="440"/>
      <c r="E21" s="440"/>
      <c r="F21" s="440"/>
      <c r="G21" s="440"/>
      <c r="H21" s="1682"/>
      <c r="I21" s="1682"/>
      <c r="J21" s="1682"/>
      <c r="K21" s="440"/>
      <c r="L21" s="1692"/>
      <c r="M21" s="1682"/>
      <c r="N21" s="3382"/>
      <c r="O21" s="1682"/>
      <c r="P21" s="1682"/>
      <c r="Q21" s="1682"/>
      <c r="R21" s="1682"/>
      <c r="S21" s="1682"/>
      <c r="T21" s="1682"/>
      <c r="U21" s="1682"/>
      <c r="V21" s="1682"/>
      <c r="W21" s="1682"/>
      <c r="X21" s="1682"/>
      <c r="Y21" s="1683"/>
      <c r="Z21" s="1684"/>
      <c r="AA21" s="2202"/>
      <c r="AB21" s="2231"/>
      <c r="AC21" s="2232"/>
      <c r="AD21" s="2202"/>
      <c r="AE21" s="2202"/>
      <c r="AF21" s="2158"/>
      <c r="AG21" s="2178"/>
      <c r="AH21" s="2165"/>
      <c r="AI21" s="3440"/>
    </row>
    <row r="22" spans="1:35" s="739" customFormat="1" ht="18.95" customHeight="1">
      <c r="A22" s="350" t="s">
        <v>225</v>
      </c>
      <c r="B22" s="442">
        <v>0.1</v>
      </c>
      <c r="C22" s="440"/>
      <c r="D22" s="442">
        <v>0</v>
      </c>
      <c r="E22" s="440"/>
      <c r="F22" s="442">
        <v>0</v>
      </c>
      <c r="G22" s="440"/>
      <c r="H22" s="691">
        <v>0</v>
      </c>
      <c r="I22" s="1682"/>
      <c r="J22" s="442">
        <v>0</v>
      </c>
      <c r="K22" s="440"/>
      <c r="L22" s="442">
        <v>0</v>
      </c>
      <c r="M22" s="1682"/>
      <c r="N22" s="3386">
        <v>0</v>
      </c>
      <c r="O22" s="1682"/>
      <c r="P22" s="442">
        <v>0</v>
      </c>
      <c r="Q22" s="1682"/>
      <c r="R22" s="442">
        <v>0</v>
      </c>
      <c r="S22" s="1682"/>
      <c r="T22" s="442">
        <v>0</v>
      </c>
      <c r="U22" s="1682"/>
      <c r="V22" s="442"/>
      <c r="W22" s="1682"/>
      <c r="X22" s="691"/>
      <c r="Y22" s="1683"/>
      <c r="Z22" s="1684"/>
      <c r="AA22" s="2204">
        <f>ROUND(SUM(B22:X22),1)</f>
        <v>0.1</v>
      </c>
      <c r="AB22" s="2224"/>
      <c r="AC22" s="2225"/>
      <c r="AD22" s="2203">
        <v>0.2</v>
      </c>
      <c r="AE22" s="2203"/>
      <c r="AF22" s="2158"/>
      <c r="AG22" s="447">
        <f>ROUND(SUM(AA22-AD22),1)</f>
        <v>-0.1</v>
      </c>
      <c r="AH22" s="2165"/>
      <c r="AI22" s="3021">
        <f>ROUND(IF(AD22=0,1,AG22/ABS(AD22)),3)</f>
        <v>-0.5</v>
      </c>
    </row>
    <row r="23" spans="1:35" s="739" customFormat="1" ht="18.95" customHeight="1">
      <c r="A23" s="1679" t="s">
        <v>176</v>
      </c>
      <c r="B23" s="442">
        <v>0</v>
      </c>
      <c r="C23" s="440"/>
      <c r="D23" s="442">
        <v>0</v>
      </c>
      <c r="E23" s="440"/>
      <c r="F23" s="442">
        <v>0</v>
      </c>
      <c r="G23" s="440"/>
      <c r="H23" s="442">
        <v>0</v>
      </c>
      <c r="I23" s="1682"/>
      <c r="J23" s="442">
        <v>0</v>
      </c>
      <c r="K23" s="440"/>
      <c r="L23" s="442">
        <v>0</v>
      </c>
      <c r="M23" s="1682"/>
      <c r="N23" s="3386">
        <v>0</v>
      </c>
      <c r="O23" s="442"/>
      <c r="P23" s="442">
        <v>0</v>
      </c>
      <c r="Q23" s="1682"/>
      <c r="R23" s="442">
        <v>0</v>
      </c>
      <c r="S23" s="1682"/>
      <c r="T23" s="442">
        <v>0</v>
      </c>
      <c r="U23" s="1682"/>
      <c r="V23" s="442"/>
      <c r="W23" s="1682"/>
      <c r="X23" s="442"/>
      <c r="Y23" s="1683"/>
      <c r="Z23" s="1684"/>
      <c r="AA23" s="2204">
        <f>ROUND(SUM(B23:X23),1)</f>
        <v>0</v>
      </c>
      <c r="AB23" s="2224"/>
      <c r="AC23" s="2225"/>
      <c r="AD23" s="2202">
        <v>0</v>
      </c>
      <c r="AE23" s="2202"/>
      <c r="AF23" s="2158"/>
      <c r="AG23" s="447">
        <f>ROUND(SUM(AA23-AD23),1)</f>
        <v>0</v>
      </c>
      <c r="AH23" s="2183"/>
      <c r="AI23" s="3443">
        <f>ROUND(IF(AG23=0,0,AG23/ABS(AD23)),3)</f>
        <v>0</v>
      </c>
    </row>
    <row r="24" spans="1:35" s="739" customFormat="1" ht="18.95" customHeight="1">
      <c r="A24" s="350" t="s">
        <v>160</v>
      </c>
      <c r="B24" s="1696">
        <v>0</v>
      </c>
      <c r="C24" s="440"/>
      <c r="D24" s="1696">
        <v>0</v>
      </c>
      <c r="E24" s="440"/>
      <c r="F24" s="1696">
        <v>0</v>
      </c>
      <c r="G24" s="440"/>
      <c r="H24" s="1696">
        <v>0</v>
      </c>
      <c r="I24" s="1682"/>
      <c r="J24" s="1696">
        <v>0</v>
      </c>
      <c r="K24" s="440"/>
      <c r="L24" s="1696">
        <v>0.1</v>
      </c>
      <c r="M24" s="1682"/>
      <c r="N24" s="3398">
        <v>0</v>
      </c>
      <c r="O24" s="1682"/>
      <c r="P24" s="1696">
        <v>0</v>
      </c>
      <c r="Q24" s="1682"/>
      <c r="R24" s="1696">
        <v>0</v>
      </c>
      <c r="S24" s="1682"/>
      <c r="T24" s="695">
        <v>0</v>
      </c>
      <c r="U24" s="1682"/>
      <c r="V24" s="1696"/>
      <c r="W24" s="1682"/>
      <c r="X24" s="1696"/>
      <c r="Y24" s="1683"/>
      <c r="Z24" s="1684"/>
      <c r="AA24" s="2223">
        <f>ROUND(SUM(B24:X24),1)</f>
        <v>0.1</v>
      </c>
      <c r="AB24" s="2224"/>
      <c r="AC24" s="2225"/>
      <c r="AD24" s="2223">
        <v>0.1</v>
      </c>
      <c r="AE24" s="2204"/>
      <c r="AF24" s="2158"/>
      <c r="AG24" s="447">
        <f>ROUND(SUM(AA24-AD24),1)</f>
        <v>0</v>
      </c>
      <c r="AH24" s="2165"/>
      <c r="AI24" s="3444">
        <f>ROUND(IF(AD24=0,1,AG24/AD24),3)</f>
        <v>0</v>
      </c>
    </row>
    <row r="25" spans="1:35" s="739" customFormat="1" ht="22.5" customHeight="1">
      <c r="A25" s="459" t="s">
        <v>161</v>
      </c>
      <c r="B25" s="1718">
        <f>ROUND(SUM(B22:B24),1)</f>
        <v>0.1</v>
      </c>
      <c r="C25" s="726"/>
      <c r="D25" s="1718">
        <f>ROUND(SUM(D22:D24),1)</f>
        <v>0</v>
      </c>
      <c r="E25" s="726"/>
      <c r="F25" s="1718">
        <f>ROUND(SUM(F22:F24),1)</f>
        <v>0</v>
      </c>
      <c r="G25" s="726"/>
      <c r="H25" s="1718">
        <f>ROUND(SUM(H22:H24),1)</f>
        <v>0</v>
      </c>
      <c r="I25" s="1687"/>
      <c r="J25" s="1718">
        <f>ROUND(SUM(J22:J24),1)</f>
        <v>0</v>
      </c>
      <c r="K25" s="726"/>
      <c r="L25" s="1718">
        <f>ROUND(SUM(L22:L24),1)</f>
        <v>0.1</v>
      </c>
      <c r="M25" s="1687"/>
      <c r="N25" s="3399">
        <f>ROUND(SUM(N22:N24),1)</f>
        <v>0</v>
      </c>
      <c r="O25" s="1704"/>
      <c r="P25" s="1718">
        <f>ROUND(SUM(P22:P24),1)</f>
        <v>0</v>
      </c>
      <c r="Q25" s="1687"/>
      <c r="R25" s="1718">
        <f>ROUND(SUM(R22:R24),1)</f>
        <v>0</v>
      </c>
      <c r="S25" s="1687"/>
      <c r="T25" s="1718">
        <f>ROUND(SUM(T22:T24),1)</f>
        <v>0</v>
      </c>
      <c r="U25" s="1704"/>
      <c r="V25" s="1718">
        <f>ROUND(SUM(V22:V24),1)</f>
        <v>0</v>
      </c>
      <c r="W25" s="1704"/>
      <c r="X25" s="1718">
        <f>ROUND(SUM(X22:X24),1)</f>
        <v>0</v>
      </c>
      <c r="Y25" s="1688"/>
      <c r="Z25" s="1689"/>
      <c r="AA25" s="2205">
        <f>ROUND(SUM(AA22:AA24),1)</f>
        <v>0.2</v>
      </c>
      <c r="AB25" s="2227"/>
      <c r="AC25" s="2228"/>
      <c r="AD25" s="2205">
        <f>ROUND(SUM(AD22:AD24),1)</f>
        <v>0.3</v>
      </c>
      <c r="AE25" s="2205"/>
      <c r="AF25" s="2158"/>
      <c r="AG25" s="2209">
        <f>ROUND(SUM(AG22:AG24),1)</f>
        <v>-0.1</v>
      </c>
      <c r="AH25" s="2180"/>
      <c r="AI25" s="3445">
        <f>ROUND(IF(AD25=0,1,AG25/ABS(AD25)),3)</f>
        <v>-0.33300000000000002</v>
      </c>
    </row>
    <row r="26" spans="1:35" s="739" customFormat="1" ht="18.95" customHeight="1">
      <c r="A26" s="350"/>
      <c r="B26" s="725"/>
      <c r="C26" s="440"/>
      <c r="D26" s="725" t="s">
        <v>15</v>
      </c>
      <c r="E26" s="440"/>
      <c r="F26" s="725"/>
      <c r="G26" s="440"/>
      <c r="H26" s="1690"/>
      <c r="I26" s="1682"/>
      <c r="J26" s="1690"/>
      <c r="K26" s="440"/>
      <c r="L26" s="1690"/>
      <c r="M26" s="1682"/>
      <c r="N26" s="3381"/>
      <c r="O26" s="1682"/>
      <c r="P26" s="1690"/>
      <c r="Q26" s="1682"/>
      <c r="R26" s="1690"/>
      <c r="S26" s="1682"/>
      <c r="T26" s="1690"/>
      <c r="U26" s="1682"/>
      <c r="V26" s="1690"/>
      <c r="W26" s="1682"/>
      <c r="X26" s="1690"/>
      <c r="Y26" s="1683"/>
      <c r="Z26" s="1684"/>
      <c r="AA26" s="2229"/>
      <c r="AB26" s="2224"/>
      <c r="AC26" s="2230"/>
      <c r="AD26" s="2229"/>
      <c r="AE26" s="2178"/>
      <c r="AF26" s="2157"/>
      <c r="AG26" s="2178"/>
      <c r="AH26" s="2165"/>
      <c r="AI26" s="3440"/>
    </row>
    <row r="27" spans="1:35" s="739" customFormat="1" ht="18.95" customHeight="1">
      <c r="A27" s="459" t="s">
        <v>162</v>
      </c>
      <c r="B27" s="440"/>
      <c r="C27" s="440"/>
      <c r="D27" s="447" t="s">
        <v>15</v>
      </c>
      <c r="E27" s="440"/>
      <c r="F27" s="440"/>
      <c r="G27" s="440"/>
      <c r="H27" s="1682"/>
      <c r="I27" s="1682"/>
      <c r="J27" s="1682"/>
      <c r="K27" s="440"/>
      <c r="L27" s="1682"/>
      <c r="M27" s="1682"/>
      <c r="N27" s="3382"/>
      <c r="O27" s="1682"/>
      <c r="P27" s="1682"/>
      <c r="Q27" s="1682"/>
      <c r="R27" s="1682"/>
      <c r="S27" s="1682"/>
      <c r="T27" s="1682"/>
      <c r="U27" s="1682"/>
      <c r="V27" s="1682"/>
      <c r="W27" s="1682"/>
      <c r="X27" s="1682"/>
      <c r="Y27" s="1683"/>
      <c r="Z27" s="1684"/>
      <c r="AA27" s="2201"/>
      <c r="AB27" s="2224"/>
      <c r="AC27" s="2225"/>
      <c r="AD27" s="2201"/>
      <c r="AE27" s="2201"/>
      <c r="AF27" s="2157"/>
      <c r="AG27" s="2178"/>
      <c r="AH27" s="2165"/>
      <c r="AI27" s="3440"/>
    </row>
    <row r="28" spans="1:35" s="739" customFormat="1" ht="18.75" customHeight="1">
      <c r="A28" s="459" t="s">
        <v>45</v>
      </c>
      <c r="B28" s="1699">
        <f>ROUND(B17-B25,1)</f>
        <v>-1.6</v>
      </c>
      <c r="C28" s="726"/>
      <c r="D28" s="1699">
        <f>ROUND(D17-D25,1)</f>
        <v>1.7</v>
      </c>
      <c r="E28" s="1719"/>
      <c r="F28" s="1699">
        <f>ROUND(F17-F25,1)</f>
        <v>-1.5</v>
      </c>
      <c r="G28" s="1719"/>
      <c r="H28" s="1699">
        <f>ROUND(H17-H25,1)</f>
        <v>0</v>
      </c>
      <c r="I28" s="1720"/>
      <c r="J28" s="1699">
        <f>ROUND(J17-J25,1)</f>
        <v>0</v>
      </c>
      <c r="K28" s="1719"/>
      <c r="L28" s="1699">
        <f>ROUND(L17-L25,1)</f>
        <v>0</v>
      </c>
      <c r="M28" s="1721"/>
      <c r="N28" s="3400">
        <f>ROUND(N17-N25,1)</f>
        <v>0.1</v>
      </c>
      <c r="O28" s="1721"/>
      <c r="P28" s="1699">
        <f>ROUND(P17-P25,1)</f>
        <v>0</v>
      </c>
      <c r="Q28" s="1721"/>
      <c r="R28" s="1699">
        <f>ROUND(R17-R25,1)</f>
        <v>0.3</v>
      </c>
      <c r="S28" s="1721"/>
      <c r="T28" s="1699">
        <f>ROUND(T17-T25,1)</f>
        <v>0.1</v>
      </c>
      <c r="U28" s="1721"/>
      <c r="V28" s="1699">
        <f>ROUND(V17-V25,1)</f>
        <v>0</v>
      </c>
      <c r="W28" s="1721"/>
      <c r="X28" s="1699">
        <f>ROUND(X17-X25,1)</f>
        <v>0</v>
      </c>
      <c r="Y28" s="1688"/>
      <c r="Z28" s="1689"/>
      <c r="AA28" s="2233">
        <f>ROUND(AA17-AA25,1)</f>
        <v>-0.9</v>
      </c>
      <c r="AB28" s="2227"/>
      <c r="AC28" s="2234"/>
      <c r="AD28" s="2233">
        <f>ROUND(AD17-AD25,1)</f>
        <v>0</v>
      </c>
      <c r="AE28" s="2206"/>
      <c r="AF28" s="2158"/>
      <c r="AG28" s="2179">
        <f>ROUND(SUM(AG17-AG25),1)</f>
        <v>-0.9</v>
      </c>
      <c r="AH28" s="2180"/>
      <c r="AI28" s="3446">
        <f>ROUND(IF(AD28=0,-1,AG28/ABS(AD28)),3)</f>
        <v>-1</v>
      </c>
    </row>
    <row r="29" spans="1:35" s="739" customFormat="1" ht="18.95" customHeight="1">
      <c r="A29" s="350"/>
      <c r="B29" s="447"/>
      <c r="C29" s="440"/>
      <c r="D29" s="447" t="s">
        <v>15</v>
      </c>
      <c r="E29" s="440"/>
      <c r="F29" s="447"/>
      <c r="G29" s="440"/>
      <c r="H29" s="1681"/>
      <c r="I29" s="1682"/>
      <c r="J29" s="1681"/>
      <c r="K29" s="440"/>
      <c r="L29" s="1681"/>
      <c r="M29" s="1682"/>
      <c r="N29" s="3381"/>
      <c r="O29" s="1682"/>
      <c r="P29" s="1681"/>
      <c r="Q29" s="1682"/>
      <c r="R29" s="1690"/>
      <c r="S29" s="1682"/>
      <c r="T29" s="1681"/>
      <c r="U29" s="1682"/>
      <c r="V29" s="1681"/>
      <c r="W29" s="1682"/>
      <c r="X29" s="1690"/>
      <c r="Y29" s="1683"/>
      <c r="Z29" s="1684"/>
      <c r="AA29" s="2178"/>
      <c r="AB29" s="2224"/>
      <c r="AC29" s="2230"/>
      <c r="AD29" s="2178"/>
      <c r="AE29" s="2178"/>
      <c r="AF29" s="2159"/>
      <c r="AG29" s="2178"/>
      <c r="AH29" s="2165"/>
      <c r="AI29" s="3440"/>
    </row>
    <row r="30" spans="1:35" s="739" customFormat="1" ht="18.95" customHeight="1">
      <c r="A30" s="459" t="s">
        <v>46</v>
      </c>
      <c r="B30" s="440"/>
      <c r="C30" s="440"/>
      <c r="D30" s="440"/>
      <c r="E30" s="440"/>
      <c r="F30" s="440"/>
      <c r="G30" s="440"/>
      <c r="H30" s="1682"/>
      <c r="I30" s="1682"/>
      <c r="J30" s="1682"/>
      <c r="K30" s="440"/>
      <c r="L30" s="1682"/>
      <c r="M30" s="1682"/>
      <c r="N30" s="3382"/>
      <c r="O30" s="1682"/>
      <c r="P30" s="1682"/>
      <c r="Q30" s="1682"/>
      <c r="R30" s="1682"/>
      <c r="S30" s="1682"/>
      <c r="T30" s="1682"/>
      <c r="U30" s="1682"/>
      <c r="V30" s="1682"/>
      <c r="W30" s="1682"/>
      <c r="X30" s="1682"/>
      <c r="Y30" s="1683"/>
      <c r="Z30" s="1684"/>
      <c r="AA30" s="2201"/>
      <c r="AB30" s="2224"/>
      <c r="AC30" s="2225"/>
      <c r="AD30" s="2201"/>
      <c r="AE30" s="2201"/>
      <c r="AF30" s="2159"/>
      <c r="AG30" s="2178"/>
      <c r="AH30" s="2165"/>
      <c r="AI30" s="3440"/>
    </row>
    <row r="31" spans="1:35" s="739" customFormat="1" ht="18.95" customHeight="1">
      <c r="A31" s="350" t="s">
        <v>187</v>
      </c>
      <c r="B31" s="442">
        <v>0</v>
      </c>
      <c r="C31" s="440"/>
      <c r="D31" s="442">
        <v>0</v>
      </c>
      <c r="E31" s="440"/>
      <c r="F31" s="442">
        <v>0</v>
      </c>
      <c r="G31" s="440"/>
      <c r="H31" s="442">
        <v>0</v>
      </c>
      <c r="I31" s="1682"/>
      <c r="J31" s="442">
        <v>0</v>
      </c>
      <c r="K31" s="440"/>
      <c r="L31" s="442">
        <v>0</v>
      </c>
      <c r="M31" s="1682"/>
      <c r="N31" s="3386">
        <v>0</v>
      </c>
      <c r="O31" s="1682"/>
      <c r="P31" s="442">
        <v>0</v>
      </c>
      <c r="Q31" s="1682"/>
      <c r="R31" s="442">
        <v>0</v>
      </c>
      <c r="S31" s="1682"/>
      <c r="T31" s="442">
        <v>0</v>
      </c>
      <c r="U31" s="1682"/>
      <c r="V31" s="442"/>
      <c r="W31" s="1682"/>
      <c r="X31" s="442"/>
      <c r="Y31" s="1683"/>
      <c r="Z31" s="1684"/>
      <c r="AA31" s="2204">
        <f>ROUND(SUM(B31:X31),1)</f>
        <v>0</v>
      </c>
      <c r="AB31" s="2224"/>
      <c r="AC31" s="2225"/>
      <c r="AD31" s="2202">
        <v>0</v>
      </c>
      <c r="AE31" s="2202"/>
      <c r="AF31" s="2160"/>
      <c r="AG31" s="447">
        <f>ROUND(SUM(AA31-AD31),1)</f>
        <v>0</v>
      </c>
      <c r="AH31" s="2183"/>
      <c r="AI31" s="3443">
        <f>ROUND(IF(AG31=0,0,AG31/ABS(AD31)),3)</f>
        <v>0</v>
      </c>
    </row>
    <row r="32" spans="1:35" s="739" customFormat="1" ht="18.95" customHeight="1">
      <c r="A32" s="350" t="s">
        <v>188</v>
      </c>
      <c r="B32" s="442">
        <v>0</v>
      </c>
      <c r="C32" s="440"/>
      <c r="D32" s="442">
        <v>0</v>
      </c>
      <c r="E32" s="440"/>
      <c r="F32" s="442">
        <v>0</v>
      </c>
      <c r="G32" s="440"/>
      <c r="H32" s="442">
        <v>0</v>
      </c>
      <c r="I32" s="1682"/>
      <c r="J32" s="442">
        <v>0</v>
      </c>
      <c r="K32" s="440"/>
      <c r="L32" s="442">
        <v>0</v>
      </c>
      <c r="M32" s="1681"/>
      <c r="N32" s="3386">
        <v>0</v>
      </c>
      <c r="O32" s="1681"/>
      <c r="P32" s="442">
        <v>0</v>
      </c>
      <c r="Q32" s="1681"/>
      <c r="R32" s="442">
        <v>0</v>
      </c>
      <c r="S32" s="1681"/>
      <c r="T32" s="442">
        <v>0</v>
      </c>
      <c r="U32" s="1681"/>
      <c r="V32" s="442"/>
      <c r="W32" s="1681"/>
      <c r="X32" s="442"/>
      <c r="Y32" s="1683"/>
      <c r="Z32" s="1684"/>
      <c r="AA32" s="2204">
        <f>ROUND(SUM(B32:X32),1)</f>
        <v>0</v>
      </c>
      <c r="AB32" s="2235"/>
      <c r="AC32" s="2236"/>
      <c r="AD32" s="2202">
        <v>0</v>
      </c>
      <c r="AE32" s="2202"/>
      <c r="AF32" s="2159"/>
      <c r="AG32" s="447">
        <f>ROUND(SUM(AA32-AD32),1)</f>
        <v>0</v>
      </c>
      <c r="AH32" s="2183"/>
      <c r="AI32" s="3443">
        <f>ROUND(IF(AG32=0,0,AG32/ABS(AD32)),3)</f>
        <v>0</v>
      </c>
    </row>
    <row r="33" spans="1:35" s="739" customFormat="1" ht="22.5" customHeight="1">
      <c r="A33" s="459" t="s">
        <v>214</v>
      </c>
      <c r="B33" s="1722">
        <f>ROUND(SUM(B31:B32),1)</f>
        <v>0</v>
      </c>
      <c r="C33" s="726"/>
      <c r="D33" s="1722">
        <f>ROUND(SUM(D31:D32),1)</f>
        <v>0</v>
      </c>
      <c r="E33" s="726"/>
      <c r="F33" s="1722">
        <f>ROUND(SUM(F31:F32),1)</f>
        <v>0</v>
      </c>
      <c r="G33" s="726"/>
      <c r="H33" s="1722">
        <f>ROUND(SUM(H31:H32),1)</f>
        <v>0</v>
      </c>
      <c r="I33" s="1687"/>
      <c r="J33" s="1722">
        <f>ROUND(SUM(J31:J32),1)</f>
        <v>0</v>
      </c>
      <c r="K33" s="726"/>
      <c r="L33" s="1722">
        <f>ROUND(SUM(L31:L32),1)</f>
        <v>0</v>
      </c>
      <c r="M33" s="1687"/>
      <c r="N33" s="3401">
        <f>ROUND(SUM(N31:N32),1)</f>
        <v>0</v>
      </c>
      <c r="O33" s="1687"/>
      <c r="P33" s="1722">
        <f>ROUND(SUM(P31:P32),1)</f>
        <v>0</v>
      </c>
      <c r="Q33" s="1723"/>
      <c r="R33" s="1722">
        <f>ROUND(SUM(R31:R32),1)</f>
        <v>0</v>
      </c>
      <c r="S33" s="1687"/>
      <c r="T33" s="1722">
        <f>ROUND(SUM(T31:T32),1)</f>
        <v>0</v>
      </c>
      <c r="U33" s="1687"/>
      <c r="V33" s="1722">
        <f>ROUND(SUM(V31:V32),1)</f>
        <v>0</v>
      </c>
      <c r="W33" s="1687"/>
      <c r="X33" s="1722">
        <f>ROUND(SUM(X31:X32),1)</f>
        <v>0</v>
      </c>
      <c r="Y33" s="1688"/>
      <c r="Z33" s="1689"/>
      <c r="AA33" s="2237">
        <f>ROUND(SUM(AA31:AA32),1)</f>
        <v>0</v>
      </c>
      <c r="AB33" s="2238"/>
      <c r="AC33" s="2239"/>
      <c r="AD33" s="2237">
        <f>ROUND(SUM(AD31:AD32),1)</f>
        <v>0</v>
      </c>
      <c r="AE33" s="2207"/>
      <c r="AF33" s="2160"/>
      <c r="AG33" s="2209">
        <f>ROUND(SUM(AG31-AG32),1)</f>
        <v>0</v>
      </c>
      <c r="AH33" s="2190"/>
      <c r="AI33" s="3445">
        <f>ROUND(IF(AG33=0,0,AG33/ABS(AD33)),3)</f>
        <v>0</v>
      </c>
    </row>
    <row r="34" spans="1:35" s="739" customFormat="1" ht="18.95" customHeight="1">
      <c r="A34" s="350"/>
      <c r="B34" s="725"/>
      <c r="C34" s="440"/>
      <c r="D34" s="725" t="s">
        <v>15</v>
      </c>
      <c r="E34" s="440"/>
      <c r="F34" s="725"/>
      <c r="G34" s="440"/>
      <c r="H34" s="1690"/>
      <c r="I34" s="1682"/>
      <c r="J34" s="1690"/>
      <c r="K34" s="440"/>
      <c r="L34" s="1690"/>
      <c r="M34" s="1682"/>
      <c r="N34" s="3381"/>
      <c r="O34" s="1682"/>
      <c r="P34" s="1690"/>
      <c r="Q34" s="1682"/>
      <c r="R34" s="1690"/>
      <c r="S34" s="1682"/>
      <c r="T34" s="1690"/>
      <c r="U34" s="1682"/>
      <c r="V34" s="1690"/>
      <c r="W34" s="1682"/>
      <c r="X34" s="1690"/>
      <c r="Y34" s="1683"/>
      <c r="Z34" s="1684"/>
      <c r="AA34" s="2229"/>
      <c r="AB34" s="2224"/>
      <c r="AC34" s="2230"/>
      <c r="AD34" s="2229"/>
      <c r="AE34" s="2178"/>
      <c r="AF34" s="2157"/>
      <c r="AG34" s="2178"/>
      <c r="AH34" s="2165"/>
      <c r="AI34" s="3440"/>
    </row>
    <row r="35" spans="1:35" s="739" customFormat="1" ht="18.95" customHeight="1">
      <c r="A35" s="459" t="s">
        <v>171</v>
      </c>
      <c r="B35" s="440"/>
      <c r="C35" s="440"/>
      <c r="D35" s="440" t="s">
        <v>15</v>
      </c>
      <c r="E35" s="440"/>
      <c r="F35" s="440"/>
      <c r="G35" s="440"/>
      <c r="H35" s="1682"/>
      <c r="I35" s="1682"/>
      <c r="J35" s="1682"/>
      <c r="K35" s="440"/>
      <c r="L35" s="1682"/>
      <c r="M35" s="1682"/>
      <c r="N35" s="3382"/>
      <c r="O35" s="1682"/>
      <c r="P35" s="1682"/>
      <c r="Q35" s="1682"/>
      <c r="R35" s="1682"/>
      <c r="S35" s="1682"/>
      <c r="T35" s="1682"/>
      <c r="U35" s="1682"/>
      <c r="V35" s="1682"/>
      <c r="W35" s="1682"/>
      <c r="X35" s="1682"/>
      <c r="Y35" s="1683"/>
      <c r="Z35" s="1684"/>
      <c r="AA35" s="2201"/>
      <c r="AB35" s="2224"/>
      <c r="AC35" s="2225"/>
      <c r="AD35" s="2201"/>
      <c r="AE35" s="2201"/>
      <c r="AF35" s="2157"/>
      <c r="AG35" s="2178"/>
      <c r="AH35" s="2165"/>
      <c r="AI35" s="3440"/>
    </row>
    <row r="36" spans="1:35" s="739" customFormat="1" ht="18.95" customHeight="1">
      <c r="A36" s="459" t="s">
        <v>233</v>
      </c>
      <c r="B36" s="440"/>
      <c r="C36" s="440"/>
      <c r="D36" s="440"/>
      <c r="E36" s="440"/>
      <c r="F36" s="440"/>
      <c r="G36" s="440"/>
      <c r="H36" s="1682"/>
      <c r="I36" s="1682"/>
      <c r="J36" s="1682"/>
      <c r="K36" s="440"/>
      <c r="L36" s="1682"/>
      <c r="M36" s="1682"/>
      <c r="N36" s="3382"/>
      <c r="O36" s="1682"/>
      <c r="P36" s="1682"/>
      <c r="Q36" s="1682"/>
      <c r="R36" s="1682"/>
      <c r="S36" s="1682"/>
      <c r="T36" s="1682"/>
      <c r="U36" s="1682"/>
      <c r="V36" s="1681"/>
      <c r="W36" s="1682"/>
      <c r="X36" s="1682"/>
      <c r="Y36" s="1683"/>
      <c r="Z36" s="1684"/>
      <c r="AA36" s="2201"/>
      <c r="AB36" s="2224"/>
      <c r="AC36" s="2225"/>
      <c r="AD36" s="2208"/>
      <c r="AE36" s="2208"/>
      <c r="AF36" s="2161"/>
      <c r="AG36" s="2178"/>
      <c r="AH36" s="2165"/>
      <c r="AI36" s="3440"/>
    </row>
    <row r="37" spans="1:35" s="741" customFormat="1" ht="18.95" customHeight="1">
      <c r="A37" s="459" t="s">
        <v>173</v>
      </c>
      <c r="B37" s="1697">
        <f>ROUND(B28+B33,1)</f>
        <v>-1.6</v>
      </c>
      <c r="C37" s="726"/>
      <c r="D37" s="1697">
        <f>ROUND(D28+D33,1)</f>
        <v>1.7</v>
      </c>
      <c r="E37" s="732"/>
      <c r="F37" s="1697">
        <f>ROUND(F28+F33,1)</f>
        <v>-1.5</v>
      </c>
      <c r="G37" s="732"/>
      <c r="H37" s="1697">
        <f>ROUND(H28+H33,1)</f>
        <v>0</v>
      </c>
      <c r="I37" s="1704"/>
      <c r="J37" s="1697">
        <f>ROUND(J28+J33,1)</f>
        <v>0</v>
      </c>
      <c r="K37" s="732"/>
      <c r="L37" s="1697">
        <f>ROUND(L28+L33,1)</f>
        <v>0</v>
      </c>
      <c r="M37" s="1707"/>
      <c r="N37" s="3384">
        <f>ROUND(N28+N33,1)</f>
        <v>0.1</v>
      </c>
      <c r="O37" s="1707"/>
      <c r="P37" s="1697">
        <f>ROUND(P28+P33,1)</f>
        <v>0</v>
      </c>
      <c r="Q37" s="1707"/>
      <c r="R37" s="1697">
        <f>ROUND(R28+R33,1)</f>
        <v>0.3</v>
      </c>
      <c r="S37" s="1704"/>
      <c r="T37" s="1697">
        <f>ROUND(T28+T33,1)</f>
        <v>0.1</v>
      </c>
      <c r="U37" s="1704"/>
      <c r="V37" s="1697">
        <f>ROUND(V28+V33,1)</f>
        <v>0</v>
      </c>
      <c r="W37" s="1704"/>
      <c r="X37" s="1697">
        <f>ROUND(X28+X33,1)</f>
        <v>0</v>
      </c>
      <c r="Y37" s="1688"/>
      <c r="Z37" s="1689"/>
      <c r="AA37" s="2206">
        <f>ROUND(AA28+AA33,1)</f>
        <v>-0.9</v>
      </c>
      <c r="AB37" s="2212"/>
      <c r="AC37" s="2240"/>
      <c r="AD37" s="2206">
        <f>ROUND(AD28+AD33,1)</f>
        <v>0</v>
      </c>
      <c r="AE37" s="2206"/>
      <c r="AF37" s="2162"/>
      <c r="AG37" s="2212">
        <f>ROUND(SUM(AG28+AG33),1)</f>
        <v>-0.9</v>
      </c>
      <c r="AH37" s="2154"/>
      <c r="AI37" s="3447">
        <f>ROUND(IF(AD37=0,-1,AG37/ABS(AD37)),3)</f>
        <v>-1</v>
      </c>
    </row>
    <row r="38" spans="1:35" s="739" customFormat="1" ht="22.5" customHeight="1" thickBot="1">
      <c r="A38" s="459" t="s">
        <v>145</v>
      </c>
      <c r="B38" s="1709">
        <f>ROUND(SUM(B13,B37),1)</f>
        <v>10</v>
      </c>
      <c r="C38" s="714"/>
      <c r="D38" s="1709">
        <f>ROUND(SUM(D13,D37),1)</f>
        <v>11.7</v>
      </c>
      <c r="E38" s="714"/>
      <c r="F38" s="1709">
        <f>ROUND(SUM(F13,F37),1)</f>
        <v>10.199999999999999</v>
      </c>
      <c r="G38" s="714"/>
      <c r="H38" s="1709">
        <f>ROUND(SUM(H13,H37),1)</f>
        <v>10.199999999999999</v>
      </c>
      <c r="I38" s="1710"/>
      <c r="J38" s="1709">
        <f>ROUND(SUM(J13,J37),1)</f>
        <v>10.199999999999999</v>
      </c>
      <c r="K38" s="714"/>
      <c r="L38" s="1709">
        <f>ROUND(SUM(L13,L37),1)</f>
        <v>10.199999999999999</v>
      </c>
      <c r="M38" s="717"/>
      <c r="N38" s="3388">
        <f>ROUND(SUM(N13,N37),1)</f>
        <v>10.3</v>
      </c>
      <c r="O38" s="717"/>
      <c r="P38" s="1709">
        <f>ROUND(SUM(P13,P37),1)</f>
        <v>10.3</v>
      </c>
      <c r="Q38" s="717"/>
      <c r="R38" s="1709">
        <f>ROUND(SUM(R13,R37),1)</f>
        <v>10.6</v>
      </c>
      <c r="S38" s="1710"/>
      <c r="T38" s="1709">
        <f>ROUND(SUM(T13,T37),1)</f>
        <v>10.7</v>
      </c>
      <c r="U38" s="1710"/>
      <c r="V38" s="1709">
        <f>ROUND(SUM(V13,V37),1)</f>
        <v>0</v>
      </c>
      <c r="W38" s="1710"/>
      <c r="X38" s="1709">
        <f>ROUND(SUM(X13,X37),1)</f>
        <v>0</v>
      </c>
      <c r="Y38" s="1671"/>
      <c r="Z38" s="1672"/>
      <c r="AA38" s="2241">
        <f>ROUND(SUM(AA13,AA37),1)</f>
        <v>10.7</v>
      </c>
      <c r="AB38" s="2172"/>
      <c r="AC38" s="2242"/>
      <c r="AD38" s="2213">
        <f>ROUND(SUM(AD13,AD37),1)</f>
        <v>11.5</v>
      </c>
      <c r="AE38" s="2172"/>
      <c r="AF38" s="2163"/>
      <c r="AG38" s="2213">
        <f>ROUND(SUM(AA38-AD38),1)</f>
        <v>-0.8</v>
      </c>
      <c r="AH38" s="2189"/>
      <c r="AI38" s="2731">
        <f>ROUND(IF(AG38=0,0,AG38/ABS(AD38)),3)</f>
        <v>-7.0000000000000007E-2</v>
      </c>
    </row>
    <row r="39" spans="1:35" s="739" customFormat="1" ht="18.95" customHeight="1" thickTop="1">
      <c r="A39" s="350" t="s">
        <v>15</v>
      </c>
      <c r="B39" s="1712"/>
      <c r="C39" s="1713"/>
      <c r="D39" s="1712"/>
      <c r="E39" s="1713"/>
      <c r="F39" s="1712"/>
      <c r="G39" s="1713"/>
      <c r="H39" s="1712"/>
      <c r="I39" s="1713"/>
      <c r="J39" s="1712"/>
      <c r="K39" s="1713"/>
      <c r="L39" s="1712"/>
      <c r="M39" s="1713"/>
      <c r="N39" s="3389"/>
      <c r="O39" s="1713"/>
      <c r="P39" s="1712"/>
      <c r="Q39" s="1713"/>
      <c r="R39" s="1712"/>
      <c r="S39" s="1713"/>
      <c r="T39" s="1712"/>
      <c r="U39" s="1713"/>
      <c r="V39" s="1712"/>
      <c r="W39" s="1713"/>
      <c r="X39" s="1712"/>
      <c r="Y39" s="1713"/>
      <c r="Z39" s="1713"/>
      <c r="AA39" s="2243"/>
      <c r="AB39" s="2187"/>
      <c r="AC39" s="2187"/>
      <c r="AD39" s="2187"/>
      <c r="AE39" s="2187"/>
      <c r="AF39" s="2187"/>
      <c r="AG39" s="2174"/>
      <c r="AH39" s="2165"/>
      <c r="AI39" s="2164"/>
    </row>
    <row r="40" spans="1:35" s="739" customFormat="1" ht="18.95" customHeight="1">
      <c r="B40" s="252"/>
      <c r="C40" s="366"/>
      <c r="D40" s="252"/>
      <c r="E40" s="252"/>
      <c r="F40" s="252"/>
      <c r="G40" s="252"/>
      <c r="H40" s="252"/>
      <c r="I40" s="252"/>
      <c r="J40" s="252"/>
      <c r="K40" s="252"/>
      <c r="L40" s="252"/>
      <c r="M40" s="252"/>
      <c r="N40" s="316"/>
      <c r="O40" s="252"/>
      <c r="P40" s="252"/>
      <c r="Q40" s="252"/>
      <c r="R40" s="252"/>
      <c r="S40" s="252"/>
      <c r="T40" s="252"/>
      <c r="U40" s="252"/>
      <c r="V40" s="252"/>
      <c r="W40" s="252"/>
      <c r="X40" s="252"/>
      <c r="Y40" s="252"/>
      <c r="Z40" s="252"/>
      <c r="AA40" s="252"/>
      <c r="AB40" s="252"/>
      <c r="AC40" s="252"/>
      <c r="AD40" s="252"/>
      <c r="AE40" s="252"/>
      <c r="AF40" s="252"/>
      <c r="AG40" s="746"/>
      <c r="AH40" s="744"/>
    </row>
    <row r="41" spans="1:35" ht="15.75" customHeight="1">
      <c r="A41" s="743"/>
      <c r="B41" s="366"/>
      <c r="C41" s="366"/>
      <c r="D41" s="366"/>
      <c r="E41" s="366"/>
      <c r="F41" s="366"/>
      <c r="G41" s="366"/>
      <c r="H41" s="366"/>
      <c r="I41" s="366"/>
      <c r="J41" s="366"/>
      <c r="K41" s="366"/>
      <c r="L41" s="366"/>
      <c r="M41" s="366"/>
      <c r="N41" s="340"/>
      <c r="O41" s="366"/>
      <c r="P41" s="366"/>
      <c r="Q41" s="366"/>
      <c r="R41" s="366"/>
      <c r="S41" s="366"/>
      <c r="T41" s="366"/>
      <c r="U41" s="366"/>
      <c r="V41" s="366"/>
      <c r="W41" s="366"/>
      <c r="X41" s="366"/>
      <c r="Y41" s="366"/>
      <c r="Z41" s="366"/>
      <c r="AA41" s="366"/>
      <c r="AB41" s="366"/>
      <c r="AC41" s="366"/>
      <c r="AD41" s="366"/>
      <c r="AE41" s="366"/>
      <c r="AF41" s="366"/>
      <c r="AG41" s="747"/>
    </row>
    <row r="42" spans="1:35" ht="15">
      <c r="A42" s="739"/>
    </row>
    <row r="43" spans="1:35" ht="13.5" customHeight="1">
      <c r="A43" s="1321"/>
      <c r="B43" s="366"/>
      <c r="C43" s="366"/>
      <c r="D43" s="366"/>
      <c r="E43" s="366"/>
      <c r="F43" s="366"/>
      <c r="G43" s="366"/>
      <c r="H43" s="366"/>
      <c r="I43" s="366"/>
      <c r="J43" s="366"/>
      <c r="K43" s="366"/>
      <c r="L43" s="366"/>
      <c r="M43" s="366"/>
      <c r="N43" s="340"/>
      <c r="O43" s="366"/>
      <c r="P43" s="366"/>
      <c r="Q43" s="366"/>
      <c r="R43" s="366"/>
      <c r="S43" s="366"/>
      <c r="T43" s="366"/>
      <c r="U43" s="366"/>
      <c r="V43" s="366"/>
      <c r="W43" s="366"/>
      <c r="X43" s="366"/>
      <c r="Y43" s="366"/>
      <c r="Z43" s="366"/>
      <c r="AA43" s="366"/>
      <c r="AB43" s="366"/>
      <c r="AC43" s="366"/>
      <c r="AD43" s="366"/>
      <c r="AE43" s="366"/>
      <c r="AF43" s="366"/>
      <c r="AG43" s="747"/>
    </row>
    <row r="44" spans="1:35" ht="15">
      <c r="A44" s="223"/>
      <c r="B44" s="366"/>
      <c r="C44" s="366"/>
      <c r="D44" s="366"/>
      <c r="E44" s="366"/>
      <c r="F44" s="366"/>
      <c r="G44" s="366"/>
      <c r="H44" s="366"/>
      <c r="I44" s="366"/>
      <c r="J44" s="366"/>
      <c r="K44" s="366"/>
      <c r="L44" s="366"/>
      <c r="M44" s="366"/>
      <c r="N44" s="340"/>
      <c r="O44" s="366"/>
      <c r="P44" s="366"/>
      <c r="Q44" s="366"/>
      <c r="R44" s="366"/>
      <c r="S44" s="366"/>
      <c r="T44" s="366"/>
      <c r="U44" s="366"/>
      <c r="V44" s="366"/>
      <c r="W44" s="366"/>
      <c r="X44" s="366"/>
      <c r="Y44" s="366"/>
      <c r="Z44" s="366"/>
      <c r="AA44" s="366"/>
      <c r="AB44" s="366"/>
      <c r="AC44" s="366"/>
      <c r="AD44" s="366"/>
      <c r="AE44" s="366"/>
      <c r="AF44" s="366"/>
      <c r="AG44" s="747"/>
    </row>
    <row r="45" spans="1:35" ht="15">
      <c r="A45" s="223"/>
      <c r="B45" s="366"/>
      <c r="C45" s="366"/>
      <c r="D45" s="366"/>
      <c r="E45" s="366"/>
      <c r="F45" s="366"/>
      <c r="G45" s="366"/>
      <c r="H45" s="366"/>
      <c r="I45" s="366"/>
      <c r="J45" s="366"/>
      <c r="K45" s="366"/>
      <c r="L45" s="366"/>
      <c r="M45" s="366"/>
      <c r="N45" s="340"/>
      <c r="O45" s="366"/>
      <c r="P45" s="366"/>
      <c r="Q45" s="366"/>
      <c r="R45" s="366"/>
      <c r="S45" s="366"/>
      <c r="T45" s="366"/>
      <c r="U45" s="366"/>
      <c r="V45" s="366"/>
      <c r="W45" s="366"/>
      <c r="X45" s="366"/>
      <c r="Y45" s="366"/>
      <c r="Z45" s="366"/>
      <c r="AA45" s="366"/>
      <c r="AB45" s="366"/>
      <c r="AC45" s="366"/>
      <c r="AD45" s="366"/>
      <c r="AE45" s="366"/>
      <c r="AF45" s="366"/>
    </row>
    <row r="46" spans="1:35" ht="15">
      <c r="A46" s="223"/>
      <c r="B46" s="366"/>
      <c r="C46" s="366"/>
      <c r="D46" s="366"/>
      <c r="E46" s="366"/>
      <c r="F46" s="366"/>
      <c r="G46" s="366"/>
      <c r="H46" s="366"/>
      <c r="I46" s="366"/>
      <c r="J46" s="366"/>
      <c r="K46" s="366"/>
      <c r="L46" s="366"/>
      <c r="M46" s="366"/>
      <c r="N46" s="340"/>
      <c r="O46" s="366"/>
      <c r="P46" s="366"/>
      <c r="Q46" s="366"/>
      <c r="R46" s="366"/>
      <c r="S46" s="366"/>
      <c r="T46" s="366"/>
      <c r="U46" s="366"/>
      <c r="V46" s="366"/>
      <c r="W46" s="366"/>
      <c r="X46" s="366"/>
      <c r="Y46" s="366"/>
      <c r="Z46" s="366"/>
      <c r="AA46" s="366"/>
      <c r="AB46" s="366"/>
      <c r="AC46" s="366"/>
      <c r="AD46" s="366"/>
      <c r="AE46" s="366"/>
      <c r="AF46" s="366"/>
    </row>
    <row r="47" spans="1:35" ht="15">
      <c r="A47" s="223"/>
      <c r="B47" s="223"/>
      <c r="C47" s="223"/>
      <c r="D47" s="223"/>
      <c r="E47" s="223"/>
      <c r="F47" s="223"/>
      <c r="G47" s="223"/>
      <c r="H47" s="223"/>
      <c r="I47" s="223"/>
      <c r="J47" s="223"/>
      <c r="K47" s="223"/>
      <c r="L47" s="223"/>
      <c r="M47" s="223"/>
      <c r="N47" s="306"/>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8" fitToHeight="0" orientation="landscape" useFirstPageNumber="1" r:id="rId2"/>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0" zoomScaleNormal="70" workbookViewId="0"/>
  </sheetViews>
  <sheetFormatPr defaultColWidth="8.88671875" defaultRowHeight="11.25"/>
  <cols>
    <col min="1" max="1" width="38.44140625" style="149" customWidth="1"/>
    <col min="2" max="2" width="6.88671875" style="149" customWidth="1"/>
    <col min="3" max="3" width="4.21875" style="149" customWidth="1"/>
    <col min="4" max="4" width="14" style="149" customWidth="1"/>
    <col min="5" max="5" width="1.109375" style="149" customWidth="1"/>
    <col min="6" max="6" width="13.44140625" style="149" customWidth="1"/>
    <col min="7" max="7" width="1.109375" style="149" customWidth="1"/>
    <col min="8" max="8" width="13.44140625" style="1165" customWidth="1"/>
    <col min="9" max="9" width="1.6640625" style="149" customWidth="1"/>
    <col min="10" max="10" width="13.44140625" style="149" customWidth="1"/>
    <col min="11" max="11" width="1.109375" style="149" customWidth="1"/>
    <col min="12" max="12" width="11.6640625" style="149" customWidth="1"/>
    <col min="13" max="13" width="1.109375" style="149" customWidth="1"/>
    <col min="14" max="14" width="13.5546875" style="149" customWidth="1"/>
    <col min="15" max="15" width="1.109375" style="149" customWidth="1"/>
    <col min="16" max="16" width="0.6640625" style="149" customWidth="1"/>
    <col min="17" max="17" width="1.109375" style="149" customWidth="1"/>
    <col min="18" max="18" width="14.44140625" style="149" customWidth="1"/>
    <col min="19" max="19" width="1.109375" style="149" customWidth="1"/>
    <col min="20" max="20" width="14.44140625" style="149" customWidth="1"/>
    <col min="21" max="21" width="1.109375" style="217" customWidth="1"/>
    <col min="22" max="22" width="0.6640625" style="217" customWidth="1"/>
    <col min="23" max="24" width="1.109375" style="217" customWidth="1"/>
    <col min="25" max="25" width="13.33203125" style="217" customWidth="1"/>
    <col min="26" max="26" width="1.109375" style="217" customWidth="1"/>
    <col min="27" max="27" width="16.77734375" style="217" bestFit="1" customWidth="1"/>
    <col min="28" max="28" width="1.88671875" style="217" customWidth="1"/>
    <col min="29" max="29" width="1.33203125" style="1861" customWidth="1"/>
    <col min="30" max="30" width="13.109375" style="217" customWidth="1"/>
    <col min="31" max="31" width="3" style="217" customWidth="1"/>
    <col min="32" max="32" width="12" style="217" customWidth="1"/>
    <col min="33" max="16384" width="8.88671875" style="217"/>
  </cols>
  <sheetData>
    <row r="1" spans="1:33" ht="15">
      <c r="A1" s="1159" t="s">
        <v>1090</v>
      </c>
    </row>
    <row r="2" spans="1:33" ht="15">
      <c r="A2" s="1159"/>
    </row>
    <row r="3" spans="1:33" ht="24" customHeight="1">
      <c r="A3" s="3490" t="s">
        <v>0</v>
      </c>
      <c r="B3" s="3491"/>
      <c r="C3" s="3491"/>
      <c r="D3" s="3491"/>
      <c r="E3" s="3491"/>
      <c r="F3" s="3491"/>
      <c r="G3" s="3491"/>
      <c r="H3" s="3491"/>
      <c r="I3" s="3491"/>
      <c r="J3" s="3491"/>
      <c r="K3" s="3491"/>
      <c r="L3" s="3491"/>
      <c r="M3" s="3491"/>
      <c r="N3" s="3491"/>
      <c r="O3" s="3491"/>
      <c r="P3" s="3491"/>
      <c r="Q3" s="3491"/>
      <c r="R3" s="3491"/>
      <c r="S3" s="3491"/>
      <c r="T3" s="3491"/>
      <c r="U3" s="3491"/>
      <c r="V3" s="3491"/>
      <c r="W3" s="3491"/>
      <c r="X3" s="3491"/>
      <c r="Y3" s="3491"/>
      <c r="Z3" s="3491"/>
      <c r="AA3" s="3491"/>
      <c r="AB3" s="3491"/>
      <c r="AC3" s="142"/>
      <c r="AF3" s="146" t="s">
        <v>55</v>
      </c>
    </row>
    <row r="4" spans="1:33" ht="20.25">
      <c r="A4" s="3492" t="s">
        <v>1304</v>
      </c>
      <c r="B4" s="3491"/>
      <c r="C4" s="3491"/>
      <c r="D4" s="3491"/>
      <c r="E4" s="3491"/>
      <c r="F4" s="3491"/>
      <c r="G4" s="3491"/>
      <c r="H4" s="3491"/>
      <c r="I4" s="3491"/>
      <c r="J4" s="3491"/>
      <c r="K4" s="3491"/>
      <c r="L4" s="3491"/>
      <c r="M4" s="3491"/>
      <c r="N4" s="3491"/>
      <c r="O4" s="3491"/>
      <c r="P4" s="3491"/>
      <c r="Q4" s="3491"/>
      <c r="R4" s="3491"/>
      <c r="S4" s="3491"/>
      <c r="T4" s="3491"/>
      <c r="U4" s="3491"/>
      <c r="V4" s="3491"/>
      <c r="W4" s="3491"/>
      <c r="X4" s="3491"/>
      <c r="Y4" s="3491"/>
      <c r="Z4" s="3491"/>
      <c r="AA4" s="3491"/>
      <c r="AB4" s="3491"/>
      <c r="AC4" s="142"/>
      <c r="AF4" s="146" t="s">
        <v>56</v>
      </c>
    </row>
    <row r="5" spans="1:33" ht="20.25">
      <c r="A5" s="3492" t="s">
        <v>984</v>
      </c>
      <c r="B5" s="3491"/>
      <c r="C5" s="3491"/>
      <c r="D5" s="3491"/>
      <c r="E5" s="3491"/>
      <c r="F5" s="3491"/>
      <c r="G5" s="3491"/>
      <c r="H5" s="3491"/>
      <c r="I5" s="3491"/>
      <c r="J5" s="3491"/>
      <c r="K5" s="3491"/>
      <c r="L5" s="3491"/>
      <c r="M5" s="3491"/>
      <c r="N5" s="3491"/>
      <c r="O5" s="3491"/>
      <c r="P5" s="3491"/>
      <c r="Q5" s="3491"/>
      <c r="R5" s="3491"/>
      <c r="S5" s="3491"/>
      <c r="T5" s="3491"/>
      <c r="U5" s="3491"/>
      <c r="V5" s="3491"/>
      <c r="W5" s="3491"/>
      <c r="X5" s="3491"/>
      <c r="Y5" s="3491"/>
      <c r="Z5" s="3491"/>
      <c r="AA5" s="3491"/>
      <c r="AB5" s="3491"/>
      <c r="AC5" s="142"/>
    </row>
    <row r="6" spans="1:33" ht="23.25" customHeight="1">
      <c r="A6" s="2248" t="s">
        <v>979</v>
      </c>
      <c r="B6" s="2247"/>
      <c r="C6" s="2247"/>
      <c r="D6" s="2247"/>
      <c r="E6" s="2247"/>
      <c r="F6" s="2247"/>
      <c r="G6" s="2247"/>
      <c r="H6" s="2247"/>
      <c r="I6" s="2247"/>
      <c r="J6" s="2247"/>
      <c r="K6" s="2247"/>
      <c r="L6" s="2247"/>
      <c r="M6" s="2247"/>
      <c r="N6" s="2247"/>
      <c r="O6" s="2247"/>
      <c r="P6" s="2247"/>
      <c r="Q6" s="2247"/>
      <c r="R6" s="2247"/>
      <c r="S6" s="2247"/>
      <c r="T6" s="2247"/>
      <c r="U6" s="2247"/>
      <c r="V6" s="2247"/>
      <c r="W6" s="2247"/>
      <c r="X6" s="2247"/>
      <c r="Y6" s="2247"/>
      <c r="Z6" s="2247"/>
      <c r="AA6" s="2247"/>
      <c r="AB6" s="2247"/>
      <c r="AC6" s="142"/>
    </row>
    <row r="7" spans="1:33" ht="23.25" customHeight="1">
      <c r="A7" s="3492"/>
      <c r="B7" s="3491"/>
      <c r="C7" s="3491"/>
      <c r="D7" s="3491"/>
      <c r="E7" s="3491"/>
      <c r="F7" s="3491"/>
      <c r="G7" s="3491"/>
      <c r="H7" s="3491"/>
      <c r="I7" s="3491"/>
      <c r="J7" s="3491"/>
      <c r="K7" s="3491"/>
      <c r="L7" s="3491"/>
      <c r="M7" s="3491"/>
      <c r="N7" s="3491"/>
      <c r="O7" s="3491"/>
      <c r="P7" s="3491"/>
      <c r="Q7" s="3491"/>
      <c r="R7" s="3491"/>
      <c r="S7" s="3491"/>
      <c r="T7" s="3491"/>
      <c r="U7" s="3491"/>
      <c r="V7" s="3491"/>
      <c r="W7" s="3491"/>
      <c r="X7" s="3491"/>
      <c r="Y7" s="3491"/>
      <c r="Z7" s="3491"/>
      <c r="AA7" s="3491"/>
      <c r="AB7" s="3491"/>
      <c r="AC7" s="142"/>
    </row>
    <row r="8" spans="1:33" ht="21">
      <c r="A8" s="143"/>
      <c r="B8" s="143"/>
      <c r="C8" s="143"/>
      <c r="D8" s="143"/>
      <c r="E8" s="143"/>
      <c r="F8" s="143"/>
      <c r="G8" s="143"/>
      <c r="H8" s="1164"/>
      <c r="I8" s="144"/>
      <c r="J8" s="144"/>
      <c r="K8" s="144"/>
      <c r="L8" s="144"/>
      <c r="M8" s="143"/>
      <c r="N8" s="144"/>
      <c r="O8" s="144"/>
      <c r="P8" s="144"/>
      <c r="Q8" s="144"/>
      <c r="R8" s="144"/>
      <c r="S8" s="144"/>
      <c r="T8" s="144"/>
      <c r="U8" s="2122"/>
      <c r="V8" s="2122"/>
      <c r="W8" s="2122"/>
      <c r="X8" s="2122"/>
      <c r="Y8" s="145"/>
      <c r="Z8" s="145"/>
      <c r="AA8" s="146"/>
      <c r="AB8" s="145"/>
      <c r="AC8" s="147"/>
    </row>
    <row r="9" spans="1:33" ht="20.25" customHeight="1">
      <c r="A9" s="143"/>
      <c r="B9" s="143"/>
      <c r="C9" s="143"/>
      <c r="D9" s="143"/>
      <c r="E9" s="143"/>
      <c r="F9" s="143"/>
      <c r="G9" s="143"/>
      <c r="H9" s="1164"/>
      <c r="I9" s="144"/>
      <c r="J9" s="144"/>
      <c r="K9" s="144"/>
      <c r="L9" s="144"/>
      <c r="M9" s="143"/>
      <c r="N9" s="144"/>
      <c r="O9" s="151"/>
      <c r="P9" s="151"/>
      <c r="Q9" s="151"/>
      <c r="R9" s="151"/>
      <c r="S9" s="154"/>
      <c r="T9" s="154"/>
      <c r="U9" s="1861"/>
      <c r="V9" s="1861"/>
      <c r="W9" s="1861"/>
      <c r="X9" s="1860"/>
      <c r="Y9" s="145"/>
      <c r="Z9" s="145"/>
      <c r="AA9" s="146"/>
      <c r="AB9" s="145"/>
      <c r="AC9" s="147"/>
    </row>
    <row r="10" spans="1:33" ht="12" customHeight="1">
      <c r="A10" s="143"/>
      <c r="B10" s="143"/>
      <c r="C10" s="143"/>
      <c r="D10" s="143"/>
      <c r="E10" s="143"/>
      <c r="F10" s="143"/>
      <c r="G10" s="143"/>
      <c r="H10" s="1164"/>
      <c r="I10" s="144"/>
      <c r="J10" s="144"/>
      <c r="K10" s="144"/>
      <c r="L10" s="144"/>
      <c r="M10" s="143"/>
      <c r="N10" s="144"/>
      <c r="O10" s="151"/>
      <c r="P10" s="1862"/>
      <c r="Q10" s="1860"/>
      <c r="R10" s="1860"/>
      <c r="S10" s="1861"/>
      <c r="T10" s="1861"/>
      <c r="U10" s="1861"/>
      <c r="V10" s="1861"/>
      <c r="W10" s="1861"/>
      <c r="X10" s="1860"/>
      <c r="Y10" s="145"/>
      <c r="Z10" s="145"/>
      <c r="AA10" s="150"/>
      <c r="AB10" s="145"/>
      <c r="AC10" s="147"/>
    </row>
    <row r="11" spans="1:33" ht="8.25" customHeight="1">
      <c r="A11" s="144"/>
      <c r="B11" s="143"/>
      <c r="C11" s="143"/>
      <c r="O11" s="144"/>
      <c r="P11" s="1863"/>
      <c r="Q11" s="1860"/>
      <c r="R11" s="1860"/>
      <c r="S11" s="1860"/>
      <c r="T11" s="1860"/>
      <c r="U11" s="1860"/>
      <c r="V11" s="1860"/>
      <c r="W11" s="2122"/>
      <c r="X11" s="2122"/>
      <c r="Y11" s="1914"/>
      <c r="Z11" s="1914"/>
      <c r="AA11" s="1914"/>
      <c r="AB11" s="1914"/>
      <c r="AC11" s="2123"/>
    </row>
    <row r="12" spans="1:33" ht="15.95" customHeight="1">
      <c r="A12" s="143"/>
      <c r="B12" s="143"/>
      <c r="C12" s="152"/>
      <c r="D12" s="3487"/>
      <c r="E12" s="3488"/>
      <c r="F12" s="3488"/>
      <c r="G12" s="3488"/>
      <c r="H12" s="3488"/>
      <c r="I12" s="3488"/>
      <c r="J12" s="3488"/>
      <c r="K12" s="3488"/>
      <c r="L12" s="3488"/>
      <c r="M12" s="3488"/>
      <c r="N12" s="3488"/>
      <c r="O12" s="1860"/>
      <c r="P12" s="1862"/>
      <c r="Q12" s="1860"/>
      <c r="R12" s="3486"/>
      <c r="S12" s="3486"/>
      <c r="T12" s="3486"/>
      <c r="U12" s="3486"/>
      <c r="V12" s="3486"/>
      <c r="W12" s="3486"/>
      <c r="X12" s="3486"/>
      <c r="Y12" s="3486"/>
      <c r="Z12" s="3486"/>
      <c r="AA12" s="3486"/>
      <c r="AB12" s="3486"/>
      <c r="AC12" s="2123"/>
      <c r="AD12" s="1861"/>
      <c r="AE12" s="1861"/>
      <c r="AF12" s="1861"/>
      <c r="AG12" s="1861"/>
    </row>
    <row r="13" spans="1:33" ht="15.95" customHeight="1">
      <c r="A13" s="1163"/>
      <c r="B13" s="1091"/>
      <c r="C13" s="1091"/>
      <c r="D13" s="159" t="s">
        <v>3</v>
      </c>
      <c r="E13" s="159"/>
      <c r="F13" s="159"/>
      <c r="G13" s="160"/>
      <c r="H13" s="1183" t="s">
        <v>1282</v>
      </c>
      <c r="I13" s="159"/>
      <c r="J13" s="159"/>
      <c r="K13" s="154"/>
      <c r="L13" s="3489" t="s">
        <v>5</v>
      </c>
      <c r="M13" s="3489"/>
      <c r="N13" s="3489"/>
      <c r="O13" s="1799"/>
      <c r="P13" s="1864"/>
      <c r="Q13" s="1864"/>
      <c r="R13" s="2563" t="s">
        <v>1303</v>
      </c>
      <c r="S13" s="2563"/>
      <c r="T13" s="2563"/>
      <c r="U13" s="2563"/>
      <c r="V13" s="2563"/>
      <c r="W13" s="2563"/>
      <c r="X13" s="2563"/>
      <c r="Y13" s="2563"/>
      <c r="Z13" s="2563"/>
      <c r="AA13" s="2563"/>
      <c r="AB13" s="2563"/>
      <c r="AC13" s="2275"/>
      <c r="AD13" s="2276"/>
      <c r="AE13" s="2276"/>
      <c r="AF13" s="2276"/>
    </row>
    <row r="14" spans="1:33" ht="15.75" customHeight="1">
      <c r="A14" s="157"/>
      <c r="B14" s="157"/>
      <c r="C14" s="158"/>
      <c r="D14" s="1799" t="s">
        <v>7</v>
      </c>
      <c r="E14" s="1799"/>
      <c r="F14" s="162" t="str">
        <f>'Exhibit A'!F11</f>
        <v>10 MOS. ENDED</v>
      </c>
      <c r="G14" s="153"/>
      <c r="H14" s="1799" t="s">
        <v>7</v>
      </c>
      <c r="I14" s="1799"/>
      <c r="J14" s="1799" t="str">
        <f>F14</f>
        <v>10 MOS. ENDED</v>
      </c>
      <c r="K14" s="153"/>
      <c r="L14" s="1799" t="s">
        <v>7</v>
      </c>
      <c r="M14" s="1799"/>
      <c r="N14" s="1799" t="str">
        <f>F14</f>
        <v>10 MOS. ENDED</v>
      </c>
      <c r="O14" s="1799"/>
      <c r="P14" s="1865"/>
      <c r="Q14" s="1799"/>
      <c r="R14" s="1799" t="s">
        <v>7</v>
      </c>
      <c r="S14" s="1799"/>
      <c r="T14" s="1799" t="str">
        <f>F14</f>
        <v>10 MOS. ENDED</v>
      </c>
      <c r="U14" s="1864"/>
      <c r="V14" s="1864"/>
      <c r="W14" s="1864"/>
      <c r="X14" s="1864"/>
      <c r="Y14" s="1864" t="s">
        <v>7</v>
      </c>
      <c r="Z14" s="1864"/>
      <c r="AA14" s="1864" t="str">
        <f>'Exhibit A'!AD11</f>
        <v>10 MOS. ENDED</v>
      </c>
      <c r="AB14" s="1864"/>
      <c r="AC14" s="2124"/>
      <c r="AD14" s="24" t="s">
        <v>8</v>
      </c>
      <c r="AE14" s="1161"/>
      <c r="AF14" s="20" t="s">
        <v>9</v>
      </c>
    </row>
    <row r="15" spans="1:33" ht="15.95" customHeight="1">
      <c r="A15" s="157"/>
      <c r="B15" s="157"/>
      <c r="C15" s="157"/>
      <c r="D15" s="163" t="str">
        <f>'Exhibit A'!D12</f>
        <v>JAN. 2017</v>
      </c>
      <c r="E15" s="153"/>
      <c r="F15" s="163" t="str">
        <f>'Exhibit A'!F12</f>
        <v>JAN. 31, 2017</v>
      </c>
      <c r="G15" s="153"/>
      <c r="H15" s="1800" t="str">
        <f>D15</f>
        <v>JAN. 2017</v>
      </c>
      <c r="I15" s="153"/>
      <c r="J15" s="1800" t="str">
        <f>F15</f>
        <v>JAN. 31, 2017</v>
      </c>
      <c r="K15" s="153"/>
      <c r="L15" s="1800" t="str">
        <f>D15</f>
        <v>JAN. 2017</v>
      </c>
      <c r="M15" s="153"/>
      <c r="N15" s="1800" t="str">
        <f>F15</f>
        <v>JAN. 31, 2017</v>
      </c>
      <c r="O15" s="1799"/>
      <c r="P15" s="1865"/>
      <c r="Q15" s="1799"/>
      <c r="R15" s="1800" t="str">
        <f>D15</f>
        <v>JAN. 2017</v>
      </c>
      <c r="S15" s="153"/>
      <c r="T15" s="1800" t="str">
        <f>F15</f>
        <v>JAN. 31, 2017</v>
      </c>
      <c r="U15" s="1864"/>
      <c r="V15" s="1864"/>
      <c r="W15" s="1864"/>
      <c r="X15" s="1915"/>
      <c r="Y15" s="2125" t="str">
        <f>'Exhibit A'!AB12</f>
        <v>JAN. 2016</v>
      </c>
      <c r="Z15" s="1915"/>
      <c r="AA15" s="2125" t="str">
        <f>'Exhibit A'!AD12</f>
        <v>JAN. 31, 2016</v>
      </c>
      <c r="AB15" s="1915"/>
      <c r="AC15" s="2124"/>
      <c r="AD15" s="2126" t="s">
        <v>12</v>
      </c>
      <c r="AE15" s="1159"/>
      <c r="AF15" s="25" t="s">
        <v>13</v>
      </c>
    </row>
    <row r="16" spans="1:33" ht="15.95" customHeight="1">
      <c r="A16" s="156" t="s">
        <v>14</v>
      </c>
      <c r="B16" s="157"/>
      <c r="C16" s="157"/>
      <c r="D16" s="1101" t="s">
        <v>15</v>
      </c>
      <c r="E16" s="157"/>
      <c r="F16" s="158"/>
      <c r="G16" s="157"/>
      <c r="H16" s="1091" t="s">
        <v>15</v>
      </c>
      <c r="I16" s="157"/>
      <c r="J16" s="158"/>
      <c r="K16" s="157"/>
      <c r="L16" s="1091" t="s">
        <v>15</v>
      </c>
      <c r="M16" s="157"/>
      <c r="N16" s="158"/>
      <c r="O16" s="158"/>
      <c r="P16" s="1866"/>
      <c r="Q16" s="164"/>
      <c r="R16" s="158"/>
      <c r="S16" s="158"/>
      <c r="T16" s="158"/>
      <c r="U16" s="165"/>
      <c r="V16" s="165"/>
      <c r="W16" s="2127"/>
      <c r="X16" s="165"/>
      <c r="Y16" s="165"/>
      <c r="Z16" s="177"/>
      <c r="AA16" s="165"/>
      <c r="AB16" s="165"/>
      <c r="AC16" s="1918"/>
      <c r="AD16" s="33"/>
      <c r="AE16" s="2"/>
      <c r="AF16" s="19"/>
    </row>
    <row r="17" spans="1:32" ht="18" customHeight="1">
      <c r="A17" s="157" t="s">
        <v>16</v>
      </c>
      <c r="B17" s="166">
        <v>-4</v>
      </c>
      <c r="C17" s="157"/>
      <c r="D17" s="1102">
        <f>+'Exhibit A'!D14</f>
        <v>3452.6</v>
      </c>
      <c r="E17" s="167" t="s">
        <v>15</v>
      </c>
      <c r="F17" s="167">
        <f>+'Exhibit A'!F14</f>
        <v>27458.799999999999</v>
      </c>
      <c r="G17" s="167"/>
      <c r="H17" s="1222">
        <f>+'Exhibit G state'!V18</f>
        <v>2243.6</v>
      </c>
      <c r="I17" s="167"/>
      <c r="J17" s="2048">
        <f>'Exhibit G state'!AC18</f>
        <v>2895.9</v>
      </c>
      <c r="K17" s="167"/>
      <c r="L17" s="1092">
        <f>+'Exhibit A'!L14</f>
        <v>1898.7000000000007</v>
      </c>
      <c r="M17" s="167"/>
      <c r="N17" s="167">
        <f>+'Exhibit A'!N14</f>
        <v>10118.200000000001</v>
      </c>
      <c r="O17" s="169"/>
      <c r="P17" s="1867"/>
      <c r="Q17" s="170"/>
      <c r="R17" s="167">
        <f t="shared" ref="R17:R22" si="0">ROUND(SUM(D17+H17+L17),1)</f>
        <v>7594.9</v>
      </c>
      <c r="S17" s="167"/>
      <c r="T17" s="168">
        <f t="shared" ref="T17:T22" si="1">ROUND(SUM(F17+J17+N17),1)</f>
        <v>40472.9</v>
      </c>
      <c r="U17" s="1871"/>
      <c r="V17" s="1871"/>
      <c r="W17" s="2128"/>
      <c r="X17" s="1871"/>
      <c r="Y17" s="1871">
        <v>7221.2</v>
      </c>
      <c r="Z17" s="1871" t="s">
        <v>15</v>
      </c>
      <c r="AA17" s="1871">
        <f>'Exhibit F'!AF28+'Exhibit G state'!AF18+'Exhibit H'!AD16</f>
        <v>41241.699999999997</v>
      </c>
      <c r="AB17" s="1916"/>
      <c r="AC17" s="1919"/>
      <c r="AD17" s="2129">
        <f t="shared" ref="AD17:AD22" si="2">ROUND(SUM(T17-AA17),1)</f>
        <v>-768.8</v>
      </c>
      <c r="AE17" s="44"/>
      <c r="AF17" s="45">
        <f>ROUND(+AD17/AA17,3)</f>
        <v>-1.9E-2</v>
      </c>
    </row>
    <row r="18" spans="1:32" ht="18" customHeight="1">
      <c r="A18" s="157" t="s">
        <v>17</v>
      </c>
      <c r="B18" s="166" t="s">
        <v>15</v>
      </c>
      <c r="C18" s="157"/>
      <c r="D18" s="1093">
        <f>+'Exhibit A'!D15</f>
        <v>594.79999999999995</v>
      </c>
      <c r="E18" s="171"/>
      <c r="F18" s="171">
        <f>+'Exhibit A'!F15</f>
        <v>5982.1</v>
      </c>
      <c r="G18" s="171"/>
      <c r="H18" s="1223">
        <f>+'Exhibit G state'!V30</f>
        <v>173.2</v>
      </c>
      <c r="I18" s="171"/>
      <c r="J18" s="2039">
        <f>'Exhibit G state'!AC30</f>
        <v>1743.4</v>
      </c>
      <c r="K18" s="171"/>
      <c r="L18" s="1093">
        <f>+'Exhibit A'!L15</f>
        <v>535</v>
      </c>
      <c r="M18" s="171"/>
      <c r="N18" s="171">
        <f>+'Exhibit A'!N15</f>
        <v>5440.3</v>
      </c>
      <c r="O18" s="172"/>
      <c r="P18" s="1868"/>
      <c r="Q18" s="173"/>
      <c r="R18" s="171">
        <f t="shared" si="0"/>
        <v>1303</v>
      </c>
      <c r="S18" s="171"/>
      <c r="T18" s="174">
        <f t="shared" si="1"/>
        <v>13165.8</v>
      </c>
      <c r="U18" s="196"/>
      <c r="V18" s="196"/>
      <c r="W18" s="1873"/>
      <c r="X18" s="196"/>
      <c r="Y18" s="196">
        <v>1229.2</v>
      </c>
      <c r="Z18" s="196" t="s">
        <v>15</v>
      </c>
      <c r="AA18" s="196">
        <f>'Exhibit F'!AF37+'Exhibit G state'!AF30+'Exhibit H'!AD20</f>
        <v>12701.5</v>
      </c>
      <c r="AB18" s="165"/>
      <c r="AC18" s="1918"/>
      <c r="AD18" s="53">
        <f t="shared" si="2"/>
        <v>464.3</v>
      </c>
      <c r="AE18" s="2"/>
      <c r="AF18" s="45">
        <f t="shared" ref="AF18:AF23" si="3">ROUND(+AD18/AA18,3)</f>
        <v>3.6999999999999998E-2</v>
      </c>
    </row>
    <row r="19" spans="1:32" ht="18" customHeight="1">
      <c r="A19" s="157" t="s">
        <v>18</v>
      </c>
      <c r="B19" s="178"/>
      <c r="C19" s="157"/>
      <c r="D19" s="1093">
        <f>+'Exhibit A'!D16</f>
        <v>-8.1999999999999993</v>
      </c>
      <c r="E19" s="171"/>
      <c r="F19" s="171">
        <f>+'Exhibit A'!F16</f>
        <v>3634.8</v>
      </c>
      <c r="G19" s="171"/>
      <c r="H19" s="1223">
        <f>+'Exhibit G state'!V37</f>
        <v>88.1</v>
      </c>
      <c r="I19" s="171"/>
      <c r="J19" s="2039">
        <f>'Exhibit G state'!AC37</f>
        <v>1277</v>
      </c>
      <c r="K19" s="171"/>
      <c r="L19" s="1093">
        <f>+'Exhibit A'!L16</f>
        <v>0</v>
      </c>
      <c r="M19" s="171"/>
      <c r="N19" s="171">
        <f>+'Exhibit A'!N16</f>
        <v>0</v>
      </c>
      <c r="O19" s="179"/>
      <c r="P19" s="1869"/>
      <c r="Q19" s="180"/>
      <c r="R19" s="171">
        <f t="shared" si="0"/>
        <v>79.900000000000006</v>
      </c>
      <c r="S19" s="171"/>
      <c r="T19" s="174">
        <f t="shared" si="1"/>
        <v>4911.8</v>
      </c>
      <c r="U19" s="196"/>
      <c r="V19" s="196"/>
      <c r="W19" s="2130"/>
      <c r="X19" s="1872"/>
      <c r="Y19" s="196">
        <v>-40.5</v>
      </c>
      <c r="Z19" s="196" t="s">
        <v>15</v>
      </c>
      <c r="AA19" s="196">
        <f>'Exhibit F'!AF44+'Exhibit G state'!AF37</f>
        <v>4921.5</v>
      </c>
      <c r="AB19" s="165"/>
      <c r="AC19" s="1918"/>
      <c r="AD19" s="53">
        <f t="shared" si="2"/>
        <v>-9.6999999999999993</v>
      </c>
      <c r="AE19" s="2"/>
      <c r="AF19" s="45">
        <f t="shared" si="3"/>
        <v>-2E-3</v>
      </c>
    </row>
    <row r="20" spans="1:32" ht="18" customHeight="1">
      <c r="A20" s="157" t="s">
        <v>19</v>
      </c>
      <c r="B20" s="181"/>
      <c r="C20" s="157"/>
      <c r="D20" s="1093">
        <f>+'Exhibit A'!D17</f>
        <v>63.7</v>
      </c>
      <c r="E20" s="171"/>
      <c r="F20" s="171">
        <f>+'Exhibit A'!F17</f>
        <v>965.5</v>
      </c>
      <c r="G20" s="171"/>
      <c r="H20" s="1223">
        <f>+'Exhibit G state'!V40</f>
        <v>180.8</v>
      </c>
      <c r="I20" s="171"/>
      <c r="J20" s="2039">
        <f>'Exhibit G state'!AC40</f>
        <v>1105.0999999999999</v>
      </c>
      <c r="K20" s="171"/>
      <c r="L20" s="1093">
        <f>+'Exhibit A'!L17</f>
        <v>83.4</v>
      </c>
      <c r="M20" s="171"/>
      <c r="N20" s="171">
        <f>+'Exhibit A'!N17</f>
        <v>864.3</v>
      </c>
      <c r="O20" s="172"/>
      <c r="P20" s="1868"/>
      <c r="Q20" s="173"/>
      <c r="R20" s="171">
        <f t="shared" si="0"/>
        <v>327.9</v>
      </c>
      <c r="S20" s="171"/>
      <c r="T20" s="174">
        <f t="shared" si="1"/>
        <v>2934.9</v>
      </c>
      <c r="U20" s="196"/>
      <c r="V20" s="196"/>
      <c r="W20" s="1873"/>
      <c r="X20" s="196"/>
      <c r="Y20" s="196">
        <v>355.2</v>
      </c>
      <c r="Z20" s="196" t="s">
        <v>15</v>
      </c>
      <c r="AA20" s="196">
        <f>'Exhibit F'!AF52+'Exhibit G state'!AF40+'Exhibit H'!AD23</f>
        <v>3282.7</v>
      </c>
      <c r="AB20" s="165"/>
      <c r="AC20" s="1918"/>
      <c r="AD20" s="53">
        <f t="shared" si="2"/>
        <v>-347.8</v>
      </c>
      <c r="AE20" s="2"/>
      <c r="AF20" s="45">
        <f t="shared" si="3"/>
        <v>-0.106</v>
      </c>
    </row>
    <row r="21" spans="1:32" ht="18" customHeight="1">
      <c r="A21" s="157" t="s">
        <v>20</v>
      </c>
      <c r="B21" s="182"/>
      <c r="C21" s="157"/>
      <c r="D21" s="1093">
        <f>+'Exhibit A'!D18</f>
        <v>138.80000000000001</v>
      </c>
      <c r="E21" s="171"/>
      <c r="F21" s="171">
        <f>+'Exhibit A'!F18</f>
        <v>2810.7</v>
      </c>
      <c r="G21" s="171"/>
      <c r="H21" s="1223">
        <f>+'Exhibit G state'!V84</f>
        <v>1316.2</v>
      </c>
      <c r="I21" s="171"/>
      <c r="J21" s="2039">
        <f>'Exhibit G state'!AC84</f>
        <v>14152.2</v>
      </c>
      <c r="K21" s="171"/>
      <c r="L21" s="1093">
        <f>+'Exhibit A'!L18</f>
        <v>81.5</v>
      </c>
      <c r="M21" s="171"/>
      <c r="N21" s="171">
        <f>+'Exhibit A'!N18</f>
        <v>397.9</v>
      </c>
      <c r="O21" s="172"/>
      <c r="P21" s="1868"/>
      <c r="Q21" s="173"/>
      <c r="R21" s="171">
        <f t="shared" si="0"/>
        <v>1536.5</v>
      </c>
      <c r="S21" s="171"/>
      <c r="T21" s="174">
        <f t="shared" si="1"/>
        <v>17360.8</v>
      </c>
      <c r="U21" s="196"/>
      <c r="V21" s="196"/>
      <c r="W21" s="1873"/>
      <c r="X21" s="196"/>
      <c r="Y21" s="196">
        <v>1587.5</v>
      </c>
      <c r="Z21" s="196" t="s">
        <v>15</v>
      </c>
      <c r="AA21" s="196">
        <f>+'Exhibit F'!AF90+'Exhibit G state'!AF84+'Exhibit H'!AD43</f>
        <v>18686.7</v>
      </c>
      <c r="AB21" s="165"/>
      <c r="AC21" s="1918"/>
      <c r="AD21" s="53">
        <f t="shared" si="2"/>
        <v>-1325.9</v>
      </c>
      <c r="AE21" s="2"/>
      <c r="AF21" s="45">
        <f t="shared" si="3"/>
        <v>-7.0999999999999994E-2</v>
      </c>
    </row>
    <row r="22" spans="1:32" ht="18" customHeight="1">
      <c r="A22" s="157" t="s">
        <v>21</v>
      </c>
      <c r="B22" s="182"/>
      <c r="C22" s="157"/>
      <c r="D22" s="1093">
        <f>+'Exhibit A'!D19</f>
        <v>0.1</v>
      </c>
      <c r="E22" s="171"/>
      <c r="F22" s="171">
        <f>+'Exhibit A'!F19</f>
        <v>0.4</v>
      </c>
      <c r="G22" s="171"/>
      <c r="H22" s="1223">
        <f>+'Exhibit G state'!V86</f>
        <v>0</v>
      </c>
      <c r="I22" s="171"/>
      <c r="J22" s="2039">
        <f>'Exhibit G state'!AC86</f>
        <v>-1.4</v>
      </c>
      <c r="K22" s="171"/>
      <c r="L22" s="1093">
        <f>+'Exhibit A'!L19</f>
        <v>1.6</v>
      </c>
      <c r="M22" s="176"/>
      <c r="N22" s="171">
        <f>+'Exhibit A'!N19</f>
        <v>38.299999999999997</v>
      </c>
      <c r="O22" s="179"/>
      <c r="P22" s="1869"/>
      <c r="Q22" s="180"/>
      <c r="R22" s="176">
        <f t="shared" si="0"/>
        <v>1.7</v>
      </c>
      <c r="S22" s="179"/>
      <c r="T22" s="174">
        <f t="shared" si="1"/>
        <v>37.299999999999997</v>
      </c>
      <c r="U22" s="196"/>
      <c r="V22" s="196"/>
      <c r="W22" s="2130"/>
      <c r="X22" s="2131"/>
      <c r="Y22" s="196">
        <v>-0.1</v>
      </c>
      <c r="Z22" s="196" t="s">
        <v>15</v>
      </c>
      <c r="AA22" s="196">
        <f>+'Exhibit F'!AF92+'Exhibit G state'!AF86+'Exhibit H'!AD45</f>
        <v>37.4</v>
      </c>
      <c r="AB22" s="165"/>
      <c r="AC22" s="1918"/>
      <c r="AD22" s="53">
        <f t="shared" si="2"/>
        <v>-0.1</v>
      </c>
      <c r="AE22" s="2"/>
      <c r="AF22" s="2713">
        <f>ROUND(IF(AA22=0,1,AD22/ABS(AA22)),3)</f>
        <v>-3.0000000000000001E-3</v>
      </c>
    </row>
    <row r="23" spans="1:32" ht="18" customHeight="1">
      <c r="A23" s="156" t="s">
        <v>22</v>
      </c>
      <c r="B23" s="157"/>
      <c r="C23" s="157"/>
      <c r="D23" s="183">
        <f>ROUND(SUM(D17:D22),1)</f>
        <v>4241.8</v>
      </c>
      <c r="E23" s="184"/>
      <c r="F23" s="185">
        <f>ROUND(SUM(F17:F22),1)</f>
        <v>40852.300000000003</v>
      </c>
      <c r="G23" s="184"/>
      <c r="H23" s="183">
        <f>ROUND(SUM(H17:H22),1)</f>
        <v>4001.9</v>
      </c>
      <c r="I23" s="184"/>
      <c r="J23" s="183">
        <f>ROUND(SUM(J17:J22),1)</f>
        <v>21172.2</v>
      </c>
      <c r="K23" s="184"/>
      <c r="L23" s="183">
        <f>ROUND(SUM(L17:L22),1)</f>
        <v>2600.1999999999998</v>
      </c>
      <c r="M23" s="184"/>
      <c r="N23" s="183">
        <f>ROUND(SUM(N17:N22),1)</f>
        <v>16859</v>
      </c>
      <c r="O23" s="186"/>
      <c r="P23" s="202"/>
      <c r="Q23" s="187"/>
      <c r="R23" s="183">
        <f>ROUND(SUM(R17:R22),1)</f>
        <v>10843.9</v>
      </c>
      <c r="S23" s="186"/>
      <c r="T23" s="183">
        <f>ROUND(SUM(T17:T22),1)</f>
        <v>78883.5</v>
      </c>
      <c r="U23" s="204"/>
      <c r="V23" s="204"/>
      <c r="W23" s="2132"/>
      <c r="X23" s="204"/>
      <c r="Y23" s="2133">
        <f>ROUND(SUM(Y17:Y22),1)</f>
        <v>10352.5</v>
      </c>
      <c r="Z23" s="200"/>
      <c r="AA23" s="2133">
        <f>ROUND(SUM(AA17:AA22),1)</f>
        <v>80871.5</v>
      </c>
      <c r="AB23" s="205"/>
      <c r="AC23" s="1920"/>
      <c r="AD23" s="2134">
        <f>ROUND(SUM(AD17:AD22),1)</f>
        <v>-1988</v>
      </c>
      <c r="AE23" s="71"/>
      <c r="AF23" s="72">
        <f t="shared" si="3"/>
        <v>-2.5000000000000001E-2</v>
      </c>
    </row>
    <row r="24" spans="1:32" ht="15.95" customHeight="1">
      <c r="A24" s="156"/>
      <c r="B24" s="157"/>
      <c r="C24" s="157"/>
      <c r="D24" s="1094"/>
      <c r="E24" s="171"/>
      <c r="F24" s="172"/>
      <c r="G24" s="171"/>
      <c r="H24" s="1094"/>
      <c r="I24" s="171"/>
      <c r="J24" s="172"/>
      <c r="K24" s="171"/>
      <c r="L24" s="1094"/>
      <c r="M24" s="171"/>
      <c r="N24" s="172"/>
      <c r="O24" s="172"/>
      <c r="P24" s="1868"/>
      <c r="Q24" s="173"/>
      <c r="R24" s="172"/>
      <c r="S24" s="172"/>
      <c r="T24" s="172"/>
      <c r="U24" s="197"/>
      <c r="V24" s="197"/>
      <c r="W24" s="1873"/>
      <c r="X24" s="197"/>
      <c r="Y24" s="197"/>
      <c r="Z24" s="196"/>
      <c r="AA24" s="197"/>
      <c r="AB24" s="165"/>
      <c r="AC24" s="1918"/>
      <c r="AD24" s="54"/>
      <c r="AE24" s="2"/>
      <c r="AF24" s="19"/>
    </row>
    <row r="25" spans="1:32" ht="15.95" customHeight="1">
      <c r="A25" s="156" t="s">
        <v>23</v>
      </c>
      <c r="B25" s="157"/>
      <c r="C25" s="157"/>
      <c r="D25" s="1093"/>
      <c r="E25" s="171"/>
      <c r="F25" s="171"/>
      <c r="G25" s="171"/>
      <c r="H25" s="1093"/>
      <c r="I25" s="171"/>
      <c r="J25" s="171"/>
      <c r="K25" s="171"/>
      <c r="L25" s="1093"/>
      <c r="M25" s="171"/>
      <c r="N25" s="171"/>
      <c r="O25" s="172"/>
      <c r="P25" s="1868"/>
      <c r="Q25" s="173"/>
      <c r="R25" s="171"/>
      <c r="S25" s="171"/>
      <c r="T25" s="171"/>
      <c r="U25" s="196"/>
      <c r="V25" s="196"/>
      <c r="W25" s="1873"/>
      <c r="X25" s="196"/>
      <c r="Y25" s="196"/>
      <c r="Z25" s="196"/>
      <c r="AA25" s="196"/>
      <c r="AB25" s="165"/>
      <c r="AC25" s="1918"/>
      <c r="AD25" s="53"/>
      <c r="AE25" s="2"/>
      <c r="AF25" s="19"/>
    </row>
    <row r="26" spans="1:32" ht="15.95" customHeight="1">
      <c r="A26" s="157" t="s">
        <v>24</v>
      </c>
      <c r="B26" s="181" t="s">
        <v>1070</v>
      </c>
      <c r="C26" s="157"/>
      <c r="D26" s="1095"/>
      <c r="E26" s="176"/>
      <c r="F26" s="175"/>
      <c r="G26" s="171"/>
      <c r="H26" s="1095"/>
      <c r="I26" s="176"/>
      <c r="J26" s="175"/>
      <c r="K26" s="171"/>
      <c r="L26" s="1095"/>
      <c r="M26" s="171"/>
      <c r="N26" s="176"/>
      <c r="O26" s="172"/>
      <c r="P26" s="1868"/>
      <c r="Q26" s="173"/>
      <c r="R26" s="176"/>
      <c r="S26" s="176"/>
      <c r="T26" s="176"/>
      <c r="U26" s="196"/>
      <c r="V26" s="196"/>
      <c r="W26" s="1873"/>
      <c r="X26" s="1872"/>
      <c r="Y26" s="196"/>
      <c r="Z26" s="196"/>
      <c r="AA26" s="196"/>
      <c r="AB26" s="165"/>
      <c r="AC26" s="1918"/>
      <c r="AD26" s="2135"/>
      <c r="AE26" s="2"/>
      <c r="AF26" s="76"/>
    </row>
    <row r="27" spans="1:32" ht="18" customHeight="1">
      <c r="A27" s="1642" t="s">
        <v>25</v>
      </c>
      <c r="B27" s="157"/>
      <c r="C27" s="157"/>
      <c r="D27" s="1103">
        <f>+'Exhibit A'!D24</f>
        <v>671</v>
      </c>
      <c r="E27" s="171"/>
      <c r="F27" s="188">
        <f>+'Exhibit A'!F24</f>
        <v>15903.6</v>
      </c>
      <c r="G27" s="171"/>
      <c r="H27" s="1103">
        <f>+'Exhibit G state'!V92</f>
        <v>2387.3000000000002</v>
      </c>
      <c r="I27" s="171"/>
      <c r="J27" s="188">
        <f>+'Exhibit G state'!AC92</f>
        <v>5934.8</v>
      </c>
      <c r="K27" s="171"/>
      <c r="L27" s="1095">
        <f>+'Exhibit A'!L24</f>
        <v>0</v>
      </c>
      <c r="M27" s="171"/>
      <c r="N27" s="176">
        <f>+'Exhibit A'!N24</f>
        <v>0</v>
      </c>
      <c r="O27" s="179"/>
      <c r="P27" s="1869"/>
      <c r="Q27" s="180"/>
      <c r="R27" s="174">
        <f>ROUND(SUM(D27+H27+L27),1)</f>
        <v>3058.3</v>
      </c>
      <c r="S27" s="174"/>
      <c r="T27" s="174">
        <f>ROUND(SUM(F27+J27+N27),1)</f>
        <v>21838.400000000001</v>
      </c>
      <c r="U27" s="196"/>
      <c r="V27" s="196"/>
      <c r="W27" s="2130"/>
      <c r="X27" s="1872"/>
      <c r="Y27" s="196">
        <v>3303.8</v>
      </c>
      <c r="Z27" s="196" t="s">
        <v>15</v>
      </c>
      <c r="AA27" s="196">
        <f>+'Exhibit F'!AF98+'Exhibit G state'!AF92</f>
        <v>21809.5</v>
      </c>
      <c r="AB27" s="165"/>
      <c r="AC27" s="1918"/>
      <c r="AD27" s="53">
        <f>ROUND(SUM(T27-AA27),1)</f>
        <v>28.9</v>
      </c>
      <c r="AE27" s="2"/>
      <c r="AF27" s="45">
        <f>ROUND(+AD27/AA27,3)</f>
        <v>1E-3</v>
      </c>
    </row>
    <row r="28" spans="1:32" ht="18" customHeight="1">
      <c r="A28" s="1642" t="s">
        <v>26</v>
      </c>
      <c r="B28" s="181"/>
      <c r="C28" s="157"/>
      <c r="D28" s="1103">
        <f>+'Exhibit A'!D25</f>
        <v>0.1</v>
      </c>
      <c r="E28" s="171"/>
      <c r="F28" s="188">
        <f>+'Exhibit A'!F25</f>
        <v>4.3</v>
      </c>
      <c r="G28" s="171"/>
      <c r="H28" s="1103">
        <f>+'Exhibit G state'!V93</f>
        <v>0.5</v>
      </c>
      <c r="I28" s="174"/>
      <c r="J28" s="188">
        <f>+'Exhibit G state'!AC93</f>
        <v>3.2</v>
      </c>
      <c r="K28" s="171"/>
      <c r="L28" s="1095">
        <f>+'Exhibit A'!L25</f>
        <v>0</v>
      </c>
      <c r="M28" s="171"/>
      <c r="N28" s="176">
        <f>+'Exhibit A'!N25</f>
        <v>0</v>
      </c>
      <c r="O28" s="179"/>
      <c r="P28" s="1869"/>
      <c r="Q28" s="180"/>
      <c r="R28" s="174">
        <f t="shared" ref="R28:R35" si="4">ROUND(SUM(D28+H28+L28),1)</f>
        <v>0.6</v>
      </c>
      <c r="S28" s="174"/>
      <c r="T28" s="174">
        <f t="shared" ref="T28:T35" si="5">ROUND(SUM(F28+J28+N28),1)</f>
        <v>7.5</v>
      </c>
      <c r="U28" s="196"/>
      <c r="V28" s="196"/>
      <c r="W28" s="2130"/>
      <c r="X28" s="1872"/>
      <c r="Y28" s="1098">
        <v>2.1</v>
      </c>
      <c r="Z28" s="196" t="s">
        <v>15</v>
      </c>
      <c r="AA28" s="196">
        <f>+'Exhibit F'!AF99+'Exhibit G state'!AF93</f>
        <v>9.4</v>
      </c>
      <c r="AB28" s="165"/>
      <c r="AC28" s="1918"/>
      <c r="AD28" s="53">
        <f>ROUND(SUM(T28-AA28),1)</f>
        <v>-1.9</v>
      </c>
      <c r="AE28" s="2"/>
      <c r="AF28" s="2664">
        <f>ROUND(IF(AA28=0,1,AD28/ABS(AA28)),3)</f>
        <v>-0.20200000000000001</v>
      </c>
    </row>
    <row r="29" spans="1:32" ht="18" customHeight="1">
      <c r="A29" s="1642" t="s">
        <v>27</v>
      </c>
      <c r="B29" s="189"/>
      <c r="C29" s="157"/>
      <c r="D29" s="1103">
        <f>+'Exhibit A'!D26</f>
        <v>3.5</v>
      </c>
      <c r="E29" s="171"/>
      <c r="F29" s="188">
        <f>+'Exhibit A'!F26</f>
        <v>917.2</v>
      </c>
      <c r="G29" s="171"/>
      <c r="H29" s="1103">
        <f>+'Exhibit G state'!V94</f>
        <v>19.100000000000001</v>
      </c>
      <c r="I29" s="171"/>
      <c r="J29" s="188">
        <f>+'Exhibit G state'!AC94</f>
        <v>157.9</v>
      </c>
      <c r="K29" s="171"/>
      <c r="L29" s="1095">
        <f>+'Exhibit A'!L26</f>
        <v>0</v>
      </c>
      <c r="M29" s="171"/>
      <c r="N29" s="176">
        <f>+'Exhibit A'!N26</f>
        <v>0</v>
      </c>
      <c r="O29" s="179"/>
      <c r="P29" s="1869"/>
      <c r="Q29" s="180"/>
      <c r="R29" s="174">
        <f t="shared" si="4"/>
        <v>22.6</v>
      </c>
      <c r="S29" s="174"/>
      <c r="T29" s="174">
        <f t="shared" si="5"/>
        <v>1075.0999999999999</v>
      </c>
      <c r="U29" s="196"/>
      <c r="V29" s="196"/>
      <c r="W29" s="2130"/>
      <c r="X29" s="1872"/>
      <c r="Y29" s="196">
        <v>37.200000000000003</v>
      </c>
      <c r="Z29" s="196" t="s">
        <v>15</v>
      </c>
      <c r="AA29" s="196">
        <f>+'Exhibit F'!AF100+'Exhibit G state'!AF94</f>
        <v>1077.0999999999999</v>
      </c>
      <c r="AB29" s="165"/>
      <c r="AC29" s="1918"/>
      <c r="AD29" s="53">
        <f>ROUND(SUM(T29-AA29),1)</f>
        <v>-2</v>
      </c>
      <c r="AE29" s="2"/>
      <c r="AF29" s="45">
        <f>ROUND(+AD29/AA29,3)</f>
        <v>-2E-3</v>
      </c>
    </row>
    <row r="30" spans="1:32" ht="18" customHeight="1">
      <c r="A30" s="1642" t="s">
        <v>28</v>
      </c>
      <c r="B30" s="189"/>
      <c r="C30" s="157"/>
      <c r="D30" s="1103"/>
      <c r="E30" s="171"/>
      <c r="F30" s="188"/>
      <c r="G30" s="171"/>
      <c r="H30" s="1103"/>
      <c r="I30" s="171"/>
      <c r="J30" s="188"/>
      <c r="K30" s="171"/>
      <c r="L30" s="1095"/>
      <c r="M30" s="171"/>
      <c r="N30" s="176"/>
      <c r="O30" s="179"/>
      <c r="P30" s="1869"/>
      <c r="Q30" s="180"/>
      <c r="R30" s="1105" t="s">
        <v>15</v>
      </c>
      <c r="S30" s="174"/>
      <c r="T30" s="1105" t="s">
        <v>15</v>
      </c>
      <c r="U30" s="196"/>
      <c r="V30" s="196"/>
      <c r="W30" s="2130"/>
      <c r="X30" s="1872"/>
      <c r="Y30" s="1098"/>
      <c r="Z30" s="196" t="s">
        <v>15</v>
      </c>
      <c r="AA30" s="1098" t="s">
        <v>15</v>
      </c>
      <c r="AB30" s="165"/>
      <c r="AC30" s="1918"/>
      <c r="AD30" s="53"/>
      <c r="AE30" s="2"/>
      <c r="AF30" s="45"/>
    </row>
    <row r="31" spans="1:32" ht="18" customHeight="1">
      <c r="A31" s="1643" t="s">
        <v>29</v>
      </c>
      <c r="B31" s="182"/>
      <c r="C31" s="157"/>
      <c r="D31" s="1103">
        <f>+'Exhibit A'!D28</f>
        <v>704.2</v>
      </c>
      <c r="E31" s="171"/>
      <c r="F31" s="188">
        <f>+'Exhibit A'!F28</f>
        <v>11687.6</v>
      </c>
      <c r="G31" s="171"/>
      <c r="H31" s="1103">
        <f>+'Exhibit G state'!V96</f>
        <v>491.9</v>
      </c>
      <c r="I31" s="171"/>
      <c r="J31" s="188">
        <f>+'Exhibit G state'!AC96</f>
        <v>4785.1000000000004</v>
      </c>
      <c r="K31" s="171"/>
      <c r="L31" s="1095">
        <f>+'Exhibit A'!L28</f>
        <v>0</v>
      </c>
      <c r="M31" s="171"/>
      <c r="N31" s="176">
        <f>+'Exhibit A'!N28</f>
        <v>0</v>
      </c>
      <c r="O31" s="179"/>
      <c r="P31" s="1869"/>
      <c r="Q31" s="180"/>
      <c r="R31" s="174">
        <f t="shared" si="4"/>
        <v>1196.0999999999999</v>
      </c>
      <c r="S31" s="174"/>
      <c r="T31" s="174">
        <f t="shared" si="5"/>
        <v>16472.7</v>
      </c>
      <c r="U31" s="196"/>
      <c r="V31" s="196"/>
      <c r="W31" s="2130"/>
      <c r="X31" s="1872"/>
      <c r="Y31" s="196">
        <v>1372.4</v>
      </c>
      <c r="Z31" s="196" t="s">
        <v>15</v>
      </c>
      <c r="AA31" s="196">
        <f>+'Exhibit F'!AF102+'Exhibit G state'!AF96</f>
        <v>15702</v>
      </c>
      <c r="AB31" s="165"/>
      <c r="AC31" s="1918"/>
      <c r="AD31" s="53">
        <f t="shared" ref="AD31:AD36" si="6">ROUND(SUM(T31-AA31),1)</f>
        <v>770.7</v>
      </c>
      <c r="AE31" s="2"/>
      <c r="AF31" s="45">
        <f t="shared" ref="AF31:AF36" si="7">ROUND(+AD31/AA31,3)</f>
        <v>4.9000000000000002E-2</v>
      </c>
    </row>
    <row r="32" spans="1:32" ht="18" customHeight="1">
      <c r="A32" s="1642" t="s">
        <v>30</v>
      </c>
      <c r="B32" s="189"/>
      <c r="C32" s="157"/>
      <c r="D32" s="1103">
        <f>+'Exhibit A'!D29</f>
        <v>117.2</v>
      </c>
      <c r="E32" s="171"/>
      <c r="F32" s="188">
        <f>+'Exhibit A'!F29</f>
        <v>1191.5999999999999</v>
      </c>
      <c r="G32" s="171"/>
      <c r="H32" s="1103">
        <f>+'Exhibit G state'!V97</f>
        <v>161.5</v>
      </c>
      <c r="I32" s="171"/>
      <c r="J32" s="188">
        <f>+'Exhibit G state'!AC97</f>
        <v>1864.5</v>
      </c>
      <c r="K32" s="171"/>
      <c r="L32" s="1095">
        <f>+'Exhibit A'!L29</f>
        <v>0</v>
      </c>
      <c r="M32" s="171"/>
      <c r="N32" s="176">
        <f>+'Exhibit A'!N29</f>
        <v>0</v>
      </c>
      <c r="O32" s="179"/>
      <c r="P32" s="1869"/>
      <c r="Q32" s="180"/>
      <c r="R32" s="174">
        <f t="shared" si="4"/>
        <v>278.7</v>
      </c>
      <c r="S32" s="174"/>
      <c r="T32" s="174">
        <f t="shared" si="5"/>
        <v>3056.1</v>
      </c>
      <c r="U32" s="196"/>
      <c r="V32" s="196"/>
      <c r="W32" s="2130"/>
      <c r="X32" s="1872"/>
      <c r="Y32" s="196">
        <v>233.3</v>
      </c>
      <c r="Z32" s="196" t="s">
        <v>15</v>
      </c>
      <c r="AA32" s="196">
        <f>+'Exhibit F'!AF103+'Exhibit G state'!AF97</f>
        <v>2645.7</v>
      </c>
      <c r="AB32" s="165"/>
      <c r="AC32" s="1918"/>
      <c r="AD32" s="53">
        <f t="shared" si="6"/>
        <v>410.4</v>
      </c>
      <c r="AE32" s="2"/>
      <c r="AF32" s="45">
        <f t="shared" si="7"/>
        <v>0.155</v>
      </c>
    </row>
    <row r="33" spans="1:32" ht="18" customHeight="1">
      <c r="A33" s="1642" t="s">
        <v>31</v>
      </c>
      <c r="B33" s="157"/>
      <c r="C33" s="157"/>
      <c r="D33" s="1103">
        <f>+'Exhibit A'!D30</f>
        <v>5.7</v>
      </c>
      <c r="E33" s="171"/>
      <c r="F33" s="188">
        <f>+'Exhibit A'!F30</f>
        <v>123.9</v>
      </c>
      <c r="G33" s="171"/>
      <c r="H33" s="1103">
        <f>+'Exhibit G state'!V98</f>
        <v>10</v>
      </c>
      <c r="I33" s="171"/>
      <c r="J33" s="188">
        <f>+'Exhibit G state'!AC98</f>
        <v>112</v>
      </c>
      <c r="K33" s="171"/>
      <c r="L33" s="1095">
        <f>+'Exhibit A'!L30</f>
        <v>0</v>
      </c>
      <c r="M33" s="171"/>
      <c r="N33" s="176">
        <f>+'Exhibit A'!N30</f>
        <v>0</v>
      </c>
      <c r="O33" s="179"/>
      <c r="P33" s="1869"/>
      <c r="Q33" s="180"/>
      <c r="R33" s="174">
        <f t="shared" si="4"/>
        <v>15.7</v>
      </c>
      <c r="S33" s="174"/>
      <c r="T33" s="174">
        <f t="shared" si="5"/>
        <v>235.9</v>
      </c>
      <c r="U33" s="196"/>
      <c r="V33" s="196"/>
      <c r="W33" s="2130"/>
      <c r="X33" s="1872"/>
      <c r="Y33" s="196">
        <v>35.299999999999997</v>
      </c>
      <c r="Z33" s="196" t="s">
        <v>15</v>
      </c>
      <c r="AA33" s="196">
        <f>+'Exhibit F'!AF104+'Exhibit G state'!AF98</f>
        <v>272.3</v>
      </c>
      <c r="AB33" s="165"/>
      <c r="AC33" s="1918"/>
      <c r="AD33" s="53">
        <f t="shared" si="6"/>
        <v>-36.4</v>
      </c>
      <c r="AE33" s="2"/>
      <c r="AF33" s="45">
        <f t="shared" si="7"/>
        <v>-0.13400000000000001</v>
      </c>
    </row>
    <row r="34" spans="1:32" ht="18" customHeight="1">
      <c r="A34" s="1642" t="s">
        <v>32</v>
      </c>
      <c r="B34" s="157"/>
      <c r="C34" s="157"/>
      <c r="D34" s="1103">
        <f>+'Exhibit A'!D31</f>
        <v>214.6</v>
      </c>
      <c r="E34" s="171"/>
      <c r="F34" s="188">
        <f>+'Exhibit A'!F31</f>
        <v>2293.8000000000002</v>
      </c>
      <c r="G34" s="171"/>
      <c r="H34" s="1103">
        <f>+'Exhibit G state'!V99</f>
        <v>-1.2</v>
      </c>
      <c r="I34" s="171"/>
      <c r="J34" s="188">
        <f>+'Exhibit G state'!AC99</f>
        <v>3</v>
      </c>
      <c r="K34" s="171"/>
      <c r="L34" s="1095">
        <f>+'Exhibit A'!L31</f>
        <v>0</v>
      </c>
      <c r="M34" s="171"/>
      <c r="N34" s="176">
        <f>+'Exhibit A'!N31</f>
        <v>0</v>
      </c>
      <c r="O34" s="179"/>
      <c r="P34" s="1869"/>
      <c r="Q34" s="180"/>
      <c r="R34" s="174">
        <f t="shared" si="4"/>
        <v>213.4</v>
      </c>
      <c r="S34" s="174"/>
      <c r="T34" s="174">
        <f t="shared" si="5"/>
        <v>2296.8000000000002</v>
      </c>
      <c r="U34" s="196"/>
      <c r="V34" s="196"/>
      <c r="W34" s="2130"/>
      <c r="X34" s="1872"/>
      <c r="Y34" s="196">
        <v>164.5</v>
      </c>
      <c r="Z34" s="196" t="s">
        <v>15</v>
      </c>
      <c r="AA34" s="196">
        <f>+'Exhibit F'!AF105+'Exhibit G state'!AF99</f>
        <v>2338.1</v>
      </c>
      <c r="AB34" s="165"/>
      <c r="AC34" s="1918"/>
      <c r="AD34" s="53">
        <f t="shared" si="6"/>
        <v>-41.3</v>
      </c>
      <c r="AE34" s="2"/>
      <c r="AF34" s="45">
        <f t="shared" si="7"/>
        <v>-1.7999999999999999E-2</v>
      </c>
    </row>
    <row r="35" spans="1:32" ht="18" customHeight="1">
      <c r="A35" s="1642" t="s">
        <v>33</v>
      </c>
      <c r="B35" s="157"/>
      <c r="C35" s="157"/>
      <c r="D35" s="1103">
        <f>+'Exhibit A'!D32</f>
        <v>20.2</v>
      </c>
      <c r="E35" s="171"/>
      <c r="F35" s="188">
        <f>+'Exhibit A'!F32</f>
        <v>152.19999999999999</v>
      </c>
      <c r="G35" s="171"/>
      <c r="H35" s="1103">
        <f>+'Exhibit G state'!V100</f>
        <v>1.6</v>
      </c>
      <c r="I35" s="171"/>
      <c r="J35" s="188">
        <f>+'Exhibit G state'!AC100</f>
        <v>56.8</v>
      </c>
      <c r="K35" s="171"/>
      <c r="L35" s="1095">
        <f>+'Exhibit A'!L32</f>
        <v>0</v>
      </c>
      <c r="M35" s="171"/>
      <c r="N35" s="176">
        <f>+'Exhibit A'!N32</f>
        <v>0</v>
      </c>
      <c r="O35" s="179"/>
      <c r="P35" s="1869"/>
      <c r="Q35" s="180"/>
      <c r="R35" s="174">
        <f t="shared" si="4"/>
        <v>21.8</v>
      </c>
      <c r="S35" s="174"/>
      <c r="T35" s="174">
        <f t="shared" si="5"/>
        <v>209</v>
      </c>
      <c r="U35" s="196"/>
      <c r="V35" s="196"/>
      <c r="W35" s="2130"/>
      <c r="X35" s="1872"/>
      <c r="Y35" s="1098">
        <v>13.5</v>
      </c>
      <c r="Z35" s="196" t="s">
        <v>15</v>
      </c>
      <c r="AA35" s="196">
        <f>+'Exhibit F'!AF106+'Exhibit G state'!AF100</f>
        <v>145.19999999999999</v>
      </c>
      <c r="AB35" s="165"/>
      <c r="AC35" s="1918"/>
      <c r="AD35" s="53">
        <f t="shared" si="6"/>
        <v>63.8</v>
      </c>
      <c r="AE35" s="2"/>
      <c r="AF35" s="45">
        <f t="shared" si="7"/>
        <v>0.439</v>
      </c>
    </row>
    <row r="36" spans="1:32" ht="18" customHeight="1">
      <c r="A36" s="1642" t="s">
        <v>34</v>
      </c>
      <c r="B36" s="157"/>
      <c r="C36" s="157"/>
      <c r="D36" s="1103">
        <f>+'Exhibit A'!D33</f>
        <v>0</v>
      </c>
      <c r="E36" s="171"/>
      <c r="F36" s="188">
        <f>+'Exhibit A'!F33</f>
        <v>91.9</v>
      </c>
      <c r="G36" s="171"/>
      <c r="H36" s="1103">
        <f>+'Exhibit G state'!V101</f>
        <v>206.2</v>
      </c>
      <c r="I36" s="171"/>
      <c r="J36" s="188">
        <f>+'Exhibit G state'!AC101</f>
        <v>4417.6000000000004</v>
      </c>
      <c r="K36" s="171"/>
      <c r="L36" s="1095">
        <f>+'Exhibit A'!L33</f>
        <v>0</v>
      </c>
      <c r="M36" s="171"/>
      <c r="N36" s="176">
        <f>+'Exhibit A'!N33</f>
        <v>0</v>
      </c>
      <c r="O36" s="179"/>
      <c r="P36" s="1869"/>
      <c r="Q36" s="180"/>
      <c r="R36" s="190">
        <f>ROUND(SUM(D36+H36+L36),1)</f>
        <v>206.2</v>
      </c>
      <c r="S36" s="174"/>
      <c r="T36" s="190">
        <f>ROUND(SUM(F36+J36+N36),1)</f>
        <v>4509.5</v>
      </c>
      <c r="U36" s="196"/>
      <c r="V36" s="196"/>
      <c r="W36" s="2130"/>
      <c r="X36" s="1872"/>
      <c r="Y36" s="2595">
        <v>186.2</v>
      </c>
      <c r="Z36" s="196" t="s">
        <v>15</v>
      </c>
      <c r="AA36" s="197">
        <f>+'Exhibit F'!AF107+'Exhibit G state'!AF101</f>
        <v>4243.8</v>
      </c>
      <c r="AB36" s="165"/>
      <c r="AC36" s="1918"/>
      <c r="AD36" s="53">
        <f t="shared" si="6"/>
        <v>265.7</v>
      </c>
      <c r="AE36" s="2"/>
      <c r="AF36" s="45">
        <f t="shared" si="7"/>
        <v>6.3E-2</v>
      </c>
    </row>
    <row r="37" spans="1:32" ht="18" customHeight="1">
      <c r="A37" s="156" t="s">
        <v>35</v>
      </c>
      <c r="B37" s="157"/>
      <c r="C37" s="157"/>
      <c r="D37" s="183">
        <f>ROUND(SUM(D27:D36),1)</f>
        <v>1736.5</v>
      </c>
      <c r="E37" s="184"/>
      <c r="F37" s="183">
        <f>ROUND(SUM(F27:F36),1)</f>
        <v>32366.1</v>
      </c>
      <c r="G37" s="184"/>
      <c r="H37" s="183">
        <f>ROUND(SUM(H27:H36),1)</f>
        <v>3276.9</v>
      </c>
      <c r="I37" s="184"/>
      <c r="J37" s="183">
        <f>ROUND(SUM(J27:J36),1)</f>
        <v>17334.900000000001</v>
      </c>
      <c r="K37" s="184"/>
      <c r="L37" s="191">
        <f>ROUND(SUM(L27:L36),1)</f>
        <v>0</v>
      </c>
      <c r="M37" s="184"/>
      <c r="N37" s="192">
        <f>ROUND(SUM(N27:N36),1)</f>
        <v>0</v>
      </c>
      <c r="O37" s="193"/>
      <c r="P37" s="1870"/>
      <c r="Q37" s="194"/>
      <c r="R37" s="183">
        <f>ROUND(SUM(R27:R36),1)</f>
        <v>5013.3999999999996</v>
      </c>
      <c r="S37" s="193"/>
      <c r="T37" s="183">
        <f>ROUND(SUM(T27:T36),1)</f>
        <v>49701</v>
      </c>
      <c r="U37" s="204"/>
      <c r="V37" s="204"/>
      <c r="W37" s="2136"/>
      <c r="X37" s="2137"/>
      <c r="Y37" s="2133">
        <f>ROUND(SUM(Y27:Y36),1)</f>
        <v>5348.3</v>
      </c>
      <c r="Z37" s="200"/>
      <c r="AA37" s="2133">
        <f>ROUND(SUM(AA27:AA36),1)</f>
        <v>48243.1</v>
      </c>
      <c r="AB37" s="205"/>
      <c r="AC37" s="1920"/>
      <c r="AD37" s="2134">
        <f>ROUND(SUM(AD27:AD36),1)</f>
        <v>1457.9</v>
      </c>
      <c r="AE37" s="71"/>
      <c r="AF37" s="72">
        <f>ROUND(+AD37/AA37,3)</f>
        <v>0.03</v>
      </c>
    </row>
    <row r="38" spans="1:32" ht="18" customHeight="1">
      <c r="A38" s="157" t="s">
        <v>36</v>
      </c>
      <c r="B38" s="189"/>
      <c r="C38" s="157"/>
      <c r="D38" s="1093"/>
      <c r="E38" s="171"/>
      <c r="F38" s="171"/>
      <c r="G38" s="171"/>
      <c r="H38" s="1093"/>
      <c r="I38" s="171"/>
      <c r="J38" s="171"/>
      <c r="K38" s="171"/>
      <c r="L38" s="1093"/>
      <c r="M38" s="171"/>
      <c r="N38" s="171"/>
      <c r="O38" s="172"/>
      <c r="P38" s="1868"/>
      <c r="Q38" s="173"/>
      <c r="R38" s="171"/>
      <c r="S38" s="171"/>
      <c r="T38" s="171"/>
      <c r="U38" s="196"/>
      <c r="V38" s="196"/>
      <c r="W38" s="1873"/>
      <c r="X38" s="196"/>
      <c r="Y38" s="196"/>
      <c r="Z38" s="196"/>
      <c r="AA38" s="196"/>
      <c r="AB38" s="165"/>
      <c r="AC38" s="1918"/>
      <c r="AD38" s="53"/>
      <c r="AE38" s="2"/>
      <c r="AF38" s="19"/>
    </row>
    <row r="39" spans="1:32" ht="18" customHeight="1">
      <c r="A39" s="157" t="s">
        <v>37</v>
      </c>
      <c r="B39" s="181"/>
      <c r="C39" s="157"/>
      <c r="D39" s="1093">
        <f>+'Exhibit A'!D36</f>
        <v>430.1</v>
      </c>
      <c r="E39" s="171"/>
      <c r="F39" s="188">
        <f>+'Exhibit A'!F36</f>
        <v>5113.3999999999996</v>
      </c>
      <c r="G39" s="171"/>
      <c r="H39" s="1093">
        <f>+'Exhibit G state'!V104</f>
        <v>563.29999999999995</v>
      </c>
      <c r="I39" s="171"/>
      <c r="J39" s="188">
        <f>+'Exhibit G state'!AC104</f>
        <v>5841.7</v>
      </c>
      <c r="K39" s="171"/>
      <c r="L39" s="1096">
        <f>+'Exhibit A'!L36</f>
        <v>0</v>
      </c>
      <c r="M39" s="174"/>
      <c r="N39" s="176">
        <f>+'Exhibit A'!N36</f>
        <v>0</v>
      </c>
      <c r="O39" s="179"/>
      <c r="P39" s="1869"/>
      <c r="Q39" s="180"/>
      <c r="R39" s="174">
        <f>ROUND(SUM(D39+H39+L39),1)</f>
        <v>993.4</v>
      </c>
      <c r="S39" s="176"/>
      <c r="T39" s="171">
        <f>ROUND(SUM(F39+J39+N39),1)</f>
        <v>10955.1</v>
      </c>
      <c r="U39" s="196"/>
      <c r="V39" s="196"/>
      <c r="W39" s="2130"/>
      <c r="X39" s="1872"/>
      <c r="Y39" s="196">
        <v>970.4</v>
      </c>
      <c r="Z39" s="196" t="s">
        <v>15</v>
      </c>
      <c r="AA39" s="196">
        <f>+'Exhibit F'!AF110+'Exhibit G state'!AF104</f>
        <v>10908.8</v>
      </c>
      <c r="AB39" s="165"/>
      <c r="AC39" s="1918"/>
      <c r="AD39" s="53">
        <f t="shared" ref="AD39:AD44" si="8">ROUND(SUM(T39-AA39),1)</f>
        <v>46.3</v>
      </c>
      <c r="AE39" s="2"/>
      <c r="AF39" s="45">
        <f t="shared" ref="AF39:AF43" si="9">ROUND(+AD39/AA39,3)</f>
        <v>4.0000000000000001E-3</v>
      </c>
    </row>
    <row r="40" spans="1:32" ht="18" customHeight="1">
      <c r="A40" s="157" t="s">
        <v>38</v>
      </c>
      <c r="B40" s="189"/>
      <c r="C40" s="157"/>
      <c r="D40" s="1093">
        <f>+'Exhibit A'!D37</f>
        <v>149.19999999999999</v>
      </c>
      <c r="E40" s="171"/>
      <c r="F40" s="188">
        <f>+'Exhibit A'!F37</f>
        <v>1594.7</v>
      </c>
      <c r="G40" s="171"/>
      <c r="H40" s="1093">
        <f>+'Exhibit G state'!V105</f>
        <v>272.2</v>
      </c>
      <c r="I40" s="171"/>
      <c r="J40" s="188">
        <f>+'Exhibit G state'!AC105</f>
        <v>2833.9</v>
      </c>
      <c r="K40" s="171"/>
      <c r="L40" s="1096">
        <f>+'Exhibit A'!L37</f>
        <v>1</v>
      </c>
      <c r="M40" s="174"/>
      <c r="N40" s="176">
        <f>+'Exhibit A'!N37</f>
        <v>29.1</v>
      </c>
      <c r="O40" s="172"/>
      <c r="P40" s="1868"/>
      <c r="Q40" s="173"/>
      <c r="R40" s="174">
        <f>ROUND(SUM(D40+H40+L40),1)</f>
        <v>422.4</v>
      </c>
      <c r="S40" s="176"/>
      <c r="T40" s="171">
        <f>ROUND(SUM(F40+J40+N40),1)</f>
        <v>4457.7</v>
      </c>
      <c r="U40" s="196"/>
      <c r="V40" s="196"/>
      <c r="W40" s="1873"/>
      <c r="X40" s="196"/>
      <c r="Y40" s="196">
        <v>470.2</v>
      </c>
      <c r="Z40" s="196" t="s">
        <v>15</v>
      </c>
      <c r="AA40" s="196">
        <f>+'Exhibit F'!AF111+'Exhibit G state'!AF105+'Exhibit H'!AD51</f>
        <v>4340.8</v>
      </c>
      <c r="AB40" s="165"/>
      <c r="AC40" s="1918"/>
      <c r="AD40" s="53">
        <f t="shared" si="8"/>
        <v>116.9</v>
      </c>
      <c r="AE40" s="2"/>
      <c r="AF40" s="45">
        <f t="shared" si="9"/>
        <v>2.7E-2</v>
      </c>
    </row>
    <row r="41" spans="1:32" ht="18" customHeight="1">
      <c r="A41" s="157" t="s">
        <v>39</v>
      </c>
      <c r="B41" s="166"/>
      <c r="C41" s="157"/>
      <c r="D41" s="1093">
        <f>+'Exhibit A'!D38</f>
        <v>351.3</v>
      </c>
      <c r="E41" s="171"/>
      <c r="F41" s="188">
        <f>+'Exhibit A'!F38</f>
        <v>5026.2</v>
      </c>
      <c r="G41" s="171"/>
      <c r="H41" s="1093">
        <f>+'Exhibit G state'!V106</f>
        <v>90</v>
      </c>
      <c r="I41" s="171"/>
      <c r="J41" s="188">
        <f>+'Exhibit G state'!AC106</f>
        <v>1741.2</v>
      </c>
      <c r="K41" s="171"/>
      <c r="L41" s="1096">
        <f>+'Exhibit A'!L38</f>
        <v>0</v>
      </c>
      <c r="M41" s="171"/>
      <c r="N41" s="176">
        <f>+'Exhibit A'!N38</f>
        <v>0</v>
      </c>
      <c r="O41" s="179"/>
      <c r="P41" s="1869"/>
      <c r="Q41" s="180"/>
      <c r="R41" s="174">
        <f>ROUND(SUM(D41+H41+L41),1)</f>
        <v>441.3</v>
      </c>
      <c r="S41" s="176"/>
      <c r="T41" s="171">
        <f>ROUND(SUM(F41+J41+N41),1)</f>
        <v>6767.4</v>
      </c>
      <c r="U41" s="196"/>
      <c r="V41" s="196"/>
      <c r="W41" s="2130"/>
      <c r="X41" s="1872"/>
      <c r="Y41" s="196">
        <v>526.9</v>
      </c>
      <c r="Z41" s="196" t="s">
        <v>15</v>
      </c>
      <c r="AA41" s="196">
        <f>+'Exhibit F'!AF112+'Exhibit G state'!AF106</f>
        <v>6600.2000000000007</v>
      </c>
      <c r="AB41" s="165"/>
      <c r="AC41" s="1918"/>
      <c r="AD41" s="53">
        <f t="shared" si="8"/>
        <v>167.2</v>
      </c>
      <c r="AE41" s="2"/>
      <c r="AF41" s="45">
        <f t="shared" si="9"/>
        <v>2.5000000000000001E-2</v>
      </c>
    </row>
    <row r="42" spans="1:32" ht="18" customHeight="1">
      <c r="A42" s="157" t="s">
        <v>40</v>
      </c>
      <c r="B42" s="157"/>
      <c r="C42" s="157"/>
      <c r="D42" s="1093"/>
      <c r="E42" s="171"/>
      <c r="F42" s="171"/>
      <c r="G42" s="171"/>
      <c r="H42" s="1093"/>
      <c r="I42" s="171"/>
      <c r="J42" s="171"/>
      <c r="K42" s="171"/>
      <c r="L42" s="1093"/>
      <c r="M42" s="171"/>
      <c r="N42" s="171"/>
      <c r="O42" s="172"/>
      <c r="P42" s="1868"/>
      <c r="Q42" s="173"/>
      <c r="R42" s="1105" t="s">
        <v>15</v>
      </c>
      <c r="S42" s="171"/>
      <c r="T42" s="1093" t="s">
        <v>15</v>
      </c>
      <c r="U42" s="196"/>
      <c r="V42" s="196"/>
      <c r="W42" s="1873"/>
      <c r="X42" s="196"/>
      <c r="Y42" s="1098"/>
      <c r="Z42" s="196"/>
      <c r="AA42" s="1098" t="s">
        <v>15</v>
      </c>
      <c r="AB42" s="165"/>
      <c r="AC42" s="1918"/>
      <c r="AD42" s="53"/>
      <c r="AE42" s="2"/>
      <c r="AF42" s="45"/>
    </row>
    <row r="43" spans="1:32" ht="18" customHeight="1">
      <c r="A43" s="157" t="s">
        <v>41</v>
      </c>
      <c r="B43" s="181"/>
      <c r="C43" s="157"/>
      <c r="D43" s="1096">
        <v>0</v>
      </c>
      <c r="E43" s="171"/>
      <c r="F43" s="176">
        <v>0</v>
      </c>
      <c r="G43" s="171"/>
      <c r="H43" s="1096">
        <v>0</v>
      </c>
      <c r="I43" s="171"/>
      <c r="J43" s="176">
        <v>0</v>
      </c>
      <c r="K43" s="171"/>
      <c r="L43" s="1096">
        <f>+'Exhibit A'!L40</f>
        <v>25.6</v>
      </c>
      <c r="M43" s="174"/>
      <c r="N43" s="176">
        <f>+'Exhibit A'!N40</f>
        <v>1960</v>
      </c>
      <c r="O43" s="172"/>
      <c r="P43" s="1868"/>
      <c r="Q43" s="173"/>
      <c r="R43" s="174">
        <f>ROUND(SUM(D43+H43+L43),1)</f>
        <v>25.6</v>
      </c>
      <c r="S43" s="171"/>
      <c r="T43" s="171">
        <f>ROUND(SUM(F43+J43+N43),1)</f>
        <v>1960</v>
      </c>
      <c r="U43" s="196"/>
      <c r="V43" s="196"/>
      <c r="W43" s="1873"/>
      <c r="X43" s="196"/>
      <c r="Y43" s="196">
        <v>34.200000000000003</v>
      </c>
      <c r="Z43" s="196" t="s">
        <v>15</v>
      </c>
      <c r="AA43" s="196">
        <f>+'Exhibit H'!AD53</f>
        <v>2145.5</v>
      </c>
      <c r="AB43" s="165"/>
      <c r="AC43" s="1918"/>
      <c r="AD43" s="53">
        <f t="shared" si="8"/>
        <v>-185.5</v>
      </c>
      <c r="AE43" s="2"/>
      <c r="AF43" s="45">
        <f t="shared" si="9"/>
        <v>-8.5999999999999993E-2</v>
      </c>
    </row>
    <row r="44" spans="1:32" ht="18" customHeight="1">
      <c r="A44" s="157" t="s">
        <v>42</v>
      </c>
      <c r="B44" s="181"/>
      <c r="C44" s="157"/>
      <c r="D44" s="1104">
        <v>0</v>
      </c>
      <c r="E44" s="174"/>
      <c r="F44" s="179">
        <v>0</v>
      </c>
      <c r="G44" s="171"/>
      <c r="H44" s="1093">
        <f>+'Exhibit G state'!V107</f>
        <v>0</v>
      </c>
      <c r="I44" s="171"/>
      <c r="J44" s="188">
        <f>+'Exhibit G state'!AC107</f>
        <v>2.7</v>
      </c>
      <c r="K44" s="171"/>
      <c r="L44" s="1096">
        <f>+'Exhibit A'!L41</f>
        <v>0</v>
      </c>
      <c r="M44" s="176"/>
      <c r="N44" s="176">
        <f>+'Exhibit A'!N41</f>
        <v>0</v>
      </c>
      <c r="O44" s="179"/>
      <c r="P44" s="1869"/>
      <c r="Q44" s="180"/>
      <c r="R44" s="171">
        <f>ROUND(SUM(D44+H44+L44),1)</f>
        <v>0</v>
      </c>
      <c r="S44" s="179"/>
      <c r="T44" s="171">
        <f>ROUND(SUM(F44+J44+N44),1)</f>
        <v>2.7</v>
      </c>
      <c r="U44" s="196"/>
      <c r="V44" s="196"/>
      <c r="W44" s="2130"/>
      <c r="X44" s="2131"/>
      <c r="Y44" s="1098">
        <v>0.4</v>
      </c>
      <c r="Z44" s="196" t="s">
        <v>15</v>
      </c>
      <c r="AA44" s="196">
        <f>'Exhibit G state'!AF107</f>
        <v>1.3</v>
      </c>
      <c r="AB44" s="165"/>
      <c r="AC44" s="1918"/>
      <c r="AD44" s="53">
        <f t="shared" si="8"/>
        <v>1.4</v>
      </c>
      <c r="AE44" s="2"/>
      <c r="AF44" s="2664">
        <f>ROUND(IF(AA44=0,1,AD44/ABS(AA44)),3)</f>
        <v>1.077</v>
      </c>
    </row>
    <row r="45" spans="1:32" ht="18" customHeight="1">
      <c r="A45" s="156" t="s">
        <v>59</v>
      </c>
      <c r="B45" s="157"/>
      <c r="C45" s="157"/>
      <c r="D45" s="183">
        <f>ROUND(SUM(+D39+D40+D41+D37),1)</f>
        <v>2667.1</v>
      </c>
      <c r="E45" s="184"/>
      <c r="F45" s="183">
        <f>ROUND(SUM(+F39+F40+F41+F37),1)</f>
        <v>44100.4</v>
      </c>
      <c r="G45" s="184"/>
      <c r="H45" s="183">
        <f>ROUND(SUM(H37:H44),1)</f>
        <v>4202.3999999999996</v>
      </c>
      <c r="I45" s="184"/>
      <c r="J45" s="183">
        <f>ROUND(SUM(J37:J44),1)</f>
        <v>27754.400000000001</v>
      </c>
      <c r="K45" s="184"/>
      <c r="L45" s="183">
        <f>ROUND(SUM(L37:L44),1)</f>
        <v>26.6</v>
      </c>
      <c r="M45" s="184"/>
      <c r="N45" s="183">
        <f>ROUND(SUM(N37:N44),1)</f>
        <v>1989.1</v>
      </c>
      <c r="O45" s="186"/>
      <c r="P45" s="202"/>
      <c r="Q45" s="187"/>
      <c r="R45" s="183">
        <f>ROUND(SUM(R37:R44),1)</f>
        <v>6896.1</v>
      </c>
      <c r="S45" s="186"/>
      <c r="T45" s="183">
        <f>ROUND(SUM(T37:T44),1)</f>
        <v>73843.899999999994</v>
      </c>
      <c r="U45" s="204"/>
      <c r="V45" s="204"/>
      <c r="W45" s="2132"/>
      <c r="X45" s="204"/>
      <c r="Y45" s="2133">
        <f>ROUND(SUM(Y37:Y44),1)</f>
        <v>7350.4</v>
      </c>
      <c r="Z45" s="200"/>
      <c r="AA45" s="2133">
        <f>ROUND(SUM(AA37:AA44),1)</f>
        <v>72239.7</v>
      </c>
      <c r="AB45" s="205"/>
      <c r="AC45" s="1920"/>
      <c r="AD45" s="3043">
        <f>ROUND(SUM(AD37:AD44),1)</f>
        <v>1604.2</v>
      </c>
      <c r="AE45" s="71"/>
      <c r="AF45" s="2683">
        <f>ROUND(+AD45/AA45,3)</f>
        <v>2.1999999999999999E-2</v>
      </c>
    </row>
    <row r="46" spans="1:32" ht="15.95" customHeight="1">
      <c r="A46" s="156"/>
      <c r="B46" s="157"/>
      <c r="C46" s="157"/>
      <c r="D46" s="1094"/>
      <c r="E46" s="171"/>
      <c r="F46" s="172"/>
      <c r="G46" s="171"/>
      <c r="H46" s="1094"/>
      <c r="I46" s="171"/>
      <c r="J46" s="172"/>
      <c r="K46" s="171"/>
      <c r="L46" s="1094"/>
      <c r="M46" s="171"/>
      <c r="N46" s="172"/>
      <c r="O46" s="172"/>
      <c r="P46" s="1868"/>
      <c r="Q46" s="173"/>
      <c r="R46" s="172"/>
      <c r="S46" s="172"/>
      <c r="T46" s="172"/>
      <c r="U46" s="197"/>
      <c r="V46" s="197"/>
      <c r="W46" s="1873"/>
      <c r="X46" s="197"/>
      <c r="Y46" s="197"/>
      <c r="Z46" s="196"/>
      <c r="AA46" s="197"/>
      <c r="AB46" s="165"/>
      <c r="AC46" s="1918"/>
      <c r="AD46" s="54"/>
      <c r="AE46" s="2"/>
      <c r="AF46" s="19"/>
    </row>
    <row r="47" spans="1:32" ht="15.95" customHeight="1">
      <c r="A47" s="156" t="s">
        <v>44</v>
      </c>
      <c r="B47" s="156"/>
      <c r="C47" s="157"/>
      <c r="D47" s="1093"/>
      <c r="E47" s="171"/>
      <c r="F47" s="171"/>
      <c r="G47" s="171"/>
      <c r="H47" s="1093"/>
      <c r="I47" s="171"/>
      <c r="J47" s="171"/>
      <c r="K47" s="171"/>
      <c r="L47" s="1093"/>
      <c r="M47" s="171"/>
      <c r="N47" s="171"/>
      <c r="O47" s="172"/>
      <c r="P47" s="1868"/>
      <c r="Q47" s="173"/>
      <c r="R47" s="171"/>
      <c r="S47" s="171"/>
      <c r="T47" s="171"/>
      <c r="U47" s="196"/>
      <c r="V47" s="196"/>
      <c r="W47" s="1873"/>
      <c r="X47" s="196"/>
      <c r="Y47" s="196"/>
      <c r="Z47" s="196"/>
      <c r="AA47" s="196"/>
      <c r="AB47" s="165"/>
      <c r="AC47" s="1918"/>
      <c r="AD47" s="53"/>
      <c r="AE47" s="2"/>
      <c r="AF47" s="19"/>
    </row>
    <row r="48" spans="1:32" ht="15.95" customHeight="1">
      <c r="A48" s="156" t="s">
        <v>45</v>
      </c>
      <c r="B48" s="156"/>
      <c r="C48" s="157"/>
      <c r="D48" s="195">
        <f>ROUND(SUM(D23-D45),1)</f>
        <v>1574.7</v>
      </c>
      <c r="E48" s="184"/>
      <c r="F48" s="195">
        <f>ROUND(SUM(F23-F45),1)</f>
        <v>-3248.1</v>
      </c>
      <c r="G48" s="184"/>
      <c r="H48" s="195">
        <f>ROUND(SUM(H23-H45),1)</f>
        <v>-200.5</v>
      </c>
      <c r="I48" s="184"/>
      <c r="J48" s="195">
        <f>ROUND(SUM(J23-J45),1)</f>
        <v>-6582.2</v>
      </c>
      <c r="K48" s="184"/>
      <c r="L48" s="195">
        <f>ROUND(SUM(L23-L45),1)</f>
        <v>2573.6</v>
      </c>
      <c r="M48" s="184" t="s">
        <v>15</v>
      </c>
      <c r="N48" s="195">
        <f>ROUND(SUM(N23-N45),1)</f>
        <v>14869.9</v>
      </c>
      <c r="O48" s="186"/>
      <c r="P48" s="202"/>
      <c r="Q48" s="187"/>
      <c r="R48" s="195">
        <f>ROUND(SUM(+R23-R45),1)</f>
        <v>3947.8</v>
      </c>
      <c r="S48" s="186"/>
      <c r="T48" s="195">
        <f>ROUND(SUM(+T23-T45),1)</f>
        <v>5039.6000000000004</v>
      </c>
      <c r="U48" s="204"/>
      <c r="V48" s="204"/>
      <c r="W48" s="2132"/>
      <c r="X48" s="204"/>
      <c r="Y48" s="2030">
        <f>ROUND(SUM(Y23-Y45),1)</f>
        <v>3002.1</v>
      </c>
      <c r="Z48" s="200" t="s">
        <v>15</v>
      </c>
      <c r="AA48" s="2030">
        <f>ROUND(SUM(AA23-AA45),1)</f>
        <v>8631.7999999999993</v>
      </c>
      <c r="AB48" s="205"/>
      <c r="AC48" s="1920"/>
      <c r="AD48" s="2030">
        <f>ROUND(SUM(AD23-AD45),1)</f>
        <v>-3592.2</v>
      </c>
      <c r="AE48" s="94"/>
      <c r="AF48" s="2704">
        <f>ROUND(+AD48/AA48,3)</f>
        <v>-0.41599999999999998</v>
      </c>
    </row>
    <row r="49" spans="1:32" ht="15.95" customHeight="1">
      <c r="A49" s="157"/>
      <c r="B49" s="157"/>
      <c r="C49" s="157"/>
      <c r="D49" s="1094"/>
      <c r="E49" s="171"/>
      <c r="F49" s="172"/>
      <c r="G49" s="171"/>
      <c r="H49" s="1094"/>
      <c r="I49" s="171"/>
      <c r="J49" s="172"/>
      <c r="K49" s="171"/>
      <c r="L49" s="1094"/>
      <c r="M49" s="171"/>
      <c r="N49" s="172"/>
      <c r="O49" s="172"/>
      <c r="P49" s="1868"/>
      <c r="Q49" s="173"/>
      <c r="R49" s="172"/>
      <c r="S49" s="172"/>
      <c r="T49" s="172"/>
      <c r="U49" s="197"/>
      <c r="V49" s="197"/>
      <c r="W49" s="1873"/>
      <c r="X49" s="197"/>
      <c r="Y49" s="197"/>
      <c r="Z49" s="196"/>
      <c r="AA49" s="197"/>
      <c r="AB49" s="165"/>
      <c r="AC49" s="1918"/>
      <c r="AD49" s="54"/>
      <c r="AE49" s="2"/>
      <c r="AF49" s="19"/>
    </row>
    <row r="50" spans="1:32" ht="15.95" customHeight="1">
      <c r="A50" s="156" t="s">
        <v>46</v>
      </c>
      <c r="B50" s="156"/>
      <c r="C50" s="157"/>
      <c r="D50" s="1093"/>
      <c r="E50" s="171"/>
      <c r="F50" s="171"/>
      <c r="G50" s="171"/>
      <c r="H50" s="1093"/>
      <c r="I50" s="171"/>
      <c r="J50" s="171"/>
      <c r="K50" s="171"/>
      <c r="L50" s="1093"/>
      <c r="M50" s="171"/>
      <c r="N50" s="171"/>
      <c r="O50" s="172"/>
      <c r="P50" s="1868"/>
      <c r="Q50" s="173"/>
      <c r="R50" s="171"/>
      <c r="S50" s="171"/>
      <c r="T50" s="171"/>
      <c r="U50" s="196"/>
      <c r="V50" s="196"/>
      <c r="W50" s="1873"/>
      <c r="X50" s="196"/>
      <c r="Y50" s="196"/>
      <c r="Z50" s="196"/>
      <c r="AA50" s="196"/>
      <c r="AB50" s="165"/>
      <c r="AC50" s="1918"/>
      <c r="AD50" s="53"/>
      <c r="AE50" s="2"/>
      <c r="AF50" s="19"/>
    </row>
    <row r="51" spans="1:32" ht="18" customHeight="1">
      <c r="A51" s="177" t="s">
        <v>48</v>
      </c>
      <c r="B51" s="2965" t="s">
        <v>1422</v>
      </c>
      <c r="C51" s="177"/>
      <c r="D51" s="1098">
        <f>+'Exhibit A'!D49</f>
        <v>1225.4000000000001</v>
      </c>
      <c r="E51" s="171"/>
      <c r="F51" s="171">
        <f>+'Exhibit A'!F49</f>
        <v>14086.9</v>
      </c>
      <c r="G51" s="196"/>
      <c r="H51" s="1098">
        <f>+'Exhibit G state'!V115</f>
        <v>372.5</v>
      </c>
      <c r="I51" s="196"/>
      <c r="J51" s="171">
        <f>+'Exhibit G state'!AC115</f>
        <v>6942.9</v>
      </c>
      <c r="K51" s="197"/>
      <c r="L51" s="1097">
        <f>+'Exhibit A'!L49</f>
        <v>404.70000000000005</v>
      </c>
      <c r="M51" s="197"/>
      <c r="N51" s="179">
        <f>+'Exhibit A'!N49</f>
        <v>2302.9</v>
      </c>
      <c r="O51" s="172"/>
      <c r="P51" s="1868"/>
      <c r="Q51" s="173"/>
      <c r="R51" s="176">
        <f>ROUND(SUM(L51+H51+D51),1)</f>
        <v>2002.6</v>
      </c>
      <c r="S51" s="171"/>
      <c r="T51" s="176">
        <f>ROUND(SUM(F51+J51+N51),1)</f>
        <v>23332.7</v>
      </c>
      <c r="U51" s="196"/>
      <c r="V51" s="196"/>
      <c r="W51" s="1873"/>
      <c r="X51" s="196"/>
      <c r="Y51" s="1098">
        <v>2018.2</v>
      </c>
      <c r="Z51" s="196" t="s">
        <v>15</v>
      </c>
      <c r="AA51" s="196">
        <v>25382.2</v>
      </c>
      <c r="AB51" s="165"/>
      <c r="AC51" s="1918"/>
      <c r="AD51" s="53">
        <f>ROUND(SUM(T51-AA51),1)</f>
        <v>-2049.5</v>
      </c>
      <c r="AE51" s="99"/>
      <c r="AF51" s="45">
        <f>ROUND(SUM(+AD51/AA51),3)</f>
        <v>-8.1000000000000003E-2</v>
      </c>
    </row>
    <row r="52" spans="1:32" ht="18" customHeight="1">
      <c r="A52" s="177" t="s">
        <v>49</v>
      </c>
      <c r="B52" s="2965" t="s">
        <v>1422</v>
      </c>
      <c r="C52" s="177"/>
      <c r="D52" s="1098">
        <f>+'Exhibit A'!D50</f>
        <v>-767.7</v>
      </c>
      <c r="E52" s="196"/>
      <c r="F52" s="171">
        <f>+'Exhibit A'!F50</f>
        <v>-8686.7999999999993</v>
      </c>
      <c r="G52" s="196"/>
      <c r="H52" s="1098">
        <f>+'Exhibit G state'!V116</f>
        <v>-90.1</v>
      </c>
      <c r="I52" s="196"/>
      <c r="J52" s="174">
        <f>'Exhibit G state'!AC116</f>
        <v>-273.8</v>
      </c>
      <c r="K52" s="196"/>
      <c r="L52" s="1097">
        <f>+'Exhibit A'!L50</f>
        <v>-1214.6000000000004</v>
      </c>
      <c r="M52" s="197"/>
      <c r="N52" s="179">
        <f>+'Exhibit A'!N50</f>
        <v>-14849.1</v>
      </c>
      <c r="O52" s="197"/>
      <c r="P52" s="1868"/>
      <c r="Q52" s="198"/>
      <c r="R52" s="174">
        <f>ROUND(SUM(D52+H52+L52),1)</f>
        <v>-2072.4</v>
      </c>
      <c r="S52" s="197"/>
      <c r="T52" s="171">
        <f>ROUND(SUM(F52+J52+N52),1)</f>
        <v>-23809.7</v>
      </c>
      <c r="U52" s="196"/>
      <c r="V52" s="196"/>
      <c r="W52" s="1873"/>
      <c r="X52" s="197"/>
      <c r="Y52" s="196">
        <v>-2126.6</v>
      </c>
      <c r="Z52" s="196" t="s">
        <v>15</v>
      </c>
      <c r="AA52" s="196">
        <v>-24667.7</v>
      </c>
      <c r="AB52" s="165"/>
      <c r="AC52" s="1918"/>
      <c r="AD52" s="101">
        <f>-ROUND(SUM(T52-AA52),1)</f>
        <v>-858</v>
      </c>
      <c r="AE52" s="2"/>
      <c r="AF52" s="105">
        <f>ROUND(SUM(-AD52/AA52),3)</f>
        <v>-3.5000000000000003E-2</v>
      </c>
    </row>
    <row r="53" spans="1:32" ht="18" customHeight="1">
      <c r="A53" s="156" t="s">
        <v>50</v>
      </c>
      <c r="B53" s="156"/>
      <c r="C53" s="157"/>
      <c r="D53" s="183">
        <f>ROUND(SUM(D51:D52),1)</f>
        <v>457.7</v>
      </c>
      <c r="E53" s="184"/>
      <c r="F53" s="183">
        <f>ROUND(SUM(F51:F52),1)</f>
        <v>5400.1</v>
      </c>
      <c r="G53" s="184"/>
      <c r="H53" s="183">
        <f>ROUND(SUM(H51:H52),1)</f>
        <v>282.39999999999998</v>
      </c>
      <c r="I53" s="184"/>
      <c r="J53" s="183">
        <f>ROUND(SUM(J51:J52),1)</f>
        <v>6669.1</v>
      </c>
      <c r="K53" s="184"/>
      <c r="L53" s="183">
        <f>ROUND(SUM(L51:L52),1)</f>
        <v>-809.9</v>
      </c>
      <c r="M53" s="184"/>
      <c r="N53" s="183">
        <f>ROUND(SUM(N51:N52),1)</f>
        <v>-12546.2</v>
      </c>
      <c r="O53" s="186"/>
      <c r="P53" s="202"/>
      <c r="Q53" s="187"/>
      <c r="R53" s="183">
        <f>ROUND(SUM(R51:R52),1)</f>
        <v>-69.8</v>
      </c>
      <c r="S53" s="186"/>
      <c r="T53" s="183">
        <f>ROUND(SUM(T51:T52),1)</f>
        <v>-477</v>
      </c>
      <c r="U53" s="204"/>
      <c r="V53" s="204"/>
      <c r="W53" s="2132"/>
      <c r="X53" s="204"/>
      <c r="Y53" s="2138">
        <f>ROUND(SUM(+Y51+Y52),1)</f>
        <v>-108.4</v>
      </c>
      <c r="Z53" s="200"/>
      <c r="AA53" s="2138">
        <f>ROUND(SUM(+AA51+AA52),1)</f>
        <v>714.5</v>
      </c>
      <c r="AB53" s="205"/>
      <c r="AC53" s="1920"/>
      <c r="AD53" s="2138">
        <f>ROUND(SUM(+AD51-AD52),1)</f>
        <v>-1191.5</v>
      </c>
      <c r="AE53" s="71"/>
      <c r="AF53" s="108">
        <f>-ROUND(SUM(-AD53/AA53),3)</f>
        <v>-1.6679999999999999</v>
      </c>
    </row>
    <row r="54" spans="1:32" ht="15.95" customHeight="1">
      <c r="A54" s="157"/>
      <c r="B54" s="157"/>
      <c r="C54" s="157"/>
      <c r="D54" s="1094"/>
      <c r="E54" s="171"/>
      <c r="F54" s="172"/>
      <c r="G54" s="171"/>
      <c r="H54" s="1094"/>
      <c r="I54" s="171"/>
      <c r="J54" s="172"/>
      <c r="K54" s="171"/>
      <c r="L54" s="1094"/>
      <c r="M54" s="171"/>
      <c r="N54" s="172"/>
      <c r="O54" s="172"/>
      <c r="P54" s="1868"/>
      <c r="Q54" s="173"/>
      <c r="R54" s="172"/>
      <c r="S54" s="172"/>
      <c r="T54" s="172"/>
      <c r="U54" s="197"/>
      <c r="V54" s="197"/>
      <c r="W54" s="1873"/>
      <c r="X54" s="197"/>
      <c r="Y54" s="197"/>
      <c r="Z54" s="196"/>
      <c r="AA54" s="197"/>
      <c r="AB54" s="165"/>
      <c r="AC54" s="1918"/>
      <c r="AD54" s="54"/>
      <c r="AE54" s="2"/>
      <c r="AF54" s="19"/>
    </row>
    <row r="55" spans="1:32" ht="18" customHeight="1">
      <c r="A55" s="155" t="s">
        <v>44</v>
      </c>
      <c r="B55" s="156"/>
      <c r="C55" s="157"/>
      <c r="D55" s="1093"/>
      <c r="E55" s="171"/>
      <c r="F55" s="171"/>
      <c r="G55" s="171"/>
      <c r="H55" s="1093"/>
      <c r="I55" s="171"/>
      <c r="J55" s="171"/>
      <c r="K55" s="171"/>
      <c r="L55" s="1093"/>
      <c r="M55" s="171"/>
      <c r="N55" s="171"/>
      <c r="O55" s="172"/>
      <c r="P55" s="1868"/>
      <c r="Q55" s="173"/>
      <c r="R55" s="171"/>
      <c r="S55" s="171"/>
      <c r="T55" s="171"/>
      <c r="U55" s="196"/>
      <c r="V55" s="196"/>
      <c r="W55" s="1873"/>
      <c r="X55" s="196"/>
      <c r="Y55" s="196"/>
      <c r="Z55" s="196"/>
      <c r="AA55" s="196"/>
      <c r="AB55" s="165"/>
      <c r="AC55" s="1918"/>
      <c r="AD55" s="53"/>
      <c r="AE55" s="2"/>
      <c r="AF55" s="109"/>
    </row>
    <row r="56" spans="1:32" ht="18" customHeight="1">
      <c r="A56" s="155" t="s">
        <v>60</v>
      </c>
      <c r="B56" s="155"/>
      <c r="C56" s="177"/>
      <c r="D56" s="1098"/>
      <c r="E56" s="171"/>
      <c r="F56" s="171"/>
      <c r="G56" s="171"/>
      <c r="H56" s="1093"/>
      <c r="I56" s="171"/>
      <c r="J56" s="171"/>
      <c r="K56" s="171"/>
      <c r="L56" s="1093"/>
      <c r="M56" s="171"/>
      <c r="N56" s="171"/>
      <c r="O56" s="172"/>
      <c r="P56" s="1868"/>
      <c r="Q56" s="173"/>
      <c r="R56" s="171"/>
      <c r="S56" s="171"/>
      <c r="T56" s="171"/>
      <c r="U56" s="196"/>
      <c r="V56" s="196"/>
      <c r="W56" s="1873"/>
      <c r="X56" s="196"/>
      <c r="Y56" s="196" t="s">
        <v>15</v>
      </c>
      <c r="Z56" s="196"/>
      <c r="AA56" s="196"/>
      <c r="AB56" s="165"/>
      <c r="AC56" s="1918"/>
      <c r="AD56" s="53"/>
      <c r="AE56" s="2"/>
      <c r="AF56" s="19"/>
    </row>
    <row r="57" spans="1:32" ht="18" customHeight="1">
      <c r="A57" s="155" t="s">
        <v>61</v>
      </c>
      <c r="B57" s="155"/>
      <c r="C57" s="177"/>
      <c r="D57" s="200">
        <f>ROUND(SUM(D48+D53),1)</f>
        <v>2032.4</v>
      </c>
      <c r="E57" s="200"/>
      <c r="F57" s="200">
        <f>ROUND(SUM(F48)+SUM(F53),1)</f>
        <v>2152</v>
      </c>
      <c r="G57" s="200"/>
      <c r="H57" s="200">
        <f>ROUND(SUM(H48+H53),1)</f>
        <v>81.900000000000006</v>
      </c>
      <c r="I57" s="200"/>
      <c r="J57" s="200">
        <f>ROUND(SUM(J48)+SUM(J53),1)</f>
        <v>86.9</v>
      </c>
      <c r="K57" s="200"/>
      <c r="L57" s="200">
        <f>ROUND(SUM(L48+L53),1)</f>
        <v>1763.7</v>
      </c>
      <c r="M57" s="201"/>
      <c r="N57" s="201">
        <f>ROUND(SUM(N48+N53),1)</f>
        <v>2323.6999999999998</v>
      </c>
      <c r="O57" s="202"/>
      <c r="P57" s="202"/>
      <c r="Q57" s="203"/>
      <c r="R57" s="201">
        <f>ROUND(SUM(+R48+R53),1)</f>
        <v>3878</v>
      </c>
      <c r="S57" s="201"/>
      <c r="T57" s="201">
        <f>ROUND(SUM(T48+T53),1)</f>
        <v>4562.6000000000004</v>
      </c>
      <c r="U57" s="201"/>
      <c r="V57" s="201"/>
      <c r="W57" s="1874"/>
      <c r="X57" s="201"/>
      <c r="Y57" s="200">
        <f>ROUND(SUM(Y48)+SUM(Y53),1)</f>
        <v>2893.7</v>
      </c>
      <c r="Z57" s="200"/>
      <c r="AA57" s="200">
        <f>ROUND(SUM(AA48)+SUM(AA53),1)</f>
        <v>9346.2999999999993</v>
      </c>
      <c r="AB57" s="205"/>
      <c r="AC57" s="1920"/>
      <c r="AD57" s="2733">
        <f>ROUND(SUM(+AD48+AD53),1)</f>
        <v>-4783.7</v>
      </c>
      <c r="AE57" s="71"/>
      <c r="AF57" s="2766">
        <f>ROUND(SUM(AD57/AA57),3)</f>
        <v>-0.51200000000000001</v>
      </c>
    </row>
    <row r="58" spans="1:32" ht="15.95" customHeight="1">
      <c r="A58" s="156"/>
      <c r="B58" s="156"/>
      <c r="C58" s="157"/>
      <c r="D58" s="1093"/>
      <c r="E58" s="171"/>
      <c r="F58" s="172"/>
      <c r="G58" s="171"/>
      <c r="H58" s="1093"/>
      <c r="I58" s="171"/>
      <c r="J58" s="171"/>
      <c r="K58" s="171"/>
      <c r="L58" s="1098"/>
      <c r="M58" s="196"/>
      <c r="N58" s="196"/>
      <c r="O58" s="197"/>
      <c r="P58" s="1868"/>
      <c r="Q58" s="198"/>
      <c r="R58" s="196"/>
      <c r="S58" s="196"/>
      <c r="T58" s="196"/>
      <c r="U58" s="196"/>
      <c r="V58" s="196"/>
      <c r="W58" s="1873"/>
      <c r="X58" s="196"/>
      <c r="Y58" s="196"/>
      <c r="Z58" s="196"/>
      <c r="AA58" s="196"/>
      <c r="AB58" s="165"/>
      <c r="AC58" s="1918"/>
      <c r="AD58" s="53"/>
      <c r="AE58" s="2"/>
      <c r="AF58" s="19"/>
    </row>
    <row r="59" spans="1:32" ht="18" customHeight="1">
      <c r="A59" s="206" t="s">
        <v>53</v>
      </c>
      <c r="B59" s="182"/>
      <c r="C59" s="157"/>
      <c r="D59" s="195">
        <f>+'Exhibit A'!D57</f>
        <v>9053.7000000000007</v>
      </c>
      <c r="E59" s="184"/>
      <c r="F59" s="195">
        <f>+'Exhibit A'!F57</f>
        <v>8934.1</v>
      </c>
      <c r="G59" s="184"/>
      <c r="H59" s="195">
        <f>+'Exhibit G state'!V14</f>
        <v>3552.4</v>
      </c>
      <c r="I59" s="184"/>
      <c r="J59" s="195">
        <v>3547.4</v>
      </c>
      <c r="K59" s="184"/>
      <c r="L59" s="195">
        <f>+'Exhibit A'!L57</f>
        <v>719.7</v>
      </c>
      <c r="M59" s="184"/>
      <c r="N59" s="195">
        <f>+'Exhibit A'!N57</f>
        <v>159.69999999999999</v>
      </c>
      <c r="O59" s="186"/>
      <c r="P59" s="202"/>
      <c r="Q59" s="187"/>
      <c r="R59" s="195">
        <f>ROUND(SUM(D59+H59+L59),1)</f>
        <v>13325.8</v>
      </c>
      <c r="S59" s="186"/>
      <c r="T59" s="195">
        <f>ROUND(SUM(F59+J59+N59),1)</f>
        <v>12641.2</v>
      </c>
      <c r="U59" s="204"/>
      <c r="V59" s="204"/>
      <c r="W59" s="2132"/>
      <c r="X59" s="204"/>
      <c r="Y59" s="2030">
        <v>16343.4</v>
      </c>
      <c r="Z59" s="200" t="s">
        <v>15</v>
      </c>
      <c r="AA59" s="2030">
        <v>9890.7999999999993</v>
      </c>
      <c r="AB59" s="205"/>
      <c r="AC59" s="1920"/>
      <c r="AD59" s="93">
        <f>ROUND(SUM(T59-AA59),1)</f>
        <v>2750.4</v>
      </c>
      <c r="AE59" s="71"/>
      <c r="AF59" s="95">
        <f>ROUND(+AD59/AA59,3)</f>
        <v>0.27800000000000002</v>
      </c>
    </row>
    <row r="60" spans="1:32" ht="15.95" customHeight="1">
      <c r="A60" s="177"/>
      <c r="B60" s="157"/>
      <c r="C60" s="157"/>
      <c r="D60" s="1099"/>
      <c r="E60" s="157"/>
      <c r="F60" s="158"/>
      <c r="G60" s="157"/>
      <c r="H60" s="1091"/>
      <c r="I60" s="157"/>
      <c r="J60" s="158"/>
      <c r="K60" s="157"/>
      <c r="L60" s="1099"/>
      <c r="M60" s="157"/>
      <c r="N60" s="158"/>
      <c r="O60" s="158"/>
      <c r="P60" s="1866"/>
      <c r="Q60" s="164"/>
      <c r="R60" s="158"/>
      <c r="S60" s="158"/>
      <c r="T60" s="158"/>
      <c r="U60" s="165"/>
      <c r="V60" s="165"/>
      <c r="W60" s="2127"/>
      <c r="X60" s="165"/>
      <c r="Y60" s="165"/>
      <c r="Z60" s="177"/>
      <c r="AA60" s="165"/>
      <c r="AB60" s="165"/>
      <c r="AC60" s="1918"/>
      <c r="AD60" s="54"/>
      <c r="AE60" s="2"/>
      <c r="AF60" s="19"/>
    </row>
    <row r="61" spans="1:32" ht="18" customHeight="1" thickBot="1">
      <c r="A61" s="207" t="s">
        <v>62</v>
      </c>
      <c r="B61" s="208" t="s">
        <v>15</v>
      </c>
      <c r="C61" s="157"/>
      <c r="D61" s="209">
        <f>ROUND(SUM(D57+D59),1)</f>
        <v>11086.1</v>
      </c>
      <c r="E61" s="210"/>
      <c r="F61" s="209">
        <f>ROUND(SUM(F57+F59),1)</f>
        <v>11086.1</v>
      </c>
      <c r="G61" s="210"/>
      <c r="H61" s="209">
        <f>ROUND(SUM(H57+H59),1)</f>
        <v>3634.3</v>
      </c>
      <c r="I61" s="210"/>
      <c r="J61" s="209">
        <f>ROUND(SUM(J57)+SUM(J59),1)</f>
        <v>3634.3</v>
      </c>
      <c r="K61" s="210"/>
      <c r="L61" s="209">
        <f>ROUND(SUM(L57+L59),1)</f>
        <v>2483.4</v>
      </c>
      <c r="M61" s="212"/>
      <c r="N61" s="211">
        <f>ROUND(SUM(N57+N59),1)</f>
        <v>2483.4</v>
      </c>
      <c r="O61" s="213"/>
      <c r="P61" s="213"/>
      <c r="Q61" s="2277"/>
      <c r="R61" s="211">
        <f>ROUND(SUM(R57+R59),1)</f>
        <v>17203.8</v>
      </c>
      <c r="S61" s="213"/>
      <c r="T61" s="211">
        <f>ROUND(SUM(T57+T59),1)</f>
        <v>17203.8</v>
      </c>
      <c r="U61" s="213"/>
      <c r="V61" s="213"/>
      <c r="W61" s="1875"/>
      <c r="X61" s="213"/>
      <c r="Y61" s="209">
        <f>ROUND(SUM(Y57+Y59),1)</f>
        <v>19237.099999999999</v>
      </c>
      <c r="Z61" s="210"/>
      <c r="AA61" s="209">
        <f>ROUND(SUM(AA57+AA59),1)</f>
        <v>19237.099999999999</v>
      </c>
      <c r="AB61" s="214"/>
      <c r="AC61" s="1921"/>
      <c r="AD61" s="119">
        <f>ROUND(SUM(AD57+AD59),1)</f>
        <v>-2033.3</v>
      </c>
      <c r="AE61" s="71"/>
      <c r="AF61" s="127">
        <f>ROUND(+AD61/AA61,3)</f>
        <v>-0.106</v>
      </c>
    </row>
    <row r="62" spans="1:32" ht="15.75" thickTop="1">
      <c r="A62" s="215"/>
      <c r="B62" s="215"/>
      <c r="C62" s="215"/>
      <c r="D62" s="216"/>
      <c r="E62" s="216"/>
      <c r="F62" s="216"/>
      <c r="G62" s="216"/>
      <c r="H62" s="1166"/>
      <c r="I62" s="216"/>
      <c r="J62" s="216"/>
      <c r="K62" s="216"/>
      <c r="L62" s="216"/>
      <c r="M62" s="216"/>
      <c r="N62" s="216"/>
      <c r="O62" s="216"/>
      <c r="P62" s="2278"/>
      <c r="Q62" s="216"/>
      <c r="R62" s="216"/>
      <c r="S62" s="216"/>
      <c r="T62" s="216"/>
      <c r="U62" s="1917"/>
      <c r="V62" s="1917"/>
      <c r="W62" s="1917"/>
      <c r="X62" s="1917"/>
      <c r="Y62" s="1917"/>
      <c r="Z62" s="1917"/>
      <c r="AA62" s="1917"/>
      <c r="AB62" s="1917"/>
      <c r="AC62" s="1917"/>
      <c r="AD62" s="133"/>
      <c r="AE62" s="2"/>
      <c r="AF62" s="134"/>
    </row>
    <row r="63" spans="1:32">
      <c r="A63" s="154"/>
      <c r="B63" s="154"/>
      <c r="C63" s="154"/>
      <c r="D63" s="154"/>
      <c r="E63" s="154"/>
      <c r="F63" s="154"/>
      <c r="G63" s="154"/>
      <c r="H63" s="1167"/>
      <c r="I63" s="154"/>
      <c r="J63" s="154"/>
      <c r="K63" s="154"/>
      <c r="L63" s="154"/>
      <c r="M63" s="154"/>
      <c r="N63" s="154"/>
      <c r="O63" s="154"/>
      <c r="P63" s="154"/>
      <c r="Q63" s="154"/>
      <c r="R63" s="154"/>
      <c r="S63" s="154"/>
      <c r="T63" s="154"/>
      <c r="U63" s="1861"/>
      <c r="V63" s="1861"/>
      <c r="W63" s="1861"/>
      <c r="X63" s="1861"/>
      <c r="Y63" s="1861"/>
      <c r="Z63" s="1861"/>
      <c r="AA63" s="1861"/>
      <c r="AB63" s="1861"/>
    </row>
    <row r="64" spans="1:32" ht="18" customHeight="1">
      <c r="A64" s="1100" t="s">
        <v>1337</v>
      </c>
      <c r="B64" s="154"/>
      <c r="C64" s="154"/>
      <c r="D64" s="154"/>
      <c r="E64" s="154"/>
      <c r="F64" s="154"/>
      <c r="G64" s="154"/>
      <c r="H64" s="1167"/>
      <c r="I64" s="154"/>
      <c r="J64" s="154"/>
      <c r="K64" s="154"/>
      <c r="L64" s="154"/>
      <c r="M64" s="154"/>
      <c r="N64" s="154"/>
      <c r="O64" s="154"/>
      <c r="P64" s="154"/>
      <c r="Q64" s="154"/>
      <c r="R64" s="154"/>
      <c r="S64" s="154"/>
      <c r="T64" s="154"/>
      <c r="U64" s="1861"/>
      <c r="V64" s="1861"/>
      <c r="W64" s="1861"/>
      <c r="X64" s="1861"/>
      <c r="Y64" s="1861"/>
      <c r="Z64" s="1861"/>
      <c r="AA64" s="1861"/>
      <c r="AB64" s="1861"/>
    </row>
    <row r="65" spans="1:28" ht="18" customHeight="1">
      <c r="A65" s="2279" t="s">
        <v>1336</v>
      </c>
      <c r="B65" s="154"/>
      <c r="C65" s="154"/>
      <c r="D65" s="154"/>
      <c r="E65" s="154"/>
      <c r="F65" s="154"/>
      <c r="G65" s="154"/>
      <c r="H65" s="1167"/>
      <c r="I65" s="154"/>
      <c r="J65" s="154"/>
      <c r="K65" s="154"/>
      <c r="L65" s="154"/>
      <c r="M65" s="154"/>
      <c r="N65" s="154"/>
      <c r="O65" s="154"/>
      <c r="P65" s="154"/>
      <c r="Q65" s="154"/>
      <c r="R65" s="154"/>
      <c r="S65" s="154"/>
      <c r="T65" s="154"/>
      <c r="U65" s="1861"/>
      <c r="V65" s="1861"/>
      <c r="W65" s="1861"/>
      <c r="X65" s="1861"/>
      <c r="Y65" s="1861"/>
      <c r="Z65" s="1861"/>
      <c r="AA65" s="1861"/>
      <c r="AB65" s="1861"/>
    </row>
    <row r="66" spans="1:28" ht="15">
      <c r="A66" s="1101"/>
      <c r="B66" s="154"/>
      <c r="C66" s="154"/>
      <c r="D66" s="154"/>
      <c r="E66" s="154"/>
      <c r="F66" s="154"/>
      <c r="G66" s="154"/>
      <c r="H66" s="1167"/>
      <c r="I66" s="154"/>
      <c r="J66" s="154"/>
      <c r="K66" s="154"/>
      <c r="L66" s="154"/>
      <c r="M66" s="154"/>
      <c r="N66" s="154"/>
      <c r="O66" s="154"/>
      <c r="P66" s="154"/>
      <c r="Q66" s="154"/>
      <c r="R66" s="154"/>
      <c r="S66" s="154"/>
      <c r="T66" s="154"/>
      <c r="U66" s="1861"/>
      <c r="V66" s="1861"/>
      <c r="W66" s="1861"/>
      <c r="X66" s="1861"/>
      <c r="Y66" s="1861"/>
      <c r="Z66" s="1861"/>
      <c r="AA66" s="1861"/>
      <c r="AB66" s="1861"/>
    </row>
    <row r="67" spans="1:28" ht="15.75">
      <c r="A67" s="218"/>
      <c r="B67" s="219"/>
      <c r="C67" s="199"/>
      <c r="D67" s="220"/>
      <c r="E67" s="220"/>
      <c r="F67" s="220"/>
      <c r="G67" s="220"/>
      <c r="H67" s="1168"/>
      <c r="I67" s="220"/>
      <c r="J67" s="220"/>
      <c r="K67" s="220"/>
      <c r="L67" s="220"/>
      <c r="M67" s="154"/>
      <c r="N67" s="154"/>
      <c r="O67" s="154"/>
      <c r="P67" s="154"/>
      <c r="Q67" s="154"/>
      <c r="R67" s="154"/>
      <c r="S67" s="154"/>
      <c r="T67" s="154"/>
      <c r="U67" s="1861"/>
      <c r="V67" s="1861"/>
      <c r="W67" s="1861"/>
      <c r="X67" s="1861"/>
      <c r="Y67" s="1861"/>
      <c r="Z67" s="1861"/>
      <c r="AA67" s="1861"/>
      <c r="AB67" s="1861"/>
    </row>
    <row r="68" spans="1:28" ht="15">
      <c r="A68" s="161"/>
      <c r="B68" s="161"/>
      <c r="C68" s="161"/>
      <c r="D68" s="1100"/>
      <c r="E68" s="161"/>
      <c r="F68" s="161"/>
      <c r="G68" s="161"/>
      <c r="H68" s="1169"/>
      <c r="I68" s="161"/>
      <c r="J68" s="161"/>
      <c r="K68" s="161"/>
      <c r="L68" s="1100"/>
      <c r="M68" s="154"/>
      <c r="N68" s="154"/>
      <c r="O68" s="154"/>
      <c r="P68" s="154"/>
      <c r="Q68" s="154"/>
      <c r="R68" s="154"/>
      <c r="S68" s="154"/>
      <c r="T68" s="154"/>
      <c r="U68" s="1861"/>
      <c r="V68" s="1861"/>
      <c r="W68" s="1861"/>
      <c r="X68" s="1861"/>
      <c r="Y68" s="1861"/>
      <c r="Z68" s="1861"/>
      <c r="AA68" s="1861"/>
      <c r="AB68" s="1861"/>
    </row>
    <row r="69" spans="1:28" ht="15">
      <c r="A69" s="161"/>
      <c r="B69" s="161"/>
      <c r="C69" s="161"/>
      <c r="D69" s="1100"/>
      <c r="E69" s="161"/>
      <c r="F69" s="161"/>
      <c r="G69" s="161"/>
      <c r="H69" s="1169"/>
      <c r="I69" s="161"/>
      <c r="J69" s="161"/>
      <c r="K69" s="161"/>
      <c r="L69" s="1100"/>
      <c r="M69" s="154"/>
      <c r="N69" s="154"/>
      <c r="O69" s="154"/>
      <c r="P69" s="154"/>
      <c r="Q69" s="154"/>
      <c r="R69" s="154"/>
      <c r="S69" s="154"/>
      <c r="T69" s="154"/>
      <c r="U69" s="1861"/>
      <c r="V69" s="1861"/>
      <c r="W69" s="1861"/>
      <c r="X69" s="1861"/>
      <c r="Y69" s="1861"/>
      <c r="Z69" s="1861"/>
      <c r="AA69" s="1861"/>
      <c r="AB69" s="1861"/>
    </row>
    <row r="70" spans="1:28" ht="15">
      <c r="A70" s="161"/>
      <c r="B70" s="161"/>
      <c r="C70" s="161"/>
      <c r="D70" s="1100"/>
      <c r="E70" s="161"/>
      <c r="F70" s="161"/>
      <c r="G70" s="161"/>
      <c r="H70" s="1169"/>
      <c r="I70" s="161"/>
      <c r="J70" s="161"/>
      <c r="K70" s="161"/>
      <c r="L70" s="1100"/>
      <c r="M70" s="154"/>
      <c r="N70" s="154"/>
      <c r="O70" s="154"/>
      <c r="P70" s="154"/>
      <c r="Q70" s="154"/>
      <c r="R70" s="154"/>
      <c r="S70" s="154"/>
      <c r="T70" s="154"/>
      <c r="U70" s="1861"/>
      <c r="V70" s="1861"/>
      <c r="W70" s="1861"/>
      <c r="X70" s="1861"/>
      <c r="Y70" s="1861"/>
      <c r="Z70" s="1861"/>
      <c r="AA70" s="1861"/>
      <c r="AB70" s="1861"/>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49:AG50 AE48 AG17 AG18:AG22 AF18:AF21 AD23:AE23 AG23 AG27 AG28:AG29 AG31:AG36 AG30 AF29 AF31:AF37 AD37:AE37 AG37 AG39:AG44 AF39:AF43 AE45 AG45 AG48 AD59:AF59 AD61:AF61 AE53:AF53 AD58:AF58 AE57:AF57 AF23 AF27" unlockedFormula="1"/>
    <ignoredError sqref="B26 B51:B52" numberStoredAsText="1"/>
    <ignoredError sqref="AF44 AF22 AF2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9"/>
  <sheetViews>
    <sheetView showGridLines="0" zoomScale="80" zoomScaleNormal="80" workbookViewId="0"/>
  </sheetViews>
  <sheetFormatPr defaultColWidth="8.88671875" defaultRowHeight="15.75"/>
  <cols>
    <col min="1" max="1" width="56.77734375" style="1262" customWidth="1"/>
    <col min="2" max="2" width="2.33203125" style="1262" customWidth="1"/>
    <col min="3" max="3" width="19" style="1424" customWidth="1"/>
    <col min="4" max="4" width="1.6640625" style="1425" customWidth="1"/>
    <col min="5" max="5" width="16.44140625" style="1425" customWidth="1"/>
    <col min="6" max="6" width="1.5546875" style="1425" customWidth="1"/>
    <col min="7" max="7" width="16.5546875" style="1425" customWidth="1"/>
    <col min="8" max="8" width="1.5546875" style="1425" customWidth="1"/>
    <col min="9" max="9" width="16.5546875" style="1425" customWidth="1"/>
    <col min="10" max="10" width="1.5546875" style="1425" customWidth="1"/>
    <col min="11" max="11" width="20.21875" style="1425" customWidth="1"/>
    <col min="12" max="12" width="9.109375" style="1262" bestFit="1" customWidth="1"/>
    <col min="13" max="13" width="2.5546875" style="1262" customWidth="1"/>
    <col min="14" max="15" width="9" style="1262" bestFit="1" customWidth="1"/>
    <col min="16" max="16384" width="8.88671875" style="1262"/>
  </cols>
  <sheetData>
    <row r="1" spans="1:14">
      <c r="A1" s="1159" t="s">
        <v>1090</v>
      </c>
    </row>
    <row r="2" spans="1:14">
      <c r="A2" s="1653"/>
    </row>
    <row r="3" spans="1:14" ht="18">
      <c r="A3" s="1571" t="s">
        <v>0</v>
      </c>
      <c r="B3" s="795"/>
      <c r="C3" s="1495"/>
      <c r="D3" s="1495"/>
      <c r="E3" s="1495"/>
      <c r="F3" s="1495"/>
      <c r="G3" s="1495"/>
      <c r="H3" s="1495"/>
      <c r="I3" s="1495"/>
      <c r="J3" s="1495"/>
      <c r="K3" s="3313" t="s">
        <v>237</v>
      </c>
      <c r="L3" s="795"/>
    </row>
    <row r="4" spans="1:14" ht="18">
      <c r="A4" s="1571" t="s">
        <v>236</v>
      </c>
      <c r="B4" s="795"/>
      <c r="C4" s="1495" t="s">
        <v>15</v>
      </c>
      <c r="D4" s="1495"/>
      <c r="E4" s="1495"/>
      <c r="F4" s="1495"/>
      <c r="G4" s="1495"/>
      <c r="H4" s="1495"/>
      <c r="I4" s="1495"/>
      <c r="J4" s="1495"/>
      <c r="L4" s="796"/>
    </row>
    <row r="5" spans="1:14" ht="18">
      <c r="A5" s="1571" t="s">
        <v>238</v>
      </c>
      <c r="B5" s="795"/>
      <c r="C5" s="1495"/>
      <c r="D5" s="1495"/>
      <c r="E5" s="1495"/>
      <c r="F5" s="1495"/>
      <c r="G5" s="1495"/>
      <c r="H5" s="1495"/>
      <c r="I5" s="1495"/>
      <c r="J5" s="1495"/>
      <c r="K5" s="3314"/>
      <c r="L5" s="797"/>
    </row>
    <row r="6" spans="1:14" ht="18">
      <c r="A6" s="1572" t="s">
        <v>239</v>
      </c>
      <c r="B6" s="795"/>
      <c r="C6" s="1495"/>
      <c r="D6" s="1495"/>
      <c r="E6" s="1495"/>
      <c r="F6" s="1495"/>
      <c r="G6" s="1495"/>
      <c r="H6" s="1495"/>
      <c r="I6" s="1495"/>
      <c r="J6" s="1495"/>
      <c r="K6" s="809"/>
      <c r="L6" s="798"/>
    </row>
    <row r="7" spans="1:14" ht="18">
      <c r="A7" s="1572" t="s">
        <v>1564</v>
      </c>
      <c r="B7" s="795"/>
      <c r="C7" s="1495"/>
      <c r="D7" s="1495"/>
      <c r="E7" s="1495" t="s">
        <v>15</v>
      </c>
      <c r="F7" s="1495"/>
      <c r="G7" s="1495"/>
      <c r="H7" s="1495"/>
      <c r="I7" s="1495"/>
      <c r="J7" s="1495"/>
      <c r="K7" s="1495"/>
      <c r="L7" s="795"/>
    </row>
    <row r="8" spans="1:14" ht="18">
      <c r="A8" s="1571" t="s">
        <v>981</v>
      </c>
      <c r="B8" s="1402" t="s">
        <v>240</v>
      </c>
      <c r="C8" s="1407"/>
      <c r="D8" s="1407"/>
      <c r="E8" s="1407"/>
      <c r="F8" s="1407"/>
      <c r="G8" s="1407"/>
      <c r="H8" s="1407"/>
      <c r="I8" s="1407"/>
      <c r="J8" s="1407"/>
      <c r="K8" s="1407"/>
      <c r="L8" s="1403"/>
    </row>
    <row r="9" spans="1:14">
      <c r="A9" s="1403"/>
      <c r="B9" s="1403"/>
      <c r="C9" s="805" t="s">
        <v>241</v>
      </c>
      <c r="D9" s="810"/>
      <c r="E9" s="810"/>
      <c r="F9" s="810"/>
      <c r="G9" s="817"/>
      <c r="H9" s="810"/>
      <c r="I9" s="3315" t="s">
        <v>242</v>
      </c>
      <c r="J9" s="810"/>
      <c r="K9" s="3315" t="s">
        <v>241</v>
      </c>
      <c r="L9" s="800"/>
    </row>
    <row r="10" spans="1:14">
      <c r="A10" s="1403"/>
      <c r="B10" s="1403"/>
      <c r="C10" s="3437" t="s">
        <v>1565</v>
      </c>
      <c r="D10" s="810"/>
      <c r="E10" s="3316" t="s">
        <v>243</v>
      </c>
      <c r="F10" s="817"/>
      <c r="G10" s="3317" t="s">
        <v>244</v>
      </c>
      <c r="H10" s="817"/>
      <c r="I10" s="3317" t="s">
        <v>245</v>
      </c>
      <c r="J10" s="817"/>
      <c r="K10" s="3318" t="s">
        <v>1563</v>
      </c>
      <c r="L10" s="801"/>
    </row>
    <row r="11" spans="1:14">
      <c r="A11" s="1403"/>
      <c r="B11" s="1403"/>
      <c r="C11" s="3438"/>
      <c r="D11" s="810"/>
      <c r="E11" s="3315"/>
      <c r="F11" s="817"/>
      <c r="G11" s="3315"/>
      <c r="H11" s="817"/>
      <c r="I11" s="3315"/>
      <c r="J11" s="817"/>
      <c r="K11" s="3319"/>
      <c r="L11" s="801"/>
    </row>
    <row r="12" spans="1:14">
      <c r="A12" s="802" t="s">
        <v>150</v>
      </c>
      <c r="B12" s="1403"/>
      <c r="C12" s="1415"/>
      <c r="D12" s="1407"/>
      <c r="E12" s="1401"/>
      <c r="F12" s="1407"/>
      <c r="G12" s="1400"/>
      <c r="H12" s="1407"/>
      <c r="I12" s="1400"/>
      <c r="J12" s="1407"/>
      <c r="K12" s="1415"/>
      <c r="L12" s="1404"/>
    </row>
    <row r="13" spans="1:14">
      <c r="A13" s="1407" t="s">
        <v>246</v>
      </c>
      <c r="B13" s="1405"/>
      <c r="C13" s="1408">
        <v>0</v>
      </c>
      <c r="D13" s="1401"/>
      <c r="E13" s="3320">
        <v>2.4E-2</v>
      </c>
      <c r="F13" s="2139"/>
      <c r="G13" s="3320">
        <v>1735.769</v>
      </c>
      <c r="H13" s="2139"/>
      <c r="I13" s="3320">
        <v>1735.7449999999999</v>
      </c>
      <c r="J13" s="1401"/>
      <c r="K13" s="1537">
        <f>ROUND(SUM(C13)+SUM(E13)-SUM(G13)+SUM(I13),3)</f>
        <v>0</v>
      </c>
      <c r="L13" s="1409"/>
    </row>
    <row r="14" spans="1:14">
      <c r="A14" s="1407" t="s">
        <v>247</v>
      </c>
      <c r="B14" s="1407"/>
      <c r="C14" s="1417">
        <v>8996.0020000000004</v>
      </c>
      <c r="D14" s="1144"/>
      <c r="E14" s="2139">
        <v>4128.3040000000001</v>
      </c>
      <c r="F14" s="2140"/>
      <c r="G14" s="2139">
        <v>817.21100000000001</v>
      </c>
      <c r="H14" s="2140"/>
      <c r="I14" s="2139">
        <v>-1278.0340000000001</v>
      </c>
      <c r="J14" s="1407"/>
      <c r="K14" s="1144">
        <f>ROUND(SUM(C14)+SUM(E14)-SUM(G14)+SUM(I14),3)</f>
        <v>11029.061</v>
      </c>
      <c r="L14" s="1410"/>
      <c r="M14" s="1412"/>
      <c r="N14" s="1412"/>
    </row>
    <row r="15" spans="1:14">
      <c r="A15" s="1413" t="s">
        <v>248</v>
      </c>
      <c r="B15" s="1403"/>
      <c r="C15" s="1414">
        <v>0</v>
      </c>
      <c r="D15" s="1144"/>
      <c r="E15" s="2144">
        <v>0</v>
      </c>
      <c r="F15" s="2142"/>
      <c r="G15" s="2144">
        <v>0</v>
      </c>
      <c r="H15" s="2142"/>
      <c r="I15" s="2144">
        <v>0</v>
      </c>
      <c r="J15" s="1144"/>
      <c r="K15" s="1144">
        <f t="shared" ref="K15:K21" si="0">ROUND(SUM(C15)+SUM(E15)-SUM(G15)+SUM(I15),3)</f>
        <v>0</v>
      </c>
      <c r="L15" s="1410"/>
      <c r="M15" s="1412"/>
      <c r="N15" s="1412"/>
    </row>
    <row r="16" spans="1:14">
      <c r="A16" s="1403" t="s">
        <v>249</v>
      </c>
      <c r="B16" s="1403"/>
      <c r="C16" s="1414">
        <v>0</v>
      </c>
      <c r="D16" s="1144"/>
      <c r="E16" s="2144">
        <v>0</v>
      </c>
      <c r="F16" s="2142"/>
      <c r="G16" s="2144">
        <v>0</v>
      </c>
      <c r="H16" s="2142"/>
      <c r="I16" s="2144">
        <v>0</v>
      </c>
      <c r="J16" s="1144"/>
      <c r="K16" s="1144">
        <f t="shared" si="0"/>
        <v>0</v>
      </c>
      <c r="L16" s="1410"/>
      <c r="M16" s="1412"/>
      <c r="N16" s="1412"/>
    </row>
    <row r="17" spans="1:14">
      <c r="A17" s="1403" t="s">
        <v>250</v>
      </c>
      <c r="B17" s="1403"/>
      <c r="C17" s="1414">
        <v>0</v>
      </c>
      <c r="D17" s="1144"/>
      <c r="E17" s="2144">
        <v>0</v>
      </c>
      <c r="F17" s="2142"/>
      <c r="G17" s="2144">
        <v>0</v>
      </c>
      <c r="H17" s="2142"/>
      <c r="I17" s="2144">
        <v>0</v>
      </c>
      <c r="J17" s="1144"/>
      <c r="K17" s="1144">
        <f t="shared" si="0"/>
        <v>0</v>
      </c>
      <c r="L17" s="1410"/>
      <c r="M17" s="1412"/>
      <c r="N17" s="1412"/>
    </row>
    <row r="18" spans="1:14">
      <c r="A18" s="1403" t="s">
        <v>251</v>
      </c>
      <c r="B18" s="1403"/>
      <c r="C18" s="1416">
        <v>57.728000000000002</v>
      </c>
      <c r="D18" s="1144"/>
      <c r="E18" s="2144">
        <v>0</v>
      </c>
      <c r="F18" s="2142"/>
      <c r="G18" s="2144">
        <v>0.69</v>
      </c>
      <c r="H18" s="2142"/>
      <c r="I18" s="2144">
        <v>0</v>
      </c>
      <c r="J18" s="1144"/>
      <c r="K18" s="1144">
        <f t="shared" si="0"/>
        <v>57.037999999999997</v>
      </c>
      <c r="L18" s="1411"/>
      <c r="M18" s="1412"/>
      <c r="N18" s="1412"/>
    </row>
    <row r="19" spans="1:14">
      <c r="A19" s="1403" t="s">
        <v>252</v>
      </c>
      <c r="B19" s="1403"/>
      <c r="C19" s="1417">
        <v>0</v>
      </c>
      <c r="D19" s="1416"/>
      <c r="E19" s="2144">
        <v>0</v>
      </c>
      <c r="F19" s="3321"/>
      <c r="G19" s="2144">
        <v>0</v>
      </c>
      <c r="H19" s="3321"/>
      <c r="I19" s="2144">
        <v>0</v>
      </c>
      <c r="J19" s="1416"/>
      <c r="K19" s="1144">
        <f t="shared" si="0"/>
        <v>0</v>
      </c>
      <c r="L19" s="1410"/>
      <c r="M19" s="1412"/>
      <c r="N19" s="1412"/>
    </row>
    <row r="20" spans="1:14">
      <c r="A20" s="1413" t="s">
        <v>253</v>
      </c>
      <c r="B20" s="1404"/>
      <c r="C20" s="1417">
        <v>0</v>
      </c>
      <c r="D20" s="1416"/>
      <c r="E20" s="2144">
        <v>0</v>
      </c>
      <c r="F20" s="3321"/>
      <c r="G20" s="2144">
        <v>0</v>
      </c>
      <c r="H20" s="3321"/>
      <c r="I20" s="2144">
        <v>0</v>
      </c>
      <c r="J20" s="1416"/>
      <c r="K20" s="1144">
        <f t="shared" si="0"/>
        <v>0</v>
      </c>
      <c r="L20" s="1410"/>
      <c r="M20" s="1412"/>
      <c r="N20" s="1412"/>
    </row>
    <row r="21" spans="1:14">
      <c r="A21" s="1413" t="s">
        <v>254</v>
      </c>
      <c r="B21" s="1403"/>
      <c r="C21" s="1417">
        <v>0</v>
      </c>
      <c r="D21" s="1144"/>
      <c r="E21" s="2144">
        <v>113.413</v>
      </c>
      <c r="F21" s="2142"/>
      <c r="G21" s="2144">
        <v>113.413</v>
      </c>
      <c r="H21" s="2142"/>
      <c r="I21" s="2144">
        <v>0</v>
      </c>
      <c r="J21" s="1144"/>
      <c r="K21" s="1144">
        <f t="shared" si="0"/>
        <v>0</v>
      </c>
      <c r="L21" s="1410"/>
      <c r="M21" s="1412"/>
      <c r="N21" s="1412"/>
    </row>
    <row r="22" spans="1:14">
      <c r="A22" s="1414" t="s">
        <v>255</v>
      </c>
      <c r="B22" s="1403"/>
      <c r="C22" s="1417">
        <v>0</v>
      </c>
      <c r="D22" s="1144"/>
      <c r="E22" s="2144">
        <v>0</v>
      </c>
      <c r="F22" s="2142"/>
      <c r="G22" s="2144">
        <v>0</v>
      </c>
      <c r="H22" s="2142"/>
      <c r="I22" s="2144">
        <v>0</v>
      </c>
      <c r="J22" s="1144"/>
      <c r="K22" s="1417">
        <f>ROUND(SUM(C22)+SUM(E22)-SUM(G22)+SUM(I22),3)</f>
        <v>0</v>
      </c>
      <c r="L22" s="1410"/>
      <c r="M22" s="1412"/>
      <c r="N22" s="1412"/>
    </row>
    <row r="23" spans="1:14" ht="22.5" customHeight="1">
      <c r="A23" s="803" t="s">
        <v>256</v>
      </c>
      <c r="B23" s="1403"/>
      <c r="C23" s="804">
        <f>ROUND(SUM(C13:C22),3)</f>
        <v>9053.73</v>
      </c>
      <c r="D23" s="805"/>
      <c r="E23" s="804">
        <f>ROUND(SUM(E13:E22),3)</f>
        <v>4241.741</v>
      </c>
      <c r="F23" s="805"/>
      <c r="G23" s="804">
        <f>ROUND(SUM(G13:G22),3)</f>
        <v>2667.0830000000001</v>
      </c>
      <c r="H23" s="805"/>
      <c r="I23" s="804">
        <f>ROUND(SUM(I13:I22),3)</f>
        <v>457.71100000000001</v>
      </c>
      <c r="J23" s="805"/>
      <c r="K23" s="804">
        <f>ROUND(SUM(K13:K22),3)</f>
        <v>11086.099</v>
      </c>
      <c r="L23" s="1301"/>
      <c r="M23" s="1412"/>
      <c r="N23" s="1412"/>
    </row>
    <row r="24" spans="1:14" ht="8.25" customHeight="1">
      <c r="A24" s="803"/>
      <c r="B24" s="1403"/>
      <c r="C24" s="1400"/>
      <c r="D24" s="1144"/>
      <c r="E24" s="1400"/>
      <c r="F24" s="1144"/>
      <c r="G24" s="1400"/>
      <c r="H24" s="1144"/>
      <c r="I24" s="1400"/>
      <c r="J24" s="1144"/>
      <c r="K24" s="1400"/>
      <c r="L24" s="1406"/>
      <c r="M24" s="1412"/>
      <c r="N24" s="1412"/>
    </row>
    <row r="25" spans="1:14" ht="17.25">
      <c r="A25" s="1414"/>
      <c r="B25" s="1407"/>
      <c r="C25" s="1415"/>
      <c r="D25" s="1407"/>
      <c r="E25" s="1415"/>
      <c r="F25" s="1302"/>
      <c r="G25" s="1415"/>
      <c r="H25" s="1302"/>
      <c r="I25" s="1415"/>
      <c r="J25" s="1407"/>
      <c r="K25" s="1416"/>
      <c r="L25" s="1416"/>
      <c r="M25" s="1412"/>
      <c r="N25" s="1412"/>
    </row>
    <row r="26" spans="1:14" ht="17.25">
      <c r="A26" s="806" t="s">
        <v>988</v>
      </c>
      <c r="B26" s="1407"/>
      <c r="C26" s="1407"/>
      <c r="D26" s="1407"/>
      <c r="E26" s="1407"/>
      <c r="F26" s="1302"/>
      <c r="G26" s="1407"/>
      <c r="H26" s="1302"/>
      <c r="I26" s="1407"/>
      <c r="J26" s="1407"/>
      <c r="K26" s="1407"/>
      <c r="L26" s="1407"/>
      <c r="M26" s="1412"/>
      <c r="N26" s="1412"/>
    </row>
    <row r="27" spans="1:14">
      <c r="A27" s="1413" t="s">
        <v>257</v>
      </c>
      <c r="B27" s="1403"/>
      <c r="C27" s="2592">
        <v>2.3039999999999998</v>
      </c>
      <c r="D27" s="3037"/>
      <c r="E27" s="2144">
        <v>1.2E-2</v>
      </c>
      <c r="F27" s="2140"/>
      <c r="G27" s="2144">
        <v>1.4999999999999999E-2</v>
      </c>
      <c r="H27" s="2140"/>
      <c r="I27" s="2144">
        <v>0</v>
      </c>
      <c r="J27" s="1407"/>
      <c r="K27" s="2784">
        <f t="shared" ref="K27:K32" si="1">ROUND(SUM(C27)+SUM(E27)-SUM(G27)+SUM(I27),3)</f>
        <v>2.3010000000000002</v>
      </c>
      <c r="L27" s="1144"/>
      <c r="M27" s="1412"/>
      <c r="N27" s="1412"/>
    </row>
    <row r="28" spans="1:14">
      <c r="A28" s="1413" t="s">
        <v>258</v>
      </c>
      <c r="B28" s="1403"/>
      <c r="C28" s="2591">
        <v>63.866999999999997</v>
      </c>
      <c r="D28" s="3037"/>
      <c r="E28" s="2144">
        <v>0.28000000000000003</v>
      </c>
      <c r="F28" s="2140"/>
      <c r="G28" s="2144">
        <v>0.4</v>
      </c>
      <c r="H28" s="2140"/>
      <c r="I28" s="2144">
        <v>0</v>
      </c>
      <c r="J28" s="1407"/>
      <c r="K28" s="2784">
        <f t="shared" si="1"/>
        <v>63.747</v>
      </c>
      <c r="L28" s="1144"/>
      <c r="M28" s="1412"/>
      <c r="N28" s="1412"/>
    </row>
    <row r="29" spans="1:14">
      <c r="A29" s="1403" t="s">
        <v>259</v>
      </c>
      <c r="B29" s="1402" t="s">
        <v>240</v>
      </c>
      <c r="C29" s="2591">
        <v>41.357999999999997</v>
      </c>
      <c r="D29" s="3037"/>
      <c r="E29" s="2144">
        <v>1.2490000000000001</v>
      </c>
      <c r="F29" s="2140"/>
      <c r="G29" s="2144">
        <v>1.4730000000000001</v>
      </c>
      <c r="H29" s="2140"/>
      <c r="I29" s="2144">
        <v>0</v>
      </c>
      <c r="J29" s="1407"/>
      <c r="K29" s="2784">
        <f t="shared" si="1"/>
        <v>41.134</v>
      </c>
      <c r="L29" s="1144"/>
      <c r="M29" s="1412"/>
      <c r="N29" s="1412"/>
    </row>
    <row r="30" spans="1:14">
      <c r="A30" s="1413" t="s">
        <v>260</v>
      </c>
      <c r="B30" s="1402"/>
      <c r="C30" s="2591">
        <v>8.4000000000000005E-2</v>
      </c>
      <c r="D30" s="3037"/>
      <c r="E30" s="2144">
        <v>0</v>
      </c>
      <c r="F30" s="2140"/>
      <c r="G30" s="2144">
        <v>3.3000000000000002E-2</v>
      </c>
      <c r="H30" s="2140"/>
      <c r="I30" s="2144">
        <v>0</v>
      </c>
      <c r="J30" s="1407"/>
      <c r="K30" s="2784">
        <f t="shared" si="1"/>
        <v>5.0999999999999997E-2</v>
      </c>
      <c r="L30" s="1144"/>
      <c r="M30" s="1412"/>
      <c r="N30" s="1412"/>
    </row>
    <row r="31" spans="1:14">
      <c r="A31" s="1413" t="s">
        <v>261</v>
      </c>
      <c r="B31" s="1402"/>
      <c r="C31" s="2591">
        <v>0.13200000000000001</v>
      </c>
      <c r="D31" s="3037"/>
      <c r="E31" s="2144">
        <v>2E-3</v>
      </c>
      <c r="F31" s="2140"/>
      <c r="G31" s="2144">
        <v>2.4E-2</v>
      </c>
      <c r="H31" s="2140"/>
      <c r="I31" s="2144">
        <v>0</v>
      </c>
      <c r="J31" s="1407"/>
      <c r="K31" s="2784">
        <f t="shared" si="1"/>
        <v>0.11</v>
      </c>
      <c r="L31" s="1144"/>
      <c r="M31" s="1412"/>
      <c r="N31" s="1412"/>
    </row>
    <row r="32" spans="1:14">
      <c r="A32" s="1403" t="s">
        <v>262</v>
      </c>
      <c r="B32" s="1403"/>
      <c r="C32" s="2591">
        <v>6.43</v>
      </c>
      <c r="D32" s="3037"/>
      <c r="E32" s="2144">
        <v>0.18099999999999999</v>
      </c>
      <c r="F32" s="2140"/>
      <c r="G32" s="2144">
        <v>0.11899999999999999</v>
      </c>
      <c r="H32" s="2140"/>
      <c r="I32" s="2144">
        <v>0</v>
      </c>
      <c r="J32" s="1407"/>
      <c r="K32" s="2784">
        <f t="shared" si="1"/>
        <v>6.492</v>
      </c>
      <c r="L32" s="1144"/>
      <c r="M32" s="1412"/>
      <c r="N32" s="1412"/>
    </row>
    <row r="33" spans="1:14">
      <c r="A33" s="1403" t="s">
        <v>263</v>
      </c>
      <c r="B33" s="1403"/>
      <c r="C33" s="3335"/>
      <c r="D33" s="3037"/>
      <c r="E33" s="3333"/>
      <c r="F33" s="2141"/>
      <c r="G33" s="3333"/>
      <c r="H33" s="2141"/>
      <c r="I33" s="3333"/>
      <c r="J33" s="808"/>
      <c r="K33" s="2785"/>
      <c r="L33" s="808"/>
      <c r="M33" s="1412"/>
      <c r="N33" s="1412"/>
    </row>
    <row r="34" spans="1:14">
      <c r="A34" s="1403" t="s">
        <v>264</v>
      </c>
      <c r="B34" s="1403"/>
      <c r="C34" s="2591">
        <v>2.875</v>
      </c>
      <c r="D34" s="3037"/>
      <c r="E34" s="2144">
        <v>0.76800000000000002</v>
      </c>
      <c r="F34" s="2140"/>
      <c r="G34" s="2144">
        <v>0.19600000000000001</v>
      </c>
      <c r="H34" s="2140"/>
      <c r="I34" s="2144">
        <v>0</v>
      </c>
      <c r="J34" s="1407"/>
      <c r="K34" s="2784">
        <f>ROUND(SUM(C34)+SUM(E34)-SUM(G34)+SUM(I34),3)</f>
        <v>3.4470000000000001</v>
      </c>
      <c r="L34" s="1144"/>
      <c r="M34" s="1412"/>
      <c r="N34" s="1412"/>
    </row>
    <row r="35" spans="1:14">
      <c r="A35" s="1403" t="s">
        <v>265</v>
      </c>
      <c r="B35" s="1403"/>
      <c r="C35" s="3335">
        <v>0.28799999999999998</v>
      </c>
      <c r="D35" s="3037"/>
      <c r="E35" s="2144">
        <v>2243.6010000000001</v>
      </c>
      <c r="F35" s="2140"/>
      <c r="G35" s="2144">
        <v>2243.0659999999998</v>
      </c>
      <c r="H35" s="2140"/>
      <c r="I35" s="2144">
        <v>0</v>
      </c>
      <c r="J35" s="1407"/>
      <c r="K35" s="2784">
        <f>ROUND(SUM(C35)+SUM(E35)-SUM(G35)+SUM(I35),3)</f>
        <v>0.82299999999999995</v>
      </c>
      <c r="L35" s="1144"/>
      <c r="M35" s="1412"/>
      <c r="N35" s="1412"/>
    </row>
    <row r="36" spans="1:14">
      <c r="A36" s="1403" t="s">
        <v>266</v>
      </c>
      <c r="B36" s="1403"/>
      <c r="C36" s="2591">
        <v>6.5529999999999999</v>
      </c>
      <c r="D36" s="3037"/>
      <c r="E36" s="2144">
        <v>3.0000000000000001E-3</v>
      </c>
      <c r="F36" s="2140"/>
      <c r="G36" s="2144">
        <v>0</v>
      </c>
      <c r="H36" s="2140"/>
      <c r="I36" s="2144">
        <v>0</v>
      </c>
      <c r="J36" s="1407"/>
      <c r="K36" s="2784">
        <f t="shared" ref="K36:K58" si="2">ROUND(SUM(C36)+SUM(E36)-SUM(G36)+SUM(I36),3)</f>
        <v>6.556</v>
      </c>
      <c r="L36" s="1144"/>
      <c r="M36" s="1412"/>
      <c r="N36" s="1412"/>
    </row>
    <row r="37" spans="1:14">
      <c r="A37" s="1418" t="s">
        <v>267</v>
      </c>
      <c r="B37" s="1419"/>
      <c r="C37" s="3038">
        <v>0</v>
      </c>
      <c r="D37" s="3037"/>
      <c r="E37" s="2144">
        <v>0</v>
      </c>
      <c r="F37" s="2140"/>
      <c r="G37" s="2144">
        <v>0</v>
      </c>
      <c r="H37" s="2140"/>
      <c r="I37" s="2144">
        <v>0</v>
      </c>
      <c r="J37" s="1144"/>
      <c r="K37" s="2784">
        <f t="shared" si="2"/>
        <v>0</v>
      </c>
      <c r="L37" s="1417"/>
      <c r="M37" s="1412"/>
      <c r="N37" s="1412"/>
    </row>
    <row r="38" spans="1:14">
      <c r="A38" s="1413" t="s">
        <v>268</v>
      </c>
      <c r="B38" s="1403"/>
      <c r="C38" s="2591">
        <v>251.221</v>
      </c>
      <c r="D38" s="3037"/>
      <c r="E38" s="2144">
        <v>465.90100000000001</v>
      </c>
      <c r="F38" s="2140"/>
      <c r="G38" s="2144">
        <v>481.87599999999998</v>
      </c>
      <c r="H38" s="2140"/>
      <c r="I38" s="2144">
        <v>-1.242</v>
      </c>
      <c r="J38" s="1407"/>
      <c r="K38" s="1144">
        <f t="shared" si="2"/>
        <v>234.00399999999999</v>
      </c>
      <c r="L38" s="1144"/>
      <c r="M38" s="1412"/>
      <c r="N38" s="1412"/>
    </row>
    <row r="39" spans="1:14">
      <c r="A39" s="1407" t="s">
        <v>269</v>
      </c>
      <c r="B39" s="1407"/>
      <c r="C39" s="2591">
        <v>80.013999999999996</v>
      </c>
      <c r="D39" s="3037"/>
      <c r="E39" s="2144">
        <v>49.296999999999997</v>
      </c>
      <c r="F39" s="2140"/>
      <c r="G39" s="2144">
        <v>70.158000000000001</v>
      </c>
      <c r="H39" s="2140"/>
      <c r="I39" s="2144">
        <v>0</v>
      </c>
      <c r="J39" s="1407"/>
      <c r="K39" s="1144">
        <f t="shared" si="2"/>
        <v>59.152999999999999</v>
      </c>
      <c r="L39" s="1144"/>
      <c r="M39" s="1412"/>
      <c r="N39" s="1412"/>
    </row>
    <row r="40" spans="1:14">
      <c r="A40" s="1414" t="s">
        <v>270</v>
      </c>
      <c r="B40" s="1407"/>
      <c r="C40" s="2591">
        <v>-228.274</v>
      </c>
      <c r="D40" s="3037"/>
      <c r="E40" s="2144">
        <v>256.66300000000001</v>
      </c>
      <c r="F40" s="2140"/>
      <c r="G40" s="2144">
        <v>150.25</v>
      </c>
      <c r="H40" s="2140"/>
      <c r="I40" s="2144">
        <v>-2.5129999999999999</v>
      </c>
      <c r="J40" s="1407"/>
      <c r="K40" s="1144">
        <f t="shared" si="2"/>
        <v>-124.374</v>
      </c>
      <c r="L40" s="1144"/>
      <c r="M40" s="1412"/>
      <c r="N40" s="1412"/>
    </row>
    <row r="41" spans="1:14">
      <c r="A41" s="1413" t="s">
        <v>271</v>
      </c>
      <c r="B41" s="1403"/>
      <c r="C41" s="2591">
        <v>11.294</v>
      </c>
      <c r="D41" s="3037"/>
      <c r="E41" s="2144">
        <v>2.4369999999999998</v>
      </c>
      <c r="F41" s="2140"/>
      <c r="G41" s="2144">
        <v>4.4889999999999999</v>
      </c>
      <c r="H41" s="2140"/>
      <c r="I41" s="2144">
        <v>0</v>
      </c>
      <c r="J41" s="1407"/>
      <c r="K41" s="1144">
        <f t="shared" si="2"/>
        <v>9.2420000000000009</v>
      </c>
      <c r="L41" s="1144"/>
      <c r="M41" s="1412"/>
      <c r="N41" s="1412"/>
    </row>
    <row r="42" spans="1:14">
      <c r="A42" s="1407" t="s">
        <v>272</v>
      </c>
      <c r="B42" s="1403"/>
      <c r="C42" s="2591">
        <v>-4.0140000000000002</v>
      </c>
      <c r="D42" s="3037"/>
      <c r="E42" s="2144">
        <v>0</v>
      </c>
      <c r="F42" s="2140"/>
      <c r="G42" s="2144">
        <v>2.4E-2</v>
      </c>
      <c r="H42" s="2140"/>
      <c r="I42" s="2144">
        <v>0</v>
      </c>
      <c r="J42" s="1407"/>
      <c r="K42" s="2784">
        <f t="shared" si="2"/>
        <v>-4.0380000000000003</v>
      </c>
      <c r="L42" s="1144"/>
      <c r="M42" s="1412"/>
      <c r="N42" s="1412"/>
    </row>
    <row r="43" spans="1:14">
      <c r="A43" s="1407" t="s">
        <v>1342</v>
      </c>
      <c r="B43" s="1403"/>
      <c r="C43" s="2591">
        <v>-13.618</v>
      </c>
      <c r="D43" s="3037"/>
      <c r="E43" s="2144">
        <v>8.3079999999999998</v>
      </c>
      <c r="F43" s="2140"/>
      <c r="G43" s="2144">
        <v>11.087999999999999</v>
      </c>
      <c r="H43" s="2140"/>
      <c r="I43" s="2144">
        <v>-5.3760000000000003</v>
      </c>
      <c r="J43" s="1407"/>
      <c r="K43" s="1144">
        <f t="shared" si="2"/>
        <v>-21.774000000000001</v>
      </c>
      <c r="L43" s="1144"/>
      <c r="M43" s="1412"/>
      <c r="N43" s="1412"/>
    </row>
    <row r="44" spans="1:14">
      <c r="A44" s="1403" t="s">
        <v>273</v>
      </c>
      <c r="B44" s="1403"/>
      <c r="C44" s="2591">
        <v>84.691999999999993</v>
      </c>
      <c r="D44" s="3037"/>
      <c r="E44" s="2144">
        <v>0.97399999999999998</v>
      </c>
      <c r="F44" s="2140"/>
      <c r="G44" s="2144">
        <v>7.1669999999999998</v>
      </c>
      <c r="H44" s="2140"/>
      <c r="I44" s="2144">
        <v>0</v>
      </c>
      <c r="J44" s="1407"/>
      <c r="K44" s="1144">
        <f t="shared" si="2"/>
        <v>78.498999999999995</v>
      </c>
      <c r="L44" s="1144"/>
      <c r="M44" s="1412"/>
      <c r="N44" s="1412"/>
    </row>
    <row r="45" spans="1:14">
      <c r="A45" s="1403" t="s">
        <v>274</v>
      </c>
      <c r="B45" s="1403"/>
      <c r="C45" s="2591">
        <v>38.777999999999999</v>
      </c>
      <c r="D45" s="3037"/>
      <c r="E45" s="2144">
        <v>4.1070000000000002</v>
      </c>
      <c r="F45" s="2140"/>
      <c r="G45" s="2144">
        <v>3.8109999999999999</v>
      </c>
      <c r="H45" s="2140"/>
      <c r="I45" s="2144">
        <v>-3.492</v>
      </c>
      <c r="J45" s="1407"/>
      <c r="K45" s="2784">
        <f t="shared" si="2"/>
        <v>35.582000000000001</v>
      </c>
      <c r="L45" s="1144"/>
      <c r="M45" s="1412"/>
      <c r="N45" s="1412"/>
    </row>
    <row r="46" spans="1:14">
      <c r="A46" s="1403" t="s">
        <v>275</v>
      </c>
      <c r="B46" s="1403"/>
      <c r="C46" s="2591">
        <v>1.1579999999999999</v>
      </c>
      <c r="D46" s="3037"/>
      <c r="E46" s="2144">
        <v>7.9749999999999996</v>
      </c>
      <c r="F46" s="2140"/>
      <c r="G46" s="2144">
        <v>5.5E-2</v>
      </c>
      <c r="H46" s="2140"/>
      <c r="I46" s="2144">
        <v>-5.7000000000000002E-2</v>
      </c>
      <c r="J46" s="1407"/>
      <c r="K46" s="2784">
        <f t="shared" si="2"/>
        <v>9.0210000000000008</v>
      </c>
      <c r="L46" s="1144"/>
      <c r="M46" s="1412"/>
      <c r="N46" s="1412"/>
    </row>
    <row r="47" spans="1:14">
      <c r="A47" s="1403" t="s">
        <v>276</v>
      </c>
      <c r="B47" s="1403"/>
      <c r="C47" s="2591">
        <v>4.2039999999999997</v>
      </c>
      <c r="D47" s="3037"/>
      <c r="E47" s="2144">
        <v>0.86099999999999999</v>
      </c>
      <c r="F47" s="2140"/>
      <c r="G47" s="2144">
        <v>2.7679999999999998</v>
      </c>
      <c r="H47" s="2140"/>
      <c r="I47" s="2144">
        <v>0</v>
      </c>
      <c r="J47" s="1407"/>
      <c r="K47" s="2784">
        <f t="shared" si="2"/>
        <v>2.2970000000000002</v>
      </c>
      <c r="L47" s="1144"/>
      <c r="M47" s="1412"/>
      <c r="N47" s="1412"/>
    </row>
    <row r="48" spans="1:14">
      <c r="A48" s="1413" t="s">
        <v>277</v>
      </c>
      <c r="B48" s="1403"/>
      <c r="C48" s="2591">
        <v>0.52500000000000002</v>
      </c>
      <c r="D48" s="3037"/>
      <c r="E48" s="2144">
        <v>3.0000000000000001E-3</v>
      </c>
      <c r="F48" s="2140"/>
      <c r="G48" s="2144">
        <v>1E-3</v>
      </c>
      <c r="H48" s="2140"/>
      <c r="I48" s="2144">
        <v>0</v>
      </c>
      <c r="J48" s="1407"/>
      <c r="K48" s="1144">
        <f t="shared" si="2"/>
        <v>0.52700000000000002</v>
      </c>
      <c r="L48" s="1144"/>
      <c r="M48" s="1412"/>
      <c r="N48" s="1412"/>
    </row>
    <row r="49" spans="1:14">
      <c r="A49" s="1403" t="s">
        <v>278</v>
      </c>
      <c r="B49" s="1403"/>
      <c r="C49" s="2591">
        <v>-362.32499999999999</v>
      </c>
      <c r="D49" s="3037"/>
      <c r="E49" s="2144">
        <v>133.054</v>
      </c>
      <c r="F49" s="2140"/>
      <c r="G49" s="2144">
        <v>0.251</v>
      </c>
      <c r="H49" s="2140"/>
      <c r="I49" s="2144">
        <v>0.13500000000000001</v>
      </c>
      <c r="J49" s="1407"/>
      <c r="K49" s="2784">
        <f t="shared" si="2"/>
        <v>-229.387</v>
      </c>
      <c r="L49" s="1144"/>
      <c r="M49" s="1412"/>
      <c r="N49" s="1412"/>
    </row>
    <row r="50" spans="1:14">
      <c r="A50" s="1403" t="s">
        <v>279</v>
      </c>
      <c r="B50" s="1403"/>
      <c r="C50" s="2591">
        <v>-12.417</v>
      </c>
      <c r="D50" s="3037"/>
      <c r="E50" s="2144">
        <v>2.5920000000000001</v>
      </c>
      <c r="F50" s="2140"/>
      <c r="G50" s="2144">
        <v>3.3940000000000001</v>
      </c>
      <c r="H50" s="2140"/>
      <c r="I50" s="2144">
        <v>-2.9409999999999998</v>
      </c>
      <c r="J50" s="1407"/>
      <c r="K50" s="2784">
        <f t="shared" si="2"/>
        <v>-16.16</v>
      </c>
      <c r="L50" s="1144"/>
      <c r="M50" s="1412"/>
      <c r="N50" s="1412"/>
    </row>
    <row r="51" spans="1:14">
      <c r="A51" s="1403" t="s">
        <v>280</v>
      </c>
      <c r="B51" s="1403"/>
      <c r="C51" s="2591">
        <v>6.7000000000000004E-2</v>
      </c>
      <c r="D51" s="3037"/>
      <c r="E51" s="2144">
        <v>0</v>
      </c>
      <c r="F51" s="2140"/>
      <c r="G51" s="2144">
        <v>0</v>
      </c>
      <c r="H51" s="2140"/>
      <c r="I51" s="2144">
        <v>0</v>
      </c>
      <c r="J51" s="1407"/>
      <c r="K51" s="2784">
        <f>ROUND(SUM(C51)+SUM(E51)-SUM(G51)+SUM(I51),3)</f>
        <v>6.7000000000000004E-2</v>
      </c>
      <c r="L51" s="1144"/>
      <c r="M51" s="1412"/>
      <c r="N51" s="1412"/>
    </row>
    <row r="52" spans="1:14">
      <c r="A52" s="1403" t="s">
        <v>1121</v>
      </c>
      <c r="B52" s="1403"/>
      <c r="C52" s="2591">
        <v>10.387</v>
      </c>
      <c r="D52" s="3037"/>
      <c r="E52" s="2144">
        <v>0.20100000000000001</v>
      </c>
      <c r="F52" s="2140"/>
      <c r="G52" s="2144">
        <v>0.106</v>
      </c>
      <c r="H52" s="2140"/>
      <c r="I52" s="2144">
        <v>0</v>
      </c>
      <c r="J52" s="1407"/>
      <c r="K52" s="1144">
        <f t="shared" si="2"/>
        <v>10.481999999999999</v>
      </c>
      <c r="L52" s="1144"/>
      <c r="M52" s="1412"/>
      <c r="N52" s="1412"/>
    </row>
    <row r="53" spans="1:14">
      <c r="A53" s="1403" t="s">
        <v>281</v>
      </c>
      <c r="B53" s="1403"/>
      <c r="C53" s="3038">
        <v>0</v>
      </c>
      <c r="D53" s="3037"/>
      <c r="E53" s="2144">
        <v>0</v>
      </c>
      <c r="F53" s="2140"/>
      <c r="G53" s="2144">
        <v>0</v>
      </c>
      <c r="H53" s="2140"/>
      <c r="I53" s="2144">
        <v>0</v>
      </c>
      <c r="J53" s="1407"/>
      <c r="K53" s="1144">
        <f t="shared" si="2"/>
        <v>0</v>
      </c>
      <c r="L53" s="1417"/>
      <c r="M53" s="1412"/>
      <c r="N53" s="1412"/>
    </row>
    <row r="54" spans="1:14">
      <c r="A54" s="1413" t="s">
        <v>282</v>
      </c>
      <c r="B54" s="1403"/>
      <c r="C54" s="2592">
        <v>0.45800000000000002</v>
      </c>
      <c r="D54" s="3037"/>
      <c r="E54" s="2144">
        <v>0</v>
      </c>
      <c r="F54" s="2140"/>
      <c r="G54" s="2144">
        <v>0</v>
      </c>
      <c r="H54" s="2140"/>
      <c r="I54" s="2144">
        <v>0</v>
      </c>
      <c r="J54" s="1407"/>
      <c r="K54" s="1144">
        <f t="shared" si="2"/>
        <v>0.45800000000000002</v>
      </c>
      <c r="L54" s="1144"/>
      <c r="M54" s="1412"/>
      <c r="N54" s="1412"/>
    </row>
    <row r="55" spans="1:14">
      <c r="A55" s="1413" t="s">
        <v>283</v>
      </c>
      <c r="B55" s="1403"/>
      <c r="C55" s="3038">
        <v>0</v>
      </c>
      <c r="D55" s="3037"/>
      <c r="E55" s="2144">
        <v>0</v>
      </c>
      <c r="F55" s="2140"/>
      <c r="G55" s="2144">
        <v>0</v>
      </c>
      <c r="H55" s="2140"/>
      <c r="I55" s="2144">
        <v>0</v>
      </c>
      <c r="J55" s="1407"/>
      <c r="K55" s="1144">
        <f t="shared" si="2"/>
        <v>0</v>
      </c>
      <c r="L55" s="1144"/>
      <c r="M55" s="1412"/>
      <c r="N55" s="1412"/>
    </row>
    <row r="56" spans="1:14">
      <c r="A56" s="1413" t="s">
        <v>284</v>
      </c>
      <c r="B56" s="1403"/>
      <c r="C56" s="3335">
        <v>1E-3</v>
      </c>
      <c r="D56" s="3037"/>
      <c r="E56" s="2144">
        <v>0</v>
      </c>
      <c r="F56" s="2140"/>
      <c r="G56" s="2144">
        <v>0</v>
      </c>
      <c r="H56" s="2140"/>
      <c r="I56" s="2144">
        <v>0</v>
      </c>
      <c r="J56" s="1407"/>
      <c r="K56" s="1144">
        <f t="shared" si="2"/>
        <v>1E-3</v>
      </c>
      <c r="L56" s="1144"/>
      <c r="M56" s="1412"/>
      <c r="N56" s="1412"/>
    </row>
    <row r="57" spans="1:14">
      <c r="A57" s="1413" t="s">
        <v>285</v>
      </c>
      <c r="B57" s="1403"/>
      <c r="C57" s="2592">
        <v>0.84199999999999997</v>
      </c>
      <c r="D57" s="3037"/>
      <c r="E57" s="2144">
        <v>1E-3</v>
      </c>
      <c r="F57" s="2140"/>
      <c r="G57" s="2144">
        <v>0</v>
      </c>
      <c r="H57" s="2140"/>
      <c r="I57" s="2144">
        <v>0</v>
      </c>
      <c r="J57" s="1407"/>
      <c r="K57" s="1144">
        <f t="shared" si="2"/>
        <v>0.84299999999999997</v>
      </c>
      <c r="L57" s="1144"/>
      <c r="M57" s="1412"/>
      <c r="N57" s="1412"/>
    </row>
    <row r="58" spans="1:14">
      <c r="A58" s="1413" t="s">
        <v>286</v>
      </c>
      <c r="B58" s="1403"/>
      <c r="C58" s="2591">
        <v>1632.7139999999999</v>
      </c>
      <c r="D58" s="3037"/>
      <c r="E58" s="2144">
        <v>146.89699999999999</v>
      </c>
      <c r="F58" s="2140"/>
      <c r="G58" s="2144">
        <v>582.86300000000006</v>
      </c>
      <c r="H58" s="2140"/>
      <c r="I58" s="2144">
        <v>113.392</v>
      </c>
      <c r="J58" s="1407"/>
      <c r="K58" s="1144">
        <f t="shared" si="2"/>
        <v>1310.1400000000001</v>
      </c>
      <c r="L58" s="1144"/>
      <c r="M58" s="1420"/>
      <c r="N58" s="1412"/>
    </row>
    <row r="59" spans="1:14">
      <c r="A59" s="794"/>
      <c r="B59" s="795"/>
      <c r="C59" s="2593"/>
      <c r="D59" s="1495"/>
      <c r="E59" s="3333"/>
      <c r="F59" s="3322"/>
      <c r="G59" s="3333"/>
      <c r="H59" s="3322"/>
      <c r="I59" s="3333"/>
      <c r="J59" s="1495"/>
      <c r="K59" s="1495"/>
      <c r="L59" s="808"/>
      <c r="M59" s="1412"/>
      <c r="N59" s="1412"/>
    </row>
    <row r="60" spans="1:14">
      <c r="A60" s="794"/>
      <c r="B60" s="795"/>
      <c r="C60" s="2593"/>
      <c r="D60" s="1495"/>
      <c r="E60" s="3333"/>
      <c r="F60" s="3322"/>
      <c r="G60" s="3333"/>
      <c r="H60" s="3322"/>
      <c r="I60" s="3333"/>
      <c r="J60" s="1495"/>
      <c r="K60" s="1495"/>
      <c r="L60" s="1495"/>
    </row>
    <row r="61" spans="1:14">
      <c r="A61" s="802" t="s">
        <v>1041</v>
      </c>
      <c r="B61" s="1403"/>
      <c r="C61" s="2594"/>
      <c r="E61" s="3334"/>
      <c r="F61" s="3323"/>
      <c r="G61" s="3334"/>
      <c r="H61" s="3323"/>
      <c r="I61" s="3334"/>
      <c r="K61" s="1424"/>
      <c r="L61" s="1144"/>
      <c r="M61" s="1412"/>
      <c r="N61" s="1412"/>
    </row>
    <row r="62" spans="1:14">
      <c r="A62" s="1403" t="s">
        <v>287</v>
      </c>
      <c r="B62" s="1403"/>
      <c r="C62" s="2591">
        <v>22.158999999999999</v>
      </c>
      <c r="D62" s="3037"/>
      <c r="E62" s="2144">
        <v>8.0000000000000002E-3</v>
      </c>
      <c r="F62" s="2140"/>
      <c r="G62" s="2144">
        <v>3.6819999999999999</v>
      </c>
      <c r="H62" s="2140"/>
      <c r="I62" s="2144">
        <v>0</v>
      </c>
      <c r="J62" s="1407"/>
      <c r="K62" s="1144">
        <f>ROUND(SUM(C62)+SUM(E62)-SUM(G62)+SUM(I62),3)</f>
        <v>18.484999999999999</v>
      </c>
      <c r="L62" s="1144"/>
      <c r="M62" s="1412"/>
      <c r="N62" s="1412"/>
    </row>
    <row r="63" spans="1:14">
      <c r="A63" s="1403" t="s">
        <v>288</v>
      </c>
      <c r="B63" s="1405"/>
      <c r="C63" s="3335">
        <v>0.05</v>
      </c>
      <c r="D63" s="3037"/>
      <c r="E63" s="2144">
        <v>0</v>
      </c>
      <c r="F63" s="2140"/>
      <c r="G63" s="2144">
        <v>0</v>
      </c>
      <c r="H63" s="2140"/>
      <c r="I63" s="2144">
        <v>0</v>
      </c>
      <c r="J63" s="1401"/>
      <c r="K63" s="1144">
        <f>ROUND(SUM(C63)+SUM(E63)-SUM(G63)+SUM(I63),3)</f>
        <v>0.05</v>
      </c>
      <c r="L63" s="1144"/>
      <c r="M63" s="1412"/>
      <c r="N63" s="1412"/>
    </row>
    <row r="64" spans="1:14">
      <c r="A64" s="1407" t="s">
        <v>289</v>
      </c>
      <c r="B64" s="1403"/>
      <c r="C64" s="2591">
        <v>982.54399999999998</v>
      </c>
      <c r="D64" s="3037"/>
      <c r="E64" s="2144">
        <v>398.81</v>
      </c>
      <c r="F64" s="2140"/>
      <c r="G64" s="2142">
        <v>473.142</v>
      </c>
      <c r="H64" s="2140"/>
      <c r="I64" s="2144">
        <v>242.78299999999999</v>
      </c>
      <c r="J64" s="1407"/>
      <c r="K64" s="1144">
        <f>ROUND(SUM(C64)+SUM(E64)-SUM(G64)+SUM(I64),3)</f>
        <v>1150.9949999999999</v>
      </c>
      <c r="L64" s="1144"/>
      <c r="M64" s="1412"/>
      <c r="N64" s="1412"/>
    </row>
    <row r="65" spans="1:14">
      <c r="A65" s="1413" t="s">
        <v>290</v>
      </c>
      <c r="B65" s="1403"/>
      <c r="C65" s="2591">
        <v>42.951999999999998</v>
      </c>
      <c r="D65" s="3037"/>
      <c r="E65" s="2144">
        <v>0.10100000000000001</v>
      </c>
      <c r="F65" s="2140"/>
      <c r="G65" s="2144">
        <v>2.008</v>
      </c>
      <c r="H65" s="2140"/>
      <c r="I65" s="2144">
        <v>0</v>
      </c>
      <c r="J65" s="1407"/>
      <c r="K65" s="1144">
        <f>ROUND(SUM(C65)+SUM(E65)-SUM(G65)+SUM(I65),3)</f>
        <v>41.045000000000002</v>
      </c>
      <c r="L65" s="1144"/>
      <c r="M65" s="1412"/>
      <c r="N65" s="1412"/>
    </row>
    <row r="66" spans="1:14">
      <c r="A66" s="1403" t="s">
        <v>291</v>
      </c>
      <c r="B66" s="1403"/>
      <c r="C66" s="2591">
        <v>0.13900000000000001</v>
      </c>
      <c r="D66" s="3037"/>
      <c r="E66" s="2144">
        <v>0</v>
      </c>
      <c r="F66" s="2140"/>
      <c r="G66" s="2144">
        <v>0.39900000000000002</v>
      </c>
      <c r="H66" s="2140"/>
      <c r="I66" s="2144">
        <v>0</v>
      </c>
      <c r="J66" s="1407"/>
      <c r="K66" s="1144">
        <f>ROUND(SUM(C66)+SUM(E66)-SUM(G66)+SUM(I66),3)</f>
        <v>-0.26</v>
      </c>
      <c r="L66" s="1144"/>
      <c r="M66" s="1412"/>
      <c r="N66" s="1412"/>
    </row>
    <row r="67" spans="1:14">
      <c r="A67" s="1403" t="s">
        <v>292</v>
      </c>
      <c r="B67" s="1403"/>
      <c r="C67" s="3335" t="s">
        <v>15</v>
      </c>
      <c r="D67" s="3037"/>
      <c r="E67" s="2142"/>
      <c r="F67" s="2140"/>
      <c r="G67" s="2142"/>
      <c r="H67" s="2140"/>
      <c r="I67" s="2144"/>
      <c r="J67" s="1407"/>
      <c r="K67" s="1144" t="s">
        <v>15</v>
      </c>
      <c r="L67" s="1144"/>
      <c r="M67" s="1412"/>
      <c r="N67" s="1412"/>
    </row>
    <row r="68" spans="1:14">
      <c r="A68" s="1403" t="s">
        <v>293</v>
      </c>
      <c r="B68" s="1403"/>
      <c r="C68" s="2591">
        <v>115.557</v>
      </c>
      <c r="D68" s="3037"/>
      <c r="E68" s="2144">
        <v>0.95599999999999996</v>
      </c>
      <c r="F68" s="2140"/>
      <c r="G68" s="2144">
        <v>0.85699999999999998</v>
      </c>
      <c r="H68" s="2140"/>
      <c r="I68" s="2144">
        <v>-39.049999999999997</v>
      </c>
      <c r="J68" s="1407"/>
      <c r="K68" s="1144">
        <f>ROUND(SUM(C68)+SUM(E68)-SUM(G68)+SUM(I68),3)</f>
        <v>76.605999999999995</v>
      </c>
      <c r="L68" s="1144"/>
      <c r="M68" s="1412"/>
      <c r="N68" s="1412"/>
    </row>
    <row r="69" spans="1:14">
      <c r="A69" s="1403" t="s">
        <v>294</v>
      </c>
      <c r="B69" s="798"/>
      <c r="C69" s="2591">
        <v>0.45700000000000002</v>
      </c>
      <c r="D69" s="3037"/>
      <c r="E69" s="2144">
        <v>0</v>
      </c>
      <c r="F69" s="2140"/>
      <c r="G69" s="2144">
        <v>5.0000000000000001E-3</v>
      </c>
      <c r="H69" s="2140"/>
      <c r="I69" s="2144">
        <v>0</v>
      </c>
      <c r="J69" s="808"/>
      <c r="K69" s="1144">
        <f t="shared" ref="K69:K86" si="3">ROUND(SUM(C69)+SUM(E69)-SUM(G69)+SUM(I69),3)</f>
        <v>0.45200000000000001</v>
      </c>
      <c r="L69" s="1144"/>
      <c r="M69" s="1412"/>
      <c r="N69" s="1412"/>
    </row>
    <row r="70" spans="1:14">
      <c r="A70" s="1403" t="s">
        <v>295</v>
      </c>
      <c r="B70" s="1403"/>
      <c r="C70" s="3335">
        <v>2.3E-2</v>
      </c>
      <c r="D70" s="3037"/>
      <c r="E70" s="2144">
        <v>0</v>
      </c>
      <c r="F70" s="2140"/>
      <c r="G70" s="2144">
        <v>0</v>
      </c>
      <c r="H70" s="2140"/>
      <c r="I70" s="2144">
        <v>0</v>
      </c>
      <c r="J70" s="1407"/>
      <c r="K70" s="1144">
        <f t="shared" si="3"/>
        <v>2.3E-2</v>
      </c>
      <c r="L70" s="1144"/>
      <c r="M70" s="1412"/>
      <c r="N70" s="1412"/>
    </row>
    <row r="71" spans="1:14">
      <c r="A71" s="1413" t="s">
        <v>296</v>
      </c>
      <c r="B71" s="1403"/>
      <c r="C71" s="2592">
        <v>9.2710000000000008</v>
      </c>
      <c r="D71" s="3037"/>
      <c r="E71" s="2144">
        <v>8.0000000000000002E-3</v>
      </c>
      <c r="F71" s="2140"/>
      <c r="G71" s="2144">
        <v>-1.4830000000000001</v>
      </c>
      <c r="H71" s="2140"/>
      <c r="I71" s="2144">
        <v>0</v>
      </c>
      <c r="J71" s="1407"/>
      <c r="K71" s="1144">
        <f t="shared" si="3"/>
        <v>10.762</v>
      </c>
      <c r="L71" s="1144"/>
      <c r="M71" s="1412"/>
      <c r="N71" s="1412"/>
    </row>
    <row r="72" spans="1:14">
      <c r="A72" s="1403" t="s">
        <v>297</v>
      </c>
      <c r="B72" s="1403"/>
      <c r="C72" s="2591">
        <v>-9.3740000000000006</v>
      </c>
      <c r="D72" s="3037"/>
      <c r="E72" s="2144">
        <v>0.23</v>
      </c>
      <c r="F72" s="2140"/>
      <c r="G72" s="2144">
        <v>0.24099999999999999</v>
      </c>
      <c r="H72" s="2140"/>
      <c r="I72" s="2144">
        <v>0</v>
      </c>
      <c r="J72" s="1407"/>
      <c r="K72" s="1144">
        <f t="shared" si="3"/>
        <v>-9.3849999999999998</v>
      </c>
      <c r="L72" s="1144"/>
      <c r="M72" s="1412"/>
      <c r="N72" s="1412"/>
    </row>
    <row r="73" spans="1:14">
      <c r="A73" s="1403" t="s">
        <v>298</v>
      </c>
      <c r="B73" s="1403"/>
      <c r="C73" s="2591">
        <v>0.13400000000000001</v>
      </c>
      <c r="D73" s="3037"/>
      <c r="E73" s="2144">
        <v>2E-3</v>
      </c>
      <c r="F73" s="2140"/>
      <c r="G73" s="2144">
        <v>0</v>
      </c>
      <c r="H73" s="2140"/>
      <c r="I73" s="2144">
        <v>0</v>
      </c>
      <c r="J73" s="1407"/>
      <c r="K73" s="1144">
        <f t="shared" si="3"/>
        <v>0.13600000000000001</v>
      </c>
      <c r="L73" s="1144"/>
      <c r="M73" s="1412"/>
      <c r="N73" s="1412"/>
    </row>
    <row r="74" spans="1:14">
      <c r="A74" s="1403" t="s">
        <v>299</v>
      </c>
      <c r="B74" s="1403"/>
      <c r="C74" s="3335"/>
      <c r="D74" s="3037"/>
      <c r="E74" s="2142"/>
      <c r="F74" s="2140"/>
      <c r="G74" s="2142"/>
      <c r="H74" s="2140"/>
      <c r="I74" s="2142"/>
      <c r="J74" s="1407"/>
      <c r="K74" s="1144"/>
      <c r="L74" s="1144"/>
      <c r="M74" s="1412"/>
      <c r="N74" s="1412"/>
    </row>
    <row r="75" spans="1:14">
      <c r="A75" s="1403" t="s">
        <v>300</v>
      </c>
      <c r="B75" s="1403"/>
      <c r="C75" s="2591">
        <v>-5.984</v>
      </c>
      <c r="D75" s="3037"/>
      <c r="E75" s="2144">
        <v>0.63300000000000001</v>
      </c>
      <c r="F75" s="2140"/>
      <c r="G75" s="2144">
        <v>0</v>
      </c>
      <c r="H75" s="2140"/>
      <c r="I75" s="2144">
        <v>0</v>
      </c>
      <c r="J75" s="1407"/>
      <c r="K75" s="1144">
        <f t="shared" si="3"/>
        <v>-5.351</v>
      </c>
      <c r="L75" s="1144"/>
      <c r="M75" s="1412"/>
      <c r="N75" s="1412"/>
    </row>
    <row r="76" spans="1:14">
      <c r="A76" s="1403" t="s">
        <v>301</v>
      </c>
      <c r="B76" s="1403"/>
      <c r="C76" s="2591">
        <v>-46.655000000000001</v>
      </c>
      <c r="D76" s="3037"/>
      <c r="E76" s="2144">
        <v>0</v>
      </c>
      <c r="F76" s="2140"/>
      <c r="G76" s="2144">
        <v>2.177</v>
      </c>
      <c r="H76" s="2140"/>
      <c r="I76" s="2144">
        <v>0</v>
      </c>
      <c r="J76" s="1407"/>
      <c r="K76" s="1144">
        <f t="shared" si="3"/>
        <v>-48.832000000000001</v>
      </c>
      <c r="L76" s="1144"/>
      <c r="M76" s="1412"/>
      <c r="N76" s="1412"/>
    </row>
    <row r="77" spans="1:14">
      <c r="A77" s="1403" t="s">
        <v>302</v>
      </c>
      <c r="B77" s="1403"/>
      <c r="C77" s="2591">
        <v>10.468999999999999</v>
      </c>
      <c r="D77" s="3037"/>
      <c r="E77" s="2144">
        <v>3.1480000000000001</v>
      </c>
      <c r="F77" s="2140"/>
      <c r="G77" s="2144">
        <v>3.8420000000000001</v>
      </c>
      <c r="H77" s="2140"/>
      <c r="I77" s="2144">
        <v>0</v>
      </c>
      <c r="J77" s="1407"/>
      <c r="K77" s="1144">
        <f t="shared" si="3"/>
        <v>9.7750000000000004</v>
      </c>
      <c r="L77" s="1144"/>
      <c r="M77" s="1412"/>
      <c r="N77" s="1412"/>
    </row>
    <row r="78" spans="1:14">
      <c r="A78" s="1403" t="s">
        <v>1075</v>
      </c>
      <c r="B78" s="1403"/>
      <c r="C78" s="2591">
        <v>165.82400000000001</v>
      </c>
      <c r="D78" s="3037"/>
      <c r="E78" s="2144">
        <v>19.914999999999999</v>
      </c>
      <c r="F78" s="2140"/>
      <c r="G78" s="2144">
        <v>15.449</v>
      </c>
      <c r="H78" s="2140"/>
      <c r="I78" s="2144">
        <v>0</v>
      </c>
      <c r="J78" s="1407"/>
      <c r="K78" s="1144">
        <f t="shared" si="3"/>
        <v>170.29</v>
      </c>
      <c r="L78" s="1144"/>
      <c r="M78" s="1412"/>
      <c r="N78" s="1412"/>
    </row>
    <row r="79" spans="1:14">
      <c r="A79" s="1403" t="s">
        <v>303</v>
      </c>
      <c r="B79" s="1403"/>
      <c r="C79" s="2591">
        <v>8.2000000000000003E-2</v>
      </c>
      <c r="D79" s="3037"/>
      <c r="E79" s="3404">
        <v>1E-3</v>
      </c>
      <c r="F79" s="2140"/>
      <c r="G79" s="2144">
        <v>0</v>
      </c>
      <c r="H79" s="2140"/>
      <c r="I79" s="2144">
        <v>0</v>
      </c>
      <c r="J79" s="1407"/>
      <c r="K79" s="1144">
        <f t="shared" si="3"/>
        <v>8.3000000000000004E-2</v>
      </c>
      <c r="L79" s="1144"/>
      <c r="M79" s="1412"/>
      <c r="N79" s="1412"/>
    </row>
    <row r="80" spans="1:14">
      <c r="A80" s="1413" t="s">
        <v>304</v>
      </c>
      <c r="B80" s="1403"/>
      <c r="C80" s="2591">
        <v>229.952</v>
      </c>
      <c r="D80" s="3037"/>
      <c r="E80" s="2144">
        <v>8.3160000000000007</v>
      </c>
      <c r="F80" s="2140"/>
      <c r="G80" s="2144">
        <v>1.1619999999999999</v>
      </c>
      <c r="H80" s="2140"/>
      <c r="I80" s="2144">
        <v>0</v>
      </c>
      <c r="J80" s="1407"/>
      <c r="K80" s="1144">
        <f t="shared" si="3"/>
        <v>237.10599999999999</v>
      </c>
      <c r="L80" s="1144"/>
      <c r="M80" s="1412"/>
      <c r="N80" s="1412"/>
    </row>
    <row r="81" spans="1:15">
      <c r="A81" s="1403" t="s">
        <v>305</v>
      </c>
      <c r="B81" s="1403"/>
      <c r="C81" s="2591">
        <v>23.443000000000001</v>
      </c>
      <c r="D81" s="3037"/>
      <c r="E81" s="2144">
        <v>1.59</v>
      </c>
      <c r="F81" s="2140"/>
      <c r="G81" s="2144">
        <v>0.16</v>
      </c>
      <c r="H81" s="2140"/>
      <c r="I81" s="2144">
        <v>0</v>
      </c>
      <c r="J81" s="1407"/>
      <c r="K81" s="1144">
        <f t="shared" si="3"/>
        <v>24.873000000000001</v>
      </c>
      <c r="L81" s="1144"/>
      <c r="M81" s="1412"/>
      <c r="N81" s="1412"/>
    </row>
    <row r="82" spans="1:15">
      <c r="A82" s="1413" t="s">
        <v>306</v>
      </c>
      <c r="B82" s="1403"/>
      <c r="C82" s="2591">
        <v>86.856999999999999</v>
      </c>
      <c r="D82" s="3336"/>
      <c r="E82" s="2144">
        <v>212.072</v>
      </c>
      <c r="F82" s="2140"/>
      <c r="G82" s="2144">
        <v>136</v>
      </c>
      <c r="H82" s="2140">
        <v>1.589</v>
      </c>
      <c r="I82" s="2144">
        <v>2.5529999999999999</v>
      </c>
      <c r="J82" s="1407"/>
      <c r="K82" s="1144">
        <f t="shared" si="3"/>
        <v>165.482</v>
      </c>
      <c r="L82" s="1144"/>
      <c r="M82" s="1412"/>
      <c r="N82" s="1412"/>
    </row>
    <row r="83" spans="1:15">
      <c r="A83" s="1413" t="s">
        <v>1341</v>
      </c>
      <c r="B83" s="1403"/>
      <c r="C83" s="2591">
        <v>130.602</v>
      </c>
      <c r="D83" s="3037"/>
      <c r="E83" s="2144">
        <v>2.5960000000000001</v>
      </c>
      <c r="F83" s="2140"/>
      <c r="G83" s="2144">
        <v>0.54400000000000004</v>
      </c>
      <c r="H83" s="2140"/>
      <c r="I83" s="2144">
        <v>0</v>
      </c>
      <c r="J83" s="1407"/>
      <c r="K83" s="1144">
        <f t="shared" si="3"/>
        <v>132.654</v>
      </c>
      <c r="L83" s="1144"/>
      <c r="M83" s="1412"/>
      <c r="N83" s="1412"/>
    </row>
    <row r="84" spans="1:15">
      <c r="A84" s="1413" t="s">
        <v>1347</v>
      </c>
      <c r="B84" s="1403"/>
      <c r="C84" s="2591">
        <v>2.214</v>
      </c>
      <c r="D84" s="3037"/>
      <c r="E84" s="2144">
        <v>6.9000000000000006E-2</v>
      </c>
      <c r="F84" s="2140"/>
      <c r="G84" s="2144">
        <v>0.34899999999999998</v>
      </c>
      <c r="H84" s="2140"/>
      <c r="I84" s="2144">
        <v>-0.08</v>
      </c>
      <c r="J84" s="1407"/>
      <c r="K84" s="1144">
        <f t="shared" si="3"/>
        <v>1.8540000000000001</v>
      </c>
      <c r="L84" s="1144"/>
      <c r="M84" s="1412"/>
      <c r="N84" s="1412"/>
    </row>
    <row r="85" spans="1:15">
      <c r="A85" s="1413" t="s">
        <v>1448</v>
      </c>
      <c r="B85" s="1403"/>
      <c r="C85" s="2591">
        <v>2.246</v>
      </c>
      <c r="D85" s="3037"/>
      <c r="E85" s="2144">
        <v>-0.109</v>
      </c>
      <c r="F85" s="2140"/>
      <c r="G85" s="2144">
        <v>0.251</v>
      </c>
      <c r="H85" s="2140"/>
      <c r="I85" s="2144">
        <v>0</v>
      </c>
      <c r="J85" s="1407"/>
      <c r="K85" s="1144">
        <f t="shared" si="3"/>
        <v>1.8859999999999999</v>
      </c>
      <c r="L85" s="1144"/>
      <c r="M85" s="1412"/>
      <c r="N85" s="1412"/>
    </row>
    <row r="86" spans="1:15">
      <c r="A86" s="1413" t="s">
        <v>1598</v>
      </c>
      <c r="B86" s="1403"/>
      <c r="C86" s="2591">
        <v>0</v>
      </c>
      <c r="D86" s="3037"/>
      <c r="E86" s="2144">
        <v>0</v>
      </c>
      <c r="F86" s="2140"/>
      <c r="G86" s="2144">
        <v>0</v>
      </c>
      <c r="H86" s="2140"/>
      <c r="I86" s="2144">
        <v>0</v>
      </c>
      <c r="J86" s="1407"/>
      <c r="K86" s="1144">
        <f t="shared" si="3"/>
        <v>0</v>
      </c>
      <c r="L86" s="1144"/>
      <c r="M86" s="1412"/>
      <c r="N86" s="1412"/>
    </row>
    <row r="87" spans="1:15">
      <c r="A87" s="1395" t="s">
        <v>1008</v>
      </c>
      <c r="B87" s="1403"/>
      <c r="C87" s="2591">
        <v>169.81800000000001</v>
      </c>
      <c r="D87" s="3037"/>
      <c r="E87" s="2144">
        <v>28.251000000000001</v>
      </c>
      <c r="F87" s="2140"/>
      <c r="G87" s="2144">
        <v>0</v>
      </c>
      <c r="H87" s="2140"/>
      <c r="I87" s="2144">
        <v>-21.751000000000001</v>
      </c>
      <c r="J87" s="1407"/>
      <c r="K87" s="1144">
        <f>ROUND(SUM(C87)+SUM(E87)-SUM(G87)+SUM(I87),3)</f>
        <v>176.31800000000001</v>
      </c>
      <c r="L87" s="1144"/>
      <c r="M87" s="1412"/>
      <c r="N87" s="1412"/>
    </row>
    <row r="88" spans="1:15">
      <c r="A88" s="799" t="s">
        <v>307</v>
      </c>
      <c r="B88" s="1403"/>
      <c r="C88" s="816">
        <f>ROUND(SUM(C27:C87),3)</f>
        <v>3552.3780000000002</v>
      </c>
      <c r="D88" s="810"/>
      <c r="E88" s="816">
        <f>ROUND(SUM(E27:E87),3)</f>
        <v>4001.9639999999999</v>
      </c>
      <c r="F88" s="810"/>
      <c r="G88" s="816">
        <f>ROUND(SUM(G27:G87),3)</f>
        <v>4202.4120000000003</v>
      </c>
      <c r="H88" s="810"/>
      <c r="I88" s="816">
        <f>ROUND(SUM(I27:I87),3)</f>
        <v>282.36099999999999</v>
      </c>
      <c r="J88" s="810"/>
      <c r="K88" s="816">
        <f>ROUND(SUM(K27:K87),3)</f>
        <v>3634.2910000000002</v>
      </c>
      <c r="L88" s="817"/>
      <c r="M88" s="813"/>
      <c r="N88" s="1412"/>
      <c r="O88" s="1421"/>
    </row>
    <row r="89" spans="1:15" ht="11.25" customHeight="1">
      <c r="A89" s="1403"/>
      <c r="B89" s="1403"/>
      <c r="C89" s="1415"/>
      <c r="D89" s="1407"/>
      <c r="E89" s="1415"/>
      <c r="F89" s="1407"/>
      <c r="H89" s="1407"/>
      <c r="I89" s="1415"/>
      <c r="J89" s="1407"/>
      <c r="K89" s="1415"/>
      <c r="L89" s="1415"/>
      <c r="M89" s="1412"/>
      <c r="N89" s="1412"/>
    </row>
    <row r="90" spans="1:15">
      <c r="A90" s="802" t="s">
        <v>308</v>
      </c>
      <c r="B90" s="1403"/>
      <c r="C90" s="1407"/>
      <c r="D90" s="1407"/>
      <c r="E90" s="1407"/>
      <c r="F90" s="1407"/>
      <c r="G90" s="1415"/>
      <c r="H90" s="1407"/>
      <c r="I90" s="1407"/>
      <c r="J90" s="1407"/>
      <c r="K90" s="1407"/>
      <c r="L90" s="1407"/>
      <c r="M90" s="1412"/>
      <c r="N90" s="1412"/>
    </row>
    <row r="91" spans="1:15">
      <c r="A91" s="1403" t="s">
        <v>1076</v>
      </c>
      <c r="B91" s="1403"/>
      <c r="C91" s="1144">
        <v>12.637</v>
      </c>
      <c r="D91" s="1407"/>
      <c r="E91" s="2144">
        <v>133.07900000000001</v>
      </c>
      <c r="F91" s="2140"/>
      <c r="G91" s="2144">
        <v>147.84899999999999</v>
      </c>
      <c r="H91" s="2140"/>
      <c r="I91" s="2144">
        <v>-0.755</v>
      </c>
      <c r="J91" s="1407"/>
      <c r="K91" s="1144">
        <f>ROUND(SUM(C91)+SUM(E91)-SUM(G91)+SUM(I91),3)</f>
        <v>-2.8879999999999999</v>
      </c>
      <c r="L91" s="1144"/>
      <c r="M91" s="1412"/>
      <c r="N91" s="1412"/>
    </row>
    <row r="92" spans="1:15">
      <c r="A92" s="1403" t="s">
        <v>309</v>
      </c>
      <c r="B92" s="1403"/>
      <c r="C92" s="1144">
        <v>845.99199999999996</v>
      </c>
      <c r="D92" s="1407"/>
      <c r="E92" s="2144">
        <v>3301.2669999999998</v>
      </c>
      <c r="F92" s="2140"/>
      <c r="G92" s="2144">
        <v>3400.4630000000002</v>
      </c>
      <c r="H92" s="2140"/>
      <c r="I92" s="2144">
        <v>-155.71899999999999</v>
      </c>
      <c r="J92" s="1407"/>
      <c r="K92" s="1144">
        <f t="shared" ref="K92:K97" si="4">ROUND(SUM(C92)+SUM(E92)-SUM(G92)+SUM(I92),3)</f>
        <v>591.077</v>
      </c>
      <c r="L92" s="1144"/>
      <c r="M92" s="1412"/>
      <c r="N92" s="1412"/>
    </row>
    <row r="93" spans="1:15">
      <c r="A93" s="1403" t="s">
        <v>310</v>
      </c>
      <c r="B93" s="807"/>
      <c r="C93" s="1144">
        <v>-14.385999999999999</v>
      </c>
      <c r="D93" s="1407"/>
      <c r="E93" s="2144">
        <v>175.95099999999999</v>
      </c>
      <c r="F93" s="2140"/>
      <c r="G93" s="2144">
        <v>197.84700000000001</v>
      </c>
      <c r="H93" s="2140"/>
      <c r="I93" s="2144">
        <v>0</v>
      </c>
      <c r="J93" s="1407"/>
      <c r="K93" s="1144">
        <f t="shared" si="4"/>
        <v>-36.281999999999996</v>
      </c>
      <c r="L93" s="1144"/>
      <c r="M93" s="1412"/>
      <c r="N93" s="1412"/>
    </row>
    <row r="94" spans="1:15">
      <c r="A94" s="1403" t="s">
        <v>311</v>
      </c>
      <c r="B94" s="1403"/>
      <c r="C94" s="1144">
        <v>-307.86599999999999</v>
      </c>
      <c r="D94" s="1407"/>
      <c r="E94" s="2144">
        <v>306.13499999999999</v>
      </c>
      <c r="F94" s="2140"/>
      <c r="G94" s="2144">
        <v>157.53299999999999</v>
      </c>
      <c r="H94" s="2140"/>
      <c r="I94" s="2144">
        <v>-8.4000000000000005E-2</v>
      </c>
      <c r="J94" s="1407"/>
      <c r="K94" s="1144">
        <f t="shared" si="4"/>
        <v>-159.34800000000001</v>
      </c>
      <c r="L94" s="1144"/>
      <c r="M94" s="1412"/>
      <c r="N94" s="1412"/>
    </row>
    <row r="95" spans="1:15">
      <c r="A95" s="1403" t="s">
        <v>312</v>
      </c>
      <c r="B95" s="1403"/>
      <c r="C95" s="1144">
        <v>93.203999999999994</v>
      </c>
      <c r="D95" s="1407"/>
      <c r="E95" s="2144">
        <v>15.891999999999999</v>
      </c>
      <c r="F95" s="2140"/>
      <c r="G95" s="2144">
        <v>14.991</v>
      </c>
      <c r="H95" s="2140"/>
      <c r="I95" s="2144">
        <v>5.7000000000000002E-2</v>
      </c>
      <c r="J95" s="1407"/>
      <c r="K95" s="1144">
        <f t="shared" si="4"/>
        <v>94.162000000000006</v>
      </c>
      <c r="L95" s="1144"/>
      <c r="M95" s="1412"/>
      <c r="N95" s="1412"/>
    </row>
    <row r="96" spans="1:15">
      <c r="A96" s="1407" t="s">
        <v>313</v>
      </c>
      <c r="B96" s="1403"/>
      <c r="C96" s="1417">
        <v>1.3089999999999999</v>
      </c>
      <c r="D96" s="1407"/>
      <c r="E96" s="2144">
        <v>0.58499999999999996</v>
      </c>
      <c r="F96" s="2140">
        <v>0.49399999999999999</v>
      </c>
      <c r="G96" s="2144">
        <v>0.52800000000000002</v>
      </c>
      <c r="H96" s="2140"/>
      <c r="I96" s="2144">
        <v>0</v>
      </c>
      <c r="J96" s="1407"/>
      <c r="K96" s="1144">
        <f t="shared" si="4"/>
        <v>1.3660000000000001</v>
      </c>
      <c r="L96" s="1144"/>
      <c r="M96" s="1412"/>
      <c r="N96" s="1412"/>
    </row>
    <row r="97" spans="1:15">
      <c r="A97" s="1413" t="s">
        <v>314</v>
      </c>
      <c r="B97" s="1403"/>
      <c r="C97" s="1417">
        <v>-1.99</v>
      </c>
      <c r="D97" s="1407"/>
      <c r="E97" s="2144">
        <v>12.557</v>
      </c>
      <c r="F97" s="2140"/>
      <c r="G97" s="2144">
        <v>11.753</v>
      </c>
      <c r="H97" s="2140"/>
      <c r="I97" s="2144">
        <v>0</v>
      </c>
      <c r="J97" s="1407"/>
      <c r="K97" s="1144">
        <f t="shared" si="4"/>
        <v>-1.1859999999999999</v>
      </c>
      <c r="L97" s="1144"/>
      <c r="M97" s="1412"/>
      <c r="N97" s="1412"/>
    </row>
    <row r="98" spans="1:15">
      <c r="A98" s="799" t="s">
        <v>315</v>
      </c>
      <c r="B98" s="1403"/>
      <c r="C98" s="816">
        <f>ROUND(SUM(C91:C97),3)</f>
        <v>628.9</v>
      </c>
      <c r="D98" s="810"/>
      <c r="E98" s="816">
        <f>ROUND(SUM(E91:E97),3)</f>
        <v>3945.4659999999999</v>
      </c>
      <c r="F98" s="810"/>
      <c r="G98" s="816">
        <f>ROUND(SUM(G91:G97),3)</f>
        <v>3930.9639999999999</v>
      </c>
      <c r="H98" s="810"/>
      <c r="I98" s="816">
        <f>ROUND(SUM(I91:I97),3)</f>
        <v>-156.501</v>
      </c>
      <c r="J98" s="810"/>
      <c r="K98" s="816">
        <f>ROUND(SUM(K91:K97),3)</f>
        <v>486.90100000000001</v>
      </c>
      <c r="L98" s="817"/>
      <c r="M98" s="1412"/>
      <c r="N98" s="1412"/>
    </row>
    <row r="99" spans="1:15" ht="12" customHeight="1">
      <c r="A99" s="794"/>
      <c r="B99" s="1403"/>
      <c r="C99" s="1415"/>
      <c r="D99" s="1407"/>
      <c r="E99" s="1415"/>
      <c r="F99" s="1407"/>
      <c r="G99" s="1415"/>
      <c r="H99" s="1407"/>
      <c r="I99" s="1415"/>
      <c r="J99" s="1407"/>
      <c r="K99" s="1415"/>
      <c r="L99" s="1415"/>
      <c r="M99" s="1412"/>
      <c r="N99" s="1412"/>
    </row>
    <row r="100" spans="1:15">
      <c r="A100" s="812" t="s">
        <v>316</v>
      </c>
      <c r="B100" s="1403"/>
      <c r="C100" s="3324">
        <f>C88+C98</f>
        <v>4181.2780000000002</v>
      </c>
      <c r="D100" s="810"/>
      <c r="E100" s="3324">
        <f>E88+E98</f>
        <v>7947.43</v>
      </c>
      <c r="F100" s="810"/>
      <c r="G100" s="3324">
        <f>G88+G98</f>
        <v>8133.3760000000002</v>
      </c>
      <c r="H100" s="810"/>
      <c r="I100" s="3324">
        <f>I88+I98</f>
        <v>125.85999999999999</v>
      </c>
      <c r="J100" s="810"/>
      <c r="K100" s="3324">
        <f>K88+K98</f>
        <v>4121.192</v>
      </c>
      <c r="L100" s="817"/>
      <c r="M100" s="813"/>
      <c r="N100" s="813"/>
      <c r="O100" s="1412"/>
    </row>
    <row r="101" spans="1:15" ht="10.5" customHeight="1">
      <c r="A101" s="1422"/>
      <c r="B101" s="1403"/>
      <c r="C101" s="1415"/>
      <c r="D101" s="1407"/>
      <c r="E101" s="1415"/>
      <c r="F101" s="1407"/>
      <c r="G101" s="1415"/>
      <c r="H101" s="1407"/>
      <c r="I101" s="1415"/>
      <c r="J101" s="1407"/>
      <c r="K101" s="1415"/>
      <c r="L101" s="1415"/>
      <c r="M101" s="1412"/>
      <c r="N101" s="1412"/>
    </row>
    <row r="102" spans="1:15" ht="17.25">
      <c r="A102" s="802" t="s">
        <v>190</v>
      </c>
      <c r="B102" s="1403"/>
      <c r="C102" s="1407"/>
      <c r="D102" s="1407"/>
      <c r="E102" s="1302"/>
      <c r="F102" s="1302"/>
      <c r="G102" s="1302"/>
      <c r="H102" s="1302"/>
      <c r="I102" s="1302"/>
      <c r="J102" s="808"/>
      <c r="K102" s="1302"/>
      <c r="L102" s="1407"/>
      <c r="M102" s="1412"/>
      <c r="N102" s="1412"/>
    </row>
    <row r="103" spans="1:15">
      <c r="A103" s="1403" t="s">
        <v>317</v>
      </c>
      <c r="B103" s="1403"/>
      <c r="C103" s="3439">
        <v>0</v>
      </c>
      <c r="D103" s="1407"/>
      <c r="E103" s="3404">
        <v>0</v>
      </c>
      <c r="F103" s="2140"/>
      <c r="G103" s="3404">
        <v>0</v>
      </c>
      <c r="H103" s="2140"/>
      <c r="I103" s="3404">
        <v>0</v>
      </c>
      <c r="J103" s="1407"/>
      <c r="K103" s="1417">
        <f>ROUND(SUM(C103)+SUM(E103)+SUM(I103)-SUM(G103),3)</f>
        <v>0</v>
      </c>
      <c r="L103" s="1417"/>
      <c r="M103" s="1412"/>
      <c r="N103" s="1412"/>
    </row>
    <row r="104" spans="1:15">
      <c r="A104" s="1407" t="s">
        <v>318</v>
      </c>
      <c r="B104" s="1407"/>
      <c r="C104" s="1417">
        <v>320.90300000000002</v>
      </c>
      <c r="D104" s="1401"/>
      <c r="E104" s="2144">
        <v>61.893999999999998</v>
      </c>
      <c r="F104" s="2139"/>
      <c r="G104" s="3404">
        <v>0.27900000000000003</v>
      </c>
      <c r="H104" s="2139"/>
      <c r="I104" s="3404">
        <v>-25.84</v>
      </c>
      <c r="J104" s="1407"/>
      <c r="K104" s="1417">
        <f t="shared" ref="K104:K106" si="5">ROUND(SUM(C104)+SUM(E104)+SUM(I104)-SUM(G104),3)</f>
        <v>356.678</v>
      </c>
      <c r="L104" s="1416"/>
      <c r="M104" s="1412"/>
      <c r="N104" s="1412"/>
    </row>
    <row r="105" spans="1:15">
      <c r="A105" s="1403" t="s">
        <v>319</v>
      </c>
      <c r="B105" s="1403"/>
      <c r="C105" s="1417">
        <v>352.45100000000002</v>
      </c>
      <c r="D105" s="1401"/>
      <c r="E105" s="2142">
        <v>2167.8580000000002</v>
      </c>
      <c r="F105" s="2139"/>
      <c r="G105" s="3404">
        <v>26.233000000000001</v>
      </c>
      <c r="H105" s="2139"/>
      <c r="I105" s="3404">
        <v>-423.86599999999999</v>
      </c>
      <c r="J105" s="1407"/>
      <c r="K105" s="1417">
        <f>ROUND(SUM(C105)+SUM(E105)+SUM(I105)-SUM(G105),3)</f>
        <v>2070.21</v>
      </c>
      <c r="L105" s="1416"/>
      <c r="M105" s="1412"/>
      <c r="N105" s="1412"/>
    </row>
    <row r="106" spans="1:15">
      <c r="A106" s="1403" t="s">
        <v>320</v>
      </c>
      <c r="B106" s="1403"/>
      <c r="C106" s="1417">
        <v>0</v>
      </c>
      <c r="D106" s="1401"/>
      <c r="E106" s="2142">
        <v>7.1999999999999995E-2</v>
      </c>
      <c r="F106" s="2139"/>
      <c r="G106" s="3404">
        <v>0</v>
      </c>
      <c r="H106" s="2139"/>
      <c r="I106" s="3404">
        <v>-7.1999999999999995E-2</v>
      </c>
      <c r="J106" s="1407"/>
      <c r="K106" s="1417">
        <f t="shared" si="5"/>
        <v>0</v>
      </c>
      <c r="L106" s="1417"/>
      <c r="M106" s="1412"/>
      <c r="N106" s="1412"/>
    </row>
    <row r="107" spans="1:15">
      <c r="A107" s="1403" t="s">
        <v>321</v>
      </c>
      <c r="B107" s="1403"/>
      <c r="C107" s="1144">
        <v>20.864999999999998</v>
      </c>
      <c r="D107" s="1401"/>
      <c r="E107" s="2144">
        <v>19.553999999999998</v>
      </c>
      <c r="F107" s="2139"/>
      <c r="G107" s="3404">
        <v>0</v>
      </c>
      <c r="H107" s="2139"/>
      <c r="I107" s="3404">
        <v>-14.536</v>
      </c>
      <c r="J107" s="1407"/>
      <c r="K107" s="1417">
        <f>ROUND(SUM(C107)+SUM(E107)+SUM(I107)-SUM(G107),3)</f>
        <v>25.882999999999999</v>
      </c>
      <c r="L107" s="1416"/>
      <c r="M107" s="1412"/>
      <c r="N107" s="1412"/>
    </row>
    <row r="108" spans="1:15">
      <c r="A108" s="1403" t="s">
        <v>322</v>
      </c>
      <c r="B108" s="1403"/>
      <c r="C108" s="1417">
        <v>23.321000000000002</v>
      </c>
      <c r="D108" s="1401"/>
      <c r="E108" s="2144">
        <v>83.337999999999994</v>
      </c>
      <c r="F108" s="2139"/>
      <c r="G108" s="3404">
        <v>0</v>
      </c>
      <c r="H108" s="2139"/>
      <c r="I108" s="3404">
        <v>-77.900999999999996</v>
      </c>
      <c r="J108" s="1407"/>
      <c r="K108" s="1417">
        <f>ROUND(SUM(C108)+SUM(E108)+SUM(I108)-SUM(G108),3)</f>
        <v>28.757999999999999</v>
      </c>
      <c r="L108" s="1416"/>
      <c r="M108" s="1412"/>
      <c r="N108" s="1412"/>
    </row>
    <row r="109" spans="1:15">
      <c r="A109" s="1413" t="s">
        <v>323</v>
      </c>
      <c r="B109" s="1407"/>
      <c r="C109" s="1417">
        <v>2.1629999999999998</v>
      </c>
      <c r="D109" s="1407"/>
      <c r="E109" s="2144">
        <v>267.52600000000001</v>
      </c>
      <c r="F109" s="2139"/>
      <c r="G109" s="3404">
        <v>7.5999999999999998E-2</v>
      </c>
      <c r="H109" s="2139"/>
      <c r="I109" s="3404">
        <v>-267.709</v>
      </c>
      <c r="J109" s="1407"/>
      <c r="K109" s="1417">
        <f>ROUND(SUM(C109)+SUM(E109)+SUM(I109)-SUM(G109),3)</f>
        <v>1.9039999999999999</v>
      </c>
      <c r="L109" s="1416"/>
      <c r="M109" s="1412"/>
      <c r="N109" s="1412"/>
    </row>
    <row r="110" spans="1:15">
      <c r="A110" s="814" t="s">
        <v>324</v>
      </c>
      <c r="B110" s="1423"/>
      <c r="C110" s="816">
        <f>ROUND(SUM(C103:C109),3)</f>
        <v>719.70299999999997</v>
      </c>
      <c r="D110" s="818"/>
      <c r="E110" s="816">
        <f>ROUND(SUM(E103:E109),3)</f>
        <v>2600.2420000000002</v>
      </c>
      <c r="F110" s="818"/>
      <c r="G110" s="816">
        <f>ROUND(SUM(G103:G109),3)</f>
        <v>26.588000000000001</v>
      </c>
      <c r="H110" s="818"/>
      <c r="I110" s="816">
        <f>ROUND(SUM(I103:I109),3)</f>
        <v>-809.92399999999998</v>
      </c>
      <c r="J110" s="818"/>
      <c r="K110" s="816">
        <f>ROUND(SUM(K103:K109),3)</f>
        <v>2483.433</v>
      </c>
      <c r="L110" s="817"/>
      <c r="M110" s="813"/>
      <c r="N110" s="1412"/>
    </row>
    <row r="111" spans="1:15">
      <c r="A111" s="1403"/>
      <c r="B111" s="1403"/>
      <c r="C111" s="1415"/>
      <c r="D111" s="1407"/>
      <c r="E111" s="1415"/>
      <c r="F111" s="1407"/>
      <c r="G111" s="1415"/>
      <c r="H111" s="1407"/>
      <c r="I111" s="1415"/>
      <c r="J111" s="1407"/>
      <c r="K111" s="1415" t="s">
        <v>15</v>
      </c>
      <c r="L111" s="1415"/>
      <c r="M111" s="1412"/>
      <c r="N111" s="1412"/>
    </row>
    <row r="112" spans="1:15">
      <c r="A112" s="815" t="s">
        <v>1042</v>
      </c>
      <c r="B112" s="1403"/>
      <c r="K112" s="1424"/>
      <c r="L112" s="1144"/>
      <c r="M112" s="1412"/>
      <c r="N112" s="1412"/>
    </row>
    <row r="113" spans="1:14" s="1425" customFormat="1" ht="16.149999999999999" customHeight="1">
      <c r="A113" s="1407" t="s">
        <v>325</v>
      </c>
      <c r="B113" s="1401"/>
      <c r="C113" s="3038">
        <v>0</v>
      </c>
      <c r="D113" s="3037"/>
      <c r="E113" s="2143">
        <v>8.2000000000000003E-2</v>
      </c>
      <c r="F113" s="2139">
        <v>0</v>
      </c>
      <c r="G113" s="2143">
        <v>169.233</v>
      </c>
      <c r="H113" s="2139">
        <v>0</v>
      </c>
      <c r="I113" s="2143">
        <v>169.15100000000001</v>
      </c>
      <c r="J113" s="1401"/>
      <c r="K113" s="1417">
        <f t="shared" ref="K113:K119" si="6">ROUND(SUM(C113)+SUM(E113)-SUM(G113)+SUM(I113),3)</f>
        <v>0</v>
      </c>
      <c r="L113" s="1417"/>
      <c r="M113" s="1424"/>
      <c r="N113" s="1424"/>
    </row>
    <row r="114" spans="1:14" s="1425" customFormat="1">
      <c r="A114" s="1407" t="s">
        <v>326</v>
      </c>
      <c r="B114" s="1414"/>
      <c r="C114" s="1401">
        <v>-26.756</v>
      </c>
      <c r="D114" s="3037"/>
      <c r="E114" s="2143">
        <v>301.85700000000003</v>
      </c>
      <c r="F114" s="2139">
        <v>0</v>
      </c>
      <c r="G114" s="2143">
        <v>142.791</v>
      </c>
      <c r="H114" s="2139">
        <v>0</v>
      </c>
      <c r="I114" s="2143">
        <v>-25.167999999999999</v>
      </c>
      <c r="J114" s="1407"/>
      <c r="K114" s="1417">
        <f t="shared" si="6"/>
        <v>107.142</v>
      </c>
      <c r="L114" s="1144"/>
      <c r="M114" s="1424"/>
      <c r="N114" s="1424"/>
    </row>
    <row r="115" spans="1:14" s="1425" customFormat="1">
      <c r="A115" s="1407" t="s">
        <v>327</v>
      </c>
      <c r="B115" s="1407"/>
      <c r="C115" s="1401">
        <v>144.113</v>
      </c>
      <c r="D115" s="3037"/>
      <c r="E115" s="2143">
        <v>6.9000000000000006E-2</v>
      </c>
      <c r="F115" s="2139"/>
      <c r="G115" s="2143">
        <v>4.2050000000000001</v>
      </c>
      <c r="H115" s="2139"/>
      <c r="I115" s="2143">
        <v>2</v>
      </c>
      <c r="J115" s="1407"/>
      <c r="K115" s="1417">
        <f t="shared" si="6"/>
        <v>141.977</v>
      </c>
      <c r="L115" s="1144"/>
      <c r="M115" s="1424"/>
      <c r="N115" s="1424"/>
    </row>
    <row r="116" spans="1:14" s="1425" customFormat="1">
      <c r="A116" s="1407" t="s">
        <v>328</v>
      </c>
      <c r="B116" s="1407"/>
      <c r="C116" s="3038">
        <v>5.86</v>
      </c>
      <c r="D116" s="3037"/>
      <c r="E116" s="2143">
        <v>0.13100000000000001</v>
      </c>
      <c r="F116" s="2139">
        <v>0</v>
      </c>
      <c r="G116" s="2143">
        <v>0</v>
      </c>
      <c r="H116" s="2139">
        <v>0</v>
      </c>
      <c r="I116" s="2144">
        <v>0</v>
      </c>
      <c r="J116" s="1407"/>
      <c r="K116" s="1417">
        <f t="shared" si="6"/>
        <v>5.9909999999999997</v>
      </c>
      <c r="L116" s="1144"/>
      <c r="M116" s="1424"/>
      <c r="N116" s="1424"/>
    </row>
    <row r="117" spans="1:14" s="1425" customFormat="1">
      <c r="A117" s="1407" t="s">
        <v>329</v>
      </c>
      <c r="B117" s="1407"/>
      <c r="C117" s="1401">
        <v>-65.881</v>
      </c>
      <c r="D117" s="3037"/>
      <c r="E117" s="2143">
        <v>0</v>
      </c>
      <c r="F117" s="2139"/>
      <c r="G117" s="2143">
        <v>11.141</v>
      </c>
      <c r="H117" s="2139">
        <v>0</v>
      </c>
      <c r="I117" s="2144">
        <v>0</v>
      </c>
      <c r="J117" s="1407"/>
      <c r="K117" s="1417">
        <f t="shared" si="6"/>
        <v>-77.022000000000006</v>
      </c>
      <c r="L117" s="1144"/>
      <c r="M117" s="1424"/>
      <c r="N117" s="1424"/>
    </row>
    <row r="118" spans="1:14" s="1425" customFormat="1">
      <c r="A118" s="1407" t="s">
        <v>330</v>
      </c>
      <c r="B118" s="1407"/>
      <c r="C118" s="3038">
        <v>1.4E-2</v>
      </c>
      <c r="D118" s="3037"/>
      <c r="E118" s="2144">
        <v>0</v>
      </c>
      <c r="F118" s="2139">
        <v>0</v>
      </c>
      <c r="G118" s="2144">
        <v>0</v>
      </c>
      <c r="H118" s="2139">
        <v>0</v>
      </c>
      <c r="I118" s="2144">
        <v>0</v>
      </c>
      <c r="J118" s="1407"/>
      <c r="K118" s="1417">
        <f t="shared" si="6"/>
        <v>1.4E-2</v>
      </c>
      <c r="L118" s="1144"/>
      <c r="M118" s="1424"/>
      <c r="N118" s="1424"/>
    </row>
    <row r="119" spans="1:14" s="1425" customFormat="1">
      <c r="A119" s="1407" t="s">
        <v>331</v>
      </c>
      <c r="B119" s="1407"/>
      <c r="C119" s="1401">
        <v>100.617</v>
      </c>
      <c r="D119" s="3037"/>
      <c r="E119" s="2143">
        <v>11.818</v>
      </c>
      <c r="F119" s="2139">
        <v>0</v>
      </c>
      <c r="G119" s="2143">
        <v>16.288</v>
      </c>
      <c r="H119" s="2139">
        <v>0</v>
      </c>
      <c r="I119" s="3115">
        <v>0</v>
      </c>
      <c r="J119" s="1407"/>
      <c r="K119" s="1417">
        <f t="shared" si="6"/>
        <v>96.147000000000006</v>
      </c>
      <c r="L119" s="1144"/>
      <c r="M119" s="1424"/>
      <c r="N119" s="1424"/>
    </row>
    <row r="120" spans="1:14" s="1425" customFormat="1">
      <c r="A120" s="1407" t="s">
        <v>332</v>
      </c>
      <c r="B120" s="1407"/>
      <c r="C120" s="3038">
        <v>0</v>
      </c>
      <c r="D120" s="3037"/>
      <c r="E120" s="2144">
        <v>0</v>
      </c>
      <c r="F120" s="2139">
        <v>0</v>
      </c>
      <c r="G120" s="2144">
        <v>0</v>
      </c>
      <c r="H120" s="2139">
        <v>0</v>
      </c>
      <c r="I120" s="2144">
        <v>0</v>
      </c>
      <c r="J120" s="1407"/>
      <c r="K120" s="1417">
        <f t="shared" ref="K120" si="7">ROUND(SUM(C120)+SUM(E120)-SUM(G120)+SUM(I120),3)</f>
        <v>0</v>
      </c>
      <c r="L120" s="1144"/>
      <c r="M120" s="1424"/>
      <c r="N120" s="1424"/>
    </row>
    <row r="121" spans="1:14" s="1425" customFormat="1">
      <c r="A121" s="1407" t="s">
        <v>333</v>
      </c>
      <c r="B121" s="1407"/>
      <c r="C121" s="3038">
        <v>0.16400000000000001</v>
      </c>
      <c r="D121" s="3037"/>
      <c r="E121" s="2144">
        <v>0</v>
      </c>
      <c r="F121" s="2139">
        <v>0</v>
      </c>
      <c r="G121" s="2144">
        <v>0</v>
      </c>
      <c r="H121" s="2139">
        <v>0</v>
      </c>
      <c r="I121" s="2144">
        <v>0</v>
      </c>
      <c r="J121" s="1407"/>
      <c r="K121" s="1417">
        <f t="shared" ref="K121:K128" si="8">ROUND(SUM(C121)+SUM(E121)-SUM(G121)+SUM(I121),3)</f>
        <v>0.16400000000000001</v>
      </c>
      <c r="L121" s="1144"/>
      <c r="M121" s="1424"/>
      <c r="N121" s="1424"/>
    </row>
    <row r="122" spans="1:14" s="1425" customFormat="1">
      <c r="A122" s="1407" t="s">
        <v>1074</v>
      </c>
      <c r="B122" s="1407"/>
      <c r="C122" s="3038">
        <v>0</v>
      </c>
      <c r="D122" s="3037"/>
      <c r="E122" s="2144">
        <v>0</v>
      </c>
      <c r="F122" s="2139">
        <v>0</v>
      </c>
      <c r="G122" s="2144">
        <v>0</v>
      </c>
      <c r="H122" s="2139">
        <v>0</v>
      </c>
      <c r="I122" s="2144">
        <v>0</v>
      </c>
      <c r="J122" s="1407"/>
      <c r="K122" s="1417">
        <f t="shared" si="8"/>
        <v>0</v>
      </c>
      <c r="L122" s="1144"/>
      <c r="M122" s="1424"/>
      <c r="N122" s="1424"/>
    </row>
    <row r="123" spans="1:14" s="1425" customFormat="1">
      <c r="A123" s="1407" t="s">
        <v>334</v>
      </c>
      <c r="B123" s="1407"/>
      <c r="C123" s="1401">
        <v>0.66800000000000004</v>
      </c>
      <c r="D123" s="3037"/>
      <c r="E123" s="2144">
        <v>0</v>
      </c>
      <c r="F123" s="2139">
        <v>0</v>
      </c>
      <c r="G123" s="2144">
        <v>0</v>
      </c>
      <c r="H123" s="2139">
        <v>0</v>
      </c>
      <c r="I123" s="2144">
        <v>0</v>
      </c>
      <c r="J123" s="1407"/>
      <c r="K123" s="1417">
        <f t="shared" si="8"/>
        <v>0.66800000000000004</v>
      </c>
      <c r="L123" s="1144"/>
      <c r="M123" s="1424"/>
      <c r="N123" s="1424"/>
    </row>
    <row r="124" spans="1:14" s="1425" customFormat="1">
      <c r="A124" s="1407" t="s">
        <v>335</v>
      </c>
      <c r="B124" s="1407"/>
      <c r="C124" s="3038">
        <v>3.3279999999999998</v>
      </c>
      <c r="D124" s="3037"/>
      <c r="E124" s="2144">
        <v>0</v>
      </c>
      <c r="F124" s="2139">
        <v>0</v>
      </c>
      <c r="G124" s="2144">
        <v>0</v>
      </c>
      <c r="H124" s="2139">
        <v>0</v>
      </c>
      <c r="I124" s="2144">
        <v>0</v>
      </c>
      <c r="J124" s="1407"/>
      <c r="K124" s="1417">
        <f t="shared" si="8"/>
        <v>3.3279999999999998</v>
      </c>
      <c r="L124" s="1144"/>
      <c r="M124" s="1424"/>
      <c r="N124" s="1424"/>
    </row>
    <row r="125" spans="1:14" s="1425" customFormat="1">
      <c r="A125" s="1407" t="s">
        <v>336</v>
      </c>
      <c r="B125" s="1407"/>
      <c r="C125" s="3038">
        <v>1.4510000000000001</v>
      </c>
      <c r="D125" s="3037"/>
      <c r="E125" s="2144">
        <v>0</v>
      </c>
      <c r="F125" s="2139">
        <v>0</v>
      </c>
      <c r="G125" s="2144">
        <v>0</v>
      </c>
      <c r="H125" s="2139">
        <v>0</v>
      </c>
      <c r="I125" s="2143">
        <v>0</v>
      </c>
      <c r="J125" s="1407"/>
      <c r="K125" s="1417">
        <f t="shared" si="8"/>
        <v>1.4510000000000001</v>
      </c>
      <c r="L125" s="1144"/>
      <c r="M125" s="1424"/>
      <c r="N125" s="1424"/>
    </row>
    <row r="126" spans="1:14" s="1425" customFormat="1">
      <c r="A126" s="1407" t="s">
        <v>337</v>
      </c>
      <c r="B126" s="1407"/>
      <c r="C126" s="1401">
        <v>21.992000000000001</v>
      </c>
      <c r="D126" s="3037"/>
      <c r="E126" s="2144">
        <v>0</v>
      </c>
      <c r="F126" s="2139">
        <v>0</v>
      </c>
      <c r="G126" s="2144">
        <v>0</v>
      </c>
      <c r="H126" s="2139">
        <v>0</v>
      </c>
      <c r="I126" s="2143">
        <v>-0.11600000000000001</v>
      </c>
      <c r="J126" s="1407"/>
      <c r="K126" s="1417">
        <f t="shared" si="8"/>
        <v>21.876000000000001</v>
      </c>
      <c r="L126" s="1144"/>
      <c r="M126" s="1424"/>
      <c r="N126" s="1424"/>
    </row>
    <row r="127" spans="1:14" s="1425" customFormat="1">
      <c r="A127" s="1407" t="s">
        <v>338</v>
      </c>
      <c r="B127" s="1407"/>
      <c r="C127" s="3038">
        <v>4.2549999999999999</v>
      </c>
      <c r="D127" s="3037"/>
      <c r="E127" s="2144">
        <v>0</v>
      </c>
      <c r="F127" s="2139">
        <v>0</v>
      </c>
      <c r="G127" s="2144">
        <v>0</v>
      </c>
      <c r="H127" s="2139">
        <v>0</v>
      </c>
      <c r="I127" s="2144">
        <v>0</v>
      </c>
      <c r="J127" s="1407"/>
      <c r="K127" s="1417">
        <f t="shared" si="8"/>
        <v>4.2549999999999999</v>
      </c>
      <c r="L127" s="1144"/>
      <c r="M127" s="1424"/>
      <c r="N127" s="1424"/>
    </row>
    <row r="128" spans="1:14" s="1425" customFormat="1">
      <c r="A128" s="1407" t="s">
        <v>339</v>
      </c>
      <c r="B128" s="1407"/>
      <c r="C128" s="3038">
        <v>5.5759999999999996</v>
      </c>
      <c r="D128" s="3037"/>
      <c r="E128" s="2144">
        <v>0</v>
      </c>
      <c r="F128" s="2139">
        <v>0</v>
      </c>
      <c r="G128" s="2144">
        <v>0</v>
      </c>
      <c r="H128" s="2139">
        <v>0</v>
      </c>
      <c r="I128" s="2143">
        <v>0</v>
      </c>
      <c r="J128" s="1407"/>
      <c r="K128" s="1417">
        <f t="shared" si="8"/>
        <v>5.5759999999999996</v>
      </c>
      <c r="L128" s="1144"/>
      <c r="M128" s="1424"/>
      <c r="N128" s="1424"/>
    </row>
    <row r="129" spans="1:14" s="1425" customFormat="1">
      <c r="A129" s="1407" t="s">
        <v>340</v>
      </c>
      <c r="B129" s="1407"/>
      <c r="C129" s="3038"/>
      <c r="D129" s="3037"/>
      <c r="E129" s="2142" t="s">
        <v>15</v>
      </c>
      <c r="F129" s="2139">
        <v>0</v>
      </c>
      <c r="G129" s="2142" t="s">
        <v>15</v>
      </c>
      <c r="H129" s="2139">
        <v>0</v>
      </c>
      <c r="I129" s="2142" t="s">
        <v>15</v>
      </c>
      <c r="J129" s="1407"/>
      <c r="K129" s="1417"/>
      <c r="L129" s="1144"/>
      <c r="M129" s="1424"/>
      <c r="N129" s="1424"/>
    </row>
    <row r="130" spans="1:14" s="1425" customFormat="1">
      <c r="A130" s="1407" t="s">
        <v>341</v>
      </c>
      <c r="B130" s="1407"/>
      <c r="C130" s="3038">
        <v>2.778</v>
      </c>
      <c r="D130" s="3037"/>
      <c r="E130" s="2144">
        <v>0</v>
      </c>
      <c r="F130" s="2139">
        <v>0</v>
      </c>
      <c r="G130" s="2144">
        <v>0</v>
      </c>
      <c r="H130" s="2139">
        <v>0</v>
      </c>
      <c r="I130" s="2144">
        <v>0</v>
      </c>
      <c r="J130" s="1407"/>
      <c r="K130" s="1417">
        <f>ROUND(SUM(C130)+SUM(E130)-SUM(G130)+SUM(I130),3)</f>
        <v>2.778</v>
      </c>
      <c r="L130" s="1144"/>
      <c r="M130" s="1424"/>
      <c r="N130" s="1424"/>
    </row>
    <row r="131" spans="1:14" s="1425" customFormat="1">
      <c r="A131" s="1407" t="s">
        <v>342</v>
      </c>
      <c r="B131" s="1407"/>
      <c r="C131" s="3038">
        <v>3.2570000000000001</v>
      </c>
      <c r="D131" s="3037"/>
      <c r="E131" s="2144">
        <v>0</v>
      </c>
      <c r="F131" s="2139">
        <v>0</v>
      </c>
      <c r="G131" s="2144">
        <v>0</v>
      </c>
      <c r="H131" s="2139">
        <v>0</v>
      </c>
      <c r="I131" s="2143">
        <v>-1.829</v>
      </c>
      <c r="J131" s="1407"/>
      <c r="K131" s="1417">
        <f>ROUND(SUM(C131)+SUM(E131)-SUM(G131)+SUM(I131),3)</f>
        <v>1.4279999999999999</v>
      </c>
      <c r="L131" s="1144"/>
      <c r="M131" s="1424"/>
      <c r="N131" s="1424"/>
    </row>
    <row r="132" spans="1:14" s="1425" customFormat="1">
      <c r="A132" s="1407" t="s">
        <v>1346</v>
      </c>
      <c r="B132" s="1407"/>
      <c r="C132" s="3038">
        <v>0</v>
      </c>
      <c r="D132" s="3037"/>
      <c r="E132" s="2144">
        <v>0</v>
      </c>
      <c r="F132" s="2139">
        <v>0</v>
      </c>
      <c r="G132" s="2144">
        <v>0</v>
      </c>
      <c r="H132" s="2139">
        <v>0</v>
      </c>
      <c r="I132" s="2144">
        <v>0</v>
      </c>
      <c r="J132" s="1407"/>
      <c r="K132" s="1417">
        <f>ROUND(SUM(C132)+SUM(E132)-SUM(G132)+SUM(I132),3)</f>
        <v>0</v>
      </c>
      <c r="L132" s="1144"/>
      <c r="M132" s="1424"/>
      <c r="N132" s="1424"/>
    </row>
    <row r="133" spans="1:14" s="1425" customFormat="1">
      <c r="A133" s="1407" t="s">
        <v>1345</v>
      </c>
      <c r="B133" s="1407"/>
      <c r="C133" s="3038">
        <v>0</v>
      </c>
      <c r="D133" s="3037"/>
      <c r="E133" s="2144">
        <v>0</v>
      </c>
      <c r="F133" s="2139"/>
      <c r="G133" s="2144">
        <v>0</v>
      </c>
      <c r="H133" s="2139"/>
      <c r="I133" s="2144">
        <v>0</v>
      </c>
      <c r="J133" s="1407" t="s">
        <v>15</v>
      </c>
      <c r="K133" s="1144">
        <f t="shared" ref="K133:K136" si="9">ROUND(SUM(C133)+SUM(E133)-SUM(G133)+SUM(I133),3)</f>
        <v>0</v>
      </c>
      <c r="L133" s="1144"/>
      <c r="M133" s="1424"/>
      <c r="N133" s="1424"/>
    </row>
    <row r="134" spans="1:14" s="1425" customFormat="1">
      <c r="A134" s="1407" t="s">
        <v>343</v>
      </c>
      <c r="B134" s="1407"/>
      <c r="C134" s="3038">
        <v>0</v>
      </c>
      <c r="D134" s="3037"/>
      <c r="E134" s="2144">
        <v>0</v>
      </c>
      <c r="F134" s="2139">
        <v>0</v>
      </c>
      <c r="G134" s="2144">
        <v>0</v>
      </c>
      <c r="H134" s="2139">
        <v>0</v>
      </c>
      <c r="I134" s="2144">
        <v>0</v>
      </c>
      <c r="J134" s="1407"/>
      <c r="K134" s="1144">
        <f t="shared" si="9"/>
        <v>0</v>
      </c>
      <c r="L134" s="1144"/>
      <c r="M134" s="1424"/>
      <c r="N134" s="1424"/>
    </row>
    <row r="135" spans="1:14" s="1425" customFormat="1">
      <c r="A135" s="1407" t="s">
        <v>344</v>
      </c>
      <c r="B135" s="1407"/>
      <c r="C135" s="3038">
        <v>0</v>
      </c>
      <c r="D135" s="3037"/>
      <c r="E135" s="2144">
        <v>0</v>
      </c>
      <c r="F135" s="2139">
        <v>0</v>
      </c>
      <c r="G135" s="2144">
        <v>0</v>
      </c>
      <c r="H135" s="2139">
        <v>0</v>
      </c>
      <c r="I135" s="2144">
        <v>0</v>
      </c>
      <c r="J135" s="1407"/>
      <c r="K135" s="1144">
        <f t="shared" si="9"/>
        <v>0</v>
      </c>
      <c r="L135" s="1144"/>
      <c r="M135" s="1424"/>
      <c r="N135" s="1424"/>
    </row>
    <row r="136" spans="1:14" s="1425" customFormat="1">
      <c r="A136" s="1407" t="s">
        <v>345</v>
      </c>
      <c r="B136" s="1407"/>
      <c r="C136" s="1401">
        <v>-445.26499999999999</v>
      </c>
      <c r="D136" s="3037"/>
      <c r="E136" s="2143">
        <v>138.124</v>
      </c>
      <c r="F136" s="2139">
        <v>0</v>
      </c>
      <c r="G136" s="2143">
        <v>197.94499999999999</v>
      </c>
      <c r="H136" s="2139">
        <v>0</v>
      </c>
      <c r="I136" s="2143">
        <v>-0.18099999999999999</v>
      </c>
      <c r="J136" s="1407"/>
      <c r="K136" s="1417">
        <f t="shared" si="9"/>
        <v>-505.267</v>
      </c>
      <c r="L136" s="1144"/>
      <c r="M136" s="1424"/>
      <c r="N136" s="1424"/>
    </row>
    <row r="137" spans="1:14" s="1425" customFormat="1">
      <c r="A137" s="1407" t="s">
        <v>346</v>
      </c>
      <c r="B137" s="1407"/>
      <c r="C137" s="3038">
        <v>0.90400000000000003</v>
      </c>
      <c r="D137" s="3037"/>
      <c r="E137" s="2143">
        <v>0</v>
      </c>
      <c r="F137" s="2139">
        <v>0</v>
      </c>
      <c r="G137" s="2144">
        <v>0</v>
      </c>
      <c r="H137" s="2139">
        <v>0</v>
      </c>
      <c r="I137" s="2144">
        <v>0</v>
      </c>
      <c r="J137" s="1407"/>
      <c r="K137" s="1417">
        <f t="shared" ref="K137:K151" si="10">ROUND(SUM(C137)+SUM(E137)-SUM(G137)+SUM(I137),3)</f>
        <v>0.90400000000000003</v>
      </c>
      <c r="L137" s="1144"/>
      <c r="M137" s="1424"/>
      <c r="N137" s="1424"/>
    </row>
    <row r="138" spans="1:14" s="1425" customFormat="1">
      <c r="A138" s="1414" t="s">
        <v>347</v>
      </c>
      <c r="B138" s="1407"/>
      <c r="C138" s="1401">
        <v>-143.19499999999999</v>
      </c>
      <c r="D138" s="3037"/>
      <c r="E138" s="2143">
        <v>7.7889999999999997</v>
      </c>
      <c r="F138" s="2139"/>
      <c r="G138" s="2143">
        <v>14.542</v>
      </c>
      <c r="H138" s="2139">
        <v>0</v>
      </c>
      <c r="I138" s="2143">
        <v>-0.48799999999999999</v>
      </c>
      <c r="J138" s="1407"/>
      <c r="K138" s="1417">
        <f t="shared" si="10"/>
        <v>-150.43600000000001</v>
      </c>
      <c r="L138" s="1144"/>
      <c r="M138" s="1424"/>
      <c r="N138" s="1424"/>
    </row>
    <row r="139" spans="1:14" s="1425" customFormat="1">
      <c r="A139" s="1407" t="s">
        <v>348</v>
      </c>
      <c r="B139" s="1407"/>
      <c r="C139" s="3038">
        <v>0.50900000000000001</v>
      </c>
      <c r="D139" s="3037"/>
      <c r="E139" s="2144">
        <v>1E-3</v>
      </c>
      <c r="F139" s="2139">
        <v>0</v>
      </c>
      <c r="G139" s="2144">
        <v>0</v>
      </c>
      <c r="H139" s="2139">
        <v>0</v>
      </c>
      <c r="I139" s="2144">
        <v>0</v>
      </c>
      <c r="J139" s="1407"/>
      <c r="K139" s="1417">
        <f t="shared" si="10"/>
        <v>0.51</v>
      </c>
      <c r="L139" s="1144"/>
      <c r="M139" s="1424"/>
      <c r="N139" s="1424"/>
    </row>
    <row r="140" spans="1:14" s="1425" customFormat="1">
      <c r="A140" s="1407" t="s">
        <v>349</v>
      </c>
      <c r="B140" s="1407"/>
      <c r="C140" s="1401">
        <v>-20.309000000000001</v>
      </c>
      <c r="D140" s="3037"/>
      <c r="E140" s="2143">
        <v>1.4E-2</v>
      </c>
      <c r="F140" s="2139">
        <v>0</v>
      </c>
      <c r="G140" s="2143">
        <v>2.2730000000000001</v>
      </c>
      <c r="H140" s="2139">
        <v>0</v>
      </c>
      <c r="I140" s="2144">
        <v>0</v>
      </c>
      <c r="J140" s="1407"/>
      <c r="K140" s="1417">
        <f t="shared" si="10"/>
        <v>-22.568000000000001</v>
      </c>
      <c r="L140" s="1144"/>
      <c r="M140" s="1424"/>
      <c r="N140" s="1424"/>
    </row>
    <row r="141" spans="1:14" s="1425" customFormat="1">
      <c r="A141" s="1407" t="s">
        <v>350</v>
      </c>
      <c r="B141" s="1407"/>
      <c r="C141" s="3038">
        <v>-13.631</v>
      </c>
      <c r="D141" s="3037"/>
      <c r="E141" s="3115">
        <v>0</v>
      </c>
      <c r="F141" s="2139">
        <v>0</v>
      </c>
      <c r="G141" s="2144">
        <v>0</v>
      </c>
      <c r="H141" s="2139">
        <v>0</v>
      </c>
      <c r="I141" s="2144">
        <v>0</v>
      </c>
      <c r="J141" s="1407"/>
      <c r="K141" s="1417">
        <f t="shared" si="10"/>
        <v>-13.631</v>
      </c>
      <c r="L141" s="1144"/>
      <c r="M141" s="1424"/>
      <c r="N141" s="1424"/>
    </row>
    <row r="142" spans="1:14" s="1425" customFormat="1">
      <c r="A142" s="1407" t="s">
        <v>351</v>
      </c>
      <c r="B142" s="1407"/>
      <c r="C142" s="1401">
        <v>-224.16300000000001</v>
      </c>
      <c r="D142" s="3037"/>
      <c r="E142" s="3115">
        <v>0</v>
      </c>
      <c r="F142" s="2139">
        <v>0</v>
      </c>
      <c r="G142" s="2143">
        <v>15.75</v>
      </c>
      <c r="H142" s="2139">
        <v>0</v>
      </c>
      <c r="I142" s="2143">
        <v>0</v>
      </c>
      <c r="J142" s="1407"/>
      <c r="K142" s="1417">
        <f t="shared" si="10"/>
        <v>-239.91300000000001</v>
      </c>
      <c r="L142" s="1144"/>
      <c r="M142" s="1424"/>
      <c r="N142" s="1424"/>
    </row>
    <row r="143" spans="1:14" s="1425" customFormat="1">
      <c r="A143" s="1407" t="s">
        <v>352</v>
      </c>
      <c r="B143" s="1407"/>
      <c r="C143" s="1417">
        <v>19.21</v>
      </c>
      <c r="D143" s="3037"/>
      <c r="E143" s="2143">
        <v>0.154</v>
      </c>
      <c r="F143" s="2139"/>
      <c r="G143" s="2143">
        <v>4.7E-2</v>
      </c>
      <c r="H143" s="2139"/>
      <c r="I143" s="2144">
        <v>0</v>
      </c>
      <c r="J143" s="1407"/>
      <c r="K143" s="1417">
        <f t="shared" si="10"/>
        <v>19.317</v>
      </c>
      <c r="L143" s="1144"/>
      <c r="M143" s="1424"/>
      <c r="N143" s="1424"/>
    </row>
    <row r="144" spans="1:14" s="1425" customFormat="1">
      <c r="A144" s="1407" t="s">
        <v>1083</v>
      </c>
      <c r="B144" s="1407"/>
      <c r="C144" s="1401">
        <v>-12.539</v>
      </c>
      <c r="D144" s="3037"/>
      <c r="E144" s="2144">
        <v>0</v>
      </c>
      <c r="F144" s="2139">
        <v>0</v>
      </c>
      <c r="G144" s="2143">
        <v>0</v>
      </c>
      <c r="H144" s="2139">
        <v>0</v>
      </c>
      <c r="I144" s="2143">
        <v>0</v>
      </c>
      <c r="J144" s="1407"/>
      <c r="K144" s="1417">
        <f t="shared" si="10"/>
        <v>-12.539</v>
      </c>
      <c r="L144" s="1144"/>
      <c r="M144" s="1424"/>
      <c r="N144" s="1424"/>
    </row>
    <row r="145" spans="1:15" s="1425" customFormat="1">
      <c r="A145" s="1407" t="s">
        <v>353</v>
      </c>
      <c r="B145" s="1407"/>
      <c r="C145" s="1401">
        <v>48.35</v>
      </c>
      <c r="D145" s="3037"/>
      <c r="E145" s="2143">
        <v>0.23300000000000001</v>
      </c>
      <c r="F145" s="2139">
        <v>0</v>
      </c>
      <c r="G145" s="2143">
        <v>3.375</v>
      </c>
      <c r="H145" s="2139">
        <v>0</v>
      </c>
      <c r="I145" s="2143">
        <v>5</v>
      </c>
      <c r="J145" s="1407"/>
      <c r="K145" s="1417">
        <f t="shared" si="10"/>
        <v>50.207999999999998</v>
      </c>
      <c r="L145" s="1144"/>
      <c r="M145" s="1424"/>
      <c r="N145" s="1424"/>
    </row>
    <row r="146" spans="1:15" s="1425" customFormat="1">
      <c r="A146" s="1407" t="s">
        <v>354</v>
      </c>
      <c r="B146" s="1407"/>
      <c r="C146" s="3038">
        <v>-2.4E-2</v>
      </c>
      <c r="D146" s="3037"/>
      <c r="E146" s="2143">
        <v>0</v>
      </c>
      <c r="F146" s="2139">
        <v>0</v>
      </c>
      <c r="G146" s="2144">
        <v>0</v>
      </c>
      <c r="H146" s="2139">
        <v>0</v>
      </c>
      <c r="I146" s="2144">
        <v>0</v>
      </c>
      <c r="J146" s="1407"/>
      <c r="K146" s="1417">
        <f t="shared" si="10"/>
        <v>-2.4E-2</v>
      </c>
      <c r="L146" s="1144"/>
      <c r="M146" s="1424"/>
      <c r="N146" s="1424"/>
    </row>
    <row r="147" spans="1:15" s="1425" customFormat="1">
      <c r="A147" s="1407" t="s">
        <v>355</v>
      </c>
      <c r="B147" s="1407"/>
      <c r="C147" s="1401">
        <v>-447.43799999999999</v>
      </c>
      <c r="D147" s="3037"/>
      <c r="E147" s="2143">
        <v>14.611000000000001</v>
      </c>
      <c r="F147" s="2139">
        <v>0</v>
      </c>
      <c r="G147" s="2143">
        <v>21.63</v>
      </c>
      <c r="H147" s="2139">
        <v>0</v>
      </c>
      <c r="I147" s="2144">
        <v>0</v>
      </c>
      <c r="J147" s="1407"/>
      <c r="K147" s="1417">
        <f t="shared" si="10"/>
        <v>-454.45699999999999</v>
      </c>
      <c r="L147" s="1144"/>
      <c r="M147" s="1424"/>
      <c r="N147" s="1424"/>
    </row>
    <row r="148" spans="1:15" s="1425" customFormat="1">
      <c r="A148" s="1407" t="s">
        <v>356</v>
      </c>
      <c r="B148" s="1407"/>
      <c r="C148" s="1400">
        <v>-139.38900000000001</v>
      </c>
      <c r="D148" s="3037"/>
      <c r="E148" s="2143">
        <v>0</v>
      </c>
      <c r="F148" s="2139">
        <v>0</v>
      </c>
      <c r="G148" s="2143">
        <v>24.727</v>
      </c>
      <c r="H148" s="2139">
        <v>0</v>
      </c>
      <c r="I148" s="2144">
        <v>0</v>
      </c>
      <c r="J148" s="1407"/>
      <c r="K148" s="1417">
        <f t="shared" si="10"/>
        <v>-164.11600000000001</v>
      </c>
      <c r="L148" s="1144"/>
      <c r="M148" s="1424"/>
      <c r="N148" s="1424"/>
    </row>
    <row r="149" spans="1:15" s="1425" customFormat="1">
      <c r="A149" s="1407" t="s">
        <v>357</v>
      </c>
      <c r="B149" s="1407"/>
      <c r="C149" s="1401">
        <v>165.15799999999999</v>
      </c>
      <c r="D149" s="3037"/>
      <c r="E149" s="2143">
        <v>8.3000000000000004E-2</v>
      </c>
      <c r="F149" s="2139">
        <v>0</v>
      </c>
      <c r="G149" s="2143">
        <v>4.218</v>
      </c>
      <c r="H149" s="2139">
        <v>0</v>
      </c>
      <c r="I149" s="2143">
        <v>2.4940000000000002</v>
      </c>
      <c r="J149" s="1407"/>
      <c r="K149" s="1417">
        <f t="shared" si="10"/>
        <v>163.517</v>
      </c>
      <c r="L149" s="1144"/>
      <c r="M149" s="1424"/>
      <c r="N149" s="1424"/>
    </row>
    <row r="150" spans="1:15" s="1425" customFormat="1">
      <c r="A150" s="1407" t="s">
        <v>358</v>
      </c>
      <c r="B150" s="1407"/>
      <c r="C150" s="3038">
        <v>-48.585999999999999</v>
      </c>
      <c r="D150" s="3037"/>
      <c r="E150" s="2144">
        <v>0</v>
      </c>
      <c r="F150" s="2139"/>
      <c r="G150" s="2143">
        <v>1.6</v>
      </c>
      <c r="H150" s="2139"/>
      <c r="I150" s="2144">
        <v>0</v>
      </c>
      <c r="J150" s="1407"/>
      <c r="K150" s="1417">
        <f t="shared" si="10"/>
        <v>-50.186</v>
      </c>
      <c r="L150" s="1144"/>
      <c r="M150" s="1424"/>
      <c r="N150" s="1424"/>
    </row>
    <row r="151" spans="1:15" s="1425" customFormat="1">
      <c r="A151" s="1407" t="s">
        <v>1361</v>
      </c>
      <c r="B151" s="1407"/>
      <c r="C151" s="3038">
        <v>79.114000000000004</v>
      </c>
      <c r="D151" s="3037"/>
      <c r="E151" s="2144">
        <v>0</v>
      </c>
      <c r="F151" s="2139"/>
      <c r="G151" s="2143">
        <v>51.392000000000003</v>
      </c>
      <c r="H151" s="2139"/>
      <c r="I151" s="2143">
        <v>76</v>
      </c>
      <c r="J151" s="1407"/>
      <c r="K151" s="1417">
        <f t="shared" si="10"/>
        <v>103.72199999999999</v>
      </c>
      <c r="L151" s="1144"/>
      <c r="M151" s="1424"/>
      <c r="N151" s="1424"/>
    </row>
    <row r="152" spans="1:15">
      <c r="A152" s="810" t="s">
        <v>359</v>
      </c>
      <c r="B152" s="1407"/>
      <c r="C152" s="816">
        <f>ROUND(SUM(C113:C151),3)</f>
        <v>-979.85799999999995</v>
      </c>
      <c r="D152" s="810"/>
      <c r="E152" s="816">
        <f>ROUND(SUM(E113:E151),3)</f>
        <v>474.96600000000001</v>
      </c>
      <c r="F152" s="810"/>
      <c r="G152" s="816">
        <f>ROUND(SUM(G113:G151),3)</f>
        <v>681.15700000000004</v>
      </c>
      <c r="H152" s="810"/>
      <c r="I152" s="816">
        <f>ROUND(SUM(I113:I151),3)</f>
        <v>226.863</v>
      </c>
      <c r="J152" s="810"/>
      <c r="K152" s="816">
        <f>ROUND(SUM(K114:K151),3)</f>
        <v>-959.18600000000004</v>
      </c>
      <c r="L152" s="817"/>
      <c r="M152" s="813"/>
      <c r="N152" s="813"/>
      <c r="O152" s="811"/>
    </row>
    <row r="153" spans="1:15">
      <c r="A153" s="810"/>
      <c r="B153" s="1407"/>
      <c r="C153" s="1415"/>
      <c r="D153" s="1407"/>
      <c r="E153" s="1426"/>
      <c r="F153" s="1427"/>
      <c r="G153" s="1426"/>
      <c r="H153" s="1427"/>
      <c r="I153" s="1426"/>
      <c r="J153" s="1407"/>
      <c r="K153" s="1415"/>
      <c r="L153" s="1415"/>
    </row>
    <row r="154" spans="1:15" ht="16.5" thickBot="1">
      <c r="A154" s="810" t="s">
        <v>360</v>
      </c>
      <c r="B154" s="818"/>
      <c r="C154" s="819">
        <f>ROUND(SUM(C23+C100+C110+C152),3)</f>
        <v>12974.852999999999</v>
      </c>
      <c r="D154" s="818"/>
      <c r="E154" s="819">
        <f>ROUND(SUM(E23+E100+E110+E152),3)</f>
        <v>15264.379000000001</v>
      </c>
      <c r="F154" s="820"/>
      <c r="G154" s="819">
        <f>ROUND(SUM(G23+G100+G110+G152),3)</f>
        <v>11508.204</v>
      </c>
      <c r="H154" s="820"/>
      <c r="I154" s="819">
        <f>ROUND(SUM(I23+I100+I110+I152),3)</f>
        <v>0.51</v>
      </c>
      <c r="J154" s="818"/>
      <c r="K154" s="819">
        <f>ROUND(SUM(K23+K100+K110+K152),3)</f>
        <v>16731.538</v>
      </c>
      <c r="L154" s="821"/>
    </row>
    <row r="155" spans="1:15" ht="16.5" thickTop="1">
      <c r="A155" s="1407"/>
      <c r="B155" s="1407"/>
      <c r="C155" s="1415" t="s">
        <v>15</v>
      </c>
      <c r="D155" s="1407"/>
      <c r="E155" s="1415"/>
      <c r="F155" s="1407"/>
      <c r="G155" s="1415"/>
      <c r="H155" s="1407"/>
      <c r="I155" s="1415"/>
      <c r="J155" s="1407"/>
      <c r="K155" s="1415"/>
      <c r="L155" s="1415"/>
    </row>
    <row r="156" spans="1:15">
      <c r="A156" s="1407"/>
      <c r="B156" s="1407"/>
      <c r="C156" s="1407"/>
      <c r="D156" s="1407"/>
      <c r="E156" s="1407"/>
      <c r="F156" s="1407"/>
      <c r="G156" s="1407"/>
      <c r="H156" s="1407"/>
      <c r="I156" s="1407"/>
      <c r="J156" s="1407"/>
      <c r="K156" s="1407"/>
      <c r="L156" s="1407"/>
    </row>
    <row r="157" spans="1:15">
      <c r="A157" s="809"/>
      <c r="B157" s="1407"/>
      <c r="C157" s="1407"/>
      <c r="D157" s="1407"/>
      <c r="E157" s="1407"/>
      <c r="F157" s="1407"/>
      <c r="G157" s="1407"/>
      <c r="H157" s="1407"/>
      <c r="I157" s="1427"/>
      <c r="J157" s="1407"/>
      <c r="K157" s="3048"/>
      <c r="L157" s="1407"/>
    </row>
    <row r="158" spans="1:15">
      <c r="A158" s="1407" t="s">
        <v>15</v>
      </c>
      <c r="B158" s="1407"/>
      <c r="C158" s="1407"/>
      <c r="D158" s="1407"/>
      <c r="E158" s="1407"/>
      <c r="F158" s="1407"/>
      <c r="G158" s="1407"/>
      <c r="H158" s="1407"/>
      <c r="I158" s="1407"/>
      <c r="J158" s="1407"/>
      <c r="K158" s="1407"/>
      <c r="L158" s="1407"/>
    </row>
    <row r="159" spans="1:15">
      <c r="A159" s="1407"/>
      <c r="B159" s="1407"/>
      <c r="C159" s="1407"/>
      <c r="D159" s="1407"/>
      <c r="E159" s="1407"/>
      <c r="F159" s="1407"/>
      <c r="G159" s="1407"/>
      <c r="H159" s="1407"/>
      <c r="I159" s="1407"/>
      <c r="J159" s="1407"/>
      <c r="K159" s="1407"/>
      <c r="L159" s="1407"/>
    </row>
    <row r="160" spans="1:15">
      <c r="A160" s="1428"/>
      <c r="B160" s="1407"/>
      <c r="C160" s="1407"/>
      <c r="D160" s="1407"/>
      <c r="E160" s="1407"/>
      <c r="F160" s="1407"/>
      <c r="G160" s="1407"/>
      <c r="H160" s="1407"/>
      <c r="I160" s="1429"/>
      <c r="J160" s="1407"/>
      <c r="K160" s="1407" t="s">
        <v>15</v>
      </c>
      <c r="L160" s="1407"/>
    </row>
    <row r="161" spans="9:9">
      <c r="I161" s="3325"/>
    </row>
    <row r="162" spans="9:9">
      <c r="I162" s="3325"/>
    </row>
    <row r="163" spans="9:9">
      <c r="I163" s="3325"/>
    </row>
    <row r="164" spans="9:9">
      <c r="I164" s="3325"/>
    </row>
    <row r="165" spans="9:9">
      <c r="I165" s="821"/>
    </row>
    <row r="166" spans="9:9">
      <c r="I166" s="3325"/>
    </row>
    <row r="167" spans="9:9">
      <c r="I167" s="3325"/>
    </row>
    <row r="168" spans="9:9">
      <c r="I168" s="3325"/>
    </row>
    <row r="169" spans="9:9">
      <c r="I169" s="3325"/>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3" firstPageNumber="39" fitToHeight="3" orientation="landscape" useFirstPageNumber="1" r:id="rId2"/>
  <headerFooter scaleWithDoc="0" alignWithMargins="0">
    <oddFooter>&amp;C&amp;8&amp;P</oddFooter>
    <firstFooter>&amp;C28</firstFooter>
  </headerFooter>
  <rowBreaks count="2" manualBreakCount="2">
    <brk id="60" max="11" man="1"/>
    <brk id="111"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2"/>
  <sheetViews>
    <sheetView showGridLines="0" zoomScale="70" zoomScaleNormal="80" workbookViewId="0"/>
  </sheetViews>
  <sheetFormatPr defaultColWidth="8.88671875" defaultRowHeight="18"/>
  <cols>
    <col min="1" max="1" width="55.77734375" style="856" customWidth="1"/>
    <col min="2" max="2" width="6.33203125" style="856" customWidth="1"/>
    <col min="3" max="3" width="20.21875" style="856" customWidth="1"/>
    <col min="4" max="4" width="3.109375" style="856" customWidth="1"/>
    <col min="5" max="5" width="17.33203125" style="856" customWidth="1"/>
    <col min="6" max="6" width="3.5546875" style="856" customWidth="1"/>
    <col min="7" max="7" width="18.21875" style="856" customWidth="1"/>
    <col min="8" max="8" width="3.109375" style="856" customWidth="1"/>
    <col min="9" max="9" width="18.5546875" style="856" customWidth="1"/>
    <col min="10" max="10" width="3.44140625" style="856" customWidth="1"/>
    <col min="11" max="11" width="22.109375" style="856" customWidth="1"/>
    <col min="12" max="12" width="15.5546875" style="856" customWidth="1"/>
    <col min="13" max="16384" width="8.88671875" style="856"/>
  </cols>
  <sheetData>
    <row r="1" spans="1:15">
      <c r="A1" s="1159" t="s">
        <v>1090</v>
      </c>
    </row>
    <row r="2" spans="1:15">
      <c r="A2" s="1652"/>
    </row>
    <row r="3" spans="1:15" s="827" customFormat="1" ht="18" customHeight="1">
      <c r="A3" s="822" t="s">
        <v>0</v>
      </c>
      <c r="B3" s="823"/>
      <c r="C3" s="823"/>
      <c r="D3" s="823"/>
      <c r="E3" s="824"/>
      <c r="F3" s="824"/>
      <c r="G3" s="825"/>
      <c r="H3" s="825"/>
      <c r="I3" s="822"/>
      <c r="J3" s="822"/>
      <c r="K3" s="826" t="s">
        <v>361</v>
      </c>
      <c r="L3" s="825"/>
      <c r="M3" s="825"/>
      <c r="N3" s="825"/>
      <c r="O3" s="825"/>
    </row>
    <row r="4" spans="1:15" s="827" customFormat="1" ht="18" customHeight="1">
      <c r="A4" s="822" t="s">
        <v>362</v>
      </c>
      <c r="B4" s="823"/>
      <c r="C4" s="823"/>
      <c r="D4" s="823"/>
      <c r="E4" s="824"/>
      <c r="F4" s="824"/>
      <c r="G4" s="825"/>
      <c r="H4" s="825"/>
      <c r="I4" s="822"/>
      <c r="J4" s="822"/>
      <c r="K4" s="822"/>
      <c r="L4" s="825"/>
      <c r="M4" s="825"/>
      <c r="N4" s="825"/>
      <c r="O4" s="825"/>
    </row>
    <row r="5" spans="1:15" s="827" customFormat="1" ht="18" customHeight="1">
      <c r="A5" s="828" t="s">
        <v>363</v>
      </c>
      <c r="B5" s="823"/>
      <c r="C5" s="823"/>
      <c r="D5" s="823"/>
      <c r="E5" s="824"/>
      <c r="F5" s="824"/>
      <c r="G5" s="825"/>
      <c r="H5" s="825"/>
      <c r="I5" s="822"/>
      <c r="J5" s="822"/>
      <c r="K5" s="822"/>
      <c r="L5" s="825"/>
      <c r="M5" s="825"/>
      <c r="N5" s="825"/>
      <c r="O5" s="825"/>
    </row>
    <row r="6" spans="1:15" s="827" customFormat="1" ht="18" customHeight="1">
      <c r="A6" s="828" t="s">
        <v>364</v>
      </c>
      <c r="B6" s="823"/>
      <c r="C6" s="823"/>
      <c r="D6" s="823"/>
      <c r="E6" s="824"/>
      <c r="F6" s="824"/>
      <c r="G6" s="825"/>
      <c r="H6" s="825"/>
      <c r="I6" s="822"/>
      <c r="J6" s="822"/>
      <c r="K6" s="822"/>
      <c r="L6" s="825"/>
      <c r="M6" s="825"/>
      <c r="N6" s="825"/>
      <c r="O6" s="825"/>
    </row>
    <row r="7" spans="1:15" s="827" customFormat="1" ht="18" customHeight="1">
      <c r="A7" s="2009" t="s">
        <v>1564</v>
      </c>
      <c r="B7" s="823"/>
      <c r="C7" s="823"/>
      <c r="D7" s="823"/>
      <c r="E7" s="824"/>
      <c r="F7" s="824"/>
      <c r="G7" s="825"/>
      <c r="H7" s="825"/>
      <c r="I7" s="822"/>
      <c r="J7" s="822"/>
      <c r="K7" s="822"/>
      <c r="L7" s="825"/>
      <c r="M7" s="825"/>
      <c r="N7" s="825"/>
      <c r="O7" s="825"/>
    </row>
    <row r="8" spans="1:15" s="827" customFormat="1" ht="18" customHeight="1">
      <c r="A8" s="822" t="s">
        <v>979</v>
      </c>
      <c r="B8" s="823"/>
      <c r="C8" s="823"/>
      <c r="D8" s="823"/>
      <c r="E8" s="824"/>
      <c r="F8" s="824"/>
      <c r="G8" s="825"/>
      <c r="H8" s="825"/>
      <c r="I8" s="822"/>
      <c r="J8" s="822"/>
      <c r="K8" s="822"/>
      <c r="L8" s="825"/>
      <c r="M8" s="825"/>
      <c r="N8" s="825"/>
      <c r="O8" s="825"/>
    </row>
    <row r="9" spans="1:15" s="827" customFormat="1">
      <c r="A9" s="822"/>
      <c r="B9" s="822"/>
      <c r="C9" s="825"/>
      <c r="D9" s="822"/>
      <c r="E9" s="825"/>
      <c r="F9" s="825"/>
      <c r="G9" s="825"/>
      <c r="H9" s="825"/>
      <c r="I9" s="825"/>
      <c r="J9" s="825"/>
      <c r="K9" s="825"/>
      <c r="L9" s="825"/>
      <c r="M9" s="825"/>
      <c r="N9" s="825"/>
      <c r="O9" s="825"/>
    </row>
    <row r="10" spans="1:15" s="827" customFormat="1">
      <c r="A10" s="822"/>
      <c r="B10" s="822"/>
      <c r="C10" s="822"/>
      <c r="D10" s="822"/>
      <c r="E10" s="822"/>
      <c r="F10" s="822"/>
      <c r="G10" s="822"/>
      <c r="H10" s="822"/>
      <c r="I10" s="822"/>
      <c r="J10" s="822"/>
      <c r="K10" s="822"/>
      <c r="L10" s="825"/>
      <c r="M10" s="825"/>
      <c r="N10" s="825"/>
      <c r="O10" s="825"/>
    </row>
    <row r="11" spans="1:15" s="827" customFormat="1">
      <c r="A11" s="822"/>
      <c r="B11" s="822"/>
      <c r="C11" s="829"/>
      <c r="D11" s="822"/>
      <c r="E11" s="822"/>
      <c r="F11" s="822"/>
      <c r="G11" s="822"/>
      <c r="H11" s="822"/>
      <c r="I11" s="829" t="s">
        <v>365</v>
      </c>
      <c r="J11" s="822"/>
      <c r="K11" s="829"/>
      <c r="L11" s="825"/>
      <c r="M11" s="825"/>
      <c r="N11" s="825"/>
      <c r="O11" s="825"/>
    </row>
    <row r="12" spans="1:15" s="827" customFormat="1">
      <c r="A12" s="822"/>
      <c r="B12" s="822"/>
      <c r="C12" s="829" t="s">
        <v>241</v>
      </c>
      <c r="D12" s="822"/>
      <c r="E12" s="822"/>
      <c r="F12" s="822"/>
      <c r="G12" s="822"/>
      <c r="H12" s="822"/>
      <c r="I12" s="829" t="s">
        <v>366</v>
      </c>
      <c r="J12" s="822"/>
      <c r="K12" s="829" t="s">
        <v>241</v>
      </c>
      <c r="L12" s="825"/>
      <c r="M12" s="825"/>
      <c r="N12" s="825"/>
      <c r="O12" s="825"/>
    </row>
    <row r="13" spans="1:15" s="827" customFormat="1">
      <c r="A13" s="830" t="s">
        <v>367</v>
      </c>
      <c r="B13" s="822"/>
      <c r="C13" s="1768" t="s">
        <v>1565</v>
      </c>
      <c r="D13" s="822"/>
      <c r="E13" s="829" t="s">
        <v>243</v>
      </c>
      <c r="F13" s="822"/>
      <c r="G13" s="829" t="s">
        <v>244</v>
      </c>
      <c r="H13" s="822"/>
      <c r="I13" s="829" t="s">
        <v>245</v>
      </c>
      <c r="J13" s="822"/>
      <c r="K13" s="1769" t="s">
        <v>1563</v>
      </c>
      <c r="L13" s="825"/>
      <c r="M13" s="825"/>
      <c r="N13" s="825"/>
      <c r="O13" s="825"/>
    </row>
    <row r="14" spans="1:15" s="827" customFormat="1" ht="12" customHeight="1">
      <c r="A14" s="825"/>
      <c r="B14" s="825"/>
      <c r="C14" s="831"/>
      <c r="D14" s="825"/>
      <c r="E14" s="832"/>
      <c r="F14" s="825"/>
      <c r="G14" s="832"/>
      <c r="H14" s="825"/>
      <c r="I14" s="832"/>
      <c r="J14" s="825"/>
      <c r="K14" s="832"/>
      <c r="L14" s="825"/>
      <c r="M14" s="825"/>
      <c r="N14" s="825"/>
      <c r="O14" s="825"/>
    </row>
    <row r="15" spans="1:15" s="827" customFormat="1">
      <c r="A15" s="833" t="s">
        <v>222</v>
      </c>
      <c r="B15" s="825"/>
      <c r="C15" s="834"/>
      <c r="D15" s="834"/>
      <c r="E15" s="866"/>
      <c r="F15" s="834"/>
      <c r="G15" s="834"/>
      <c r="H15" s="834"/>
      <c r="I15" s="834"/>
      <c r="J15" s="834"/>
      <c r="K15" s="834"/>
      <c r="L15" s="825"/>
      <c r="M15" s="825"/>
      <c r="N15" s="825"/>
      <c r="O15" s="825"/>
    </row>
    <row r="16" spans="1:15" s="827" customFormat="1" ht="12" customHeight="1">
      <c r="A16" s="825"/>
      <c r="B16" s="825"/>
      <c r="C16" s="834"/>
      <c r="D16" s="834"/>
      <c r="E16" s="866"/>
      <c r="F16" s="834"/>
      <c r="G16" s="834"/>
      <c r="H16" s="834"/>
      <c r="I16" s="834"/>
      <c r="J16" s="834"/>
      <c r="K16" s="834"/>
      <c r="L16" s="825"/>
      <c r="M16" s="825"/>
      <c r="N16" s="825"/>
      <c r="O16" s="825"/>
    </row>
    <row r="17" spans="1:15" s="837" customFormat="1" ht="15.95" customHeight="1">
      <c r="A17" s="834" t="s">
        <v>368</v>
      </c>
      <c r="B17" s="835"/>
      <c r="C17" s="836">
        <v>0.14599999999999999</v>
      </c>
      <c r="D17" s="836"/>
      <c r="E17" s="836">
        <v>2E-3</v>
      </c>
      <c r="F17" s="836"/>
      <c r="G17" s="836">
        <v>6.0000000000000001E-3</v>
      </c>
      <c r="H17" s="836"/>
      <c r="I17" s="836">
        <v>0</v>
      </c>
      <c r="J17" s="836"/>
      <c r="K17" s="836">
        <f t="shared" ref="K17:K24" si="0">ROUND(SUM(C17,E17,I17) - SUM(G17),3)</f>
        <v>0.14199999999999999</v>
      </c>
      <c r="L17" s="834"/>
      <c r="M17" s="834"/>
      <c r="N17" s="834"/>
      <c r="O17" s="834"/>
    </row>
    <row r="18" spans="1:15" s="837" customFormat="1" ht="15.75" customHeight="1">
      <c r="A18" s="834" t="s">
        <v>369</v>
      </c>
      <c r="B18" s="834"/>
      <c r="C18" s="838">
        <v>1.3129999999999999</v>
      </c>
      <c r="D18" s="839"/>
      <c r="E18" s="838">
        <v>1.6870000000000001</v>
      </c>
      <c r="F18" s="838"/>
      <c r="G18" s="838">
        <v>0.72599999999999998</v>
      </c>
      <c r="H18" s="839"/>
      <c r="I18" s="838">
        <v>0</v>
      </c>
      <c r="J18" s="839"/>
      <c r="K18" s="838">
        <f t="shared" si="0"/>
        <v>2.274</v>
      </c>
      <c r="L18" s="834"/>
      <c r="M18" s="834"/>
      <c r="N18" s="834"/>
      <c r="O18" s="834"/>
    </row>
    <row r="19" spans="1:15" s="837" customFormat="1" ht="15.95" customHeight="1">
      <c r="A19" s="834" t="s">
        <v>370</v>
      </c>
      <c r="B19" s="834"/>
      <c r="C19" s="838">
        <v>3.0089999999999999</v>
      </c>
      <c r="D19" s="839"/>
      <c r="E19" s="838">
        <v>3.492</v>
      </c>
      <c r="F19" s="838"/>
      <c r="G19" s="838">
        <v>3.488</v>
      </c>
      <c r="H19" s="839"/>
      <c r="I19" s="838">
        <v>0</v>
      </c>
      <c r="J19" s="839"/>
      <c r="K19" s="838">
        <f t="shared" si="0"/>
        <v>3.0129999999999999</v>
      </c>
      <c r="L19" s="834"/>
      <c r="M19" s="834"/>
      <c r="N19" s="834"/>
      <c r="O19" s="834"/>
    </row>
    <row r="20" spans="1:15" s="837" customFormat="1" ht="15.95" customHeight="1">
      <c r="A20" s="834" t="s">
        <v>1139</v>
      </c>
      <c r="B20" s="834"/>
      <c r="C20" s="838">
        <v>3.4630000000000001</v>
      </c>
      <c r="D20" s="839"/>
      <c r="E20" s="838">
        <v>0.28899999999999998</v>
      </c>
      <c r="F20" s="838"/>
      <c r="G20" s="838">
        <v>0.27</v>
      </c>
      <c r="H20" s="839"/>
      <c r="I20" s="838">
        <v>0</v>
      </c>
      <c r="J20" s="839"/>
      <c r="K20" s="838">
        <f t="shared" si="0"/>
        <v>3.4820000000000002</v>
      </c>
      <c r="L20" s="834"/>
      <c r="M20" s="834"/>
      <c r="N20" s="834"/>
      <c r="O20" s="834"/>
    </row>
    <row r="21" spans="1:15" s="837" customFormat="1" ht="15.95" customHeight="1">
      <c r="A21" s="834" t="s">
        <v>1140</v>
      </c>
      <c r="B21" s="834"/>
      <c r="C21" s="838">
        <v>2.1480000000000001</v>
      </c>
      <c r="D21" s="839"/>
      <c r="E21" s="3392">
        <v>5.6000000000000001E-2</v>
      </c>
      <c r="F21" s="838"/>
      <c r="G21" s="838">
        <v>2.4E-2</v>
      </c>
      <c r="H21" s="839"/>
      <c r="I21" s="838">
        <v>0</v>
      </c>
      <c r="J21" s="839"/>
      <c r="K21" s="838">
        <f t="shared" si="0"/>
        <v>2.1800000000000002</v>
      </c>
      <c r="L21" s="834"/>
      <c r="M21" s="834"/>
      <c r="N21" s="834"/>
      <c r="O21" s="834"/>
    </row>
    <row r="22" spans="1:15" s="837" customFormat="1" ht="15.95" customHeight="1">
      <c r="A22" s="834" t="s">
        <v>1141</v>
      </c>
      <c r="B22" s="834"/>
      <c r="C22" s="838">
        <v>1.629</v>
      </c>
      <c r="D22" s="839"/>
      <c r="E22" s="3392">
        <v>0.17399999999999999</v>
      </c>
      <c r="F22" s="838"/>
      <c r="G22" s="839">
        <v>4.5999999999999999E-2</v>
      </c>
      <c r="H22" s="839"/>
      <c r="I22" s="838">
        <v>0</v>
      </c>
      <c r="J22" s="839"/>
      <c r="K22" s="838">
        <f t="shared" si="0"/>
        <v>1.7569999999999999</v>
      </c>
      <c r="L22" s="834"/>
      <c r="M22" s="834"/>
      <c r="N22" s="834"/>
      <c r="O22" s="834"/>
    </row>
    <row r="23" spans="1:15" s="837" customFormat="1" ht="15.95" customHeight="1">
      <c r="A23" s="834" t="s">
        <v>371</v>
      </c>
      <c r="B23" s="834"/>
      <c r="C23" s="838">
        <v>4.2759999999999998</v>
      </c>
      <c r="D23" s="839"/>
      <c r="E23" s="838">
        <v>0.13</v>
      </c>
      <c r="F23" s="838"/>
      <c r="G23" s="838">
        <v>0.123</v>
      </c>
      <c r="H23" s="839"/>
      <c r="I23" s="838">
        <v>0</v>
      </c>
      <c r="J23" s="839"/>
      <c r="K23" s="838">
        <f t="shared" si="0"/>
        <v>4.2830000000000004</v>
      </c>
      <c r="L23" s="834"/>
      <c r="M23" s="834"/>
      <c r="N23" s="834"/>
      <c r="O23" s="834"/>
    </row>
    <row r="24" spans="1:15" s="837" customFormat="1" ht="15.95" customHeight="1">
      <c r="A24" s="841" t="s">
        <v>372</v>
      </c>
      <c r="B24" s="834"/>
      <c r="C24" s="838">
        <v>7.4260000000000002</v>
      </c>
      <c r="D24" s="842"/>
      <c r="E24" s="838">
        <v>252.136</v>
      </c>
      <c r="F24" s="843"/>
      <c r="G24" s="838">
        <v>252.37200000000001</v>
      </c>
      <c r="H24" s="839"/>
      <c r="I24" s="838">
        <v>0</v>
      </c>
      <c r="J24" s="839"/>
      <c r="K24" s="838">
        <f t="shared" si="0"/>
        <v>7.19</v>
      </c>
      <c r="L24" s="834"/>
      <c r="M24" s="834"/>
      <c r="N24" s="834"/>
      <c r="O24" s="834"/>
    </row>
    <row r="25" spans="1:15" s="827" customFormat="1" ht="20.100000000000001" customHeight="1">
      <c r="A25" s="822" t="s">
        <v>373</v>
      </c>
      <c r="B25" s="825"/>
      <c r="C25" s="3034">
        <f>ROUND(SUM(C17:C24),3)</f>
        <v>23.41</v>
      </c>
      <c r="D25" s="3083"/>
      <c r="E25" s="3034">
        <f>ROUND(SUM(E17:E24),3)</f>
        <v>257.96600000000001</v>
      </c>
      <c r="F25" s="3083"/>
      <c r="G25" s="3034">
        <f>ROUND(SUM(G17:G24),3)</f>
        <v>257.05500000000001</v>
      </c>
      <c r="H25" s="1338"/>
      <c r="I25" s="3034">
        <f>ROUND(SUM(I17:I24),3)</f>
        <v>0</v>
      </c>
      <c r="J25" s="1338"/>
      <c r="K25" s="3034">
        <f>ROUND(SUM(K17:K24),3)</f>
        <v>24.321000000000002</v>
      </c>
      <c r="L25" s="845"/>
      <c r="M25" s="825"/>
      <c r="N25" s="825"/>
      <c r="O25" s="825"/>
    </row>
    <row r="26" spans="1:15" s="827" customFormat="1" ht="15" customHeight="1">
      <c r="A26" s="825"/>
      <c r="B26" s="825"/>
      <c r="C26" s="1303"/>
      <c r="D26" s="903"/>
      <c r="E26" s="1303"/>
      <c r="F26" s="903"/>
      <c r="G26" s="1303"/>
      <c r="H26" s="903"/>
      <c r="I26" s="1304"/>
      <c r="J26" s="903"/>
      <c r="K26" s="1303"/>
      <c r="L26" s="825"/>
      <c r="M26" s="825"/>
      <c r="N26" s="825"/>
      <c r="O26" s="825"/>
    </row>
    <row r="27" spans="1:15" s="827" customFormat="1" ht="15" customHeight="1">
      <c r="A27" s="825"/>
      <c r="B27" s="825"/>
      <c r="C27" s="903"/>
      <c r="D27" s="1305" t="s">
        <v>240</v>
      </c>
      <c r="E27" s="903"/>
      <c r="F27" s="903"/>
      <c r="G27" s="903"/>
      <c r="H27" s="903"/>
      <c r="I27" s="903"/>
      <c r="J27" s="903"/>
      <c r="K27" s="903"/>
      <c r="L27" s="825"/>
      <c r="M27" s="825"/>
      <c r="N27" s="825"/>
      <c r="O27" s="825"/>
    </row>
    <row r="28" spans="1:15" s="827" customFormat="1" ht="15" customHeight="1">
      <c r="A28" s="825"/>
      <c r="B28" s="825"/>
      <c r="C28" s="903"/>
      <c r="D28" s="903"/>
      <c r="E28" s="903"/>
      <c r="F28" s="903"/>
      <c r="G28" s="903"/>
      <c r="H28" s="903"/>
      <c r="I28" s="903"/>
      <c r="J28" s="903"/>
      <c r="K28" s="903"/>
      <c r="L28" s="825"/>
      <c r="M28" s="825"/>
      <c r="N28" s="825"/>
      <c r="O28" s="825"/>
    </row>
    <row r="29" spans="1:15" s="827" customFormat="1" ht="15" customHeight="1">
      <c r="A29" s="833" t="s">
        <v>227</v>
      </c>
      <c r="B29" s="825"/>
      <c r="C29" s="903"/>
      <c r="D29" s="903"/>
      <c r="E29" s="903"/>
      <c r="F29" s="903"/>
      <c r="G29" s="903"/>
      <c r="H29" s="903"/>
      <c r="I29" s="903"/>
      <c r="J29" s="903"/>
      <c r="K29" s="903"/>
      <c r="L29" s="825"/>
      <c r="M29" s="825"/>
      <c r="N29" s="825"/>
      <c r="O29" s="825"/>
    </row>
    <row r="30" spans="1:15" s="827" customFormat="1" ht="15" customHeight="1">
      <c r="A30" s="833"/>
      <c r="B30" s="825"/>
      <c r="C30" s="903"/>
      <c r="D30" s="903"/>
      <c r="E30" s="839"/>
      <c r="F30" s="839"/>
      <c r="G30" s="839"/>
      <c r="H30" s="839"/>
      <c r="I30" s="839"/>
      <c r="J30" s="839"/>
      <c r="K30" s="839"/>
      <c r="L30" s="825"/>
      <c r="M30" s="825"/>
      <c r="N30" s="825"/>
      <c r="O30" s="825"/>
    </row>
    <row r="31" spans="1:15" s="827" customFormat="1" ht="15.95" customHeight="1">
      <c r="A31" s="825" t="s">
        <v>1142</v>
      </c>
      <c r="B31" s="825"/>
      <c r="C31" s="1306">
        <v>-74.795000000000002</v>
      </c>
      <c r="D31" s="903"/>
      <c r="E31" s="838">
        <v>14.89</v>
      </c>
      <c r="F31" s="3405"/>
      <c r="G31" s="838">
        <v>21.294</v>
      </c>
      <c r="H31" s="839"/>
      <c r="I31" s="838">
        <v>-1.181</v>
      </c>
      <c r="J31" s="839"/>
      <c r="K31" s="838">
        <f t="shared" ref="K31:K38" si="1">ROUND(SUM(C31,E31,I31) - SUM(G31),3)</f>
        <v>-82.38</v>
      </c>
      <c r="L31" s="834"/>
      <c r="M31" s="825"/>
      <c r="N31" s="825"/>
      <c r="O31" s="825"/>
    </row>
    <row r="32" spans="1:15" s="827" customFormat="1" ht="15.95" customHeight="1">
      <c r="A32" s="825" t="s">
        <v>374</v>
      </c>
      <c r="B32" s="825"/>
      <c r="C32" s="1306">
        <v>-100.71</v>
      </c>
      <c r="D32" s="903"/>
      <c r="E32" s="838">
        <v>6.157</v>
      </c>
      <c r="F32" s="839"/>
      <c r="G32" s="838">
        <v>6.3630000000000004</v>
      </c>
      <c r="H32" s="839"/>
      <c r="I32" s="838">
        <v>0.67800000000000005</v>
      </c>
      <c r="J32" s="839"/>
      <c r="K32" s="838">
        <f t="shared" si="1"/>
        <v>-100.238</v>
      </c>
      <c r="L32" s="834"/>
      <c r="M32" s="825"/>
      <c r="N32" s="825"/>
      <c r="O32" s="825"/>
    </row>
    <row r="33" spans="1:15" s="827" customFormat="1" ht="15.95" customHeight="1">
      <c r="A33" s="825" t="s">
        <v>375</v>
      </c>
      <c r="B33" s="825"/>
      <c r="C33" s="1306">
        <v>0.374</v>
      </c>
      <c r="D33" s="903"/>
      <c r="E33" s="838">
        <v>0.08</v>
      </c>
      <c r="F33" s="839"/>
      <c r="G33" s="838">
        <v>0.105</v>
      </c>
      <c r="H33" s="839"/>
      <c r="I33" s="838">
        <v>0</v>
      </c>
      <c r="J33" s="839"/>
      <c r="K33" s="838">
        <f t="shared" si="1"/>
        <v>0.34899999999999998</v>
      </c>
      <c r="L33" s="834"/>
      <c r="M33" s="825"/>
      <c r="N33" s="825"/>
      <c r="O33" s="825"/>
    </row>
    <row r="34" spans="1:15" s="827" customFormat="1" ht="15.95" customHeight="1">
      <c r="A34" s="825" t="s">
        <v>376</v>
      </c>
      <c r="B34" s="825"/>
      <c r="C34" s="1306">
        <v>5.7000000000000002E-2</v>
      </c>
      <c r="D34" s="903"/>
      <c r="E34" s="838">
        <v>1E-3</v>
      </c>
      <c r="F34" s="839"/>
      <c r="G34" s="838">
        <v>0</v>
      </c>
      <c r="H34" s="839"/>
      <c r="I34" s="838">
        <v>0</v>
      </c>
      <c r="J34" s="839"/>
      <c r="K34" s="838">
        <f t="shared" si="1"/>
        <v>5.8000000000000003E-2</v>
      </c>
      <c r="L34" s="834"/>
      <c r="M34" s="825"/>
      <c r="N34" s="825"/>
      <c r="O34" s="825"/>
    </row>
    <row r="35" spans="1:15" s="827" customFormat="1" ht="15.95" customHeight="1">
      <c r="A35" s="825" t="s">
        <v>1143</v>
      </c>
      <c r="B35" s="825"/>
      <c r="C35" s="1306">
        <v>1.64</v>
      </c>
      <c r="D35" s="903"/>
      <c r="E35" s="838">
        <v>1E-3</v>
      </c>
      <c r="F35" s="839"/>
      <c r="G35" s="838">
        <v>0.104</v>
      </c>
      <c r="H35" s="839"/>
      <c r="I35" s="838">
        <v>0</v>
      </c>
      <c r="J35" s="839"/>
      <c r="K35" s="838">
        <f t="shared" si="1"/>
        <v>1.5369999999999999</v>
      </c>
      <c r="L35" s="834"/>
      <c r="M35" s="825"/>
      <c r="N35" s="825"/>
      <c r="O35" s="825"/>
    </row>
    <row r="36" spans="1:15" s="827" customFormat="1" ht="15.95" customHeight="1">
      <c r="A36" s="825" t="s">
        <v>377</v>
      </c>
      <c r="B36" s="825"/>
      <c r="C36" s="1306">
        <v>-15.391999999999999</v>
      </c>
      <c r="D36" s="903"/>
      <c r="E36" s="838">
        <v>6.6550000000000002</v>
      </c>
      <c r="F36" s="839"/>
      <c r="G36" s="838">
        <v>4.9420000000000002</v>
      </c>
      <c r="H36" s="3406"/>
      <c r="I36" s="3406">
        <v>0</v>
      </c>
      <c r="J36" s="839"/>
      <c r="K36" s="838">
        <f t="shared" si="1"/>
        <v>-13.679</v>
      </c>
      <c r="L36" s="834"/>
      <c r="M36" s="825"/>
      <c r="N36" s="825"/>
      <c r="O36" s="825"/>
    </row>
    <row r="37" spans="1:15" s="827" customFormat="1" ht="15.95" customHeight="1">
      <c r="A37" s="825" t="s">
        <v>378</v>
      </c>
      <c r="B37" s="825"/>
      <c r="C37" s="1306">
        <v>-22.91</v>
      </c>
      <c r="D37" s="903"/>
      <c r="E37" s="838">
        <v>0.14499999999999999</v>
      </c>
      <c r="F37" s="839"/>
      <c r="G37" s="839">
        <v>0.79900000000000004</v>
      </c>
      <c r="H37" s="839"/>
      <c r="I37" s="838">
        <v>-3.0000000000000001E-3</v>
      </c>
      <c r="J37" s="839"/>
      <c r="K37" s="838">
        <f t="shared" si="1"/>
        <v>-23.567</v>
      </c>
      <c r="L37" s="834"/>
      <c r="M37" s="825"/>
      <c r="N37" s="825"/>
      <c r="O37" s="825"/>
    </row>
    <row r="38" spans="1:15" s="827" customFormat="1" ht="15.95" customHeight="1">
      <c r="A38" s="825" t="s">
        <v>379</v>
      </c>
      <c r="B38" s="825"/>
      <c r="C38" s="1306">
        <v>-30.239000000000001</v>
      </c>
      <c r="D38" s="1304"/>
      <c r="E38" s="838">
        <v>3.61</v>
      </c>
      <c r="F38" s="842"/>
      <c r="G38" s="838">
        <v>3.4060000000000001</v>
      </c>
      <c r="H38" s="839"/>
      <c r="I38" s="838">
        <v>-4.0000000000000001E-3</v>
      </c>
      <c r="J38" s="839"/>
      <c r="K38" s="838">
        <f t="shared" si="1"/>
        <v>-30.039000000000001</v>
      </c>
      <c r="L38" s="825"/>
      <c r="M38" s="825"/>
      <c r="N38" s="825"/>
      <c r="O38" s="825"/>
    </row>
    <row r="39" spans="1:15" s="827" customFormat="1" ht="20.100000000000001" customHeight="1">
      <c r="A39" s="822" t="s">
        <v>380</v>
      </c>
      <c r="B39" s="825"/>
      <c r="C39" s="844">
        <f>ROUND(SUM(C31:C38),3)</f>
        <v>-241.97499999999999</v>
      </c>
      <c r="D39" s="1307"/>
      <c r="E39" s="3034">
        <f>ROUND(SUM(E31:E38),3)</f>
        <v>31.539000000000001</v>
      </c>
      <c r="F39" s="1341"/>
      <c r="G39" s="3034">
        <f>ROUND(SUM(G31:G38),3)</f>
        <v>37.012999999999998</v>
      </c>
      <c r="H39" s="1339"/>
      <c r="I39" s="3034">
        <f>ROUND(SUM(I31:I38),3)</f>
        <v>-0.51</v>
      </c>
      <c r="J39" s="1339"/>
      <c r="K39" s="3034">
        <f>ROUND(SUM(K31:K38),3)</f>
        <v>-247.959</v>
      </c>
      <c r="L39" s="849"/>
      <c r="M39" s="825"/>
      <c r="N39" s="825"/>
      <c r="O39" s="825"/>
    </row>
    <row r="40" spans="1:15" s="827" customFormat="1" ht="15" customHeight="1">
      <c r="A40" s="822"/>
      <c r="B40" s="825"/>
      <c r="C40" s="850"/>
      <c r="D40" s="847"/>
      <c r="E40" s="846"/>
      <c r="F40" s="847"/>
      <c r="G40" s="846"/>
      <c r="H40" s="847"/>
      <c r="I40" s="848"/>
      <c r="J40" s="847"/>
      <c r="K40" s="846"/>
      <c r="L40" s="825"/>
      <c r="M40" s="825"/>
      <c r="N40" s="825"/>
      <c r="O40" s="825"/>
    </row>
    <row r="41" spans="1:15" s="827" customFormat="1" ht="15" customHeight="1">
      <c r="A41" s="822"/>
      <c r="B41" s="825"/>
      <c r="C41" s="848"/>
      <c r="D41" s="847"/>
      <c r="E41" s="847"/>
      <c r="F41" s="847"/>
      <c r="G41" s="847" t="s">
        <v>15</v>
      </c>
      <c r="H41" s="847"/>
      <c r="I41" s="851"/>
      <c r="J41" s="847"/>
      <c r="K41" s="847"/>
      <c r="L41" s="825"/>
      <c r="M41" s="825"/>
      <c r="N41" s="825"/>
      <c r="O41" s="825"/>
    </row>
    <row r="42" spans="1:15" s="827" customFormat="1" ht="20.100000000000001" customHeight="1" thickBot="1">
      <c r="A42" s="822" t="s">
        <v>66</v>
      </c>
      <c r="B42" s="852"/>
      <c r="C42" s="1308">
        <f>ROUND(SUM(C39)+SUM(C25),3)</f>
        <v>-218.565</v>
      </c>
      <c r="D42" s="906"/>
      <c r="E42" s="1308">
        <f>ROUND(SUM(E39)+SUM(E25),3)</f>
        <v>289.505</v>
      </c>
      <c r="F42" s="906"/>
      <c r="G42" s="1308">
        <f>ROUND(SUM(G39)+SUM(G25),3)</f>
        <v>294.06799999999998</v>
      </c>
      <c r="H42" s="906"/>
      <c r="I42" s="1308">
        <f>ROUND(SUM(I39)+SUM(I25),3)</f>
        <v>-0.51</v>
      </c>
      <c r="J42" s="906"/>
      <c r="K42" s="1308">
        <f>ROUND(SUM(K39)+SUM(K25),3)</f>
        <v>-223.63800000000001</v>
      </c>
      <c r="L42" s="845"/>
      <c r="M42" s="825"/>
      <c r="N42" s="825"/>
      <c r="O42" s="825"/>
    </row>
    <row r="43" spans="1:15" s="827" customFormat="1" ht="18.75" thickTop="1">
      <c r="A43" s="825"/>
      <c r="B43" s="825"/>
      <c r="C43" s="853"/>
      <c r="D43" s="847"/>
      <c r="E43" s="853"/>
      <c r="F43" s="847"/>
      <c r="G43" s="853"/>
      <c r="H43" s="847"/>
      <c r="I43" s="854"/>
      <c r="J43" s="847"/>
      <c r="K43" s="853"/>
      <c r="L43" s="825"/>
      <c r="M43" s="825"/>
      <c r="N43" s="825"/>
      <c r="O43" s="825"/>
    </row>
    <row r="44" spans="1:15" s="827" customFormat="1">
      <c r="A44" s="855"/>
      <c r="B44" s="856"/>
      <c r="C44" s="857"/>
      <c r="D44" s="857"/>
      <c r="E44" s="858"/>
      <c r="F44" s="858"/>
      <c r="G44" s="3166"/>
      <c r="H44" s="858"/>
      <c r="I44" s="3165"/>
      <c r="J44" s="857"/>
      <c r="K44" s="3164"/>
      <c r="L44" s="856"/>
      <c r="M44" s="856"/>
      <c r="N44" s="856"/>
      <c r="O44" s="856"/>
    </row>
    <row r="45" spans="1:15" s="827" customFormat="1">
      <c r="A45" s="856"/>
      <c r="B45" s="856"/>
      <c r="C45" s="857"/>
      <c r="D45" s="857"/>
      <c r="E45" s="3106"/>
      <c r="F45" s="3106"/>
      <c r="G45" s="3106"/>
      <c r="H45" s="3106"/>
      <c r="I45" s="3106"/>
      <c r="J45" s="3106"/>
      <c r="K45" s="3106"/>
      <c r="L45" s="856"/>
      <c r="M45" s="856"/>
      <c r="N45" s="856"/>
      <c r="O45" s="856"/>
    </row>
    <row r="46" spans="1:15" s="827" customFormat="1">
      <c r="A46" s="856"/>
      <c r="B46" s="856"/>
      <c r="C46" s="857"/>
      <c r="D46" s="857"/>
      <c r="E46" s="857"/>
      <c r="F46" s="857"/>
      <c r="G46" s="860"/>
      <c r="H46" s="856"/>
      <c r="I46" s="859"/>
      <c r="J46" s="857"/>
      <c r="K46" s="857"/>
      <c r="L46" s="856"/>
      <c r="M46" s="856"/>
      <c r="N46" s="856"/>
      <c r="O46" s="856"/>
    </row>
    <row r="47" spans="1:15" s="827" customFormat="1">
      <c r="A47" s="856"/>
      <c r="B47" s="856"/>
      <c r="C47" s="857"/>
      <c r="D47" s="857"/>
      <c r="E47" s="857"/>
      <c r="F47" s="857"/>
      <c r="G47" s="857"/>
      <c r="H47" s="856"/>
      <c r="I47" s="859"/>
      <c r="J47" s="857"/>
      <c r="K47" s="857"/>
      <c r="L47" s="856"/>
      <c r="M47" s="856"/>
      <c r="N47" s="856"/>
      <c r="O47" s="856"/>
    </row>
    <row r="48" spans="1:15" s="827" customFormat="1">
      <c r="A48" s="856"/>
      <c r="B48" s="856"/>
      <c r="C48" s="857"/>
      <c r="D48" s="857"/>
      <c r="E48" s="857"/>
      <c r="F48" s="857"/>
      <c r="G48" s="857"/>
      <c r="H48" s="856"/>
      <c r="I48" s="859"/>
      <c r="J48" s="857"/>
      <c r="K48" s="857"/>
      <c r="L48" s="856"/>
      <c r="M48" s="856"/>
      <c r="N48" s="856"/>
      <c r="O48" s="856"/>
    </row>
    <row r="49" spans="1:15" s="827" customFormat="1">
      <c r="A49" s="856"/>
      <c r="B49" s="856"/>
      <c r="C49" s="857"/>
      <c r="D49" s="857"/>
      <c r="E49" s="857"/>
      <c r="F49" s="857"/>
      <c r="G49" s="857"/>
      <c r="H49" s="856"/>
      <c r="I49" s="859"/>
      <c r="J49" s="857"/>
      <c r="K49" s="857"/>
      <c r="L49" s="856"/>
      <c r="M49" s="856"/>
      <c r="N49" s="856"/>
      <c r="O49" s="856"/>
    </row>
    <row r="50" spans="1:15" s="827" customFormat="1">
      <c r="A50" s="825"/>
      <c r="B50" s="856"/>
      <c r="C50" s="857"/>
      <c r="D50" s="857"/>
      <c r="E50" s="857"/>
      <c r="F50" s="857"/>
      <c r="G50" s="857"/>
      <c r="H50" s="856"/>
      <c r="I50" s="856"/>
      <c r="J50" s="857"/>
      <c r="K50" s="857"/>
      <c r="L50" s="856"/>
      <c r="M50" s="856"/>
      <c r="N50" s="856"/>
      <c r="O50" s="856"/>
    </row>
    <row r="51" spans="1:15" s="827" customFormat="1">
      <c r="A51" s="856"/>
      <c r="B51" s="856"/>
      <c r="C51" s="857"/>
      <c r="D51" s="857"/>
      <c r="E51" s="857"/>
      <c r="F51" s="857"/>
      <c r="G51" s="857"/>
      <c r="H51" s="856"/>
      <c r="I51" s="856"/>
      <c r="J51" s="857"/>
      <c r="K51" s="857"/>
      <c r="L51" s="856"/>
      <c r="M51" s="856"/>
      <c r="N51" s="856"/>
      <c r="O51" s="856"/>
    </row>
    <row r="52" spans="1:15" s="827" customFormat="1">
      <c r="A52" s="856"/>
      <c r="B52" s="856"/>
      <c r="C52" s="857"/>
      <c r="D52" s="857"/>
      <c r="E52" s="857"/>
      <c r="F52" s="857"/>
      <c r="G52" s="857"/>
      <c r="H52" s="856"/>
      <c r="I52" s="856"/>
      <c r="J52" s="857"/>
      <c r="K52" s="857"/>
      <c r="L52" s="856"/>
      <c r="M52" s="856"/>
      <c r="N52" s="856"/>
      <c r="O52" s="856"/>
    </row>
    <row r="53" spans="1:15" s="827" customFormat="1">
      <c r="A53" s="856"/>
      <c r="B53" s="856"/>
      <c r="C53" s="857"/>
      <c r="D53" s="857"/>
      <c r="E53" s="857"/>
      <c r="F53" s="857"/>
      <c r="G53" s="857"/>
      <c r="H53" s="856"/>
      <c r="I53" s="856"/>
      <c r="J53" s="857"/>
      <c r="K53" s="857"/>
      <c r="L53" s="856"/>
      <c r="M53" s="856"/>
      <c r="N53" s="856"/>
      <c r="O53" s="856"/>
    </row>
    <row r="54" spans="1:15" s="827" customFormat="1">
      <c r="A54" s="856"/>
      <c r="B54" s="856"/>
      <c r="C54" s="857"/>
      <c r="D54" s="857"/>
      <c r="E54" s="857"/>
      <c r="F54" s="857"/>
      <c r="G54" s="857"/>
      <c r="H54" s="856"/>
      <c r="I54" s="856"/>
      <c r="J54" s="857"/>
      <c r="K54" s="857"/>
      <c r="L54" s="856"/>
      <c r="M54" s="856"/>
      <c r="N54" s="856"/>
      <c r="O54" s="856"/>
    </row>
    <row r="55" spans="1:15" s="827" customFormat="1">
      <c r="A55" s="856"/>
      <c r="B55" s="856"/>
      <c r="C55" s="857"/>
      <c r="D55" s="857"/>
      <c r="E55" s="857"/>
      <c r="F55" s="857"/>
      <c r="G55" s="857"/>
      <c r="H55" s="856"/>
      <c r="I55" s="856"/>
      <c r="J55" s="857"/>
      <c r="K55" s="857"/>
      <c r="L55" s="856"/>
      <c r="M55" s="856"/>
      <c r="N55" s="856"/>
      <c r="O55" s="856"/>
    </row>
    <row r="56" spans="1:15" s="827" customFormat="1">
      <c r="A56" s="856"/>
      <c r="B56" s="856"/>
      <c r="C56" s="857"/>
      <c r="D56" s="857"/>
      <c r="E56" s="857"/>
      <c r="F56" s="857"/>
      <c r="G56" s="857"/>
      <c r="H56" s="856"/>
      <c r="I56" s="856"/>
      <c r="J56" s="857"/>
      <c r="K56" s="857"/>
      <c r="L56" s="856"/>
      <c r="M56" s="856"/>
      <c r="N56" s="856"/>
      <c r="O56" s="856"/>
    </row>
    <row r="57" spans="1:15" s="827" customFormat="1">
      <c r="A57" s="856"/>
      <c r="B57" s="856"/>
      <c r="C57" s="857"/>
      <c r="D57" s="857"/>
      <c r="E57" s="857"/>
      <c r="F57" s="857"/>
      <c r="G57" s="857"/>
      <c r="H57" s="856"/>
      <c r="I57" s="856"/>
      <c r="J57" s="857"/>
      <c r="K57" s="857"/>
      <c r="L57" s="856"/>
      <c r="M57" s="856"/>
      <c r="N57" s="856"/>
      <c r="O57" s="856"/>
    </row>
    <row r="58" spans="1:15" s="827" customFormat="1">
      <c r="A58" s="856"/>
      <c r="B58" s="856"/>
      <c r="C58" s="857"/>
      <c r="D58" s="857"/>
      <c r="E58" s="857"/>
      <c r="F58" s="857"/>
      <c r="G58" s="857"/>
      <c r="H58" s="856"/>
      <c r="I58" s="856"/>
      <c r="J58" s="857"/>
      <c r="K58" s="857"/>
      <c r="L58" s="856"/>
      <c r="M58" s="856"/>
      <c r="N58" s="856"/>
      <c r="O58" s="856"/>
    </row>
    <row r="59" spans="1:15" s="827" customFormat="1">
      <c r="A59" s="856"/>
      <c r="B59" s="856"/>
      <c r="C59" s="857"/>
      <c r="D59" s="857"/>
      <c r="E59" s="857"/>
      <c r="F59" s="857"/>
      <c r="G59" s="857"/>
      <c r="H59" s="856"/>
      <c r="I59" s="856"/>
      <c r="J59" s="857"/>
      <c r="K59" s="857"/>
      <c r="L59" s="856"/>
      <c r="M59" s="856"/>
      <c r="N59" s="856"/>
      <c r="O59" s="856"/>
    </row>
    <row r="60" spans="1:15" s="827" customFormat="1">
      <c r="A60" s="856"/>
      <c r="B60" s="856"/>
      <c r="C60" s="857"/>
      <c r="D60" s="857"/>
      <c r="E60" s="857"/>
      <c r="F60" s="857"/>
      <c r="G60" s="857"/>
      <c r="H60" s="856"/>
      <c r="I60" s="856"/>
      <c r="J60" s="857"/>
      <c r="K60" s="857"/>
      <c r="L60" s="856"/>
      <c r="M60" s="856"/>
      <c r="N60" s="856"/>
      <c r="O60" s="856"/>
    </row>
    <row r="61" spans="1:15" s="827" customFormat="1">
      <c r="A61" s="856"/>
      <c r="B61" s="856"/>
      <c r="C61" s="857"/>
      <c r="D61" s="857"/>
      <c r="E61" s="857"/>
      <c r="F61" s="857"/>
      <c r="G61" s="857"/>
      <c r="H61" s="856"/>
      <c r="I61" s="856"/>
      <c r="J61" s="857"/>
      <c r="K61" s="857"/>
      <c r="L61" s="856"/>
      <c r="M61" s="856"/>
      <c r="N61" s="856"/>
      <c r="O61" s="856"/>
    </row>
    <row r="62" spans="1:15" s="827" customFormat="1">
      <c r="A62" s="856"/>
      <c r="B62" s="856"/>
      <c r="C62" s="857"/>
      <c r="D62" s="857"/>
      <c r="E62" s="857"/>
      <c r="F62" s="857"/>
      <c r="G62" s="857"/>
      <c r="H62" s="856"/>
      <c r="I62" s="856"/>
      <c r="J62" s="857"/>
      <c r="K62" s="857"/>
      <c r="L62" s="856"/>
      <c r="M62" s="856"/>
      <c r="N62" s="856"/>
      <c r="O62" s="856"/>
    </row>
    <row r="63" spans="1:15" s="827" customFormat="1">
      <c r="A63" s="856"/>
      <c r="B63" s="856"/>
      <c r="C63" s="857"/>
      <c r="D63" s="857"/>
      <c r="E63" s="857"/>
      <c r="F63" s="857"/>
      <c r="G63" s="857"/>
      <c r="H63" s="856"/>
      <c r="I63" s="856"/>
      <c r="J63" s="857"/>
      <c r="K63" s="857"/>
      <c r="L63" s="856"/>
      <c r="M63" s="856"/>
      <c r="N63" s="856"/>
      <c r="O63" s="856"/>
    </row>
    <row r="64" spans="1:15" s="827" customFormat="1">
      <c r="A64" s="856"/>
      <c r="B64" s="856"/>
      <c r="C64" s="857"/>
      <c r="D64" s="857"/>
      <c r="E64" s="857"/>
      <c r="F64" s="857"/>
      <c r="G64" s="857"/>
      <c r="H64" s="856"/>
      <c r="I64" s="856"/>
      <c r="J64" s="857"/>
      <c r="K64" s="857"/>
      <c r="L64" s="856"/>
      <c r="M64" s="856"/>
      <c r="N64" s="856"/>
      <c r="O64" s="856"/>
    </row>
    <row r="65" spans="1:15" s="827" customFormat="1">
      <c r="A65" s="856"/>
      <c r="B65" s="856"/>
      <c r="C65" s="857"/>
      <c r="D65" s="857"/>
      <c r="E65" s="857"/>
      <c r="F65" s="857"/>
      <c r="G65" s="857"/>
      <c r="H65" s="856"/>
      <c r="I65" s="856"/>
      <c r="J65" s="857"/>
      <c r="K65" s="857"/>
      <c r="L65" s="856"/>
      <c r="M65" s="856"/>
      <c r="N65" s="856"/>
      <c r="O65" s="856"/>
    </row>
    <row r="66" spans="1:15" s="827" customFormat="1">
      <c r="A66" s="856"/>
      <c r="B66" s="856"/>
      <c r="C66" s="857"/>
      <c r="D66" s="857"/>
      <c r="E66" s="857"/>
      <c r="F66" s="857"/>
      <c r="G66" s="857"/>
      <c r="H66" s="856"/>
      <c r="I66" s="856"/>
      <c r="J66" s="857"/>
      <c r="K66" s="857"/>
      <c r="L66" s="856"/>
      <c r="M66" s="856"/>
      <c r="N66" s="856"/>
      <c r="O66" s="856"/>
    </row>
    <row r="67" spans="1:15" s="827" customFormat="1">
      <c r="A67" s="856"/>
      <c r="B67" s="856"/>
      <c r="C67" s="857"/>
      <c r="D67" s="857"/>
      <c r="E67" s="857"/>
      <c r="F67" s="857"/>
      <c r="G67" s="857"/>
      <c r="H67" s="856"/>
      <c r="I67" s="856"/>
      <c r="J67" s="857"/>
      <c r="K67" s="857"/>
      <c r="L67" s="856"/>
      <c r="M67" s="856"/>
      <c r="N67" s="856"/>
      <c r="O67" s="856"/>
    </row>
    <row r="68" spans="1:15" s="827" customFormat="1">
      <c r="A68" s="856"/>
      <c r="B68" s="856"/>
      <c r="C68" s="857"/>
      <c r="D68" s="857"/>
      <c r="E68" s="857"/>
      <c r="F68" s="857"/>
      <c r="G68" s="857"/>
      <c r="H68" s="856"/>
      <c r="I68" s="856"/>
      <c r="J68" s="857"/>
      <c r="K68" s="857"/>
      <c r="L68" s="856"/>
      <c r="M68" s="856"/>
      <c r="N68" s="856"/>
      <c r="O68" s="856"/>
    </row>
    <row r="69" spans="1:15" s="827" customFormat="1">
      <c r="A69" s="856"/>
      <c r="B69" s="856"/>
      <c r="C69" s="857"/>
      <c r="D69" s="857"/>
      <c r="E69" s="857"/>
      <c r="F69" s="857"/>
      <c r="G69" s="857"/>
      <c r="H69" s="856"/>
      <c r="I69" s="856"/>
      <c r="J69" s="857"/>
      <c r="K69" s="857"/>
      <c r="L69" s="856"/>
      <c r="M69" s="856"/>
      <c r="N69" s="856"/>
      <c r="O69" s="856"/>
    </row>
    <row r="70" spans="1:15" s="827" customFormat="1">
      <c r="A70" s="856"/>
      <c r="B70" s="856"/>
      <c r="C70" s="857"/>
      <c r="D70" s="857"/>
      <c r="E70" s="857"/>
      <c r="F70" s="857"/>
      <c r="G70" s="857"/>
      <c r="H70" s="856"/>
      <c r="I70" s="856"/>
      <c r="J70" s="857"/>
      <c r="K70" s="857"/>
      <c r="L70" s="856"/>
      <c r="M70" s="856"/>
      <c r="N70" s="856"/>
      <c r="O70" s="856"/>
    </row>
    <row r="71" spans="1:15" s="827" customFormat="1">
      <c r="A71" s="856"/>
      <c r="B71" s="856"/>
      <c r="C71" s="857"/>
      <c r="D71" s="857"/>
      <c r="E71" s="857"/>
      <c r="F71" s="857"/>
      <c r="G71" s="857"/>
      <c r="H71" s="856"/>
      <c r="I71" s="856"/>
      <c r="J71" s="857"/>
      <c r="K71" s="857"/>
      <c r="L71" s="856"/>
      <c r="M71" s="856"/>
      <c r="N71" s="856"/>
      <c r="O71" s="856"/>
    </row>
    <row r="72" spans="1:15" s="827" customFormat="1">
      <c r="A72" s="856"/>
      <c r="B72" s="856"/>
      <c r="C72" s="857"/>
      <c r="D72" s="857"/>
      <c r="E72" s="857"/>
      <c r="F72" s="857"/>
      <c r="G72" s="857"/>
      <c r="H72" s="856"/>
      <c r="I72" s="856"/>
      <c r="J72" s="857"/>
      <c r="K72" s="857"/>
      <c r="L72" s="856"/>
      <c r="M72" s="856"/>
      <c r="N72" s="856"/>
      <c r="O72" s="856"/>
    </row>
    <row r="73" spans="1:15" s="827" customFormat="1">
      <c r="A73" s="856"/>
      <c r="B73" s="856"/>
      <c r="C73" s="857"/>
      <c r="D73" s="857"/>
      <c r="E73" s="857"/>
      <c r="F73" s="857"/>
      <c r="G73" s="857"/>
      <c r="H73" s="856"/>
      <c r="I73" s="856"/>
      <c r="J73" s="857"/>
      <c r="K73" s="857"/>
      <c r="L73" s="856"/>
      <c r="M73" s="856"/>
      <c r="N73" s="856"/>
      <c r="O73" s="856"/>
    </row>
    <row r="74" spans="1:15" s="827" customFormat="1">
      <c r="A74" s="856"/>
      <c r="B74" s="856"/>
      <c r="C74" s="857"/>
      <c r="D74" s="857"/>
      <c r="E74" s="857"/>
      <c r="F74" s="857"/>
      <c r="G74" s="857"/>
      <c r="H74" s="856"/>
      <c r="I74" s="856"/>
      <c r="J74" s="857"/>
      <c r="K74" s="857"/>
      <c r="L74" s="856"/>
      <c r="M74" s="856"/>
      <c r="N74" s="856"/>
      <c r="O74" s="856"/>
    </row>
    <row r="75" spans="1:15" s="827" customFormat="1">
      <c r="A75" s="856"/>
      <c r="B75" s="856"/>
      <c r="C75" s="857"/>
      <c r="D75" s="857"/>
      <c r="E75" s="857"/>
      <c r="F75" s="857"/>
      <c r="G75" s="857"/>
      <c r="H75" s="856"/>
      <c r="I75" s="856"/>
      <c r="J75" s="857"/>
      <c r="K75" s="857"/>
      <c r="L75" s="856"/>
      <c r="M75" s="856"/>
      <c r="N75" s="856"/>
      <c r="O75" s="856"/>
    </row>
    <row r="76" spans="1:15" s="827" customFormat="1">
      <c r="A76" s="856"/>
      <c r="B76" s="856"/>
      <c r="C76" s="857"/>
      <c r="D76" s="857"/>
      <c r="E76" s="857"/>
      <c r="F76" s="857"/>
      <c r="G76" s="857"/>
      <c r="H76" s="856"/>
      <c r="I76" s="856"/>
      <c r="J76" s="857"/>
      <c r="K76" s="857"/>
      <c r="L76" s="856"/>
      <c r="M76" s="856"/>
      <c r="N76" s="856"/>
      <c r="O76" s="856"/>
    </row>
    <row r="77" spans="1:15" s="827" customFormat="1">
      <c r="A77" s="856"/>
      <c r="B77" s="856"/>
      <c r="C77" s="857"/>
      <c r="D77" s="857"/>
      <c r="E77" s="857"/>
      <c r="F77" s="857"/>
      <c r="G77" s="857"/>
      <c r="H77" s="856"/>
      <c r="I77" s="856"/>
      <c r="J77" s="857"/>
      <c r="K77" s="857"/>
      <c r="L77" s="856"/>
      <c r="M77" s="856"/>
      <c r="N77" s="856"/>
      <c r="O77" s="856"/>
    </row>
    <row r="78" spans="1:15" s="827" customFormat="1">
      <c r="A78" s="856"/>
      <c r="B78" s="856"/>
      <c r="C78" s="857"/>
      <c r="D78" s="857"/>
      <c r="E78" s="857"/>
      <c r="F78" s="857"/>
      <c r="G78" s="857"/>
      <c r="H78" s="856"/>
      <c r="I78" s="856"/>
      <c r="J78" s="857"/>
      <c r="K78" s="857"/>
      <c r="L78" s="856"/>
      <c r="M78" s="856"/>
      <c r="N78" s="856"/>
      <c r="O78" s="856"/>
    </row>
    <row r="79" spans="1:15" s="827" customFormat="1">
      <c r="A79" s="856"/>
      <c r="B79" s="856"/>
      <c r="C79" s="857"/>
      <c r="D79" s="857"/>
      <c r="E79" s="857"/>
      <c r="F79" s="857"/>
      <c r="G79" s="857"/>
      <c r="H79" s="856"/>
      <c r="I79" s="856"/>
      <c r="J79" s="857"/>
      <c r="K79" s="857"/>
      <c r="L79" s="856"/>
      <c r="M79" s="856"/>
      <c r="N79" s="856"/>
      <c r="O79" s="856"/>
    </row>
    <row r="80" spans="1:15" s="827" customFormat="1">
      <c r="A80" s="856"/>
      <c r="B80" s="856"/>
      <c r="C80" s="857"/>
      <c r="D80" s="857"/>
      <c r="E80" s="857"/>
      <c r="F80" s="857"/>
      <c r="G80" s="857"/>
      <c r="H80" s="856"/>
      <c r="I80" s="856"/>
      <c r="J80" s="857"/>
      <c r="K80" s="857"/>
      <c r="L80" s="856"/>
      <c r="M80" s="856"/>
      <c r="N80" s="856"/>
      <c r="O80" s="856"/>
    </row>
    <row r="81" spans="1:15" s="827" customFormat="1">
      <c r="A81" s="856"/>
      <c r="B81" s="856"/>
      <c r="C81" s="857"/>
      <c r="D81" s="857"/>
      <c r="E81" s="857"/>
      <c r="F81" s="857"/>
      <c r="G81" s="857"/>
      <c r="H81" s="856"/>
      <c r="I81" s="856"/>
      <c r="J81" s="857"/>
      <c r="K81" s="857"/>
      <c r="L81" s="856"/>
      <c r="M81" s="856"/>
      <c r="N81" s="856"/>
      <c r="O81" s="856"/>
    </row>
    <row r="82" spans="1:15" s="827" customFormat="1">
      <c r="A82" s="856"/>
      <c r="B82" s="856"/>
      <c r="C82" s="857"/>
      <c r="D82" s="857"/>
      <c r="E82" s="857"/>
      <c r="F82" s="857"/>
      <c r="G82" s="857"/>
      <c r="H82" s="856"/>
      <c r="I82" s="856"/>
      <c r="J82" s="857"/>
      <c r="K82" s="857"/>
      <c r="L82" s="856"/>
      <c r="M82" s="856"/>
      <c r="N82" s="856"/>
      <c r="O82" s="856"/>
    </row>
    <row r="83" spans="1:15" s="827" customFormat="1">
      <c r="A83" s="856"/>
      <c r="B83" s="856"/>
      <c r="C83" s="857"/>
      <c r="D83" s="857"/>
      <c r="E83" s="857"/>
      <c r="F83" s="857"/>
      <c r="G83" s="857"/>
      <c r="H83" s="856"/>
      <c r="I83" s="856"/>
      <c r="J83" s="857"/>
      <c r="K83" s="857"/>
      <c r="L83" s="856"/>
      <c r="M83" s="856"/>
      <c r="N83" s="856"/>
      <c r="O83" s="856"/>
    </row>
    <row r="84" spans="1:15" s="827" customFormat="1">
      <c r="A84" s="856"/>
      <c r="B84" s="856"/>
      <c r="C84" s="857"/>
      <c r="D84" s="857"/>
      <c r="E84" s="857"/>
      <c r="F84" s="857"/>
      <c r="G84" s="857"/>
      <c r="H84" s="856"/>
      <c r="I84" s="856"/>
      <c r="J84" s="857"/>
      <c r="K84" s="857"/>
      <c r="L84" s="856"/>
      <c r="M84" s="856"/>
      <c r="N84" s="856"/>
      <c r="O84" s="856"/>
    </row>
    <row r="85" spans="1:15" s="827" customFormat="1">
      <c r="A85" s="856"/>
      <c r="B85" s="856"/>
      <c r="C85" s="857"/>
      <c r="D85" s="857"/>
      <c r="E85" s="857"/>
      <c r="F85" s="857"/>
      <c r="G85" s="857"/>
      <c r="H85" s="856"/>
      <c r="I85" s="856"/>
      <c r="J85" s="857"/>
      <c r="K85" s="857"/>
      <c r="L85" s="856"/>
      <c r="M85" s="856"/>
      <c r="N85" s="856"/>
      <c r="O85" s="856"/>
    </row>
    <row r="86" spans="1:15" s="827" customFormat="1">
      <c r="A86" s="856"/>
      <c r="B86" s="856"/>
      <c r="C86" s="857"/>
      <c r="D86" s="857"/>
      <c r="E86" s="857"/>
      <c r="F86" s="857"/>
      <c r="G86" s="857"/>
      <c r="H86" s="856"/>
      <c r="I86" s="856"/>
      <c r="J86" s="857"/>
      <c r="K86" s="857"/>
      <c r="L86" s="856"/>
      <c r="M86" s="856"/>
      <c r="N86" s="856"/>
      <c r="O86" s="856"/>
    </row>
    <row r="87" spans="1:15" s="827" customFormat="1">
      <c r="A87" s="856"/>
      <c r="B87" s="856"/>
      <c r="C87" s="857"/>
      <c r="D87" s="857"/>
      <c r="E87" s="857"/>
      <c r="F87" s="857"/>
      <c r="G87" s="857"/>
      <c r="H87" s="856"/>
      <c r="I87" s="856"/>
      <c r="J87" s="857"/>
      <c r="K87" s="857"/>
      <c r="L87" s="856"/>
      <c r="M87" s="856"/>
      <c r="N87" s="856"/>
      <c r="O87" s="856"/>
    </row>
    <row r="88" spans="1:15" s="827" customFormat="1">
      <c r="A88" s="856"/>
      <c r="B88" s="856"/>
      <c r="C88" s="857"/>
      <c r="D88" s="857"/>
      <c r="E88" s="857"/>
      <c r="F88" s="857"/>
      <c r="G88" s="857"/>
      <c r="H88" s="856"/>
      <c r="I88" s="856"/>
      <c r="J88" s="857"/>
      <c r="K88" s="857"/>
      <c r="L88" s="856"/>
      <c r="M88" s="856"/>
      <c r="N88" s="856"/>
      <c r="O88" s="856"/>
    </row>
    <row r="89" spans="1:15" s="827" customFormat="1">
      <c r="A89" s="856"/>
      <c r="B89" s="856"/>
      <c r="C89" s="857"/>
      <c r="D89" s="857"/>
      <c r="E89" s="857"/>
      <c r="F89" s="857"/>
      <c r="G89" s="857"/>
      <c r="H89" s="856"/>
      <c r="I89" s="856"/>
      <c r="J89" s="857"/>
      <c r="K89" s="857"/>
      <c r="L89" s="856"/>
      <c r="M89" s="856"/>
      <c r="N89" s="856"/>
      <c r="O89" s="856"/>
    </row>
    <row r="90" spans="1:15" s="827" customFormat="1">
      <c r="A90" s="856"/>
      <c r="B90" s="856"/>
      <c r="C90" s="857"/>
      <c r="D90" s="857"/>
      <c r="E90" s="857"/>
      <c r="F90" s="857"/>
      <c r="G90" s="857"/>
      <c r="H90" s="856"/>
      <c r="I90" s="856"/>
      <c r="J90" s="857"/>
      <c r="K90" s="857"/>
      <c r="L90" s="856"/>
      <c r="M90" s="856"/>
      <c r="N90" s="856"/>
      <c r="O90" s="856"/>
    </row>
    <row r="91" spans="1:15" s="827" customFormat="1">
      <c r="A91" s="856"/>
      <c r="B91" s="856"/>
      <c r="C91" s="857"/>
      <c r="D91" s="857"/>
      <c r="E91" s="857"/>
      <c r="F91" s="857"/>
      <c r="G91" s="857"/>
      <c r="H91" s="856"/>
      <c r="I91" s="856"/>
      <c r="J91" s="857"/>
      <c r="K91" s="857"/>
      <c r="L91" s="856"/>
      <c r="M91" s="856"/>
      <c r="N91" s="856"/>
      <c r="O91" s="856"/>
    </row>
    <row r="92" spans="1:15" s="827" customFormat="1">
      <c r="A92" s="856"/>
      <c r="B92" s="856"/>
      <c r="C92" s="857"/>
      <c r="D92" s="857"/>
      <c r="E92" s="857"/>
      <c r="F92" s="857"/>
      <c r="G92" s="857"/>
      <c r="H92" s="856"/>
      <c r="I92" s="856"/>
      <c r="J92" s="857"/>
      <c r="K92" s="857"/>
      <c r="L92" s="856"/>
      <c r="M92" s="856"/>
      <c r="N92" s="856"/>
      <c r="O92" s="856"/>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2"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5"/>
  <sheetViews>
    <sheetView showGridLines="0" zoomScale="70" zoomScaleNormal="70" workbookViewId="0"/>
  </sheetViews>
  <sheetFormatPr defaultColWidth="8.88671875" defaultRowHeight="12.75"/>
  <cols>
    <col min="1" max="1" width="56.109375" style="861" customWidth="1"/>
    <col min="2" max="2" width="5.88671875" style="861" customWidth="1"/>
    <col min="3" max="3" width="9.77734375" style="861" customWidth="1"/>
    <col min="4" max="4" width="21.33203125" style="861" customWidth="1"/>
    <col min="5" max="5" width="1.77734375" style="861" customWidth="1"/>
    <col min="6" max="6" width="16.88671875" style="861" customWidth="1"/>
    <col min="7" max="7" width="2.33203125" style="861" customWidth="1"/>
    <col min="8" max="8" width="19.21875" style="861" customWidth="1"/>
    <col min="9" max="9" width="1.6640625" style="861" customWidth="1"/>
    <col min="10" max="10" width="20.77734375" style="861" customWidth="1"/>
    <col min="11" max="11" width="2.109375" style="861" customWidth="1"/>
    <col min="12" max="12" width="22.44140625" style="861" customWidth="1"/>
    <col min="13" max="13" width="2.44140625" style="861" customWidth="1"/>
    <col min="14" max="14" width="10.77734375" style="861" bestFit="1" customWidth="1"/>
    <col min="15" max="15" width="12.5546875" style="861" bestFit="1" customWidth="1"/>
    <col min="16" max="16384" width="8.88671875" style="861"/>
  </cols>
  <sheetData>
    <row r="1" spans="1:256" ht="15">
      <c r="A1" s="1159" t="s">
        <v>1090</v>
      </c>
    </row>
    <row r="2" spans="1:256" ht="18" customHeight="1"/>
    <row r="3" spans="1:256" ht="18">
      <c r="A3" s="862" t="s">
        <v>0</v>
      </c>
      <c r="B3" s="863"/>
      <c r="C3" s="863"/>
      <c r="D3" s="864"/>
      <c r="E3" s="864"/>
      <c r="F3" s="863"/>
      <c r="G3" s="863" t="s">
        <v>15</v>
      </c>
      <c r="H3" s="863"/>
      <c r="I3" s="863"/>
      <c r="J3" s="863"/>
      <c r="K3" s="863"/>
      <c r="L3" s="865" t="s">
        <v>381</v>
      </c>
      <c r="M3" s="864"/>
      <c r="N3" s="866"/>
      <c r="O3" s="866"/>
      <c r="P3" s="866"/>
      <c r="Q3" s="866"/>
      <c r="R3" s="866"/>
      <c r="S3" s="866"/>
      <c r="T3" s="866"/>
      <c r="U3" s="866"/>
      <c r="V3" s="866"/>
      <c r="W3" s="866"/>
      <c r="X3" s="866"/>
      <c r="Y3" s="866"/>
      <c r="Z3" s="866"/>
      <c r="AA3" s="866"/>
      <c r="AB3" s="866"/>
      <c r="AC3" s="866"/>
      <c r="AD3" s="866"/>
      <c r="AE3" s="866"/>
      <c r="AF3" s="866"/>
      <c r="AG3" s="866"/>
      <c r="AH3" s="866"/>
      <c r="AI3" s="866"/>
      <c r="AJ3" s="866"/>
      <c r="AK3" s="866"/>
      <c r="AL3" s="866"/>
      <c r="AM3" s="866"/>
      <c r="AN3" s="866"/>
      <c r="AO3" s="866"/>
      <c r="AP3" s="866"/>
      <c r="AQ3" s="866"/>
      <c r="AR3" s="866"/>
      <c r="AS3" s="866"/>
      <c r="AT3" s="866"/>
      <c r="AU3" s="866"/>
      <c r="AV3" s="866"/>
      <c r="AW3" s="866"/>
      <c r="AX3" s="866"/>
      <c r="AY3" s="866"/>
      <c r="AZ3" s="866"/>
      <c r="BA3" s="866"/>
      <c r="BB3" s="866"/>
      <c r="BC3" s="866"/>
      <c r="BD3" s="866"/>
      <c r="BE3" s="866"/>
      <c r="BF3" s="866"/>
      <c r="BG3" s="866"/>
      <c r="BH3" s="866"/>
      <c r="BI3" s="866"/>
      <c r="BJ3" s="866"/>
      <c r="BK3" s="866"/>
      <c r="BL3" s="866"/>
      <c r="BM3" s="866"/>
      <c r="BN3" s="866"/>
      <c r="BO3" s="866"/>
      <c r="BP3" s="866"/>
      <c r="BQ3" s="866"/>
      <c r="BR3" s="866"/>
      <c r="BS3" s="866"/>
      <c r="BT3" s="866"/>
      <c r="BU3" s="866"/>
      <c r="BV3" s="866"/>
      <c r="BW3" s="866"/>
      <c r="BX3" s="866"/>
      <c r="BY3" s="866"/>
      <c r="BZ3" s="866"/>
      <c r="CA3" s="866"/>
      <c r="CB3" s="866"/>
      <c r="CC3" s="866"/>
      <c r="CD3" s="866"/>
      <c r="CE3" s="866"/>
      <c r="CF3" s="866"/>
      <c r="CG3" s="866"/>
      <c r="CH3" s="866"/>
      <c r="CI3" s="866"/>
      <c r="CJ3" s="866"/>
      <c r="CK3" s="866"/>
      <c r="CL3" s="866"/>
      <c r="CM3" s="866"/>
      <c r="CN3" s="866"/>
      <c r="CO3" s="866"/>
      <c r="CP3" s="866"/>
      <c r="CQ3" s="866"/>
      <c r="CR3" s="866"/>
      <c r="CS3" s="866"/>
      <c r="CT3" s="866"/>
      <c r="CU3" s="866"/>
      <c r="CV3" s="866"/>
      <c r="CW3" s="866"/>
      <c r="CX3" s="866"/>
      <c r="CY3" s="866"/>
      <c r="CZ3" s="866"/>
      <c r="DA3" s="866"/>
      <c r="DB3" s="866"/>
      <c r="DC3" s="866"/>
      <c r="DD3" s="866"/>
      <c r="DE3" s="866"/>
      <c r="DF3" s="866"/>
      <c r="DG3" s="866"/>
      <c r="DH3" s="866"/>
      <c r="DI3" s="866"/>
      <c r="DJ3" s="866"/>
      <c r="DK3" s="866"/>
      <c r="DL3" s="866"/>
      <c r="DM3" s="866"/>
      <c r="DN3" s="866"/>
      <c r="DO3" s="866"/>
      <c r="DP3" s="866"/>
      <c r="DQ3" s="866"/>
      <c r="DR3" s="866"/>
      <c r="DS3" s="866"/>
      <c r="DT3" s="866"/>
      <c r="DU3" s="866"/>
      <c r="DV3" s="866"/>
      <c r="DW3" s="866"/>
      <c r="DX3" s="866"/>
      <c r="DY3" s="866"/>
      <c r="DZ3" s="866"/>
      <c r="EA3" s="866"/>
      <c r="EB3" s="866"/>
      <c r="EC3" s="866"/>
      <c r="ED3" s="866"/>
      <c r="EE3" s="866"/>
      <c r="EF3" s="866"/>
      <c r="EG3" s="866"/>
      <c r="EH3" s="866"/>
      <c r="EI3" s="866"/>
      <c r="EJ3" s="866"/>
      <c r="EK3" s="866"/>
      <c r="EL3" s="866"/>
      <c r="EM3" s="866"/>
      <c r="EN3" s="866"/>
      <c r="EO3" s="866"/>
      <c r="EP3" s="866"/>
      <c r="EQ3" s="866"/>
      <c r="ER3" s="866"/>
      <c r="ES3" s="866"/>
      <c r="ET3" s="866"/>
      <c r="EU3" s="866"/>
      <c r="EV3" s="866"/>
      <c r="EW3" s="866"/>
      <c r="EX3" s="866"/>
      <c r="EY3" s="866"/>
      <c r="EZ3" s="866"/>
      <c r="FA3" s="866"/>
      <c r="FB3" s="866"/>
      <c r="FC3" s="866"/>
      <c r="FD3" s="866"/>
      <c r="FE3" s="866"/>
      <c r="FF3" s="866"/>
      <c r="FG3" s="866"/>
      <c r="FH3" s="866"/>
      <c r="FI3" s="866"/>
      <c r="FJ3" s="866"/>
      <c r="FK3" s="866"/>
      <c r="FL3" s="866"/>
      <c r="FM3" s="866"/>
      <c r="FN3" s="866"/>
      <c r="FO3" s="866"/>
      <c r="FP3" s="866"/>
      <c r="FQ3" s="866"/>
      <c r="FR3" s="866"/>
      <c r="FS3" s="866"/>
      <c r="FT3" s="866"/>
      <c r="FU3" s="866"/>
      <c r="FV3" s="866"/>
      <c r="FW3" s="866"/>
      <c r="FX3" s="866"/>
      <c r="FY3" s="866"/>
      <c r="FZ3" s="866"/>
      <c r="GA3" s="866"/>
      <c r="GB3" s="866"/>
      <c r="GC3" s="866"/>
      <c r="GD3" s="866"/>
      <c r="GE3" s="866"/>
      <c r="GF3" s="866"/>
      <c r="GG3" s="866"/>
      <c r="GH3" s="866"/>
      <c r="GI3" s="866"/>
      <c r="GJ3" s="866"/>
      <c r="GK3" s="866"/>
      <c r="GL3" s="866"/>
      <c r="GM3" s="866"/>
      <c r="GN3" s="866"/>
      <c r="GO3" s="866"/>
      <c r="GP3" s="866"/>
      <c r="GQ3" s="866"/>
      <c r="GR3" s="866"/>
      <c r="GS3" s="866"/>
      <c r="GT3" s="866"/>
      <c r="GU3" s="866"/>
      <c r="GV3" s="866"/>
      <c r="GW3" s="866"/>
      <c r="GX3" s="866"/>
      <c r="GY3" s="866"/>
      <c r="GZ3" s="866"/>
      <c r="HA3" s="866"/>
      <c r="HB3" s="866"/>
      <c r="HC3" s="866"/>
      <c r="HD3" s="866"/>
      <c r="HE3" s="866"/>
      <c r="HF3" s="866"/>
      <c r="HG3" s="866"/>
      <c r="HH3" s="866"/>
      <c r="HI3" s="866"/>
      <c r="HJ3" s="866"/>
      <c r="HK3" s="866"/>
      <c r="HL3" s="866"/>
      <c r="HM3" s="866"/>
      <c r="HN3" s="866"/>
      <c r="HO3" s="866"/>
      <c r="HP3" s="866"/>
      <c r="HQ3" s="866"/>
      <c r="HR3" s="866"/>
      <c r="HS3" s="866"/>
      <c r="HT3" s="866"/>
      <c r="HU3" s="866"/>
      <c r="HV3" s="866"/>
      <c r="HW3" s="866"/>
      <c r="HX3" s="866"/>
      <c r="HY3" s="866"/>
      <c r="HZ3" s="866"/>
      <c r="IA3" s="866"/>
      <c r="IB3" s="866"/>
      <c r="IC3" s="866"/>
      <c r="ID3" s="866"/>
      <c r="IE3" s="866"/>
      <c r="IF3" s="866"/>
      <c r="IG3" s="866"/>
      <c r="IH3" s="866"/>
      <c r="II3" s="866"/>
      <c r="IJ3" s="866"/>
      <c r="IK3" s="866"/>
      <c r="IL3" s="866"/>
      <c r="IM3" s="866"/>
      <c r="IN3" s="866"/>
      <c r="IO3" s="866"/>
      <c r="IP3" s="866"/>
      <c r="IQ3" s="866"/>
      <c r="IR3" s="866"/>
      <c r="IS3" s="866"/>
      <c r="IT3" s="866"/>
      <c r="IU3" s="866"/>
      <c r="IV3" s="866"/>
    </row>
    <row r="4" spans="1:256" ht="18">
      <c r="A4" s="862" t="s">
        <v>382</v>
      </c>
      <c r="B4" s="863"/>
      <c r="C4" s="863"/>
      <c r="D4" s="864"/>
      <c r="E4" s="864"/>
      <c r="F4" s="863"/>
      <c r="G4" s="863"/>
      <c r="H4" s="863"/>
      <c r="I4" s="863"/>
      <c r="J4" s="863"/>
      <c r="K4" s="863"/>
      <c r="L4" s="867"/>
      <c r="M4" s="864"/>
      <c r="N4" s="866"/>
      <c r="O4" s="866"/>
      <c r="P4" s="866"/>
      <c r="Q4" s="866"/>
      <c r="R4" s="866"/>
      <c r="S4" s="866"/>
      <c r="T4" s="866"/>
      <c r="U4" s="866"/>
      <c r="V4" s="866"/>
      <c r="W4" s="866"/>
      <c r="X4" s="866"/>
      <c r="Y4" s="866"/>
      <c r="Z4" s="866"/>
      <c r="AA4" s="866"/>
      <c r="AB4" s="866"/>
      <c r="AC4" s="866"/>
      <c r="AD4" s="866"/>
      <c r="AE4" s="866"/>
      <c r="AF4" s="866"/>
      <c r="AG4" s="866"/>
      <c r="AH4" s="866"/>
      <c r="AI4" s="866"/>
      <c r="AJ4" s="866"/>
      <c r="AK4" s="866"/>
      <c r="AL4" s="866"/>
      <c r="AM4" s="866"/>
      <c r="AN4" s="866"/>
      <c r="AO4" s="866"/>
      <c r="AP4" s="866"/>
      <c r="AQ4" s="866"/>
      <c r="AR4" s="866"/>
      <c r="AS4" s="866"/>
      <c r="AT4" s="866"/>
      <c r="AU4" s="866"/>
      <c r="AV4" s="866"/>
      <c r="AW4" s="866"/>
      <c r="AX4" s="866"/>
      <c r="AY4" s="866"/>
      <c r="AZ4" s="866"/>
      <c r="BA4" s="866"/>
      <c r="BB4" s="866"/>
      <c r="BC4" s="866"/>
      <c r="BD4" s="866"/>
      <c r="BE4" s="866"/>
      <c r="BF4" s="866"/>
      <c r="BG4" s="866"/>
      <c r="BH4" s="866"/>
      <c r="BI4" s="866"/>
      <c r="BJ4" s="866"/>
      <c r="BK4" s="866"/>
      <c r="BL4" s="866"/>
      <c r="BM4" s="866"/>
      <c r="BN4" s="866"/>
      <c r="BO4" s="866"/>
      <c r="BP4" s="866"/>
      <c r="BQ4" s="866"/>
      <c r="BR4" s="866"/>
      <c r="BS4" s="866"/>
      <c r="BT4" s="866"/>
      <c r="BU4" s="866"/>
      <c r="BV4" s="866"/>
      <c r="BW4" s="866"/>
      <c r="BX4" s="866"/>
      <c r="BY4" s="866"/>
      <c r="BZ4" s="866"/>
      <c r="CA4" s="866"/>
      <c r="CB4" s="866"/>
      <c r="CC4" s="866"/>
      <c r="CD4" s="866"/>
      <c r="CE4" s="866"/>
      <c r="CF4" s="866"/>
      <c r="CG4" s="866"/>
      <c r="CH4" s="866"/>
      <c r="CI4" s="866"/>
      <c r="CJ4" s="866"/>
      <c r="CK4" s="866"/>
      <c r="CL4" s="866"/>
      <c r="CM4" s="866"/>
      <c r="CN4" s="866"/>
      <c r="CO4" s="866"/>
      <c r="CP4" s="866"/>
      <c r="CQ4" s="866"/>
      <c r="CR4" s="866"/>
      <c r="CS4" s="866"/>
      <c r="CT4" s="866"/>
      <c r="CU4" s="866"/>
      <c r="CV4" s="866"/>
      <c r="CW4" s="866"/>
      <c r="CX4" s="866"/>
      <c r="CY4" s="866"/>
      <c r="CZ4" s="866"/>
      <c r="DA4" s="866"/>
      <c r="DB4" s="866"/>
      <c r="DC4" s="866"/>
      <c r="DD4" s="866"/>
      <c r="DE4" s="866"/>
      <c r="DF4" s="866"/>
      <c r="DG4" s="866"/>
      <c r="DH4" s="866"/>
      <c r="DI4" s="866"/>
      <c r="DJ4" s="866"/>
      <c r="DK4" s="866"/>
      <c r="DL4" s="866"/>
      <c r="DM4" s="866"/>
      <c r="DN4" s="866"/>
      <c r="DO4" s="866"/>
      <c r="DP4" s="866"/>
      <c r="DQ4" s="866"/>
      <c r="DR4" s="866"/>
      <c r="DS4" s="866"/>
      <c r="DT4" s="866"/>
      <c r="DU4" s="866"/>
      <c r="DV4" s="866"/>
      <c r="DW4" s="866"/>
      <c r="DX4" s="866"/>
      <c r="DY4" s="866"/>
      <c r="DZ4" s="866"/>
      <c r="EA4" s="866"/>
      <c r="EB4" s="866"/>
      <c r="EC4" s="866"/>
      <c r="ED4" s="866"/>
      <c r="EE4" s="866"/>
      <c r="EF4" s="866"/>
      <c r="EG4" s="866"/>
      <c r="EH4" s="866"/>
      <c r="EI4" s="866"/>
      <c r="EJ4" s="866"/>
      <c r="EK4" s="866"/>
      <c r="EL4" s="866"/>
      <c r="EM4" s="866"/>
      <c r="EN4" s="866"/>
      <c r="EO4" s="866"/>
      <c r="EP4" s="866"/>
      <c r="EQ4" s="866"/>
      <c r="ER4" s="866"/>
      <c r="ES4" s="866"/>
      <c r="ET4" s="866"/>
      <c r="EU4" s="866"/>
      <c r="EV4" s="866"/>
      <c r="EW4" s="866"/>
      <c r="EX4" s="866"/>
      <c r="EY4" s="866"/>
      <c r="EZ4" s="866"/>
      <c r="FA4" s="866"/>
      <c r="FB4" s="866"/>
      <c r="FC4" s="866"/>
      <c r="FD4" s="866"/>
      <c r="FE4" s="866"/>
      <c r="FF4" s="866"/>
      <c r="FG4" s="866"/>
      <c r="FH4" s="866"/>
      <c r="FI4" s="866"/>
      <c r="FJ4" s="866"/>
      <c r="FK4" s="866"/>
      <c r="FL4" s="866"/>
      <c r="FM4" s="866"/>
      <c r="FN4" s="866"/>
      <c r="FO4" s="866"/>
      <c r="FP4" s="866"/>
      <c r="FQ4" s="866"/>
      <c r="FR4" s="866"/>
      <c r="FS4" s="866"/>
      <c r="FT4" s="866"/>
      <c r="FU4" s="866"/>
      <c r="FV4" s="866"/>
      <c r="FW4" s="866"/>
      <c r="FX4" s="866"/>
      <c r="FY4" s="866"/>
      <c r="FZ4" s="866"/>
      <c r="GA4" s="866"/>
      <c r="GB4" s="866"/>
      <c r="GC4" s="866"/>
      <c r="GD4" s="866"/>
      <c r="GE4" s="866"/>
      <c r="GF4" s="866"/>
      <c r="GG4" s="866"/>
      <c r="GH4" s="866"/>
      <c r="GI4" s="866"/>
      <c r="GJ4" s="866"/>
      <c r="GK4" s="866"/>
      <c r="GL4" s="866"/>
      <c r="GM4" s="866"/>
      <c r="GN4" s="866"/>
      <c r="GO4" s="866"/>
      <c r="GP4" s="866"/>
      <c r="GQ4" s="866"/>
      <c r="GR4" s="866"/>
      <c r="GS4" s="866"/>
      <c r="GT4" s="866"/>
      <c r="GU4" s="866"/>
      <c r="GV4" s="866"/>
      <c r="GW4" s="866"/>
      <c r="GX4" s="866"/>
      <c r="GY4" s="866"/>
      <c r="GZ4" s="866"/>
      <c r="HA4" s="866"/>
      <c r="HB4" s="866"/>
      <c r="HC4" s="866"/>
      <c r="HD4" s="866"/>
      <c r="HE4" s="866"/>
      <c r="HF4" s="866"/>
      <c r="HG4" s="866"/>
      <c r="HH4" s="866"/>
      <c r="HI4" s="866"/>
      <c r="HJ4" s="866"/>
      <c r="HK4" s="866"/>
      <c r="HL4" s="866"/>
      <c r="HM4" s="866"/>
      <c r="HN4" s="866"/>
      <c r="HO4" s="866"/>
      <c r="HP4" s="866"/>
      <c r="HQ4" s="866"/>
      <c r="HR4" s="866"/>
      <c r="HS4" s="866"/>
      <c r="HT4" s="866"/>
      <c r="HU4" s="866"/>
      <c r="HV4" s="866"/>
      <c r="HW4" s="866"/>
      <c r="HX4" s="866"/>
      <c r="HY4" s="866"/>
      <c r="HZ4" s="866"/>
      <c r="IA4" s="866"/>
      <c r="IB4" s="866"/>
      <c r="IC4" s="866"/>
      <c r="ID4" s="866"/>
      <c r="IE4" s="866"/>
      <c r="IF4" s="866"/>
      <c r="IG4" s="866"/>
      <c r="IH4" s="866"/>
      <c r="II4" s="866"/>
      <c r="IJ4" s="866"/>
      <c r="IK4" s="866"/>
      <c r="IL4" s="866"/>
      <c r="IM4" s="866"/>
      <c r="IN4" s="866"/>
      <c r="IO4" s="866"/>
      <c r="IP4" s="866"/>
      <c r="IQ4" s="866"/>
      <c r="IR4" s="866"/>
      <c r="IS4" s="866"/>
      <c r="IT4" s="866"/>
      <c r="IU4" s="866"/>
      <c r="IV4" s="866"/>
    </row>
    <row r="5" spans="1:256" ht="18">
      <c r="A5" s="868" t="s">
        <v>383</v>
      </c>
      <c r="B5" s="863"/>
      <c r="C5" s="863"/>
      <c r="D5" s="864"/>
      <c r="E5" s="864"/>
      <c r="F5" s="863"/>
      <c r="G5" s="863"/>
      <c r="H5" s="863"/>
      <c r="I5" s="863"/>
      <c r="J5" s="863"/>
      <c r="K5" s="863"/>
      <c r="L5" s="863"/>
      <c r="M5" s="864"/>
      <c r="N5" s="866"/>
      <c r="O5" s="866"/>
      <c r="P5" s="866"/>
      <c r="Q5" s="866"/>
      <c r="R5" s="866"/>
      <c r="S5" s="866"/>
      <c r="T5" s="866"/>
      <c r="U5" s="866"/>
      <c r="V5" s="866"/>
      <c r="W5" s="866"/>
      <c r="X5" s="866"/>
      <c r="Y5" s="866"/>
      <c r="Z5" s="866"/>
      <c r="AA5" s="866"/>
      <c r="AB5" s="866"/>
      <c r="AC5" s="866"/>
      <c r="AD5" s="866"/>
      <c r="AE5" s="866"/>
      <c r="AF5" s="866"/>
      <c r="AG5" s="866"/>
      <c r="AH5" s="866"/>
      <c r="AI5" s="866"/>
      <c r="AJ5" s="866"/>
      <c r="AK5" s="866"/>
      <c r="AL5" s="866"/>
      <c r="AM5" s="866"/>
      <c r="AN5" s="866"/>
      <c r="AO5" s="866"/>
      <c r="AP5" s="866"/>
      <c r="AQ5" s="866"/>
      <c r="AR5" s="866"/>
      <c r="AS5" s="866"/>
      <c r="AT5" s="866"/>
      <c r="AU5" s="866"/>
      <c r="AV5" s="866"/>
      <c r="AW5" s="866"/>
      <c r="AX5" s="866"/>
      <c r="AY5" s="866"/>
      <c r="AZ5" s="866"/>
      <c r="BA5" s="866"/>
      <c r="BB5" s="866"/>
      <c r="BC5" s="866"/>
      <c r="BD5" s="866"/>
      <c r="BE5" s="866"/>
      <c r="BF5" s="866"/>
      <c r="BG5" s="866"/>
      <c r="BH5" s="866"/>
      <c r="BI5" s="866"/>
      <c r="BJ5" s="866"/>
      <c r="BK5" s="866"/>
      <c r="BL5" s="866"/>
      <c r="BM5" s="866"/>
      <c r="BN5" s="866"/>
      <c r="BO5" s="866"/>
      <c r="BP5" s="866"/>
      <c r="BQ5" s="866"/>
      <c r="BR5" s="866"/>
      <c r="BS5" s="866"/>
      <c r="BT5" s="866"/>
      <c r="BU5" s="866"/>
      <c r="BV5" s="866"/>
      <c r="BW5" s="866"/>
      <c r="BX5" s="866"/>
      <c r="BY5" s="866"/>
      <c r="BZ5" s="866"/>
      <c r="CA5" s="866"/>
      <c r="CB5" s="866"/>
      <c r="CC5" s="866"/>
      <c r="CD5" s="866"/>
      <c r="CE5" s="866"/>
      <c r="CF5" s="866"/>
      <c r="CG5" s="866"/>
      <c r="CH5" s="866"/>
      <c r="CI5" s="866"/>
      <c r="CJ5" s="866"/>
      <c r="CK5" s="866"/>
      <c r="CL5" s="866"/>
      <c r="CM5" s="866"/>
      <c r="CN5" s="866"/>
      <c r="CO5" s="866"/>
      <c r="CP5" s="866"/>
      <c r="CQ5" s="866"/>
      <c r="CR5" s="866"/>
      <c r="CS5" s="866"/>
      <c r="CT5" s="866"/>
      <c r="CU5" s="866"/>
      <c r="CV5" s="866"/>
      <c r="CW5" s="866"/>
      <c r="CX5" s="866"/>
      <c r="CY5" s="866"/>
      <c r="CZ5" s="866"/>
      <c r="DA5" s="866"/>
      <c r="DB5" s="866"/>
      <c r="DC5" s="866"/>
      <c r="DD5" s="866"/>
      <c r="DE5" s="866"/>
      <c r="DF5" s="866"/>
      <c r="DG5" s="866"/>
      <c r="DH5" s="866"/>
      <c r="DI5" s="866"/>
      <c r="DJ5" s="866"/>
      <c r="DK5" s="866"/>
      <c r="DL5" s="866"/>
      <c r="DM5" s="866"/>
      <c r="DN5" s="866"/>
      <c r="DO5" s="866"/>
      <c r="DP5" s="866"/>
      <c r="DQ5" s="866"/>
      <c r="DR5" s="866"/>
      <c r="DS5" s="866"/>
      <c r="DT5" s="866"/>
      <c r="DU5" s="866"/>
      <c r="DV5" s="866"/>
      <c r="DW5" s="866"/>
      <c r="DX5" s="866"/>
      <c r="DY5" s="866"/>
      <c r="DZ5" s="866"/>
      <c r="EA5" s="866"/>
      <c r="EB5" s="866"/>
      <c r="EC5" s="866"/>
      <c r="ED5" s="866"/>
      <c r="EE5" s="866"/>
      <c r="EF5" s="866"/>
      <c r="EG5" s="866"/>
      <c r="EH5" s="866"/>
      <c r="EI5" s="866"/>
      <c r="EJ5" s="866"/>
      <c r="EK5" s="866"/>
      <c r="EL5" s="866"/>
      <c r="EM5" s="866"/>
      <c r="EN5" s="866"/>
      <c r="EO5" s="866"/>
      <c r="EP5" s="866"/>
      <c r="EQ5" s="866"/>
      <c r="ER5" s="866"/>
      <c r="ES5" s="866"/>
      <c r="ET5" s="866"/>
      <c r="EU5" s="866"/>
      <c r="EV5" s="866"/>
      <c r="EW5" s="866"/>
      <c r="EX5" s="866"/>
      <c r="EY5" s="866"/>
      <c r="EZ5" s="866"/>
      <c r="FA5" s="866"/>
      <c r="FB5" s="866"/>
      <c r="FC5" s="866"/>
      <c r="FD5" s="866"/>
      <c r="FE5" s="866"/>
      <c r="FF5" s="866"/>
      <c r="FG5" s="866"/>
      <c r="FH5" s="866"/>
      <c r="FI5" s="866"/>
      <c r="FJ5" s="866"/>
      <c r="FK5" s="866"/>
      <c r="FL5" s="866"/>
      <c r="FM5" s="866"/>
      <c r="FN5" s="866"/>
      <c r="FO5" s="866"/>
      <c r="FP5" s="866"/>
      <c r="FQ5" s="866"/>
      <c r="FR5" s="866"/>
      <c r="FS5" s="866"/>
      <c r="FT5" s="866"/>
      <c r="FU5" s="866"/>
      <c r="FV5" s="866"/>
      <c r="FW5" s="866"/>
      <c r="FX5" s="866"/>
      <c r="FY5" s="866"/>
      <c r="FZ5" s="866"/>
      <c r="GA5" s="866"/>
      <c r="GB5" s="866"/>
      <c r="GC5" s="866"/>
      <c r="GD5" s="866"/>
      <c r="GE5" s="866"/>
      <c r="GF5" s="866"/>
      <c r="GG5" s="866"/>
      <c r="GH5" s="866"/>
      <c r="GI5" s="866"/>
      <c r="GJ5" s="866"/>
      <c r="GK5" s="866"/>
      <c r="GL5" s="866"/>
      <c r="GM5" s="866"/>
      <c r="GN5" s="866"/>
      <c r="GO5" s="866"/>
      <c r="GP5" s="866"/>
      <c r="GQ5" s="866"/>
      <c r="GR5" s="866"/>
      <c r="GS5" s="866"/>
      <c r="GT5" s="866"/>
      <c r="GU5" s="866"/>
      <c r="GV5" s="866"/>
      <c r="GW5" s="866"/>
      <c r="GX5" s="866"/>
      <c r="GY5" s="866"/>
      <c r="GZ5" s="866"/>
      <c r="HA5" s="866"/>
      <c r="HB5" s="866"/>
      <c r="HC5" s="866"/>
      <c r="HD5" s="866"/>
      <c r="HE5" s="866"/>
      <c r="HF5" s="866"/>
      <c r="HG5" s="866"/>
      <c r="HH5" s="866"/>
      <c r="HI5" s="866"/>
      <c r="HJ5" s="866"/>
      <c r="HK5" s="866"/>
      <c r="HL5" s="866"/>
      <c r="HM5" s="866"/>
      <c r="HN5" s="866"/>
      <c r="HO5" s="866"/>
      <c r="HP5" s="866"/>
      <c r="HQ5" s="866"/>
      <c r="HR5" s="866"/>
      <c r="HS5" s="866"/>
      <c r="HT5" s="866"/>
      <c r="HU5" s="866"/>
      <c r="HV5" s="866"/>
      <c r="HW5" s="866"/>
      <c r="HX5" s="866"/>
      <c r="HY5" s="866"/>
      <c r="HZ5" s="866"/>
      <c r="IA5" s="866"/>
      <c r="IB5" s="866"/>
      <c r="IC5" s="866"/>
      <c r="ID5" s="866"/>
      <c r="IE5" s="866"/>
      <c r="IF5" s="866"/>
      <c r="IG5" s="866"/>
      <c r="IH5" s="866"/>
      <c r="II5" s="866"/>
      <c r="IJ5" s="866"/>
      <c r="IK5" s="866"/>
      <c r="IL5" s="866"/>
      <c r="IM5" s="866"/>
      <c r="IN5" s="866"/>
      <c r="IO5" s="866"/>
      <c r="IP5" s="866"/>
      <c r="IQ5" s="866"/>
      <c r="IR5" s="866"/>
      <c r="IS5" s="866"/>
      <c r="IT5" s="866"/>
      <c r="IU5" s="866"/>
      <c r="IV5" s="866"/>
    </row>
    <row r="6" spans="1:256" ht="18">
      <c r="A6" s="868" t="s">
        <v>1564</v>
      </c>
      <c r="B6" s="863"/>
      <c r="C6" s="863"/>
      <c r="D6" s="864"/>
      <c r="E6" s="864"/>
      <c r="F6" s="863"/>
      <c r="G6" s="863"/>
      <c r="H6" s="863"/>
      <c r="I6" s="863"/>
      <c r="J6" s="863"/>
      <c r="K6" s="863"/>
      <c r="L6" s="863"/>
      <c r="M6" s="864"/>
      <c r="N6" s="866"/>
      <c r="O6" s="866"/>
      <c r="P6" s="866"/>
      <c r="Q6" s="866"/>
      <c r="R6" s="866"/>
      <c r="S6" s="866"/>
      <c r="T6" s="866"/>
      <c r="U6" s="866"/>
      <c r="V6" s="866"/>
      <c r="W6" s="866"/>
      <c r="X6" s="866"/>
      <c r="Y6" s="866"/>
      <c r="Z6" s="866"/>
      <c r="AA6" s="866"/>
      <c r="AB6" s="866"/>
      <c r="AC6" s="866"/>
      <c r="AD6" s="866"/>
      <c r="AE6" s="866"/>
      <c r="AF6" s="866"/>
      <c r="AG6" s="866"/>
      <c r="AH6" s="866"/>
      <c r="AI6" s="866"/>
      <c r="AJ6" s="866"/>
      <c r="AK6" s="866"/>
      <c r="AL6" s="866"/>
      <c r="AM6" s="866"/>
      <c r="AN6" s="866"/>
      <c r="AO6" s="866"/>
      <c r="AP6" s="866"/>
      <c r="AQ6" s="866"/>
      <c r="AR6" s="866"/>
      <c r="AS6" s="866"/>
      <c r="AT6" s="866"/>
      <c r="AU6" s="866"/>
      <c r="AV6" s="866"/>
      <c r="AW6" s="866"/>
      <c r="AX6" s="866"/>
      <c r="AY6" s="866"/>
      <c r="AZ6" s="866"/>
      <c r="BA6" s="866"/>
      <c r="BB6" s="866"/>
      <c r="BC6" s="866"/>
      <c r="BD6" s="866"/>
      <c r="BE6" s="866"/>
      <c r="BF6" s="866"/>
      <c r="BG6" s="866"/>
      <c r="BH6" s="866"/>
      <c r="BI6" s="866"/>
      <c r="BJ6" s="866"/>
      <c r="BK6" s="866"/>
      <c r="BL6" s="866"/>
      <c r="BM6" s="866"/>
      <c r="BN6" s="866"/>
      <c r="BO6" s="866"/>
      <c r="BP6" s="866"/>
      <c r="BQ6" s="866"/>
      <c r="BR6" s="866"/>
      <c r="BS6" s="866"/>
      <c r="BT6" s="866"/>
      <c r="BU6" s="866"/>
      <c r="BV6" s="866"/>
      <c r="BW6" s="866"/>
      <c r="BX6" s="866"/>
      <c r="BY6" s="866"/>
      <c r="BZ6" s="866"/>
      <c r="CA6" s="866"/>
      <c r="CB6" s="866"/>
      <c r="CC6" s="866"/>
      <c r="CD6" s="866"/>
      <c r="CE6" s="866"/>
      <c r="CF6" s="866"/>
      <c r="CG6" s="866"/>
      <c r="CH6" s="866"/>
      <c r="CI6" s="866"/>
      <c r="CJ6" s="866"/>
      <c r="CK6" s="866"/>
      <c r="CL6" s="866"/>
      <c r="CM6" s="866"/>
      <c r="CN6" s="866"/>
      <c r="CO6" s="866"/>
      <c r="CP6" s="866"/>
      <c r="CQ6" s="866"/>
      <c r="CR6" s="866"/>
      <c r="CS6" s="866"/>
      <c r="CT6" s="866"/>
      <c r="CU6" s="866"/>
      <c r="CV6" s="866"/>
      <c r="CW6" s="866"/>
      <c r="CX6" s="866"/>
      <c r="CY6" s="866"/>
      <c r="CZ6" s="866"/>
      <c r="DA6" s="866"/>
      <c r="DB6" s="866"/>
      <c r="DC6" s="866"/>
      <c r="DD6" s="866"/>
      <c r="DE6" s="866"/>
      <c r="DF6" s="866"/>
      <c r="DG6" s="866"/>
      <c r="DH6" s="866"/>
      <c r="DI6" s="866"/>
      <c r="DJ6" s="866"/>
      <c r="DK6" s="866"/>
      <c r="DL6" s="866"/>
      <c r="DM6" s="866"/>
      <c r="DN6" s="866"/>
      <c r="DO6" s="866"/>
      <c r="DP6" s="866"/>
      <c r="DQ6" s="866"/>
      <c r="DR6" s="866"/>
      <c r="DS6" s="866"/>
      <c r="DT6" s="866"/>
      <c r="DU6" s="866"/>
      <c r="DV6" s="866"/>
      <c r="DW6" s="866"/>
      <c r="DX6" s="866"/>
      <c r="DY6" s="866"/>
      <c r="DZ6" s="866"/>
      <c r="EA6" s="866"/>
      <c r="EB6" s="866"/>
      <c r="EC6" s="866"/>
      <c r="ED6" s="866"/>
      <c r="EE6" s="866"/>
      <c r="EF6" s="866"/>
      <c r="EG6" s="866"/>
      <c r="EH6" s="866"/>
      <c r="EI6" s="866"/>
      <c r="EJ6" s="866"/>
      <c r="EK6" s="866"/>
      <c r="EL6" s="866"/>
      <c r="EM6" s="866"/>
      <c r="EN6" s="866"/>
      <c r="EO6" s="866"/>
      <c r="EP6" s="866"/>
      <c r="EQ6" s="866"/>
      <c r="ER6" s="866"/>
      <c r="ES6" s="866"/>
      <c r="ET6" s="866"/>
      <c r="EU6" s="866"/>
      <c r="EV6" s="866"/>
      <c r="EW6" s="866"/>
      <c r="EX6" s="866"/>
      <c r="EY6" s="866"/>
      <c r="EZ6" s="866"/>
      <c r="FA6" s="866"/>
      <c r="FB6" s="866"/>
      <c r="FC6" s="866"/>
      <c r="FD6" s="866"/>
      <c r="FE6" s="866"/>
      <c r="FF6" s="866"/>
      <c r="FG6" s="866"/>
      <c r="FH6" s="866"/>
      <c r="FI6" s="866"/>
      <c r="FJ6" s="866"/>
      <c r="FK6" s="866"/>
      <c r="FL6" s="866"/>
      <c r="FM6" s="866"/>
      <c r="FN6" s="866"/>
      <c r="FO6" s="866"/>
      <c r="FP6" s="866"/>
      <c r="FQ6" s="866"/>
      <c r="FR6" s="866"/>
      <c r="FS6" s="866"/>
      <c r="FT6" s="866"/>
      <c r="FU6" s="866"/>
      <c r="FV6" s="866"/>
      <c r="FW6" s="866"/>
      <c r="FX6" s="866"/>
      <c r="FY6" s="866"/>
      <c r="FZ6" s="866"/>
      <c r="GA6" s="866"/>
      <c r="GB6" s="866"/>
      <c r="GC6" s="866"/>
      <c r="GD6" s="866"/>
      <c r="GE6" s="866"/>
      <c r="GF6" s="866"/>
      <c r="GG6" s="866"/>
      <c r="GH6" s="866"/>
      <c r="GI6" s="866"/>
      <c r="GJ6" s="866"/>
      <c r="GK6" s="866"/>
      <c r="GL6" s="866"/>
      <c r="GM6" s="866"/>
      <c r="GN6" s="866"/>
      <c r="GO6" s="866"/>
      <c r="GP6" s="866"/>
      <c r="GQ6" s="866"/>
      <c r="GR6" s="866"/>
      <c r="GS6" s="866"/>
      <c r="GT6" s="866"/>
      <c r="GU6" s="866"/>
      <c r="GV6" s="866"/>
      <c r="GW6" s="866"/>
      <c r="GX6" s="866"/>
      <c r="GY6" s="866"/>
      <c r="GZ6" s="866"/>
      <c r="HA6" s="866"/>
      <c r="HB6" s="866"/>
      <c r="HC6" s="866"/>
      <c r="HD6" s="866"/>
      <c r="HE6" s="866"/>
      <c r="HF6" s="866"/>
      <c r="HG6" s="866"/>
      <c r="HH6" s="866"/>
      <c r="HI6" s="866"/>
      <c r="HJ6" s="866"/>
      <c r="HK6" s="866"/>
      <c r="HL6" s="866"/>
      <c r="HM6" s="866"/>
      <c r="HN6" s="866"/>
      <c r="HO6" s="866"/>
      <c r="HP6" s="866"/>
      <c r="HQ6" s="866"/>
      <c r="HR6" s="866"/>
      <c r="HS6" s="866"/>
      <c r="HT6" s="866"/>
      <c r="HU6" s="866"/>
      <c r="HV6" s="866"/>
      <c r="HW6" s="866"/>
      <c r="HX6" s="866"/>
      <c r="HY6" s="866"/>
      <c r="HZ6" s="866"/>
      <c r="IA6" s="866"/>
      <c r="IB6" s="866"/>
      <c r="IC6" s="866"/>
      <c r="ID6" s="866"/>
      <c r="IE6" s="866"/>
      <c r="IF6" s="866"/>
      <c r="IG6" s="866"/>
      <c r="IH6" s="866"/>
      <c r="II6" s="866"/>
      <c r="IJ6" s="866"/>
      <c r="IK6" s="866"/>
      <c r="IL6" s="866"/>
      <c r="IM6" s="866"/>
      <c r="IN6" s="866"/>
      <c r="IO6" s="866"/>
      <c r="IP6" s="866"/>
      <c r="IQ6" s="866"/>
      <c r="IR6" s="866"/>
      <c r="IS6" s="866"/>
      <c r="IT6" s="866"/>
      <c r="IU6" s="866"/>
      <c r="IV6" s="866"/>
    </row>
    <row r="7" spans="1:256" ht="18">
      <c r="A7" s="1563" t="s">
        <v>979</v>
      </c>
      <c r="B7" s="863"/>
      <c r="C7" s="863"/>
      <c r="D7" s="864"/>
      <c r="E7" s="864"/>
      <c r="F7" s="863"/>
      <c r="G7" s="863"/>
      <c r="H7" s="863"/>
      <c r="I7" s="863"/>
      <c r="J7" s="863"/>
      <c r="K7" s="863"/>
      <c r="L7" s="863"/>
      <c r="M7" s="864"/>
      <c r="N7" s="866"/>
      <c r="O7" s="866"/>
      <c r="P7" s="866"/>
      <c r="Q7" s="866"/>
      <c r="R7" s="866"/>
      <c r="S7" s="866"/>
      <c r="T7" s="866"/>
      <c r="U7" s="866"/>
      <c r="V7" s="866"/>
      <c r="W7" s="866"/>
      <c r="X7" s="866"/>
      <c r="Y7" s="866"/>
      <c r="Z7" s="866"/>
      <c r="AA7" s="866"/>
      <c r="AB7" s="866"/>
      <c r="AC7" s="866"/>
      <c r="AD7" s="866"/>
      <c r="AE7" s="866"/>
      <c r="AF7" s="866"/>
      <c r="AG7" s="866"/>
      <c r="AH7" s="866"/>
      <c r="AI7" s="866"/>
      <c r="AJ7" s="866"/>
      <c r="AK7" s="866"/>
      <c r="AL7" s="866"/>
      <c r="AM7" s="866"/>
      <c r="AN7" s="866"/>
      <c r="AO7" s="866"/>
      <c r="AP7" s="866"/>
      <c r="AQ7" s="866"/>
      <c r="AR7" s="866"/>
      <c r="AS7" s="866"/>
      <c r="AT7" s="866"/>
      <c r="AU7" s="866"/>
      <c r="AV7" s="866"/>
      <c r="AW7" s="866"/>
      <c r="AX7" s="866"/>
      <c r="AY7" s="866"/>
      <c r="AZ7" s="866"/>
      <c r="BA7" s="866"/>
      <c r="BB7" s="866"/>
      <c r="BC7" s="866"/>
      <c r="BD7" s="866"/>
      <c r="BE7" s="866"/>
      <c r="BF7" s="866"/>
      <c r="BG7" s="866"/>
      <c r="BH7" s="866"/>
      <c r="BI7" s="866"/>
      <c r="BJ7" s="866"/>
      <c r="BK7" s="866"/>
      <c r="BL7" s="866"/>
      <c r="BM7" s="866"/>
      <c r="BN7" s="866"/>
      <c r="BO7" s="866"/>
      <c r="BP7" s="866"/>
      <c r="BQ7" s="866"/>
      <c r="BR7" s="866"/>
      <c r="BS7" s="866"/>
      <c r="BT7" s="866"/>
      <c r="BU7" s="866"/>
      <c r="BV7" s="866"/>
      <c r="BW7" s="866"/>
      <c r="BX7" s="866"/>
      <c r="BY7" s="866"/>
      <c r="BZ7" s="866"/>
      <c r="CA7" s="866"/>
      <c r="CB7" s="866"/>
      <c r="CC7" s="866"/>
      <c r="CD7" s="866"/>
      <c r="CE7" s="866"/>
      <c r="CF7" s="866"/>
      <c r="CG7" s="866"/>
      <c r="CH7" s="866"/>
      <c r="CI7" s="866"/>
      <c r="CJ7" s="866"/>
      <c r="CK7" s="866"/>
      <c r="CL7" s="866"/>
      <c r="CM7" s="866"/>
      <c r="CN7" s="866"/>
      <c r="CO7" s="866"/>
      <c r="CP7" s="866"/>
      <c r="CQ7" s="866"/>
      <c r="CR7" s="866"/>
      <c r="CS7" s="866"/>
      <c r="CT7" s="866"/>
      <c r="CU7" s="866"/>
      <c r="CV7" s="866"/>
      <c r="CW7" s="866"/>
      <c r="CX7" s="866"/>
      <c r="CY7" s="866"/>
      <c r="CZ7" s="866"/>
      <c r="DA7" s="866"/>
      <c r="DB7" s="866"/>
      <c r="DC7" s="866"/>
      <c r="DD7" s="866"/>
      <c r="DE7" s="866"/>
      <c r="DF7" s="866"/>
      <c r="DG7" s="866"/>
      <c r="DH7" s="866"/>
      <c r="DI7" s="866"/>
      <c r="DJ7" s="866"/>
      <c r="DK7" s="866"/>
      <c r="DL7" s="866"/>
      <c r="DM7" s="866"/>
      <c r="DN7" s="866"/>
      <c r="DO7" s="866"/>
      <c r="DP7" s="866"/>
      <c r="DQ7" s="866"/>
      <c r="DR7" s="866"/>
      <c r="DS7" s="866"/>
      <c r="DT7" s="866"/>
      <c r="DU7" s="866"/>
      <c r="DV7" s="866"/>
      <c r="DW7" s="866"/>
      <c r="DX7" s="866"/>
      <c r="DY7" s="866"/>
      <c r="DZ7" s="866"/>
      <c r="EA7" s="866"/>
      <c r="EB7" s="866"/>
      <c r="EC7" s="866"/>
      <c r="ED7" s="866"/>
      <c r="EE7" s="866"/>
      <c r="EF7" s="866"/>
      <c r="EG7" s="866"/>
      <c r="EH7" s="866"/>
      <c r="EI7" s="866"/>
      <c r="EJ7" s="866"/>
      <c r="EK7" s="866"/>
      <c r="EL7" s="866"/>
      <c r="EM7" s="866"/>
      <c r="EN7" s="866"/>
      <c r="EO7" s="866"/>
      <c r="EP7" s="866"/>
      <c r="EQ7" s="866"/>
      <c r="ER7" s="866"/>
      <c r="ES7" s="866"/>
      <c r="ET7" s="866"/>
      <c r="EU7" s="866"/>
      <c r="EV7" s="866"/>
      <c r="EW7" s="866"/>
      <c r="EX7" s="866"/>
      <c r="EY7" s="866"/>
      <c r="EZ7" s="866"/>
      <c r="FA7" s="866"/>
      <c r="FB7" s="866"/>
      <c r="FC7" s="866"/>
      <c r="FD7" s="866"/>
      <c r="FE7" s="866"/>
      <c r="FF7" s="866"/>
      <c r="FG7" s="866"/>
      <c r="FH7" s="866"/>
      <c r="FI7" s="866"/>
      <c r="FJ7" s="866"/>
      <c r="FK7" s="866"/>
      <c r="FL7" s="866"/>
      <c r="FM7" s="866"/>
      <c r="FN7" s="866"/>
      <c r="FO7" s="866"/>
      <c r="FP7" s="866"/>
      <c r="FQ7" s="866"/>
      <c r="FR7" s="866"/>
      <c r="FS7" s="866"/>
      <c r="FT7" s="866"/>
      <c r="FU7" s="866"/>
      <c r="FV7" s="866"/>
      <c r="FW7" s="866"/>
      <c r="FX7" s="866"/>
      <c r="FY7" s="866"/>
      <c r="FZ7" s="866"/>
      <c r="GA7" s="866"/>
      <c r="GB7" s="866"/>
      <c r="GC7" s="866"/>
      <c r="GD7" s="866"/>
      <c r="GE7" s="866"/>
      <c r="GF7" s="866"/>
      <c r="GG7" s="866"/>
      <c r="GH7" s="866"/>
      <c r="GI7" s="866"/>
      <c r="GJ7" s="866"/>
      <c r="GK7" s="866"/>
      <c r="GL7" s="866"/>
      <c r="GM7" s="866"/>
      <c r="GN7" s="866"/>
      <c r="GO7" s="866"/>
      <c r="GP7" s="866"/>
      <c r="GQ7" s="866"/>
      <c r="GR7" s="866"/>
      <c r="GS7" s="866"/>
      <c r="GT7" s="866"/>
      <c r="GU7" s="866"/>
      <c r="GV7" s="866"/>
      <c r="GW7" s="866"/>
      <c r="GX7" s="866"/>
      <c r="GY7" s="866"/>
      <c r="GZ7" s="866"/>
      <c r="HA7" s="866"/>
      <c r="HB7" s="866"/>
      <c r="HC7" s="866"/>
      <c r="HD7" s="866"/>
      <c r="HE7" s="866"/>
      <c r="HF7" s="866"/>
      <c r="HG7" s="866"/>
      <c r="HH7" s="866"/>
      <c r="HI7" s="866"/>
      <c r="HJ7" s="866"/>
      <c r="HK7" s="866"/>
      <c r="HL7" s="866"/>
      <c r="HM7" s="866"/>
      <c r="HN7" s="866"/>
      <c r="HO7" s="866"/>
      <c r="HP7" s="866"/>
      <c r="HQ7" s="866"/>
      <c r="HR7" s="866"/>
      <c r="HS7" s="866"/>
      <c r="HT7" s="866"/>
      <c r="HU7" s="866"/>
      <c r="HV7" s="866"/>
      <c r="HW7" s="866"/>
      <c r="HX7" s="866"/>
      <c r="HY7" s="866"/>
      <c r="HZ7" s="866"/>
      <c r="IA7" s="866"/>
      <c r="IB7" s="866"/>
      <c r="IC7" s="866"/>
      <c r="ID7" s="866"/>
      <c r="IE7" s="866"/>
      <c r="IF7" s="866"/>
      <c r="IG7" s="866"/>
      <c r="IH7" s="866"/>
      <c r="II7" s="866"/>
      <c r="IJ7" s="866"/>
      <c r="IK7" s="866"/>
      <c r="IL7" s="866"/>
      <c r="IM7" s="866"/>
      <c r="IN7" s="866"/>
      <c r="IO7" s="866"/>
      <c r="IP7" s="866"/>
      <c r="IQ7" s="866"/>
      <c r="IR7" s="866"/>
      <c r="IS7" s="866"/>
      <c r="IT7" s="866"/>
      <c r="IU7" s="866"/>
      <c r="IV7" s="866"/>
    </row>
    <row r="8" spans="1:256" ht="18">
      <c r="A8" s="862"/>
      <c r="B8" s="862"/>
      <c r="C8" s="862"/>
      <c r="D8" s="1327"/>
      <c r="E8" s="862"/>
      <c r="F8" s="862"/>
      <c r="G8" s="862"/>
      <c r="H8" s="862"/>
      <c r="I8" s="862"/>
      <c r="J8" s="1327" t="s">
        <v>365</v>
      </c>
      <c r="K8" s="862"/>
      <c r="L8" s="1327"/>
      <c r="M8" s="864"/>
      <c r="N8" s="866"/>
      <c r="O8" s="866"/>
      <c r="P8" s="866"/>
      <c r="Q8" s="866"/>
      <c r="R8" s="866"/>
      <c r="S8" s="866"/>
      <c r="T8" s="866"/>
      <c r="U8" s="866"/>
      <c r="V8" s="866"/>
      <c r="W8" s="866"/>
      <c r="X8" s="866"/>
      <c r="Y8" s="866"/>
      <c r="Z8" s="866"/>
      <c r="AA8" s="866"/>
      <c r="AB8" s="866"/>
      <c r="AC8" s="866"/>
      <c r="AD8" s="866"/>
      <c r="AE8" s="866"/>
      <c r="AF8" s="866"/>
      <c r="AG8" s="866"/>
      <c r="AH8" s="866"/>
      <c r="AI8" s="866"/>
      <c r="AJ8" s="866"/>
      <c r="AK8" s="866"/>
      <c r="AL8" s="866"/>
      <c r="AM8" s="866"/>
      <c r="AN8" s="866"/>
      <c r="AO8" s="866"/>
      <c r="AP8" s="866"/>
      <c r="AQ8" s="866"/>
      <c r="AR8" s="866"/>
      <c r="AS8" s="866"/>
      <c r="AT8" s="866"/>
      <c r="AU8" s="866"/>
      <c r="AV8" s="866"/>
      <c r="AW8" s="866"/>
      <c r="AX8" s="866"/>
      <c r="AY8" s="866"/>
      <c r="AZ8" s="866"/>
      <c r="BA8" s="866"/>
      <c r="BB8" s="866"/>
      <c r="BC8" s="866"/>
      <c r="BD8" s="866"/>
      <c r="BE8" s="866"/>
      <c r="BF8" s="866"/>
      <c r="BG8" s="866"/>
      <c r="BH8" s="866"/>
      <c r="BI8" s="866"/>
      <c r="BJ8" s="866"/>
      <c r="BK8" s="866"/>
      <c r="BL8" s="866"/>
      <c r="BM8" s="866"/>
      <c r="BN8" s="866"/>
      <c r="BO8" s="866"/>
      <c r="BP8" s="866"/>
      <c r="BQ8" s="866"/>
      <c r="BR8" s="866"/>
      <c r="BS8" s="866"/>
      <c r="BT8" s="866"/>
      <c r="BU8" s="866"/>
      <c r="BV8" s="866"/>
      <c r="BW8" s="866"/>
      <c r="BX8" s="866"/>
      <c r="BY8" s="866"/>
      <c r="BZ8" s="866"/>
      <c r="CA8" s="866"/>
      <c r="CB8" s="866"/>
      <c r="CC8" s="866"/>
      <c r="CD8" s="866"/>
      <c r="CE8" s="866"/>
      <c r="CF8" s="866"/>
      <c r="CG8" s="866"/>
      <c r="CH8" s="866"/>
      <c r="CI8" s="866"/>
      <c r="CJ8" s="866"/>
      <c r="CK8" s="866"/>
      <c r="CL8" s="866"/>
      <c r="CM8" s="866"/>
      <c r="CN8" s="866"/>
      <c r="CO8" s="866"/>
      <c r="CP8" s="866"/>
      <c r="CQ8" s="866"/>
      <c r="CR8" s="866"/>
      <c r="CS8" s="866"/>
      <c r="CT8" s="866"/>
      <c r="CU8" s="866"/>
      <c r="CV8" s="866"/>
      <c r="CW8" s="866"/>
      <c r="CX8" s="866"/>
      <c r="CY8" s="866"/>
      <c r="CZ8" s="866"/>
      <c r="DA8" s="866"/>
      <c r="DB8" s="866"/>
      <c r="DC8" s="866"/>
      <c r="DD8" s="866"/>
      <c r="DE8" s="866"/>
      <c r="DF8" s="866"/>
      <c r="DG8" s="866"/>
      <c r="DH8" s="866"/>
      <c r="DI8" s="866"/>
      <c r="DJ8" s="866"/>
      <c r="DK8" s="866"/>
      <c r="DL8" s="866"/>
      <c r="DM8" s="866"/>
      <c r="DN8" s="866"/>
      <c r="DO8" s="866"/>
      <c r="DP8" s="866"/>
      <c r="DQ8" s="866"/>
      <c r="DR8" s="866"/>
      <c r="DS8" s="866"/>
      <c r="DT8" s="866"/>
      <c r="DU8" s="866"/>
      <c r="DV8" s="866"/>
      <c r="DW8" s="866"/>
      <c r="DX8" s="866"/>
      <c r="DY8" s="866"/>
      <c r="DZ8" s="866"/>
      <c r="EA8" s="866"/>
      <c r="EB8" s="866"/>
      <c r="EC8" s="866"/>
      <c r="ED8" s="866"/>
      <c r="EE8" s="866"/>
      <c r="EF8" s="866"/>
      <c r="EG8" s="866"/>
      <c r="EH8" s="866"/>
      <c r="EI8" s="866"/>
      <c r="EJ8" s="866"/>
      <c r="EK8" s="866"/>
      <c r="EL8" s="866"/>
      <c r="EM8" s="866"/>
      <c r="EN8" s="866"/>
      <c r="EO8" s="866"/>
      <c r="EP8" s="866"/>
      <c r="EQ8" s="866"/>
      <c r="ER8" s="866"/>
      <c r="ES8" s="866"/>
      <c r="ET8" s="866"/>
      <c r="EU8" s="866"/>
      <c r="EV8" s="866"/>
      <c r="EW8" s="866"/>
      <c r="EX8" s="866"/>
      <c r="EY8" s="866"/>
      <c r="EZ8" s="866"/>
      <c r="FA8" s="866"/>
      <c r="FB8" s="866"/>
      <c r="FC8" s="866"/>
      <c r="FD8" s="866"/>
      <c r="FE8" s="866"/>
      <c r="FF8" s="866"/>
      <c r="FG8" s="866"/>
      <c r="FH8" s="866"/>
      <c r="FI8" s="866"/>
      <c r="FJ8" s="866"/>
      <c r="FK8" s="866"/>
      <c r="FL8" s="866"/>
      <c r="FM8" s="866"/>
      <c r="FN8" s="866"/>
      <c r="FO8" s="866"/>
      <c r="FP8" s="866"/>
      <c r="FQ8" s="866"/>
      <c r="FR8" s="866"/>
      <c r="FS8" s="866"/>
      <c r="FT8" s="866"/>
      <c r="FU8" s="866"/>
      <c r="FV8" s="866"/>
      <c r="FW8" s="866"/>
      <c r="FX8" s="866"/>
      <c r="FY8" s="866"/>
      <c r="FZ8" s="866"/>
      <c r="GA8" s="866"/>
      <c r="GB8" s="866"/>
      <c r="GC8" s="866"/>
      <c r="GD8" s="866"/>
      <c r="GE8" s="866"/>
      <c r="GF8" s="866"/>
      <c r="GG8" s="866"/>
      <c r="GH8" s="866"/>
      <c r="GI8" s="866"/>
      <c r="GJ8" s="866"/>
      <c r="GK8" s="866"/>
      <c r="GL8" s="866"/>
      <c r="GM8" s="866"/>
      <c r="GN8" s="866"/>
      <c r="GO8" s="866"/>
      <c r="GP8" s="866"/>
      <c r="GQ8" s="866"/>
      <c r="GR8" s="866"/>
      <c r="GS8" s="866"/>
      <c r="GT8" s="866"/>
      <c r="GU8" s="866"/>
      <c r="GV8" s="866"/>
      <c r="GW8" s="866"/>
      <c r="GX8" s="866"/>
      <c r="GY8" s="866"/>
      <c r="GZ8" s="866"/>
      <c r="HA8" s="866"/>
      <c r="HB8" s="866"/>
      <c r="HC8" s="866"/>
      <c r="HD8" s="866"/>
      <c r="HE8" s="866"/>
      <c r="HF8" s="866"/>
      <c r="HG8" s="866"/>
      <c r="HH8" s="866"/>
      <c r="HI8" s="866"/>
      <c r="HJ8" s="866"/>
      <c r="HK8" s="866"/>
      <c r="HL8" s="866"/>
      <c r="HM8" s="866"/>
      <c r="HN8" s="866"/>
      <c r="HO8" s="866"/>
      <c r="HP8" s="866"/>
      <c r="HQ8" s="866"/>
      <c r="HR8" s="866"/>
      <c r="HS8" s="866"/>
      <c r="HT8" s="866"/>
      <c r="HU8" s="866"/>
      <c r="HV8" s="866"/>
      <c r="HW8" s="866"/>
      <c r="HX8" s="866"/>
      <c r="HY8" s="866"/>
      <c r="HZ8" s="866"/>
      <c r="IA8" s="866"/>
      <c r="IB8" s="866"/>
      <c r="IC8" s="866"/>
      <c r="ID8" s="866"/>
      <c r="IE8" s="866"/>
      <c r="IF8" s="866"/>
      <c r="IG8" s="866"/>
      <c r="IH8" s="866"/>
      <c r="II8" s="866"/>
      <c r="IJ8" s="866"/>
      <c r="IK8" s="866"/>
      <c r="IL8" s="866"/>
      <c r="IM8" s="866"/>
      <c r="IN8" s="866"/>
      <c r="IO8" s="866"/>
      <c r="IP8" s="866"/>
      <c r="IQ8" s="866"/>
      <c r="IR8" s="866"/>
      <c r="IS8" s="866"/>
      <c r="IT8" s="866"/>
      <c r="IU8" s="866"/>
      <c r="IV8" s="866"/>
    </row>
    <row r="9" spans="1:256" ht="18">
      <c r="A9" s="862"/>
      <c r="B9" s="862"/>
      <c r="C9" s="862"/>
      <c r="D9" s="1327" t="s">
        <v>241</v>
      </c>
      <c r="E9" s="862"/>
      <c r="F9" s="862"/>
      <c r="G9" s="862"/>
      <c r="H9" s="862"/>
      <c r="I9" s="862"/>
      <c r="J9" s="1327" t="s">
        <v>366</v>
      </c>
      <c r="K9" s="862"/>
      <c r="L9" s="1327" t="s">
        <v>241</v>
      </c>
      <c r="M9" s="864"/>
      <c r="N9" s="866"/>
      <c r="O9" s="866"/>
      <c r="P9" s="866"/>
      <c r="Q9" s="866"/>
      <c r="R9" s="866"/>
      <c r="S9" s="866"/>
      <c r="T9" s="866"/>
      <c r="U9" s="866"/>
      <c r="V9" s="866"/>
      <c r="W9" s="866"/>
      <c r="X9" s="866"/>
      <c r="Y9" s="866"/>
      <c r="Z9" s="866"/>
      <c r="AA9" s="866"/>
      <c r="AB9" s="866"/>
      <c r="AC9" s="866"/>
      <c r="AD9" s="866"/>
      <c r="AE9" s="866"/>
      <c r="AF9" s="866"/>
      <c r="AG9" s="866"/>
      <c r="AH9" s="866"/>
      <c r="AI9" s="866"/>
      <c r="AJ9" s="866"/>
      <c r="AK9" s="866"/>
      <c r="AL9" s="866"/>
      <c r="AM9" s="866"/>
      <c r="AN9" s="866"/>
      <c r="AO9" s="866"/>
      <c r="AP9" s="866"/>
      <c r="AQ9" s="866"/>
      <c r="AR9" s="866"/>
      <c r="AS9" s="866"/>
      <c r="AT9" s="866"/>
      <c r="AU9" s="866"/>
      <c r="AV9" s="866"/>
      <c r="AW9" s="866"/>
      <c r="AX9" s="866"/>
      <c r="AY9" s="866"/>
      <c r="AZ9" s="866"/>
      <c r="BA9" s="866"/>
      <c r="BB9" s="866"/>
      <c r="BC9" s="866"/>
      <c r="BD9" s="866"/>
      <c r="BE9" s="866"/>
      <c r="BF9" s="866"/>
      <c r="BG9" s="866"/>
      <c r="BH9" s="866"/>
      <c r="BI9" s="866"/>
      <c r="BJ9" s="866"/>
      <c r="BK9" s="866"/>
      <c r="BL9" s="866"/>
      <c r="BM9" s="866"/>
      <c r="BN9" s="866"/>
      <c r="BO9" s="866"/>
      <c r="BP9" s="866"/>
      <c r="BQ9" s="866"/>
      <c r="BR9" s="866"/>
      <c r="BS9" s="866"/>
      <c r="BT9" s="866"/>
      <c r="BU9" s="866"/>
      <c r="BV9" s="866"/>
      <c r="BW9" s="866"/>
      <c r="BX9" s="866"/>
      <c r="BY9" s="866"/>
      <c r="BZ9" s="866"/>
      <c r="CA9" s="866"/>
      <c r="CB9" s="866"/>
      <c r="CC9" s="866"/>
      <c r="CD9" s="866"/>
      <c r="CE9" s="866"/>
      <c r="CF9" s="866"/>
      <c r="CG9" s="866"/>
      <c r="CH9" s="866"/>
      <c r="CI9" s="866"/>
      <c r="CJ9" s="866"/>
      <c r="CK9" s="866"/>
      <c r="CL9" s="866"/>
      <c r="CM9" s="866"/>
      <c r="CN9" s="866"/>
      <c r="CO9" s="866"/>
      <c r="CP9" s="866"/>
      <c r="CQ9" s="866"/>
      <c r="CR9" s="866"/>
      <c r="CS9" s="866"/>
      <c r="CT9" s="866"/>
      <c r="CU9" s="866"/>
      <c r="CV9" s="866"/>
      <c r="CW9" s="866"/>
      <c r="CX9" s="866"/>
      <c r="CY9" s="866"/>
      <c r="CZ9" s="866"/>
      <c r="DA9" s="866"/>
      <c r="DB9" s="866"/>
      <c r="DC9" s="866"/>
      <c r="DD9" s="866"/>
      <c r="DE9" s="866"/>
      <c r="DF9" s="866"/>
      <c r="DG9" s="866"/>
      <c r="DH9" s="866"/>
      <c r="DI9" s="866"/>
      <c r="DJ9" s="866"/>
      <c r="DK9" s="866"/>
      <c r="DL9" s="866"/>
      <c r="DM9" s="866"/>
      <c r="DN9" s="866"/>
      <c r="DO9" s="866"/>
      <c r="DP9" s="866"/>
      <c r="DQ9" s="866"/>
      <c r="DR9" s="866"/>
      <c r="DS9" s="866"/>
      <c r="DT9" s="866"/>
      <c r="DU9" s="866"/>
      <c r="DV9" s="866"/>
      <c r="DW9" s="866"/>
      <c r="DX9" s="866"/>
      <c r="DY9" s="866"/>
      <c r="DZ9" s="866"/>
      <c r="EA9" s="866"/>
      <c r="EB9" s="866"/>
      <c r="EC9" s="866"/>
      <c r="ED9" s="866"/>
      <c r="EE9" s="866"/>
      <c r="EF9" s="866"/>
      <c r="EG9" s="866"/>
      <c r="EH9" s="866"/>
      <c r="EI9" s="866"/>
      <c r="EJ9" s="866"/>
      <c r="EK9" s="866"/>
      <c r="EL9" s="866"/>
      <c r="EM9" s="866"/>
      <c r="EN9" s="866"/>
      <c r="EO9" s="866"/>
      <c r="EP9" s="866"/>
      <c r="EQ9" s="866"/>
      <c r="ER9" s="866"/>
      <c r="ES9" s="866"/>
      <c r="ET9" s="866"/>
      <c r="EU9" s="866"/>
      <c r="EV9" s="866"/>
      <c r="EW9" s="866"/>
      <c r="EX9" s="866"/>
      <c r="EY9" s="866"/>
      <c r="EZ9" s="866"/>
      <c r="FA9" s="866"/>
      <c r="FB9" s="866"/>
      <c r="FC9" s="866"/>
      <c r="FD9" s="866"/>
      <c r="FE9" s="866"/>
      <c r="FF9" s="866"/>
      <c r="FG9" s="866"/>
      <c r="FH9" s="866"/>
      <c r="FI9" s="866"/>
      <c r="FJ9" s="866"/>
      <c r="FK9" s="866"/>
      <c r="FL9" s="866"/>
      <c r="FM9" s="866"/>
      <c r="FN9" s="866"/>
      <c r="FO9" s="866"/>
      <c r="FP9" s="866"/>
      <c r="FQ9" s="866"/>
      <c r="FR9" s="866"/>
      <c r="FS9" s="866"/>
      <c r="FT9" s="866"/>
      <c r="FU9" s="866"/>
      <c r="FV9" s="866"/>
      <c r="FW9" s="866"/>
      <c r="FX9" s="866"/>
      <c r="FY9" s="866"/>
      <c r="FZ9" s="866"/>
      <c r="GA9" s="866"/>
      <c r="GB9" s="866"/>
      <c r="GC9" s="866"/>
      <c r="GD9" s="866"/>
      <c r="GE9" s="866"/>
      <c r="GF9" s="866"/>
      <c r="GG9" s="866"/>
      <c r="GH9" s="866"/>
      <c r="GI9" s="866"/>
      <c r="GJ9" s="866"/>
      <c r="GK9" s="866"/>
      <c r="GL9" s="866"/>
      <c r="GM9" s="866"/>
      <c r="GN9" s="866"/>
      <c r="GO9" s="866"/>
      <c r="GP9" s="866"/>
      <c r="GQ9" s="866"/>
      <c r="GR9" s="866"/>
      <c r="GS9" s="866"/>
      <c r="GT9" s="866"/>
      <c r="GU9" s="866"/>
      <c r="GV9" s="866"/>
      <c r="GW9" s="866"/>
      <c r="GX9" s="866"/>
      <c r="GY9" s="866"/>
      <c r="GZ9" s="866"/>
      <c r="HA9" s="866"/>
      <c r="HB9" s="866"/>
      <c r="HC9" s="866"/>
      <c r="HD9" s="866"/>
      <c r="HE9" s="866"/>
      <c r="HF9" s="866"/>
      <c r="HG9" s="866"/>
      <c r="HH9" s="866"/>
      <c r="HI9" s="866"/>
      <c r="HJ9" s="866"/>
      <c r="HK9" s="866"/>
      <c r="HL9" s="866"/>
      <c r="HM9" s="866"/>
      <c r="HN9" s="866"/>
      <c r="HO9" s="866"/>
      <c r="HP9" s="866"/>
      <c r="HQ9" s="866"/>
      <c r="HR9" s="866"/>
      <c r="HS9" s="866"/>
      <c r="HT9" s="866"/>
      <c r="HU9" s="866"/>
      <c r="HV9" s="866"/>
      <c r="HW9" s="866"/>
      <c r="HX9" s="866"/>
      <c r="HY9" s="866"/>
      <c r="HZ9" s="866"/>
      <c r="IA9" s="866"/>
      <c r="IB9" s="866"/>
      <c r="IC9" s="866"/>
      <c r="ID9" s="866"/>
      <c r="IE9" s="866"/>
      <c r="IF9" s="866"/>
      <c r="IG9" s="866"/>
      <c r="IH9" s="866"/>
      <c r="II9" s="866"/>
      <c r="IJ9" s="866"/>
      <c r="IK9" s="866"/>
      <c r="IL9" s="866"/>
      <c r="IM9" s="866"/>
      <c r="IN9" s="866"/>
      <c r="IO9" s="866"/>
      <c r="IP9" s="866"/>
      <c r="IQ9" s="866"/>
      <c r="IR9" s="866"/>
      <c r="IS9" s="866"/>
      <c r="IT9" s="866"/>
      <c r="IU9" s="866"/>
      <c r="IV9" s="866"/>
    </row>
    <row r="10" spans="1:256" ht="18">
      <c r="A10" s="882" t="s">
        <v>367</v>
      </c>
      <c r="B10" s="862"/>
      <c r="C10" s="862"/>
      <c r="D10" s="1770" t="s">
        <v>1565</v>
      </c>
      <c r="E10" s="862"/>
      <c r="F10" s="1327" t="s">
        <v>243</v>
      </c>
      <c r="G10" s="862"/>
      <c r="H10" s="1327" t="s">
        <v>244</v>
      </c>
      <c r="I10" s="862"/>
      <c r="J10" s="1327" t="s">
        <v>245</v>
      </c>
      <c r="K10" s="862"/>
      <c r="L10" s="1770" t="s">
        <v>1563</v>
      </c>
      <c r="M10" s="864"/>
      <c r="N10" s="866"/>
      <c r="O10" s="866"/>
      <c r="P10" s="866"/>
      <c r="Q10" s="866"/>
      <c r="R10" s="866"/>
      <c r="S10" s="866"/>
      <c r="T10" s="866"/>
      <c r="U10" s="866"/>
      <c r="V10" s="866"/>
      <c r="W10" s="866"/>
      <c r="X10" s="866"/>
      <c r="Y10" s="866"/>
      <c r="Z10" s="866"/>
      <c r="AA10" s="866"/>
      <c r="AB10" s="866"/>
      <c r="AC10" s="866"/>
      <c r="AD10" s="866"/>
      <c r="AE10" s="866"/>
      <c r="AF10" s="866"/>
      <c r="AG10" s="866"/>
      <c r="AH10" s="866"/>
      <c r="AI10" s="866"/>
      <c r="AJ10" s="866"/>
      <c r="AK10" s="866"/>
      <c r="AL10" s="866"/>
      <c r="AM10" s="866"/>
      <c r="AN10" s="866"/>
      <c r="AO10" s="866"/>
      <c r="AP10" s="866"/>
      <c r="AQ10" s="866"/>
      <c r="AR10" s="866"/>
      <c r="AS10" s="866"/>
      <c r="AT10" s="866"/>
      <c r="AU10" s="866"/>
      <c r="AV10" s="866"/>
      <c r="AW10" s="866"/>
      <c r="AX10" s="866"/>
      <c r="AY10" s="866"/>
      <c r="AZ10" s="866"/>
      <c r="BA10" s="866"/>
      <c r="BB10" s="866"/>
      <c r="BC10" s="866"/>
      <c r="BD10" s="866"/>
      <c r="BE10" s="866"/>
      <c r="BF10" s="866"/>
      <c r="BG10" s="866"/>
      <c r="BH10" s="866"/>
      <c r="BI10" s="866"/>
      <c r="BJ10" s="866"/>
      <c r="BK10" s="866"/>
      <c r="BL10" s="866"/>
      <c r="BM10" s="866"/>
      <c r="BN10" s="866"/>
      <c r="BO10" s="866"/>
      <c r="BP10" s="866"/>
      <c r="BQ10" s="866"/>
      <c r="BR10" s="866"/>
      <c r="BS10" s="866"/>
      <c r="BT10" s="866"/>
      <c r="BU10" s="866"/>
      <c r="BV10" s="866"/>
      <c r="BW10" s="866"/>
      <c r="BX10" s="866"/>
      <c r="BY10" s="866"/>
      <c r="BZ10" s="866"/>
      <c r="CA10" s="866"/>
      <c r="CB10" s="866"/>
      <c r="CC10" s="866"/>
      <c r="CD10" s="866"/>
      <c r="CE10" s="866"/>
      <c r="CF10" s="866"/>
      <c r="CG10" s="866"/>
      <c r="CH10" s="866"/>
      <c r="CI10" s="866"/>
      <c r="CJ10" s="866"/>
      <c r="CK10" s="866"/>
      <c r="CL10" s="866"/>
      <c r="CM10" s="866"/>
      <c r="CN10" s="866"/>
      <c r="CO10" s="866"/>
      <c r="CP10" s="866"/>
      <c r="CQ10" s="866"/>
      <c r="CR10" s="866"/>
      <c r="CS10" s="866"/>
      <c r="CT10" s="866"/>
      <c r="CU10" s="866"/>
      <c r="CV10" s="866"/>
      <c r="CW10" s="866"/>
      <c r="CX10" s="866"/>
      <c r="CY10" s="866"/>
      <c r="CZ10" s="866"/>
      <c r="DA10" s="866"/>
      <c r="DB10" s="866"/>
      <c r="DC10" s="866"/>
      <c r="DD10" s="866"/>
      <c r="DE10" s="866"/>
      <c r="DF10" s="866"/>
      <c r="DG10" s="866"/>
      <c r="DH10" s="866"/>
      <c r="DI10" s="866"/>
      <c r="DJ10" s="866"/>
      <c r="DK10" s="866"/>
      <c r="DL10" s="866"/>
      <c r="DM10" s="866"/>
      <c r="DN10" s="866"/>
      <c r="DO10" s="866"/>
      <c r="DP10" s="866"/>
      <c r="DQ10" s="866"/>
      <c r="DR10" s="866"/>
      <c r="DS10" s="866"/>
      <c r="DT10" s="866"/>
      <c r="DU10" s="866"/>
      <c r="DV10" s="866"/>
      <c r="DW10" s="866"/>
      <c r="DX10" s="866"/>
      <c r="DY10" s="866"/>
      <c r="DZ10" s="866"/>
      <c r="EA10" s="866"/>
      <c r="EB10" s="866"/>
      <c r="EC10" s="866"/>
      <c r="ED10" s="866"/>
      <c r="EE10" s="866"/>
      <c r="EF10" s="866"/>
      <c r="EG10" s="866"/>
      <c r="EH10" s="866"/>
      <c r="EI10" s="866"/>
      <c r="EJ10" s="866"/>
      <c r="EK10" s="866"/>
      <c r="EL10" s="866"/>
      <c r="EM10" s="866"/>
      <c r="EN10" s="866"/>
      <c r="EO10" s="866"/>
      <c r="EP10" s="866"/>
      <c r="EQ10" s="866"/>
      <c r="ER10" s="866"/>
      <c r="ES10" s="866"/>
      <c r="ET10" s="866"/>
      <c r="EU10" s="866"/>
      <c r="EV10" s="866"/>
      <c r="EW10" s="866"/>
      <c r="EX10" s="866"/>
      <c r="EY10" s="866"/>
      <c r="EZ10" s="866"/>
      <c r="FA10" s="866"/>
      <c r="FB10" s="866"/>
      <c r="FC10" s="866"/>
      <c r="FD10" s="866"/>
      <c r="FE10" s="866"/>
      <c r="FF10" s="866"/>
      <c r="FG10" s="866"/>
      <c r="FH10" s="866"/>
      <c r="FI10" s="866"/>
      <c r="FJ10" s="866"/>
      <c r="FK10" s="866"/>
      <c r="FL10" s="866"/>
      <c r="FM10" s="866"/>
      <c r="FN10" s="866"/>
      <c r="FO10" s="866"/>
      <c r="FP10" s="866"/>
      <c r="FQ10" s="866"/>
      <c r="FR10" s="866"/>
      <c r="FS10" s="866"/>
      <c r="FT10" s="866"/>
      <c r="FU10" s="866"/>
      <c r="FV10" s="866"/>
      <c r="FW10" s="866"/>
      <c r="FX10" s="866"/>
      <c r="FY10" s="866"/>
      <c r="FZ10" s="866"/>
      <c r="GA10" s="866"/>
      <c r="GB10" s="866"/>
      <c r="GC10" s="866"/>
      <c r="GD10" s="866"/>
      <c r="GE10" s="866"/>
      <c r="GF10" s="866"/>
      <c r="GG10" s="866"/>
      <c r="GH10" s="866"/>
      <c r="GI10" s="866"/>
      <c r="GJ10" s="866"/>
      <c r="GK10" s="866"/>
      <c r="GL10" s="866"/>
      <c r="GM10" s="866"/>
      <c r="GN10" s="866"/>
      <c r="GO10" s="866"/>
      <c r="GP10" s="866"/>
      <c r="GQ10" s="866"/>
      <c r="GR10" s="866"/>
      <c r="GS10" s="866"/>
      <c r="GT10" s="866"/>
      <c r="GU10" s="866"/>
      <c r="GV10" s="866"/>
      <c r="GW10" s="866"/>
      <c r="GX10" s="866"/>
      <c r="GY10" s="866"/>
      <c r="GZ10" s="866"/>
      <c r="HA10" s="866"/>
      <c r="HB10" s="866"/>
      <c r="HC10" s="866"/>
      <c r="HD10" s="866"/>
      <c r="HE10" s="866"/>
      <c r="HF10" s="866"/>
      <c r="HG10" s="866"/>
      <c r="HH10" s="866"/>
      <c r="HI10" s="866"/>
      <c r="HJ10" s="866"/>
      <c r="HK10" s="866"/>
      <c r="HL10" s="866"/>
      <c r="HM10" s="866"/>
      <c r="HN10" s="866"/>
      <c r="HO10" s="866"/>
      <c r="HP10" s="866"/>
      <c r="HQ10" s="866"/>
      <c r="HR10" s="866"/>
      <c r="HS10" s="866"/>
      <c r="HT10" s="866"/>
      <c r="HU10" s="866"/>
      <c r="HV10" s="866"/>
      <c r="HW10" s="866"/>
      <c r="HX10" s="866"/>
      <c r="HY10" s="866"/>
      <c r="HZ10" s="866"/>
      <c r="IA10" s="866"/>
      <c r="IB10" s="866"/>
      <c r="IC10" s="866"/>
      <c r="ID10" s="866"/>
      <c r="IE10" s="866"/>
      <c r="IF10" s="866"/>
      <c r="IG10" s="866"/>
      <c r="IH10" s="866"/>
      <c r="II10" s="866"/>
      <c r="IJ10" s="866"/>
      <c r="IK10" s="866"/>
      <c r="IL10" s="866"/>
      <c r="IM10" s="866"/>
      <c r="IN10" s="866"/>
      <c r="IO10" s="866"/>
      <c r="IP10" s="866"/>
      <c r="IQ10" s="866"/>
      <c r="IR10" s="866"/>
      <c r="IS10" s="866"/>
      <c r="IT10" s="866"/>
      <c r="IU10" s="866"/>
      <c r="IV10" s="866"/>
    </row>
    <row r="11" spans="1:256" ht="9.75" customHeight="1">
      <c r="A11" s="862" t="s">
        <v>15</v>
      </c>
      <c r="B11" s="862"/>
      <c r="C11" s="862"/>
      <c r="D11" s="1328" t="s">
        <v>15</v>
      </c>
      <c r="E11" s="862"/>
      <c r="F11" s="1328" t="s">
        <v>15</v>
      </c>
      <c r="G11" s="862"/>
      <c r="H11" s="1328" t="s">
        <v>15</v>
      </c>
      <c r="I11" s="862"/>
      <c r="J11" s="1328" t="s">
        <v>15</v>
      </c>
      <c r="K11" s="862" t="s">
        <v>15</v>
      </c>
      <c r="L11" s="1328" t="s">
        <v>15</v>
      </c>
      <c r="M11" s="864"/>
      <c r="N11" s="866"/>
      <c r="O11" s="866"/>
      <c r="P11" s="866"/>
      <c r="Q11" s="866"/>
      <c r="R11" s="866"/>
      <c r="S11" s="866"/>
      <c r="T11" s="866"/>
      <c r="U11" s="866"/>
      <c r="V11" s="866"/>
      <c r="W11" s="866"/>
      <c r="X11" s="866"/>
      <c r="Y11" s="866"/>
      <c r="Z11" s="866"/>
      <c r="AA11" s="866"/>
      <c r="AB11" s="866"/>
      <c r="AC11" s="866"/>
      <c r="AD11" s="866"/>
      <c r="AE11" s="866"/>
      <c r="AF11" s="866"/>
      <c r="AG11" s="866"/>
      <c r="AH11" s="866"/>
      <c r="AI11" s="866"/>
      <c r="AJ11" s="866"/>
      <c r="AK11" s="866"/>
      <c r="AL11" s="866"/>
      <c r="AM11" s="866"/>
      <c r="AN11" s="866"/>
      <c r="AO11" s="866"/>
      <c r="AP11" s="866"/>
      <c r="AQ11" s="866"/>
      <c r="AR11" s="866"/>
      <c r="AS11" s="866"/>
      <c r="AT11" s="866"/>
      <c r="AU11" s="866"/>
      <c r="AV11" s="866"/>
      <c r="AW11" s="866"/>
      <c r="AX11" s="866"/>
      <c r="AY11" s="866"/>
      <c r="AZ11" s="866"/>
      <c r="BA11" s="866"/>
      <c r="BB11" s="866"/>
      <c r="BC11" s="866"/>
      <c r="BD11" s="866"/>
      <c r="BE11" s="866"/>
      <c r="BF11" s="866"/>
      <c r="BG11" s="866"/>
      <c r="BH11" s="866"/>
      <c r="BI11" s="866"/>
      <c r="BJ11" s="866"/>
      <c r="BK11" s="866"/>
      <c r="BL11" s="866"/>
      <c r="BM11" s="866"/>
      <c r="BN11" s="866"/>
      <c r="BO11" s="866"/>
      <c r="BP11" s="866"/>
      <c r="BQ11" s="866"/>
      <c r="BR11" s="866"/>
      <c r="BS11" s="866"/>
      <c r="BT11" s="866"/>
      <c r="BU11" s="866"/>
      <c r="BV11" s="866"/>
      <c r="BW11" s="866"/>
      <c r="BX11" s="866"/>
      <c r="BY11" s="866"/>
      <c r="BZ11" s="866"/>
      <c r="CA11" s="866"/>
      <c r="CB11" s="866"/>
      <c r="CC11" s="866"/>
      <c r="CD11" s="866"/>
      <c r="CE11" s="866"/>
      <c r="CF11" s="866"/>
      <c r="CG11" s="866"/>
      <c r="CH11" s="866"/>
      <c r="CI11" s="866"/>
      <c r="CJ11" s="866"/>
      <c r="CK11" s="866"/>
      <c r="CL11" s="866"/>
      <c r="CM11" s="866"/>
      <c r="CN11" s="866"/>
      <c r="CO11" s="866"/>
      <c r="CP11" s="866"/>
      <c r="CQ11" s="866"/>
      <c r="CR11" s="866"/>
      <c r="CS11" s="866"/>
      <c r="CT11" s="866"/>
      <c r="CU11" s="866"/>
      <c r="CV11" s="866"/>
      <c r="CW11" s="866"/>
      <c r="CX11" s="866"/>
      <c r="CY11" s="866"/>
      <c r="CZ11" s="866"/>
      <c r="DA11" s="866"/>
      <c r="DB11" s="866"/>
      <c r="DC11" s="866"/>
      <c r="DD11" s="866"/>
      <c r="DE11" s="866"/>
      <c r="DF11" s="866"/>
      <c r="DG11" s="866"/>
      <c r="DH11" s="866"/>
      <c r="DI11" s="866"/>
      <c r="DJ11" s="866"/>
      <c r="DK11" s="866"/>
      <c r="DL11" s="866"/>
      <c r="DM11" s="866"/>
      <c r="DN11" s="866"/>
      <c r="DO11" s="866"/>
      <c r="DP11" s="866"/>
      <c r="DQ11" s="866"/>
      <c r="DR11" s="866"/>
      <c r="DS11" s="866"/>
      <c r="DT11" s="866"/>
      <c r="DU11" s="866"/>
      <c r="DV11" s="866"/>
      <c r="DW11" s="866"/>
      <c r="DX11" s="866"/>
      <c r="DY11" s="866"/>
      <c r="DZ11" s="866"/>
      <c r="EA11" s="866"/>
      <c r="EB11" s="866"/>
      <c r="EC11" s="866"/>
      <c r="ED11" s="866"/>
      <c r="EE11" s="866"/>
      <c r="EF11" s="866"/>
      <c r="EG11" s="866"/>
      <c r="EH11" s="866"/>
      <c r="EI11" s="866"/>
      <c r="EJ11" s="866"/>
      <c r="EK11" s="866"/>
      <c r="EL11" s="866"/>
      <c r="EM11" s="866"/>
      <c r="EN11" s="866"/>
      <c r="EO11" s="866"/>
      <c r="EP11" s="866"/>
      <c r="EQ11" s="866"/>
      <c r="ER11" s="866"/>
      <c r="ES11" s="866"/>
      <c r="ET11" s="866"/>
      <c r="EU11" s="866"/>
      <c r="EV11" s="866"/>
      <c r="EW11" s="866"/>
      <c r="EX11" s="866"/>
      <c r="EY11" s="866"/>
      <c r="EZ11" s="866"/>
      <c r="FA11" s="866"/>
      <c r="FB11" s="866"/>
      <c r="FC11" s="866"/>
      <c r="FD11" s="866"/>
      <c r="FE11" s="866"/>
      <c r="FF11" s="866"/>
      <c r="FG11" s="866"/>
      <c r="FH11" s="866"/>
      <c r="FI11" s="866"/>
      <c r="FJ11" s="866"/>
      <c r="FK11" s="866"/>
      <c r="FL11" s="866"/>
      <c r="FM11" s="866"/>
      <c r="FN11" s="866"/>
      <c r="FO11" s="866"/>
      <c r="FP11" s="866"/>
      <c r="FQ11" s="866"/>
      <c r="FR11" s="866"/>
      <c r="FS11" s="866"/>
      <c r="FT11" s="866"/>
      <c r="FU11" s="866"/>
      <c r="FV11" s="866"/>
      <c r="FW11" s="866"/>
      <c r="FX11" s="866"/>
      <c r="FY11" s="866"/>
      <c r="FZ11" s="866"/>
      <c r="GA11" s="866"/>
      <c r="GB11" s="866"/>
      <c r="GC11" s="866"/>
      <c r="GD11" s="866"/>
      <c r="GE11" s="866"/>
      <c r="GF11" s="866"/>
      <c r="GG11" s="866"/>
      <c r="GH11" s="866"/>
      <c r="GI11" s="866"/>
      <c r="GJ11" s="866"/>
      <c r="GK11" s="866"/>
      <c r="GL11" s="866"/>
      <c r="GM11" s="866"/>
      <c r="GN11" s="866"/>
      <c r="GO11" s="866"/>
      <c r="GP11" s="866"/>
      <c r="GQ11" s="866"/>
      <c r="GR11" s="866"/>
      <c r="GS11" s="866"/>
      <c r="GT11" s="866"/>
      <c r="GU11" s="866"/>
      <c r="GV11" s="866"/>
      <c r="GW11" s="866"/>
      <c r="GX11" s="866"/>
      <c r="GY11" s="866"/>
      <c r="GZ11" s="866"/>
      <c r="HA11" s="866"/>
      <c r="HB11" s="866"/>
      <c r="HC11" s="866"/>
      <c r="HD11" s="866"/>
      <c r="HE11" s="866"/>
      <c r="HF11" s="866"/>
      <c r="HG11" s="866"/>
      <c r="HH11" s="866"/>
      <c r="HI11" s="866"/>
      <c r="HJ11" s="866"/>
      <c r="HK11" s="866"/>
      <c r="HL11" s="866"/>
      <c r="HM11" s="866"/>
      <c r="HN11" s="866"/>
      <c r="HO11" s="866"/>
      <c r="HP11" s="866"/>
      <c r="HQ11" s="866"/>
      <c r="HR11" s="866"/>
      <c r="HS11" s="866"/>
      <c r="HT11" s="866"/>
      <c r="HU11" s="866"/>
      <c r="HV11" s="866"/>
      <c r="HW11" s="866"/>
      <c r="HX11" s="866"/>
      <c r="HY11" s="866"/>
      <c r="HZ11" s="866"/>
      <c r="IA11" s="866"/>
      <c r="IB11" s="866"/>
      <c r="IC11" s="866"/>
      <c r="ID11" s="866"/>
      <c r="IE11" s="866"/>
      <c r="IF11" s="866"/>
      <c r="IG11" s="866"/>
      <c r="IH11" s="866"/>
      <c r="II11" s="866"/>
      <c r="IJ11" s="866"/>
      <c r="IK11" s="866"/>
      <c r="IL11" s="866"/>
      <c r="IM11" s="866"/>
      <c r="IN11" s="866"/>
      <c r="IO11" s="866"/>
      <c r="IP11" s="866"/>
      <c r="IQ11" s="866"/>
      <c r="IR11" s="866"/>
      <c r="IS11" s="866"/>
      <c r="IT11" s="866"/>
      <c r="IU11" s="866"/>
      <c r="IV11" s="866"/>
    </row>
    <row r="12" spans="1:256" ht="18" customHeight="1">
      <c r="A12" s="869" t="s">
        <v>230</v>
      </c>
      <c r="B12" s="866"/>
      <c r="C12" s="866"/>
      <c r="D12" s="1329"/>
      <c r="E12" s="1329"/>
      <c r="F12" s="885"/>
      <c r="G12" s="834"/>
      <c r="H12" s="885"/>
      <c r="I12" s="1329"/>
      <c r="J12" s="1329"/>
      <c r="K12" s="1329"/>
      <c r="L12" s="1329"/>
      <c r="M12" s="870"/>
      <c r="N12" s="871"/>
      <c r="O12" s="872"/>
      <c r="P12" s="872"/>
      <c r="Q12" s="866"/>
      <c r="R12" s="866"/>
      <c r="S12" s="866"/>
      <c r="T12" s="866"/>
      <c r="U12" s="866"/>
      <c r="V12" s="866"/>
      <c r="W12" s="866"/>
      <c r="X12" s="866"/>
      <c r="Y12" s="866"/>
      <c r="Z12" s="866"/>
      <c r="AA12" s="866"/>
      <c r="AB12" s="866"/>
      <c r="AC12" s="866"/>
      <c r="AD12" s="866"/>
      <c r="AE12" s="866"/>
      <c r="AF12" s="866"/>
      <c r="AG12" s="866"/>
      <c r="AH12" s="866"/>
      <c r="AI12" s="866"/>
      <c r="AJ12" s="866"/>
      <c r="AK12" s="866"/>
      <c r="AL12" s="866"/>
      <c r="AM12" s="866"/>
      <c r="AN12" s="866"/>
      <c r="AO12" s="866"/>
      <c r="AP12" s="866"/>
      <c r="AQ12" s="866"/>
      <c r="AR12" s="866"/>
      <c r="AS12" s="866"/>
      <c r="AT12" s="866"/>
      <c r="AU12" s="866"/>
      <c r="AV12" s="866"/>
      <c r="AW12" s="866"/>
      <c r="AX12" s="866"/>
      <c r="AY12" s="866"/>
      <c r="AZ12" s="866"/>
      <c r="BA12" s="866"/>
      <c r="BB12" s="866"/>
      <c r="BC12" s="866"/>
      <c r="BD12" s="866"/>
      <c r="BE12" s="866"/>
      <c r="BF12" s="866"/>
      <c r="BG12" s="866"/>
      <c r="BH12" s="866"/>
      <c r="BI12" s="866"/>
      <c r="BJ12" s="866"/>
      <c r="BK12" s="866"/>
      <c r="BL12" s="866"/>
      <c r="BM12" s="866"/>
      <c r="BN12" s="866"/>
      <c r="BO12" s="866"/>
      <c r="BP12" s="866"/>
      <c r="BQ12" s="866"/>
      <c r="BR12" s="866"/>
      <c r="BS12" s="866"/>
      <c r="BT12" s="866"/>
      <c r="BU12" s="866"/>
      <c r="BV12" s="866"/>
      <c r="BW12" s="866"/>
      <c r="BX12" s="866"/>
      <c r="BY12" s="866"/>
      <c r="BZ12" s="866"/>
      <c r="CA12" s="866"/>
      <c r="CB12" s="866"/>
      <c r="CC12" s="866"/>
      <c r="CD12" s="866"/>
      <c r="CE12" s="866"/>
      <c r="CF12" s="866"/>
      <c r="CG12" s="866"/>
      <c r="CH12" s="866"/>
      <c r="CI12" s="866"/>
      <c r="CJ12" s="866"/>
      <c r="CK12" s="866"/>
      <c r="CL12" s="866"/>
      <c r="CM12" s="866"/>
      <c r="CN12" s="866"/>
      <c r="CO12" s="866"/>
      <c r="CP12" s="866"/>
      <c r="CQ12" s="866"/>
      <c r="CR12" s="866"/>
      <c r="CS12" s="866"/>
      <c r="CT12" s="866"/>
      <c r="CU12" s="866"/>
      <c r="CV12" s="866"/>
      <c r="CW12" s="866"/>
      <c r="CX12" s="866"/>
      <c r="CY12" s="866"/>
      <c r="CZ12" s="866"/>
      <c r="DA12" s="866"/>
      <c r="DB12" s="866"/>
      <c r="DC12" s="866"/>
      <c r="DD12" s="866"/>
      <c r="DE12" s="866"/>
      <c r="DF12" s="866"/>
      <c r="DG12" s="866"/>
      <c r="DH12" s="866"/>
      <c r="DI12" s="866"/>
      <c r="DJ12" s="866"/>
      <c r="DK12" s="866"/>
      <c r="DL12" s="866"/>
      <c r="DM12" s="866"/>
      <c r="DN12" s="866"/>
      <c r="DO12" s="866"/>
      <c r="DP12" s="866"/>
      <c r="DQ12" s="866"/>
      <c r="DR12" s="866"/>
      <c r="DS12" s="866"/>
      <c r="DT12" s="866"/>
      <c r="DU12" s="866"/>
      <c r="DV12" s="866"/>
      <c r="DW12" s="866"/>
      <c r="DX12" s="866"/>
      <c r="DY12" s="866"/>
      <c r="DZ12" s="866"/>
      <c r="EA12" s="866"/>
      <c r="EB12" s="866"/>
      <c r="EC12" s="866"/>
      <c r="ED12" s="866"/>
      <c r="EE12" s="866"/>
      <c r="EF12" s="866"/>
      <c r="EG12" s="866"/>
      <c r="EH12" s="866"/>
      <c r="EI12" s="866"/>
      <c r="EJ12" s="866"/>
      <c r="EK12" s="866"/>
      <c r="EL12" s="866"/>
      <c r="EM12" s="866"/>
      <c r="EN12" s="866"/>
      <c r="EO12" s="866"/>
      <c r="EP12" s="866"/>
      <c r="EQ12" s="866"/>
      <c r="ER12" s="866"/>
      <c r="ES12" s="866"/>
      <c r="ET12" s="866"/>
      <c r="EU12" s="866"/>
      <c r="EV12" s="866"/>
      <c r="EW12" s="866"/>
      <c r="EX12" s="866"/>
      <c r="EY12" s="866"/>
      <c r="EZ12" s="866"/>
      <c r="FA12" s="866"/>
      <c r="FB12" s="866"/>
      <c r="FC12" s="866"/>
      <c r="FD12" s="866"/>
      <c r="FE12" s="866"/>
      <c r="FF12" s="866"/>
      <c r="FG12" s="866"/>
      <c r="FH12" s="866"/>
      <c r="FI12" s="866"/>
      <c r="FJ12" s="866"/>
      <c r="FK12" s="866"/>
      <c r="FL12" s="866"/>
      <c r="FM12" s="866"/>
      <c r="FN12" s="866"/>
      <c r="FO12" s="866"/>
      <c r="FP12" s="866"/>
      <c r="FQ12" s="866"/>
      <c r="FR12" s="866"/>
      <c r="FS12" s="866"/>
      <c r="FT12" s="866"/>
      <c r="FU12" s="866"/>
      <c r="FV12" s="866"/>
      <c r="FW12" s="866"/>
      <c r="FX12" s="866"/>
      <c r="FY12" s="866"/>
      <c r="FZ12" s="866"/>
      <c r="GA12" s="866"/>
      <c r="GB12" s="866"/>
      <c r="GC12" s="866"/>
      <c r="GD12" s="866"/>
      <c r="GE12" s="866"/>
      <c r="GF12" s="866"/>
      <c r="GG12" s="866"/>
      <c r="GH12" s="866"/>
      <c r="GI12" s="866"/>
      <c r="GJ12" s="866"/>
      <c r="GK12" s="866"/>
      <c r="GL12" s="866"/>
      <c r="GM12" s="866"/>
      <c r="GN12" s="866"/>
      <c r="GO12" s="866"/>
      <c r="GP12" s="866"/>
      <c r="GQ12" s="866"/>
      <c r="GR12" s="866"/>
      <c r="GS12" s="866"/>
      <c r="GT12" s="866"/>
      <c r="GU12" s="866"/>
      <c r="GV12" s="866"/>
      <c r="GW12" s="866"/>
      <c r="GX12" s="866"/>
      <c r="GY12" s="866"/>
      <c r="GZ12" s="866"/>
      <c r="HA12" s="866"/>
      <c r="HB12" s="866"/>
      <c r="HC12" s="866"/>
      <c r="HD12" s="866"/>
      <c r="HE12" s="866"/>
      <c r="HF12" s="866"/>
      <c r="HG12" s="866"/>
      <c r="HH12" s="866"/>
      <c r="HI12" s="866"/>
      <c r="HJ12" s="866"/>
      <c r="HK12" s="866"/>
      <c r="HL12" s="866"/>
      <c r="HM12" s="866"/>
      <c r="HN12" s="866"/>
      <c r="HO12" s="866"/>
      <c r="HP12" s="866"/>
      <c r="HQ12" s="866"/>
      <c r="HR12" s="866"/>
      <c r="HS12" s="866"/>
      <c r="HT12" s="866"/>
      <c r="HU12" s="866"/>
      <c r="HV12" s="866"/>
      <c r="HW12" s="866"/>
      <c r="HX12" s="866"/>
      <c r="HY12" s="866"/>
      <c r="HZ12" s="866"/>
      <c r="IA12" s="866"/>
      <c r="IB12" s="866"/>
      <c r="IC12" s="866"/>
      <c r="ID12" s="866"/>
      <c r="IE12" s="866"/>
      <c r="IF12" s="866"/>
      <c r="IG12" s="866"/>
      <c r="IH12" s="866"/>
      <c r="II12" s="866"/>
      <c r="IJ12" s="866"/>
      <c r="IK12" s="866"/>
      <c r="IL12" s="866"/>
      <c r="IM12" s="866"/>
      <c r="IN12" s="866"/>
      <c r="IO12" s="866"/>
      <c r="IP12" s="866"/>
      <c r="IQ12" s="866"/>
      <c r="IR12" s="866"/>
      <c r="IS12" s="866"/>
      <c r="IT12" s="866"/>
      <c r="IU12" s="866"/>
      <c r="IV12" s="866"/>
    </row>
    <row r="13" spans="1:256" ht="7.5" customHeight="1">
      <c r="A13" s="862"/>
      <c r="B13" s="866"/>
      <c r="C13" s="866"/>
      <c r="D13" s="1329"/>
      <c r="E13" s="1329"/>
      <c r="F13" s="1329"/>
      <c r="G13" s="1329"/>
      <c r="H13" s="1329"/>
      <c r="I13" s="1329"/>
      <c r="J13" s="1329"/>
      <c r="K13" s="1329"/>
      <c r="L13" s="1329"/>
      <c r="M13" s="870"/>
      <c r="N13" s="871"/>
      <c r="O13" s="872"/>
      <c r="P13" s="872"/>
      <c r="Q13" s="866"/>
      <c r="R13" s="866"/>
      <c r="S13" s="866"/>
      <c r="T13" s="866"/>
      <c r="U13" s="866"/>
      <c r="V13" s="866"/>
      <c r="W13" s="866"/>
      <c r="X13" s="866"/>
      <c r="Y13" s="866"/>
      <c r="Z13" s="866"/>
      <c r="AA13" s="866"/>
      <c r="AB13" s="866"/>
      <c r="AC13" s="866"/>
      <c r="AD13" s="866"/>
      <c r="AE13" s="866"/>
      <c r="AF13" s="866"/>
      <c r="AG13" s="866"/>
      <c r="AH13" s="866"/>
      <c r="AI13" s="866"/>
      <c r="AJ13" s="866"/>
      <c r="AK13" s="866"/>
      <c r="AL13" s="866"/>
      <c r="AM13" s="866"/>
      <c r="AN13" s="866"/>
      <c r="AO13" s="866"/>
      <c r="AP13" s="866"/>
      <c r="AQ13" s="866"/>
      <c r="AR13" s="866"/>
      <c r="AS13" s="866"/>
      <c r="AT13" s="866"/>
      <c r="AU13" s="866"/>
      <c r="AV13" s="866"/>
      <c r="AW13" s="866"/>
      <c r="AX13" s="866"/>
      <c r="AY13" s="866"/>
      <c r="AZ13" s="866"/>
      <c r="BA13" s="866"/>
      <c r="BB13" s="866"/>
      <c r="BC13" s="866"/>
      <c r="BD13" s="866"/>
      <c r="BE13" s="866"/>
      <c r="BF13" s="866"/>
      <c r="BG13" s="866"/>
      <c r="BH13" s="866"/>
      <c r="BI13" s="866"/>
      <c r="BJ13" s="866"/>
      <c r="BK13" s="866"/>
      <c r="BL13" s="866"/>
      <c r="BM13" s="866"/>
      <c r="BN13" s="866"/>
      <c r="BO13" s="866"/>
      <c r="BP13" s="866"/>
      <c r="BQ13" s="866"/>
      <c r="BR13" s="866"/>
      <c r="BS13" s="866"/>
      <c r="BT13" s="866"/>
      <c r="BU13" s="866"/>
      <c r="BV13" s="866"/>
      <c r="BW13" s="866"/>
      <c r="BX13" s="866"/>
      <c r="BY13" s="866"/>
      <c r="BZ13" s="866"/>
      <c r="CA13" s="866"/>
      <c r="CB13" s="866"/>
      <c r="CC13" s="866"/>
      <c r="CD13" s="866"/>
      <c r="CE13" s="866"/>
      <c r="CF13" s="866"/>
      <c r="CG13" s="866"/>
      <c r="CH13" s="866"/>
      <c r="CI13" s="866"/>
      <c r="CJ13" s="866"/>
      <c r="CK13" s="866"/>
      <c r="CL13" s="866"/>
      <c r="CM13" s="866"/>
      <c r="CN13" s="866"/>
      <c r="CO13" s="866"/>
      <c r="CP13" s="866"/>
      <c r="CQ13" s="866"/>
      <c r="CR13" s="866"/>
      <c r="CS13" s="866"/>
      <c r="CT13" s="866"/>
      <c r="CU13" s="866"/>
      <c r="CV13" s="866"/>
      <c r="CW13" s="866"/>
      <c r="CX13" s="866"/>
      <c r="CY13" s="866"/>
      <c r="CZ13" s="866"/>
      <c r="DA13" s="866"/>
      <c r="DB13" s="866"/>
      <c r="DC13" s="866"/>
      <c r="DD13" s="866"/>
      <c r="DE13" s="866"/>
      <c r="DF13" s="866"/>
      <c r="DG13" s="866"/>
      <c r="DH13" s="866"/>
      <c r="DI13" s="866"/>
      <c r="DJ13" s="866"/>
      <c r="DK13" s="866"/>
      <c r="DL13" s="866"/>
      <c r="DM13" s="866"/>
      <c r="DN13" s="866"/>
      <c r="DO13" s="866"/>
      <c r="DP13" s="866"/>
      <c r="DQ13" s="866"/>
      <c r="DR13" s="866"/>
      <c r="DS13" s="866"/>
      <c r="DT13" s="866"/>
      <c r="DU13" s="866"/>
      <c r="DV13" s="866"/>
      <c r="DW13" s="866"/>
      <c r="DX13" s="866"/>
      <c r="DY13" s="866"/>
      <c r="DZ13" s="866"/>
      <c r="EA13" s="866"/>
      <c r="EB13" s="866"/>
      <c r="EC13" s="866"/>
      <c r="ED13" s="866"/>
      <c r="EE13" s="866"/>
      <c r="EF13" s="866"/>
      <c r="EG13" s="866"/>
      <c r="EH13" s="866"/>
      <c r="EI13" s="866"/>
      <c r="EJ13" s="866"/>
      <c r="EK13" s="866"/>
      <c r="EL13" s="866"/>
      <c r="EM13" s="866"/>
      <c r="EN13" s="866"/>
      <c r="EO13" s="866"/>
      <c r="EP13" s="866"/>
      <c r="EQ13" s="866"/>
      <c r="ER13" s="866"/>
      <c r="ES13" s="866"/>
      <c r="ET13" s="866"/>
      <c r="EU13" s="866"/>
      <c r="EV13" s="866"/>
      <c r="EW13" s="866"/>
      <c r="EX13" s="866"/>
      <c r="EY13" s="866"/>
      <c r="EZ13" s="866"/>
      <c r="FA13" s="866"/>
      <c r="FB13" s="866"/>
      <c r="FC13" s="866"/>
      <c r="FD13" s="866"/>
      <c r="FE13" s="866"/>
      <c r="FF13" s="866"/>
      <c r="FG13" s="866"/>
      <c r="FH13" s="866"/>
      <c r="FI13" s="866"/>
      <c r="FJ13" s="866"/>
      <c r="FK13" s="866"/>
      <c r="FL13" s="866"/>
      <c r="FM13" s="866"/>
      <c r="FN13" s="866"/>
      <c r="FO13" s="866"/>
      <c r="FP13" s="866"/>
      <c r="FQ13" s="866"/>
      <c r="FR13" s="866"/>
      <c r="FS13" s="866"/>
      <c r="FT13" s="866"/>
      <c r="FU13" s="866"/>
      <c r="FV13" s="866"/>
      <c r="FW13" s="866"/>
      <c r="FX13" s="866"/>
      <c r="FY13" s="866"/>
      <c r="FZ13" s="866"/>
      <c r="GA13" s="866"/>
      <c r="GB13" s="866"/>
      <c r="GC13" s="866"/>
      <c r="GD13" s="866"/>
      <c r="GE13" s="866"/>
      <c r="GF13" s="866"/>
      <c r="GG13" s="866"/>
      <c r="GH13" s="866"/>
      <c r="GI13" s="866"/>
      <c r="GJ13" s="866"/>
      <c r="GK13" s="866"/>
      <c r="GL13" s="866"/>
      <c r="GM13" s="866"/>
      <c r="GN13" s="866"/>
      <c r="GO13" s="866"/>
      <c r="GP13" s="866"/>
      <c r="GQ13" s="866"/>
      <c r="GR13" s="866"/>
      <c r="GS13" s="866"/>
      <c r="GT13" s="866"/>
      <c r="GU13" s="866"/>
      <c r="GV13" s="866"/>
      <c r="GW13" s="866"/>
      <c r="GX13" s="866"/>
      <c r="GY13" s="866"/>
      <c r="GZ13" s="866"/>
      <c r="HA13" s="866"/>
      <c r="HB13" s="866"/>
      <c r="HC13" s="866"/>
      <c r="HD13" s="866"/>
      <c r="HE13" s="866"/>
      <c r="HF13" s="866"/>
      <c r="HG13" s="866"/>
      <c r="HH13" s="866"/>
      <c r="HI13" s="866"/>
      <c r="HJ13" s="866"/>
      <c r="HK13" s="866"/>
      <c r="HL13" s="866"/>
      <c r="HM13" s="866"/>
      <c r="HN13" s="866"/>
      <c r="HO13" s="866"/>
      <c r="HP13" s="866"/>
      <c r="HQ13" s="866"/>
      <c r="HR13" s="866"/>
      <c r="HS13" s="866"/>
      <c r="HT13" s="866"/>
      <c r="HU13" s="866"/>
      <c r="HV13" s="866"/>
      <c r="HW13" s="866"/>
      <c r="HX13" s="866"/>
      <c r="HY13" s="866"/>
      <c r="HZ13" s="866"/>
      <c r="IA13" s="866"/>
      <c r="IB13" s="866"/>
      <c r="IC13" s="866"/>
      <c r="ID13" s="866"/>
      <c r="IE13" s="866"/>
      <c r="IF13" s="866"/>
      <c r="IG13" s="866"/>
      <c r="IH13" s="866"/>
      <c r="II13" s="866"/>
      <c r="IJ13" s="866"/>
      <c r="IK13" s="866"/>
      <c r="IL13" s="866"/>
      <c r="IM13" s="866"/>
      <c r="IN13" s="866"/>
      <c r="IO13" s="866"/>
      <c r="IP13" s="866"/>
      <c r="IQ13" s="866"/>
      <c r="IR13" s="866"/>
      <c r="IS13" s="866"/>
      <c r="IT13" s="866"/>
      <c r="IU13" s="866"/>
      <c r="IV13" s="866"/>
    </row>
    <row r="14" spans="1:256" ht="15.75" customHeight="1">
      <c r="A14" s="866" t="s">
        <v>1144</v>
      </c>
      <c r="B14" s="866"/>
      <c r="C14" s="866"/>
      <c r="D14" s="1330">
        <v>-11.885999999999999</v>
      </c>
      <c r="E14" s="1331"/>
      <c r="F14" s="1332">
        <f>ROUND((4774942.62/1000000),3)</f>
        <v>4.7750000000000004</v>
      </c>
      <c r="G14" s="1331"/>
      <c r="H14" s="1332">
        <f>ROUND(18896824.26/1000000,3)-0.001</f>
        <v>18.895999999999997</v>
      </c>
      <c r="I14" s="1331"/>
      <c r="J14" s="3374">
        <v>0</v>
      </c>
      <c r="K14" s="1331"/>
      <c r="L14" s="1332">
        <f>ROUND(D14+F14-H14+J14,3)</f>
        <v>-26.007000000000001</v>
      </c>
      <c r="M14" s="870"/>
      <c r="N14" s="871"/>
      <c r="O14" s="872"/>
      <c r="P14" s="872"/>
      <c r="Q14" s="866"/>
      <c r="R14" s="866"/>
      <c r="S14" s="866"/>
      <c r="T14" s="866"/>
      <c r="U14" s="866"/>
      <c r="V14" s="866"/>
      <c r="W14" s="866"/>
      <c r="X14" s="866"/>
      <c r="Y14" s="866"/>
      <c r="Z14" s="866"/>
      <c r="AA14" s="866"/>
      <c r="AB14" s="866"/>
      <c r="AC14" s="866"/>
      <c r="AD14" s="866"/>
      <c r="AE14" s="866"/>
      <c r="AF14" s="866"/>
      <c r="AG14" s="866"/>
      <c r="AH14" s="866"/>
      <c r="AI14" s="866"/>
      <c r="AJ14" s="866"/>
      <c r="AK14" s="866"/>
      <c r="AL14" s="866"/>
      <c r="AM14" s="866"/>
      <c r="AN14" s="866"/>
      <c r="AO14" s="866"/>
      <c r="AP14" s="866"/>
      <c r="AQ14" s="866"/>
      <c r="AR14" s="866"/>
      <c r="AS14" s="866"/>
      <c r="AT14" s="866"/>
      <c r="AU14" s="866"/>
      <c r="AV14" s="866"/>
      <c r="AW14" s="866"/>
      <c r="AX14" s="866"/>
      <c r="AY14" s="866"/>
      <c r="AZ14" s="866"/>
      <c r="BA14" s="866"/>
      <c r="BB14" s="866"/>
      <c r="BC14" s="866"/>
      <c r="BD14" s="866"/>
      <c r="BE14" s="866"/>
      <c r="BF14" s="866"/>
      <c r="BG14" s="866"/>
      <c r="BH14" s="866"/>
      <c r="BI14" s="866"/>
      <c r="BJ14" s="866"/>
      <c r="BK14" s="866"/>
      <c r="BL14" s="866"/>
      <c r="BM14" s="866"/>
      <c r="BN14" s="866"/>
      <c r="BO14" s="866"/>
      <c r="BP14" s="866"/>
      <c r="BQ14" s="866"/>
      <c r="BR14" s="866"/>
      <c r="BS14" s="866"/>
      <c r="BT14" s="866"/>
      <c r="BU14" s="866"/>
      <c r="BV14" s="866"/>
      <c r="BW14" s="866"/>
      <c r="BX14" s="866"/>
      <c r="BY14" s="866"/>
      <c r="BZ14" s="866"/>
      <c r="CA14" s="866"/>
      <c r="CB14" s="866"/>
      <c r="CC14" s="866"/>
      <c r="CD14" s="866"/>
      <c r="CE14" s="866"/>
      <c r="CF14" s="866"/>
      <c r="CG14" s="866"/>
      <c r="CH14" s="866"/>
      <c r="CI14" s="866"/>
      <c r="CJ14" s="866"/>
      <c r="CK14" s="866"/>
      <c r="CL14" s="866"/>
      <c r="CM14" s="866"/>
      <c r="CN14" s="866"/>
      <c r="CO14" s="866"/>
      <c r="CP14" s="866"/>
      <c r="CQ14" s="866"/>
      <c r="CR14" s="866"/>
      <c r="CS14" s="866"/>
      <c r="CT14" s="866"/>
      <c r="CU14" s="866"/>
      <c r="CV14" s="866"/>
      <c r="CW14" s="866"/>
      <c r="CX14" s="866"/>
      <c r="CY14" s="866"/>
      <c r="CZ14" s="866"/>
      <c r="DA14" s="866"/>
      <c r="DB14" s="866"/>
      <c r="DC14" s="866"/>
      <c r="DD14" s="866"/>
      <c r="DE14" s="866"/>
      <c r="DF14" s="866"/>
      <c r="DG14" s="866"/>
      <c r="DH14" s="866"/>
      <c r="DI14" s="866"/>
      <c r="DJ14" s="866"/>
      <c r="DK14" s="866"/>
      <c r="DL14" s="866"/>
      <c r="DM14" s="866"/>
      <c r="DN14" s="866"/>
      <c r="DO14" s="866"/>
      <c r="DP14" s="866"/>
      <c r="DQ14" s="866"/>
      <c r="DR14" s="866"/>
      <c r="DS14" s="866"/>
      <c r="DT14" s="866"/>
      <c r="DU14" s="866"/>
      <c r="DV14" s="866"/>
      <c r="DW14" s="866"/>
      <c r="DX14" s="866"/>
      <c r="DY14" s="866"/>
      <c r="DZ14" s="866"/>
      <c r="EA14" s="866"/>
      <c r="EB14" s="866"/>
      <c r="EC14" s="866"/>
      <c r="ED14" s="866"/>
      <c r="EE14" s="866"/>
      <c r="EF14" s="866"/>
      <c r="EG14" s="866"/>
      <c r="EH14" s="866"/>
      <c r="EI14" s="866"/>
      <c r="EJ14" s="866"/>
      <c r="EK14" s="866"/>
      <c r="EL14" s="866"/>
      <c r="EM14" s="866"/>
      <c r="EN14" s="866"/>
      <c r="EO14" s="866"/>
      <c r="EP14" s="866"/>
      <c r="EQ14" s="866"/>
      <c r="ER14" s="866"/>
      <c r="ES14" s="866"/>
      <c r="ET14" s="866"/>
      <c r="EU14" s="866"/>
      <c r="EV14" s="866"/>
      <c r="EW14" s="866"/>
      <c r="EX14" s="866"/>
      <c r="EY14" s="866"/>
      <c r="EZ14" s="866"/>
      <c r="FA14" s="866"/>
      <c r="FB14" s="866"/>
      <c r="FC14" s="866"/>
      <c r="FD14" s="866"/>
      <c r="FE14" s="866"/>
      <c r="FF14" s="866"/>
      <c r="FG14" s="866"/>
      <c r="FH14" s="866"/>
      <c r="FI14" s="866"/>
      <c r="FJ14" s="866"/>
      <c r="FK14" s="866"/>
      <c r="FL14" s="866"/>
      <c r="FM14" s="866"/>
      <c r="FN14" s="866"/>
      <c r="FO14" s="866"/>
      <c r="FP14" s="866"/>
      <c r="FQ14" s="866"/>
      <c r="FR14" s="866"/>
      <c r="FS14" s="866"/>
      <c r="FT14" s="866"/>
      <c r="FU14" s="866"/>
      <c r="FV14" s="866"/>
      <c r="FW14" s="866"/>
      <c r="FX14" s="866"/>
      <c r="FY14" s="866"/>
      <c r="FZ14" s="866"/>
      <c r="GA14" s="866"/>
      <c r="GB14" s="866"/>
      <c r="GC14" s="866"/>
      <c r="GD14" s="866"/>
      <c r="GE14" s="866"/>
      <c r="GF14" s="866"/>
      <c r="GG14" s="866"/>
      <c r="GH14" s="866"/>
      <c r="GI14" s="866"/>
      <c r="GJ14" s="866"/>
      <c r="GK14" s="866"/>
      <c r="GL14" s="866"/>
      <c r="GM14" s="866"/>
      <c r="GN14" s="866"/>
      <c r="GO14" s="866"/>
      <c r="GP14" s="866"/>
      <c r="GQ14" s="866"/>
      <c r="GR14" s="866"/>
      <c r="GS14" s="866"/>
      <c r="GT14" s="866"/>
      <c r="GU14" s="866"/>
      <c r="GV14" s="866"/>
      <c r="GW14" s="866"/>
      <c r="GX14" s="866"/>
      <c r="GY14" s="866"/>
      <c r="GZ14" s="866"/>
      <c r="HA14" s="866"/>
      <c r="HB14" s="866"/>
      <c r="HC14" s="866"/>
      <c r="HD14" s="866"/>
      <c r="HE14" s="866"/>
      <c r="HF14" s="866"/>
      <c r="HG14" s="866"/>
      <c r="HH14" s="866"/>
      <c r="HI14" s="866"/>
      <c r="HJ14" s="866"/>
      <c r="HK14" s="866"/>
      <c r="HL14" s="866"/>
      <c r="HM14" s="866"/>
      <c r="HN14" s="866"/>
      <c r="HO14" s="866"/>
      <c r="HP14" s="866"/>
      <c r="HQ14" s="866"/>
      <c r="HR14" s="866"/>
      <c r="HS14" s="866"/>
      <c r="HT14" s="866"/>
      <c r="HU14" s="866"/>
      <c r="HV14" s="866"/>
      <c r="HW14" s="866"/>
      <c r="HX14" s="866"/>
      <c r="HY14" s="866"/>
      <c r="HZ14" s="866"/>
      <c r="IA14" s="866"/>
      <c r="IB14" s="866"/>
      <c r="IC14" s="866"/>
      <c r="ID14" s="866"/>
      <c r="IE14" s="866"/>
      <c r="IF14" s="866"/>
      <c r="IG14" s="866"/>
      <c r="IH14" s="866"/>
      <c r="II14" s="866"/>
      <c r="IJ14" s="866"/>
      <c r="IK14" s="866"/>
      <c r="IL14" s="866"/>
      <c r="IM14" s="866"/>
      <c r="IN14" s="866"/>
      <c r="IO14" s="866"/>
      <c r="IP14" s="866"/>
      <c r="IQ14" s="866"/>
      <c r="IR14" s="866"/>
      <c r="IS14" s="866"/>
      <c r="IT14" s="866"/>
      <c r="IU14" s="866"/>
      <c r="IV14" s="866"/>
    </row>
    <row r="15" spans="1:256" ht="6.75" customHeight="1">
      <c r="A15" s="862"/>
      <c r="B15" s="866"/>
      <c r="C15" s="866"/>
      <c r="D15" s="1333" t="s">
        <v>15</v>
      </c>
      <c r="E15" s="1334"/>
      <c r="F15" s="1335" t="s">
        <v>15</v>
      </c>
      <c r="G15" s="1334"/>
      <c r="H15" s="1335" t="s">
        <v>15</v>
      </c>
      <c r="I15" s="1334"/>
      <c r="J15" s="1336" t="s">
        <v>15</v>
      </c>
      <c r="K15" s="1334"/>
      <c r="L15" s="1337" t="s">
        <v>15</v>
      </c>
      <c r="M15" s="873"/>
      <c r="N15" s="866"/>
      <c r="O15" s="872"/>
      <c r="P15" s="872"/>
      <c r="Q15" s="866"/>
      <c r="R15" s="866"/>
      <c r="S15" s="866"/>
      <c r="T15" s="866"/>
      <c r="U15" s="866"/>
      <c r="V15" s="866"/>
      <c r="W15" s="866"/>
      <c r="X15" s="866"/>
      <c r="Y15" s="866"/>
      <c r="Z15" s="866"/>
      <c r="AA15" s="866"/>
      <c r="AB15" s="866"/>
      <c r="AC15" s="866"/>
      <c r="AD15" s="866"/>
      <c r="AE15" s="866"/>
      <c r="AF15" s="866"/>
      <c r="AG15" s="866"/>
      <c r="AH15" s="866"/>
      <c r="AI15" s="866"/>
      <c r="AJ15" s="866"/>
      <c r="AK15" s="866"/>
      <c r="AL15" s="866"/>
      <c r="AM15" s="866"/>
      <c r="AN15" s="866"/>
      <c r="AO15" s="866"/>
      <c r="AP15" s="866"/>
      <c r="AQ15" s="866"/>
      <c r="AR15" s="866"/>
      <c r="AS15" s="866"/>
      <c r="AT15" s="866"/>
      <c r="AU15" s="866"/>
      <c r="AV15" s="866"/>
      <c r="AW15" s="866"/>
      <c r="AX15" s="866"/>
      <c r="AY15" s="866"/>
      <c r="AZ15" s="866"/>
      <c r="BA15" s="866"/>
      <c r="BB15" s="866"/>
      <c r="BC15" s="866"/>
      <c r="BD15" s="866"/>
      <c r="BE15" s="866"/>
      <c r="BF15" s="866"/>
      <c r="BG15" s="866"/>
      <c r="BH15" s="866"/>
      <c r="BI15" s="866"/>
      <c r="BJ15" s="866"/>
      <c r="BK15" s="866"/>
      <c r="BL15" s="866"/>
      <c r="BM15" s="866"/>
      <c r="BN15" s="866"/>
      <c r="BO15" s="866"/>
      <c r="BP15" s="866"/>
      <c r="BQ15" s="866"/>
      <c r="BR15" s="866"/>
      <c r="BS15" s="866"/>
      <c r="BT15" s="866"/>
      <c r="BU15" s="866"/>
      <c r="BV15" s="866"/>
      <c r="BW15" s="866"/>
      <c r="BX15" s="866"/>
      <c r="BY15" s="866"/>
      <c r="BZ15" s="866"/>
      <c r="CA15" s="866"/>
      <c r="CB15" s="866"/>
      <c r="CC15" s="866"/>
      <c r="CD15" s="866"/>
      <c r="CE15" s="866"/>
      <c r="CF15" s="866"/>
      <c r="CG15" s="866"/>
      <c r="CH15" s="866"/>
      <c r="CI15" s="866"/>
      <c r="CJ15" s="866"/>
      <c r="CK15" s="866"/>
      <c r="CL15" s="866"/>
      <c r="CM15" s="866"/>
      <c r="CN15" s="866"/>
      <c r="CO15" s="866"/>
      <c r="CP15" s="866"/>
      <c r="CQ15" s="866"/>
      <c r="CR15" s="866"/>
      <c r="CS15" s="866"/>
      <c r="CT15" s="866"/>
      <c r="CU15" s="866"/>
      <c r="CV15" s="866"/>
      <c r="CW15" s="866"/>
      <c r="CX15" s="866"/>
      <c r="CY15" s="866"/>
      <c r="CZ15" s="866"/>
      <c r="DA15" s="866"/>
      <c r="DB15" s="866"/>
      <c r="DC15" s="866"/>
      <c r="DD15" s="866"/>
      <c r="DE15" s="866"/>
      <c r="DF15" s="866"/>
      <c r="DG15" s="866"/>
      <c r="DH15" s="866"/>
      <c r="DI15" s="866"/>
      <c r="DJ15" s="866"/>
      <c r="DK15" s="866"/>
      <c r="DL15" s="866"/>
      <c r="DM15" s="866"/>
      <c r="DN15" s="866"/>
      <c r="DO15" s="866"/>
      <c r="DP15" s="866"/>
      <c r="DQ15" s="866"/>
      <c r="DR15" s="866"/>
      <c r="DS15" s="866"/>
      <c r="DT15" s="866"/>
      <c r="DU15" s="866"/>
      <c r="DV15" s="866"/>
      <c r="DW15" s="866"/>
      <c r="DX15" s="866"/>
      <c r="DY15" s="866"/>
      <c r="DZ15" s="866"/>
      <c r="EA15" s="866"/>
      <c r="EB15" s="866"/>
      <c r="EC15" s="866"/>
      <c r="ED15" s="866"/>
      <c r="EE15" s="866"/>
      <c r="EF15" s="866"/>
      <c r="EG15" s="866"/>
      <c r="EH15" s="866"/>
      <c r="EI15" s="866"/>
      <c r="EJ15" s="866"/>
      <c r="EK15" s="866"/>
      <c r="EL15" s="866"/>
      <c r="EM15" s="866"/>
      <c r="EN15" s="866"/>
      <c r="EO15" s="866"/>
      <c r="EP15" s="866"/>
      <c r="EQ15" s="866"/>
      <c r="ER15" s="866"/>
      <c r="ES15" s="866"/>
      <c r="ET15" s="866"/>
      <c r="EU15" s="866"/>
      <c r="EV15" s="866"/>
      <c r="EW15" s="866"/>
      <c r="EX15" s="866"/>
      <c r="EY15" s="866"/>
      <c r="EZ15" s="866"/>
      <c r="FA15" s="866"/>
      <c r="FB15" s="866"/>
      <c r="FC15" s="866"/>
      <c r="FD15" s="866"/>
      <c r="FE15" s="866"/>
      <c r="FF15" s="866"/>
      <c r="FG15" s="866"/>
      <c r="FH15" s="866"/>
      <c r="FI15" s="866"/>
      <c r="FJ15" s="866"/>
      <c r="FK15" s="866"/>
      <c r="FL15" s="866"/>
      <c r="FM15" s="866"/>
      <c r="FN15" s="866"/>
      <c r="FO15" s="866"/>
      <c r="FP15" s="866"/>
      <c r="FQ15" s="866"/>
      <c r="FR15" s="866"/>
      <c r="FS15" s="866"/>
      <c r="FT15" s="866"/>
      <c r="FU15" s="866"/>
      <c r="FV15" s="866"/>
      <c r="FW15" s="866"/>
      <c r="FX15" s="866"/>
      <c r="FY15" s="866"/>
      <c r="FZ15" s="866"/>
      <c r="GA15" s="866"/>
      <c r="GB15" s="866"/>
      <c r="GC15" s="866"/>
      <c r="GD15" s="866"/>
      <c r="GE15" s="866"/>
      <c r="GF15" s="866"/>
      <c r="GG15" s="866"/>
      <c r="GH15" s="866"/>
      <c r="GI15" s="866"/>
      <c r="GJ15" s="866"/>
      <c r="GK15" s="866"/>
      <c r="GL15" s="866"/>
      <c r="GM15" s="866"/>
      <c r="GN15" s="866"/>
      <c r="GO15" s="866"/>
      <c r="GP15" s="866"/>
      <c r="GQ15" s="866"/>
      <c r="GR15" s="866"/>
      <c r="GS15" s="866"/>
      <c r="GT15" s="866"/>
      <c r="GU15" s="866"/>
      <c r="GV15" s="866"/>
      <c r="GW15" s="866"/>
      <c r="GX15" s="866"/>
      <c r="GY15" s="866"/>
      <c r="GZ15" s="866"/>
      <c r="HA15" s="866"/>
      <c r="HB15" s="866"/>
      <c r="HC15" s="866"/>
      <c r="HD15" s="866"/>
      <c r="HE15" s="866"/>
      <c r="HF15" s="866"/>
      <c r="HG15" s="866"/>
      <c r="HH15" s="866"/>
      <c r="HI15" s="866"/>
      <c r="HJ15" s="866"/>
      <c r="HK15" s="866"/>
      <c r="HL15" s="866"/>
      <c r="HM15" s="866"/>
      <c r="HN15" s="866"/>
      <c r="HO15" s="866"/>
      <c r="HP15" s="866"/>
      <c r="HQ15" s="866"/>
      <c r="HR15" s="866"/>
      <c r="HS15" s="866"/>
      <c r="HT15" s="866"/>
      <c r="HU15" s="866"/>
      <c r="HV15" s="866"/>
      <c r="HW15" s="866"/>
      <c r="HX15" s="866"/>
      <c r="HY15" s="866"/>
      <c r="HZ15" s="866"/>
      <c r="IA15" s="866"/>
      <c r="IB15" s="866"/>
      <c r="IC15" s="866"/>
      <c r="ID15" s="866"/>
      <c r="IE15" s="866"/>
      <c r="IF15" s="866"/>
      <c r="IG15" s="866"/>
      <c r="IH15" s="866"/>
      <c r="II15" s="866"/>
      <c r="IJ15" s="866"/>
      <c r="IK15" s="866"/>
      <c r="IL15" s="866"/>
      <c r="IM15" s="866"/>
      <c r="IN15" s="866"/>
      <c r="IO15" s="866"/>
      <c r="IP15" s="866"/>
      <c r="IQ15" s="866"/>
      <c r="IR15" s="866"/>
      <c r="IS15" s="866"/>
      <c r="IT15" s="866"/>
      <c r="IU15" s="866"/>
      <c r="IV15" s="866"/>
    </row>
    <row r="16" spans="1:256" ht="17.25" customHeight="1">
      <c r="A16" s="862" t="s">
        <v>384</v>
      </c>
      <c r="B16" s="866"/>
      <c r="C16" s="866"/>
      <c r="D16" s="1338">
        <f>ROUND(SUM(D14),3)</f>
        <v>-11.885999999999999</v>
      </c>
      <c r="E16" s="1339"/>
      <c r="F16" s="1338">
        <f>ROUND(SUM(F14),3)</f>
        <v>4.7750000000000004</v>
      </c>
      <c r="G16" s="1339"/>
      <c r="H16" s="1338">
        <f>ROUND(SUM(H14),3)</f>
        <v>18.896000000000001</v>
      </c>
      <c r="I16" s="1339"/>
      <c r="J16" s="1755">
        <f>ROUND(SUM(J14),3)</f>
        <v>0</v>
      </c>
      <c r="K16" s="1339"/>
      <c r="L16" s="1338">
        <f>ROUND(SUM(L14),3)</f>
        <v>-26.007000000000001</v>
      </c>
      <c r="M16" s="874"/>
      <c r="N16" s="866"/>
      <c r="O16" s="872"/>
      <c r="P16" s="872"/>
      <c r="Q16" s="866"/>
      <c r="R16" s="866"/>
      <c r="S16" s="866"/>
      <c r="T16" s="866"/>
      <c r="U16" s="866"/>
      <c r="V16" s="866"/>
      <c r="W16" s="866"/>
      <c r="X16" s="866"/>
      <c r="Y16" s="866"/>
      <c r="Z16" s="866"/>
      <c r="AA16" s="866"/>
      <c r="AB16" s="866"/>
      <c r="AC16" s="866"/>
      <c r="AD16" s="866"/>
      <c r="AE16" s="866"/>
      <c r="AF16" s="866"/>
      <c r="AG16" s="866"/>
      <c r="AH16" s="866"/>
      <c r="AI16" s="866"/>
      <c r="AJ16" s="866"/>
      <c r="AK16" s="866"/>
      <c r="AL16" s="866"/>
      <c r="AM16" s="866"/>
      <c r="AN16" s="866"/>
      <c r="AO16" s="866"/>
      <c r="AP16" s="866"/>
      <c r="AQ16" s="866"/>
      <c r="AR16" s="866"/>
      <c r="AS16" s="866"/>
      <c r="AT16" s="866"/>
      <c r="AU16" s="866"/>
      <c r="AV16" s="866"/>
      <c r="AW16" s="866"/>
      <c r="AX16" s="866"/>
      <c r="AY16" s="866"/>
      <c r="AZ16" s="866"/>
      <c r="BA16" s="866"/>
      <c r="BB16" s="866"/>
      <c r="BC16" s="866"/>
      <c r="BD16" s="866"/>
      <c r="BE16" s="866"/>
      <c r="BF16" s="866"/>
      <c r="BG16" s="866"/>
      <c r="BH16" s="866"/>
      <c r="BI16" s="866"/>
      <c r="BJ16" s="866"/>
      <c r="BK16" s="866"/>
      <c r="BL16" s="866"/>
      <c r="BM16" s="866"/>
      <c r="BN16" s="866"/>
      <c r="BO16" s="866"/>
      <c r="BP16" s="866"/>
      <c r="BQ16" s="866"/>
      <c r="BR16" s="866"/>
      <c r="BS16" s="866"/>
      <c r="BT16" s="866"/>
      <c r="BU16" s="866"/>
      <c r="BV16" s="866"/>
      <c r="BW16" s="866"/>
      <c r="BX16" s="866"/>
      <c r="BY16" s="866"/>
      <c r="BZ16" s="866"/>
      <c r="CA16" s="866"/>
      <c r="CB16" s="866"/>
      <c r="CC16" s="866"/>
      <c r="CD16" s="866"/>
      <c r="CE16" s="866"/>
      <c r="CF16" s="866"/>
      <c r="CG16" s="866"/>
      <c r="CH16" s="866"/>
      <c r="CI16" s="866"/>
      <c r="CJ16" s="866"/>
      <c r="CK16" s="866"/>
      <c r="CL16" s="866"/>
      <c r="CM16" s="866"/>
      <c r="CN16" s="866"/>
      <c r="CO16" s="866"/>
      <c r="CP16" s="866"/>
      <c r="CQ16" s="866"/>
      <c r="CR16" s="866"/>
      <c r="CS16" s="866"/>
      <c r="CT16" s="866"/>
      <c r="CU16" s="866"/>
      <c r="CV16" s="866"/>
      <c r="CW16" s="866"/>
      <c r="CX16" s="866"/>
      <c r="CY16" s="866"/>
      <c r="CZ16" s="866"/>
      <c r="DA16" s="866"/>
      <c r="DB16" s="866"/>
      <c r="DC16" s="866"/>
      <c r="DD16" s="866"/>
      <c r="DE16" s="866"/>
      <c r="DF16" s="866"/>
      <c r="DG16" s="866"/>
      <c r="DH16" s="866"/>
      <c r="DI16" s="866"/>
      <c r="DJ16" s="866"/>
      <c r="DK16" s="866"/>
      <c r="DL16" s="866"/>
      <c r="DM16" s="866"/>
      <c r="DN16" s="866"/>
      <c r="DO16" s="866"/>
      <c r="DP16" s="866"/>
      <c r="DQ16" s="866"/>
      <c r="DR16" s="866"/>
      <c r="DS16" s="866"/>
      <c r="DT16" s="866"/>
      <c r="DU16" s="866"/>
      <c r="DV16" s="866"/>
      <c r="DW16" s="866"/>
      <c r="DX16" s="866"/>
      <c r="DY16" s="866"/>
      <c r="DZ16" s="866"/>
      <c r="EA16" s="866"/>
      <c r="EB16" s="866"/>
      <c r="EC16" s="866"/>
      <c r="ED16" s="866"/>
      <c r="EE16" s="866"/>
      <c r="EF16" s="866"/>
      <c r="EG16" s="866"/>
      <c r="EH16" s="866"/>
      <c r="EI16" s="866"/>
      <c r="EJ16" s="866"/>
      <c r="EK16" s="866"/>
      <c r="EL16" s="866"/>
      <c r="EM16" s="866"/>
      <c r="EN16" s="866"/>
      <c r="EO16" s="866"/>
      <c r="EP16" s="866"/>
      <c r="EQ16" s="866"/>
      <c r="ER16" s="866"/>
      <c r="ES16" s="866"/>
      <c r="ET16" s="866"/>
      <c r="EU16" s="866"/>
      <c r="EV16" s="866"/>
      <c r="EW16" s="866"/>
      <c r="EX16" s="866"/>
      <c r="EY16" s="866"/>
      <c r="EZ16" s="866"/>
      <c r="FA16" s="866"/>
      <c r="FB16" s="866"/>
      <c r="FC16" s="866"/>
      <c r="FD16" s="866"/>
      <c r="FE16" s="866"/>
      <c r="FF16" s="866"/>
      <c r="FG16" s="866"/>
      <c r="FH16" s="866"/>
      <c r="FI16" s="866"/>
      <c r="FJ16" s="866"/>
      <c r="FK16" s="866"/>
      <c r="FL16" s="866"/>
      <c r="FM16" s="866"/>
      <c r="FN16" s="866"/>
      <c r="FO16" s="866"/>
      <c r="FP16" s="866"/>
      <c r="FQ16" s="866"/>
      <c r="FR16" s="866"/>
      <c r="FS16" s="866"/>
      <c r="FT16" s="866"/>
      <c r="FU16" s="866"/>
      <c r="FV16" s="866"/>
      <c r="FW16" s="866"/>
      <c r="FX16" s="866"/>
      <c r="FY16" s="866"/>
      <c r="FZ16" s="866"/>
      <c r="GA16" s="866"/>
      <c r="GB16" s="866"/>
      <c r="GC16" s="866"/>
      <c r="GD16" s="866"/>
      <c r="GE16" s="866"/>
      <c r="GF16" s="866"/>
      <c r="GG16" s="866"/>
      <c r="GH16" s="866"/>
      <c r="GI16" s="866"/>
      <c r="GJ16" s="866"/>
      <c r="GK16" s="866"/>
      <c r="GL16" s="866"/>
      <c r="GM16" s="866"/>
      <c r="GN16" s="866"/>
      <c r="GO16" s="866"/>
      <c r="GP16" s="866"/>
      <c r="GQ16" s="866"/>
      <c r="GR16" s="866"/>
      <c r="GS16" s="866"/>
      <c r="GT16" s="866"/>
      <c r="GU16" s="866"/>
      <c r="GV16" s="866"/>
      <c r="GW16" s="866"/>
      <c r="GX16" s="866"/>
      <c r="GY16" s="866"/>
      <c r="GZ16" s="866"/>
      <c r="HA16" s="866"/>
      <c r="HB16" s="866"/>
      <c r="HC16" s="866"/>
      <c r="HD16" s="866"/>
      <c r="HE16" s="866"/>
      <c r="HF16" s="866"/>
      <c r="HG16" s="866"/>
      <c r="HH16" s="866"/>
      <c r="HI16" s="866"/>
      <c r="HJ16" s="866"/>
      <c r="HK16" s="866"/>
      <c r="HL16" s="866"/>
      <c r="HM16" s="866"/>
      <c r="HN16" s="866"/>
      <c r="HO16" s="866"/>
      <c r="HP16" s="866"/>
      <c r="HQ16" s="866"/>
      <c r="HR16" s="866"/>
      <c r="HS16" s="866"/>
      <c r="HT16" s="866"/>
      <c r="HU16" s="866"/>
      <c r="HV16" s="866"/>
      <c r="HW16" s="866"/>
      <c r="HX16" s="866"/>
      <c r="HY16" s="866"/>
      <c r="HZ16" s="866"/>
      <c r="IA16" s="866"/>
      <c r="IB16" s="866"/>
      <c r="IC16" s="866"/>
      <c r="ID16" s="866"/>
      <c r="IE16" s="866"/>
      <c r="IF16" s="866"/>
      <c r="IG16" s="866"/>
      <c r="IH16" s="866"/>
      <c r="II16" s="866"/>
      <c r="IJ16" s="866"/>
      <c r="IK16" s="866"/>
      <c r="IL16" s="866"/>
      <c r="IM16" s="866"/>
      <c r="IN16" s="866"/>
      <c r="IO16" s="866"/>
      <c r="IP16" s="866"/>
      <c r="IQ16" s="866"/>
      <c r="IR16" s="866"/>
      <c r="IS16" s="866"/>
      <c r="IT16" s="866"/>
      <c r="IU16" s="866"/>
      <c r="IV16" s="866"/>
    </row>
    <row r="17" spans="1:256" ht="12" customHeight="1">
      <c r="A17" s="862"/>
      <c r="B17" s="866"/>
      <c r="C17" s="866"/>
      <c r="D17" s="1340"/>
      <c r="E17" s="839"/>
      <c r="F17" s="1340"/>
      <c r="G17" s="839"/>
      <c r="H17" s="1340"/>
      <c r="I17" s="839"/>
      <c r="J17" s="842"/>
      <c r="K17" s="839"/>
      <c r="L17" s="1340"/>
      <c r="M17" s="873"/>
      <c r="N17" s="866"/>
      <c r="O17" s="872"/>
      <c r="P17" s="872"/>
      <c r="Q17" s="866"/>
      <c r="R17" s="866"/>
      <c r="S17" s="866"/>
      <c r="T17" s="866"/>
      <c r="U17" s="866"/>
      <c r="V17" s="866"/>
      <c r="W17" s="866"/>
      <c r="X17" s="866"/>
      <c r="Y17" s="866"/>
      <c r="Z17" s="866"/>
      <c r="AA17" s="866"/>
      <c r="AB17" s="866"/>
      <c r="AC17" s="866"/>
      <c r="AD17" s="866"/>
      <c r="AE17" s="866"/>
      <c r="AF17" s="866"/>
      <c r="AG17" s="866"/>
      <c r="AH17" s="866"/>
      <c r="AI17" s="866"/>
      <c r="AJ17" s="866"/>
      <c r="AK17" s="866"/>
      <c r="AL17" s="866"/>
      <c r="AM17" s="866"/>
      <c r="AN17" s="866"/>
      <c r="AO17" s="866"/>
      <c r="AP17" s="866"/>
      <c r="AQ17" s="866"/>
      <c r="AR17" s="866"/>
      <c r="AS17" s="866"/>
      <c r="AT17" s="866"/>
      <c r="AU17" s="866"/>
      <c r="AV17" s="866"/>
      <c r="AW17" s="866"/>
      <c r="AX17" s="866"/>
      <c r="AY17" s="866"/>
      <c r="AZ17" s="866"/>
      <c r="BA17" s="866"/>
      <c r="BB17" s="866"/>
      <c r="BC17" s="866"/>
      <c r="BD17" s="866"/>
      <c r="BE17" s="866"/>
      <c r="BF17" s="866"/>
      <c r="BG17" s="866"/>
      <c r="BH17" s="866"/>
      <c r="BI17" s="866"/>
      <c r="BJ17" s="866"/>
      <c r="BK17" s="866"/>
      <c r="BL17" s="866"/>
      <c r="BM17" s="866"/>
      <c r="BN17" s="866"/>
      <c r="BO17" s="866"/>
      <c r="BP17" s="866"/>
      <c r="BQ17" s="866"/>
      <c r="BR17" s="866"/>
      <c r="BS17" s="866"/>
      <c r="BT17" s="866"/>
      <c r="BU17" s="866"/>
      <c r="BV17" s="866"/>
      <c r="BW17" s="866"/>
      <c r="BX17" s="866"/>
      <c r="BY17" s="866"/>
      <c r="BZ17" s="866"/>
      <c r="CA17" s="866"/>
      <c r="CB17" s="866"/>
      <c r="CC17" s="866"/>
      <c r="CD17" s="866"/>
      <c r="CE17" s="866"/>
      <c r="CF17" s="866"/>
      <c r="CG17" s="866"/>
      <c r="CH17" s="866"/>
      <c r="CI17" s="866"/>
      <c r="CJ17" s="866"/>
      <c r="CK17" s="866"/>
      <c r="CL17" s="866"/>
      <c r="CM17" s="866"/>
      <c r="CN17" s="866"/>
      <c r="CO17" s="866"/>
      <c r="CP17" s="866"/>
      <c r="CQ17" s="866"/>
      <c r="CR17" s="866"/>
      <c r="CS17" s="866"/>
      <c r="CT17" s="866"/>
      <c r="CU17" s="866"/>
      <c r="CV17" s="866"/>
      <c r="CW17" s="866"/>
      <c r="CX17" s="866"/>
      <c r="CY17" s="866"/>
      <c r="CZ17" s="866"/>
      <c r="DA17" s="866"/>
      <c r="DB17" s="866"/>
      <c r="DC17" s="866"/>
      <c r="DD17" s="866"/>
      <c r="DE17" s="866"/>
      <c r="DF17" s="866"/>
      <c r="DG17" s="866"/>
      <c r="DH17" s="866"/>
      <c r="DI17" s="866"/>
      <c r="DJ17" s="866"/>
      <c r="DK17" s="866"/>
      <c r="DL17" s="866"/>
      <c r="DM17" s="866"/>
      <c r="DN17" s="866"/>
      <c r="DO17" s="866"/>
      <c r="DP17" s="866"/>
      <c r="DQ17" s="866"/>
      <c r="DR17" s="866"/>
      <c r="DS17" s="866"/>
      <c r="DT17" s="866"/>
      <c r="DU17" s="866"/>
      <c r="DV17" s="866"/>
      <c r="DW17" s="866"/>
      <c r="DX17" s="866"/>
      <c r="DY17" s="866"/>
      <c r="DZ17" s="866"/>
      <c r="EA17" s="866"/>
      <c r="EB17" s="866"/>
      <c r="EC17" s="866"/>
      <c r="ED17" s="866"/>
      <c r="EE17" s="866"/>
      <c r="EF17" s="866"/>
      <c r="EG17" s="866"/>
      <c r="EH17" s="866"/>
      <c r="EI17" s="866"/>
      <c r="EJ17" s="866"/>
      <c r="EK17" s="866"/>
      <c r="EL17" s="866"/>
      <c r="EM17" s="866"/>
      <c r="EN17" s="866"/>
      <c r="EO17" s="866"/>
      <c r="EP17" s="866"/>
      <c r="EQ17" s="866"/>
      <c r="ER17" s="866"/>
      <c r="ES17" s="866"/>
      <c r="ET17" s="866"/>
      <c r="EU17" s="866"/>
      <c r="EV17" s="866"/>
      <c r="EW17" s="866"/>
      <c r="EX17" s="866"/>
      <c r="EY17" s="866"/>
      <c r="EZ17" s="866"/>
      <c r="FA17" s="866"/>
      <c r="FB17" s="866"/>
      <c r="FC17" s="866"/>
      <c r="FD17" s="866"/>
      <c r="FE17" s="866"/>
      <c r="FF17" s="866"/>
      <c r="FG17" s="866"/>
      <c r="FH17" s="866"/>
      <c r="FI17" s="866"/>
      <c r="FJ17" s="866"/>
      <c r="FK17" s="866"/>
      <c r="FL17" s="866"/>
      <c r="FM17" s="866"/>
      <c r="FN17" s="866"/>
      <c r="FO17" s="866"/>
      <c r="FP17" s="866"/>
      <c r="FQ17" s="866"/>
      <c r="FR17" s="866"/>
      <c r="FS17" s="866"/>
      <c r="FT17" s="866"/>
      <c r="FU17" s="866"/>
      <c r="FV17" s="866"/>
      <c r="FW17" s="866"/>
      <c r="FX17" s="866"/>
      <c r="FY17" s="866"/>
      <c r="FZ17" s="866"/>
      <c r="GA17" s="866"/>
      <c r="GB17" s="866"/>
      <c r="GC17" s="866"/>
      <c r="GD17" s="866"/>
      <c r="GE17" s="866"/>
      <c r="GF17" s="866"/>
      <c r="GG17" s="866"/>
      <c r="GH17" s="866"/>
      <c r="GI17" s="866"/>
      <c r="GJ17" s="866"/>
      <c r="GK17" s="866"/>
      <c r="GL17" s="866"/>
      <c r="GM17" s="866"/>
      <c r="GN17" s="866"/>
      <c r="GO17" s="866"/>
      <c r="GP17" s="866"/>
      <c r="GQ17" s="866"/>
      <c r="GR17" s="866"/>
      <c r="GS17" s="866"/>
      <c r="GT17" s="866"/>
      <c r="GU17" s="866"/>
      <c r="GV17" s="866"/>
      <c r="GW17" s="866"/>
      <c r="GX17" s="866"/>
      <c r="GY17" s="866"/>
      <c r="GZ17" s="866"/>
      <c r="HA17" s="866"/>
      <c r="HB17" s="866"/>
      <c r="HC17" s="866"/>
      <c r="HD17" s="866"/>
      <c r="HE17" s="866"/>
      <c r="HF17" s="866"/>
      <c r="HG17" s="866"/>
      <c r="HH17" s="866"/>
      <c r="HI17" s="866"/>
      <c r="HJ17" s="866"/>
      <c r="HK17" s="866"/>
      <c r="HL17" s="866"/>
      <c r="HM17" s="866"/>
      <c r="HN17" s="866"/>
      <c r="HO17" s="866"/>
      <c r="HP17" s="866"/>
      <c r="HQ17" s="866"/>
      <c r="HR17" s="866"/>
      <c r="HS17" s="866"/>
      <c r="HT17" s="866"/>
      <c r="HU17" s="866"/>
      <c r="HV17" s="866"/>
      <c r="HW17" s="866"/>
      <c r="HX17" s="866"/>
      <c r="HY17" s="866"/>
      <c r="HZ17" s="866"/>
      <c r="IA17" s="866"/>
      <c r="IB17" s="866"/>
      <c r="IC17" s="866"/>
      <c r="ID17" s="866"/>
      <c r="IE17" s="866"/>
      <c r="IF17" s="866"/>
      <c r="IG17" s="866"/>
      <c r="IH17" s="866"/>
      <c r="II17" s="866"/>
      <c r="IJ17" s="866"/>
      <c r="IK17" s="866"/>
      <c r="IL17" s="866"/>
      <c r="IM17" s="866"/>
      <c r="IN17" s="866"/>
      <c r="IO17" s="866"/>
      <c r="IP17" s="866"/>
      <c r="IQ17" s="866"/>
      <c r="IR17" s="866"/>
      <c r="IS17" s="866"/>
      <c r="IT17" s="866"/>
      <c r="IU17" s="866"/>
      <c r="IV17" s="866"/>
    </row>
    <row r="18" spans="1:256" ht="18" customHeight="1">
      <c r="A18" s="875" t="s">
        <v>234</v>
      </c>
      <c r="B18" s="862"/>
      <c r="C18" s="862"/>
      <c r="D18" s="1341"/>
      <c r="E18" s="1341"/>
      <c r="F18" s="1341"/>
      <c r="G18" s="1341"/>
      <c r="H18" s="1341"/>
      <c r="I18" s="1341"/>
      <c r="J18" s="1341"/>
      <c r="K18" s="1341"/>
      <c r="L18" s="1341"/>
      <c r="M18" s="864"/>
      <c r="N18" s="866"/>
      <c r="O18" s="866"/>
      <c r="P18" s="866"/>
      <c r="Q18" s="866"/>
      <c r="R18" s="866"/>
      <c r="S18" s="866"/>
      <c r="T18" s="866"/>
      <c r="U18" s="866"/>
      <c r="V18" s="866"/>
      <c r="W18" s="866"/>
      <c r="X18" s="866"/>
      <c r="Y18" s="866"/>
      <c r="Z18" s="866"/>
      <c r="AA18" s="866"/>
      <c r="AB18" s="866"/>
      <c r="AC18" s="866"/>
      <c r="AD18" s="866"/>
      <c r="AE18" s="866"/>
      <c r="AF18" s="866"/>
      <c r="AG18" s="866"/>
      <c r="AH18" s="866"/>
      <c r="AI18" s="866"/>
      <c r="AJ18" s="866"/>
      <c r="AK18" s="866"/>
      <c r="AL18" s="866"/>
      <c r="AM18" s="866"/>
      <c r="AN18" s="866"/>
      <c r="AO18" s="866"/>
      <c r="AP18" s="866"/>
      <c r="AQ18" s="866"/>
      <c r="AR18" s="866"/>
      <c r="AS18" s="866"/>
      <c r="AT18" s="866"/>
      <c r="AU18" s="866"/>
      <c r="AV18" s="866"/>
      <c r="AW18" s="866"/>
      <c r="AX18" s="866"/>
      <c r="AY18" s="866"/>
      <c r="AZ18" s="866"/>
      <c r="BA18" s="866"/>
      <c r="BB18" s="866"/>
      <c r="BC18" s="866"/>
      <c r="BD18" s="866"/>
      <c r="BE18" s="866"/>
      <c r="BF18" s="866"/>
      <c r="BG18" s="866"/>
      <c r="BH18" s="866"/>
      <c r="BI18" s="866"/>
      <c r="BJ18" s="866"/>
      <c r="BK18" s="866"/>
      <c r="BL18" s="866"/>
      <c r="BM18" s="866"/>
      <c r="BN18" s="866"/>
      <c r="BO18" s="866"/>
      <c r="BP18" s="866"/>
      <c r="BQ18" s="866"/>
      <c r="BR18" s="866"/>
      <c r="BS18" s="866"/>
      <c r="BT18" s="866"/>
      <c r="BU18" s="866"/>
      <c r="BV18" s="866"/>
      <c r="BW18" s="866"/>
      <c r="BX18" s="866"/>
      <c r="BY18" s="866"/>
      <c r="BZ18" s="866"/>
      <c r="CA18" s="866"/>
      <c r="CB18" s="866"/>
      <c r="CC18" s="866"/>
      <c r="CD18" s="866"/>
      <c r="CE18" s="866"/>
      <c r="CF18" s="866"/>
      <c r="CG18" s="866"/>
      <c r="CH18" s="866"/>
      <c r="CI18" s="866"/>
      <c r="CJ18" s="866"/>
      <c r="CK18" s="866"/>
      <c r="CL18" s="866"/>
      <c r="CM18" s="866"/>
      <c r="CN18" s="866"/>
      <c r="CO18" s="866"/>
      <c r="CP18" s="866"/>
      <c r="CQ18" s="866"/>
      <c r="CR18" s="866"/>
      <c r="CS18" s="866"/>
      <c r="CT18" s="866"/>
      <c r="CU18" s="866"/>
      <c r="CV18" s="866"/>
      <c r="CW18" s="866"/>
      <c r="CX18" s="866"/>
      <c r="CY18" s="866"/>
      <c r="CZ18" s="866"/>
      <c r="DA18" s="866"/>
      <c r="DB18" s="866"/>
      <c r="DC18" s="866"/>
      <c r="DD18" s="866"/>
      <c r="DE18" s="866"/>
      <c r="DF18" s="866"/>
      <c r="DG18" s="866"/>
      <c r="DH18" s="866"/>
      <c r="DI18" s="866"/>
      <c r="DJ18" s="866"/>
      <c r="DK18" s="866"/>
      <c r="DL18" s="866"/>
      <c r="DM18" s="866"/>
      <c r="DN18" s="866"/>
      <c r="DO18" s="866"/>
      <c r="DP18" s="866"/>
      <c r="DQ18" s="866"/>
      <c r="DR18" s="866"/>
      <c r="DS18" s="866"/>
      <c r="DT18" s="866"/>
      <c r="DU18" s="866"/>
      <c r="DV18" s="866"/>
      <c r="DW18" s="866"/>
      <c r="DX18" s="866"/>
      <c r="DY18" s="866"/>
      <c r="DZ18" s="866"/>
      <c r="EA18" s="866"/>
      <c r="EB18" s="866"/>
      <c r="EC18" s="866"/>
      <c r="ED18" s="866"/>
      <c r="EE18" s="866"/>
      <c r="EF18" s="866"/>
      <c r="EG18" s="866"/>
      <c r="EH18" s="866"/>
      <c r="EI18" s="866"/>
      <c r="EJ18" s="866"/>
      <c r="EK18" s="866"/>
      <c r="EL18" s="866"/>
      <c r="EM18" s="866"/>
      <c r="EN18" s="866"/>
      <c r="EO18" s="866"/>
      <c r="EP18" s="866"/>
      <c r="EQ18" s="866"/>
      <c r="ER18" s="866"/>
      <c r="ES18" s="866"/>
      <c r="ET18" s="866"/>
      <c r="EU18" s="866"/>
      <c r="EV18" s="866"/>
      <c r="EW18" s="866"/>
      <c r="EX18" s="866"/>
      <c r="EY18" s="866"/>
      <c r="EZ18" s="866"/>
      <c r="FA18" s="866"/>
      <c r="FB18" s="866"/>
      <c r="FC18" s="866"/>
      <c r="FD18" s="866"/>
      <c r="FE18" s="866"/>
      <c r="FF18" s="866"/>
      <c r="FG18" s="866"/>
      <c r="FH18" s="866"/>
      <c r="FI18" s="866"/>
      <c r="FJ18" s="866"/>
      <c r="FK18" s="866"/>
      <c r="FL18" s="866"/>
      <c r="FM18" s="866"/>
      <c r="FN18" s="866"/>
      <c r="FO18" s="866"/>
      <c r="FP18" s="866"/>
      <c r="FQ18" s="866"/>
      <c r="FR18" s="866"/>
      <c r="FS18" s="866"/>
      <c r="FT18" s="866"/>
      <c r="FU18" s="866"/>
      <c r="FV18" s="866"/>
      <c r="FW18" s="866"/>
      <c r="FX18" s="866"/>
      <c r="FY18" s="866"/>
      <c r="FZ18" s="866"/>
      <c r="GA18" s="866"/>
      <c r="GB18" s="866"/>
      <c r="GC18" s="866"/>
      <c r="GD18" s="866"/>
      <c r="GE18" s="866"/>
      <c r="GF18" s="866"/>
      <c r="GG18" s="866"/>
      <c r="GH18" s="866"/>
      <c r="GI18" s="866"/>
      <c r="GJ18" s="866"/>
      <c r="GK18" s="866"/>
      <c r="GL18" s="866"/>
      <c r="GM18" s="866"/>
      <c r="GN18" s="866"/>
      <c r="GO18" s="866"/>
      <c r="GP18" s="866"/>
      <c r="GQ18" s="866"/>
      <c r="GR18" s="866"/>
      <c r="GS18" s="866"/>
      <c r="GT18" s="866"/>
      <c r="GU18" s="866"/>
      <c r="GV18" s="866"/>
      <c r="GW18" s="866"/>
      <c r="GX18" s="866"/>
      <c r="GY18" s="866"/>
      <c r="GZ18" s="866"/>
      <c r="HA18" s="866"/>
      <c r="HB18" s="866"/>
      <c r="HC18" s="866"/>
      <c r="HD18" s="866"/>
      <c r="HE18" s="866"/>
      <c r="HF18" s="866"/>
      <c r="HG18" s="866"/>
      <c r="HH18" s="866"/>
      <c r="HI18" s="866"/>
      <c r="HJ18" s="866"/>
      <c r="HK18" s="866"/>
      <c r="HL18" s="866"/>
      <c r="HM18" s="866"/>
      <c r="HN18" s="866"/>
      <c r="HO18" s="866"/>
      <c r="HP18" s="866"/>
      <c r="HQ18" s="866"/>
      <c r="HR18" s="866"/>
      <c r="HS18" s="866"/>
      <c r="HT18" s="866"/>
      <c r="HU18" s="866"/>
      <c r="HV18" s="866"/>
      <c r="HW18" s="866"/>
      <c r="HX18" s="866"/>
      <c r="HY18" s="866"/>
      <c r="HZ18" s="866"/>
      <c r="IA18" s="866"/>
      <c r="IB18" s="866"/>
      <c r="IC18" s="866"/>
      <c r="ID18" s="866"/>
      <c r="IE18" s="866"/>
      <c r="IF18" s="866"/>
      <c r="IG18" s="866"/>
      <c r="IH18" s="866"/>
      <c r="II18" s="866"/>
      <c r="IJ18" s="866"/>
      <c r="IK18" s="866"/>
      <c r="IL18" s="866"/>
      <c r="IM18" s="866"/>
      <c r="IN18" s="866"/>
      <c r="IO18" s="866"/>
      <c r="IP18" s="866"/>
      <c r="IQ18" s="866"/>
      <c r="IR18" s="866"/>
      <c r="IS18" s="866"/>
      <c r="IT18" s="866"/>
      <c r="IU18" s="866"/>
      <c r="IV18" s="866"/>
    </row>
    <row r="19" spans="1:256" ht="7.5" customHeight="1">
      <c r="A19" s="862"/>
      <c r="B19" s="862"/>
      <c r="C19" s="862"/>
      <c r="D19" s="1341"/>
      <c r="E19" s="1341"/>
      <c r="F19" s="1341"/>
      <c r="G19" s="1341"/>
      <c r="H19" s="1341"/>
      <c r="I19" s="1341"/>
      <c r="J19" s="1341"/>
      <c r="K19" s="1341"/>
      <c r="L19" s="839"/>
      <c r="M19" s="864"/>
      <c r="N19" s="866"/>
      <c r="O19" s="866"/>
      <c r="P19" s="866"/>
      <c r="Q19" s="866"/>
      <c r="R19" s="866"/>
      <c r="S19" s="866"/>
      <c r="T19" s="866"/>
      <c r="U19" s="866"/>
      <c r="V19" s="866"/>
      <c r="W19" s="866"/>
      <c r="X19" s="866"/>
      <c r="Y19" s="866"/>
      <c r="Z19" s="866"/>
      <c r="AA19" s="866"/>
      <c r="AB19" s="866"/>
      <c r="AC19" s="866"/>
      <c r="AD19" s="866"/>
      <c r="AE19" s="866"/>
      <c r="AF19" s="866"/>
      <c r="AG19" s="866"/>
      <c r="AH19" s="866"/>
      <c r="AI19" s="866"/>
      <c r="AJ19" s="866"/>
      <c r="AK19" s="866"/>
      <c r="AL19" s="866"/>
      <c r="AM19" s="866"/>
      <c r="AN19" s="866"/>
      <c r="AO19" s="866"/>
      <c r="AP19" s="866"/>
      <c r="AQ19" s="866"/>
      <c r="AR19" s="866"/>
      <c r="AS19" s="866"/>
      <c r="AT19" s="866"/>
      <c r="AU19" s="866"/>
      <c r="AV19" s="866"/>
      <c r="AW19" s="866"/>
      <c r="AX19" s="866"/>
      <c r="AY19" s="866"/>
      <c r="AZ19" s="866"/>
      <c r="BA19" s="866"/>
      <c r="BB19" s="866"/>
      <c r="BC19" s="866"/>
      <c r="BD19" s="866"/>
      <c r="BE19" s="866"/>
      <c r="BF19" s="866"/>
      <c r="BG19" s="866"/>
      <c r="BH19" s="866"/>
      <c r="BI19" s="866"/>
      <c r="BJ19" s="866"/>
      <c r="BK19" s="866"/>
      <c r="BL19" s="866"/>
      <c r="BM19" s="866"/>
      <c r="BN19" s="866"/>
      <c r="BO19" s="866"/>
      <c r="BP19" s="866"/>
      <c r="BQ19" s="866"/>
      <c r="BR19" s="866"/>
      <c r="BS19" s="866"/>
      <c r="BT19" s="866"/>
      <c r="BU19" s="866"/>
      <c r="BV19" s="866"/>
      <c r="BW19" s="866"/>
      <c r="BX19" s="866"/>
      <c r="BY19" s="866"/>
      <c r="BZ19" s="866"/>
      <c r="CA19" s="866"/>
      <c r="CB19" s="866"/>
      <c r="CC19" s="866"/>
      <c r="CD19" s="866"/>
      <c r="CE19" s="866"/>
      <c r="CF19" s="866"/>
      <c r="CG19" s="866"/>
      <c r="CH19" s="866"/>
      <c r="CI19" s="866"/>
      <c r="CJ19" s="866"/>
      <c r="CK19" s="866"/>
      <c r="CL19" s="866"/>
      <c r="CM19" s="866"/>
      <c r="CN19" s="866"/>
      <c r="CO19" s="866"/>
      <c r="CP19" s="866"/>
      <c r="CQ19" s="866"/>
      <c r="CR19" s="866"/>
      <c r="CS19" s="866"/>
      <c r="CT19" s="866"/>
      <c r="CU19" s="866"/>
      <c r="CV19" s="866"/>
      <c r="CW19" s="866"/>
      <c r="CX19" s="866"/>
      <c r="CY19" s="866"/>
      <c r="CZ19" s="866"/>
      <c r="DA19" s="866"/>
      <c r="DB19" s="866"/>
      <c r="DC19" s="866"/>
      <c r="DD19" s="866"/>
      <c r="DE19" s="866"/>
      <c r="DF19" s="866"/>
      <c r="DG19" s="866"/>
      <c r="DH19" s="866"/>
      <c r="DI19" s="866"/>
      <c r="DJ19" s="866"/>
      <c r="DK19" s="866"/>
      <c r="DL19" s="866"/>
      <c r="DM19" s="866"/>
      <c r="DN19" s="866"/>
      <c r="DO19" s="866"/>
      <c r="DP19" s="866"/>
      <c r="DQ19" s="866"/>
      <c r="DR19" s="866"/>
      <c r="DS19" s="866"/>
      <c r="DT19" s="866"/>
      <c r="DU19" s="866"/>
      <c r="DV19" s="866"/>
      <c r="DW19" s="866"/>
      <c r="DX19" s="866"/>
      <c r="DY19" s="866"/>
      <c r="DZ19" s="866"/>
      <c r="EA19" s="866"/>
      <c r="EB19" s="866"/>
      <c r="EC19" s="866"/>
      <c r="ED19" s="866"/>
      <c r="EE19" s="866"/>
      <c r="EF19" s="866"/>
      <c r="EG19" s="866"/>
      <c r="EH19" s="866"/>
      <c r="EI19" s="866"/>
      <c r="EJ19" s="866"/>
      <c r="EK19" s="866"/>
      <c r="EL19" s="866"/>
      <c r="EM19" s="866"/>
      <c r="EN19" s="866"/>
      <c r="EO19" s="866"/>
      <c r="EP19" s="866"/>
      <c r="EQ19" s="866"/>
      <c r="ER19" s="866"/>
      <c r="ES19" s="866"/>
      <c r="ET19" s="866"/>
      <c r="EU19" s="866"/>
      <c r="EV19" s="866"/>
      <c r="EW19" s="866"/>
      <c r="EX19" s="866"/>
      <c r="EY19" s="866"/>
      <c r="EZ19" s="866"/>
      <c r="FA19" s="866"/>
      <c r="FB19" s="866"/>
      <c r="FC19" s="866"/>
      <c r="FD19" s="866"/>
      <c r="FE19" s="866"/>
      <c r="FF19" s="866"/>
      <c r="FG19" s="866"/>
      <c r="FH19" s="866"/>
      <c r="FI19" s="866"/>
      <c r="FJ19" s="866"/>
      <c r="FK19" s="866"/>
      <c r="FL19" s="866"/>
      <c r="FM19" s="866"/>
      <c r="FN19" s="866"/>
      <c r="FO19" s="866"/>
      <c r="FP19" s="866"/>
      <c r="FQ19" s="866"/>
      <c r="FR19" s="866"/>
      <c r="FS19" s="866"/>
      <c r="FT19" s="866"/>
      <c r="FU19" s="866"/>
      <c r="FV19" s="866"/>
      <c r="FW19" s="866"/>
      <c r="FX19" s="866"/>
      <c r="FY19" s="866"/>
      <c r="FZ19" s="866"/>
      <c r="GA19" s="866"/>
      <c r="GB19" s="866"/>
      <c r="GC19" s="866"/>
      <c r="GD19" s="866"/>
      <c r="GE19" s="866"/>
      <c r="GF19" s="866"/>
      <c r="GG19" s="866"/>
      <c r="GH19" s="866"/>
      <c r="GI19" s="866"/>
      <c r="GJ19" s="866"/>
      <c r="GK19" s="866"/>
      <c r="GL19" s="866"/>
      <c r="GM19" s="866"/>
      <c r="GN19" s="866"/>
      <c r="GO19" s="866"/>
      <c r="GP19" s="866"/>
      <c r="GQ19" s="866"/>
      <c r="GR19" s="866"/>
      <c r="GS19" s="866"/>
      <c r="GT19" s="866"/>
      <c r="GU19" s="866"/>
      <c r="GV19" s="866"/>
      <c r="GW19" s="866"/>
      <c r="GX19" s="866"/>
      <c r="GY19" s="866"/>
      <c r="GZ19" s="866"/>
      <c r="HA19" s="866"/>
      <c r="HB19" s="866"/>
      <c r="HC19" s="866"/>
      <c r="HD19" s="866"/>
      <c r="HE19" s="866"/>
      <c r="HF19" s="866"/>
      <c r="HG19" s="866"/>
      <c r="HH19" s="866"/>
      <c r="HI19" s="866"/>
      <c r="HJ19" s="866"/>
      <c r="HK19" s="866"/>
      <c r="HL19" s="866"/>
      <c r="HM19" s="866"/>
      <c r="HN19" s="866"/>
      <c r="HO19" s="866"/>
      <c r="HP19" s="866"/>
      <c r="HQ19" s="866"/>
      <c r="HR19" s="866"/>
      <c r="HS19" s="866"/>
      <c r="HT19" s="866"/>
      <c r="HU19" s="866"/>
      <c r="HV19" s="866"/>
      <c r="HW19" s="866"/>
      <c r="HX19" s="866"/>
      <c r="HY19" s="866"/>
      <c r="HZ19" s="866"/>
      <c r="IA19" s="866"/>
      <c r="IB19" s="866"/>
      <c r="IC19" s="866"/>
      <c r="ID19" s="866"/>
      <c r="IE19" s="866"/>
      <c r="IF19" s="866"/>
      <c r="IG19" s="866"/>
      <c r="IH19" s="866"/>
      <c r="II19" s="866"/>
      <c r="IJ19" s="866"/>
      <c r="IK19" s="866"/>
      <c r="IL19" s="866"/>
      <c r="IM19" s="866"/>
      <c r="IN19" s="866"/>
      <c r="IO19" s="866"/>
      <c r="IP19" s="866"/>
      <c r="IQ19" s="866"/>
      <c r="IR19" s="866"/>
      <c r="IS19" s="866"/>
      <c r="IT19" s="866"/>
      <c r="IU19" s="866"/>
      <c r="IV19" s="866"/>
    </row>
    <row r="20" spans="1:256" ht="16.5" customHeight="1">
      <c r="A20" s="1342" t="s">
        <v>385</v>
      </c>
      <c r="B20" s="862"/>
      <c r="C20" s="884"/>
      <c r="D20" s="839">
        <v>2.4550000000000001</v>
      </c>
      <c r="E20" s="838"/>
      <c r="F20" s="3391">
        <f>ROUND(1233.74/1000000,3)</f>
        <v>1E-3</v>
      </c>
      <c r="G20" s="838"/>
      <c r="H20" s="3392">
        <f>ROUND((3885.4/1000000),3)</f>
        <v>4.0000000000000001E-3</v>
      </c>
      <c r="I20" s="838"/>
      <c r="J20" s="3393">
        <v>0</v>
      </c>
      <c r="K20" s="838"/>
      <c r="L20" s="839">
        <f>ROUND(D20+F20-H20+J20,3)</f>
        <v>2.452</v>
      </c>
      <c r="M20" s="864"/>
      <c r="N20" s="866"/>
      <c r="O20" s="866"/>
      <c r="P20" s="866"/>
      <c r="Q20" s="866"/>
      <c r="R20" s="866"/>
      <c r="S20" s="866"/>
      <c r="T20" s="866"/>
      <c r="U20" s="866"/>
      <c r="V20" s="866"/>
      <c r="W20" s="866"/>
      <c r="X20" s="866"/>
      <c r="Y20" s="866"/>
      <c r="Z20" s="866"/>
      <c r="AA20" s="866"/>
      <c r="AB20" s="866"/>
      <c r="AC20" s="866"/>
      <c r="AD20" s="866"/>
      <c r="AE20" s="866"/>
      <c r="AF20" s="866"/>
      <c r="AG20" s="866"/>
      <c r="AH20" s="866"/>
      <c r="AI20" s="866"/>
      <c r="AJ20" s="866"/>
      <c r="AK20" s="866"/>
      <c r="AL20" s="866"/>
      <c r="AM20" s="866"/>
      <c r="AN20" s="866"/>
      <c r="AO20" s="866"/>
      <c r="AP20" s="866"/>
      <c r="AQ20" s="866"/>
      <c r="AR20" s="866"/>
      <c r="AS20" s="866"/>
      <c r="AT20" s="866"/>
      <c r="AU20" s="866"/>
      <c r="AV20" s="866"/>
      <c r="AW20" s="866"/>
      <c r="AX20" s="866"/>
      <c r="AY20" s="866"/>
      <c r="AZ20" s="866"/>
      <c r="BA20" s="866"/>
      <c r="BB20" s="866"/>
      <c r="BC20" s="866"/>
      <c r="BD20" s="866"/>
      <c r="BE20" s="866"/>
      <c r="BF20" s="866"/>
      <c r="BG20" s="866"/>
      <c r="BH20" s="866"/>
      <c r="BI20" s="866"/>
      <c r="BJ20" s="866"/>
      <c r="BK20" s="866"/>
      <c r="BL20" s="866"/>
      <c r="BM20" s="866"/>
      <c r="BN20" s="866"/>
      <c r="BO20" s="866"/>
      <c r="BP20" s="866"/>
      <c r="BQ20" s="866"/>
      <c r="BR20" s="866"/>
      <c r="BS20" s="866"/>
      <c r="BT20" s="866"/>
      <c r="BU20" s="866"/>
      <c r="BV20" s="866"/>
      <c r="BW20" s="866"/>
      <c r="BX20" s="866"/>
      <c r="BY20" s="866"/>
      <c r="BZ20" s="866"/>
      <c r="CA20" s="866"/>
      <c r="CB20" s="866"/>
      <c r="CC20" s="866"/>
      <c r="CD20" s="866"/>
      <c r="CE20" s="866"/>
      <c r="CF20" s="866"/>
      <c r="CG20" s="866"/>
      <c r="CH20" s="866"/>
      <c r="CI20" s="866"/>
      <c r="CJ20" s="866"/>
      <c r="CK20" s="866"/>
      <c r="CL20" s="866"/>
      <c r="CM20" s="866"/>
      <c r="CN20" s="866"/>
      <c r="CO20" s="866"/>
      <c r="CP20" s="866"/>
      <c r="CQ20" s="866"/>
      <c r="CR20" s="866"/>
      <c r="CS20" s="866"/>
      <c r="CT20" s="866"/>
      <c r="CU20" s="866"/>
      <c r="CV20" s="866"/>
      <c r="CW20" s="866"/>
      <c r="CX20" s="866"/>
      <c r="CY20" s="866"/>
      <c r="CZ20" s="866"/>
      <c r="DA20" s="866"/>
      <c r="DB20" s="866"/>
      <c r="DC20" s="866"/>
      <c r="DD20" s="866"/>
      <c r="DE20" s="866"/>
      <c r="DF20" s="866"/>
      <c r="DG20" s="866"/>
      <c r="DH20" s="866"/>
      <c r="DI20" s="866"/>
      <c r="DJ20" s="866"/>
      <c r="DK20" s="866"/>
      <c r="DL20" s="866"/>
      <c r="DM20" s="866"/>
      <c r="DN20" s="866"/>
      <c r="DO20" s="866"/>
      <c r="DP20" s="866"/>
      <c r="DQ20" s="866"/>
      <c r="DR20" s="866"/>
      <c r="DS20" s="866"/>
      <c r="DT20" s="866"/>
      <c r="DU20" s="866"/>
      <c r="DV20" s="866"/>
      <c r="DW20" s="866"/>
      <c r="DX20" s="866"/>
      <c r="DY20" s="866"/>
      <c r="DZ20" s="866"/>
      <c r="EA20" s="866"/>
      <c r="EB20" s="866"/>
      <c r="EC20" s="866"/>
      <c r="ED20" s="866"/>
      <c r="EE20" s="866"/>
      <c r="EF20" s="866"/>
      <c r="EG20" s="866"/>
      <c r="EH20" s="866"/>
      <c r="EI20" s="866"/>
      <c r="EJ20" s="866"/>
      <c r="EK20" s="866"/>
      <c r="EL20" s="866"/>
      <c r="EM20" s="866"/>
      <c r="EN20" s="866"/>
      <c r="EO20" s="866"/>
      <c r="EP20" s="866"/>
      <c r="EQ20" s="866"/>
      <c r="ER20" s="866"/>
      <c r="ES20" s="866"/>
      <c r="ET20" s="866"/>
      <c r="EU20" s="866"/>
      <c r="EV20" s="866"/>
      <c r="EW20" s="866"/>
      <c r="EX20" s="866"/>
      <c r="EY20" s="866"/>
      <c r="EZ20" s="866"/>
      <c r="FA20" s="866"/>
      <c r="FB20" s="866"/>
      <c r="FC20" s="866"/>
      <c r="FD20" s="866"/>
      <c r="FE20" s="866"/>
      <c r="FF20" s="866"/>
      <c r="FG20" s="866"/>
      <c r="FH20" s="866"/>
      <c r="FI20" s="866"/>
      <c r="FJ20" s="866"/>
      <c r="FK20" s="866"/>
      <c r="FL20" s="866"/>
      <c r="FM20" s="866"/>
      <c r="FN20" s="866"/>
      <c r="FO20" s="866"/>
      <c r="FP20" s="866"/>
      <c r="FQ20" s="866"/>
      <c r="FR20" s="866"/>
      <c r="FS20" s="866"/>
      <c r="FT20" s="866"/>
      <c r="FU20" s="866"/>
      <c r="FV20" s="866"/>
      <c r="FW20" s="866"/>
      <c r="FX20" s="866"/>
      <c r="FY20" s="866"/>
      <c r="FZ20" s="866"/>
      <c r="GA20" s="866"/>
      <c r="GB20" s="866"/>
      <c r="GC20" s="866"/>
      <c r="GD20" s="866"/>
      <c r="GE20" s="866"/>
      <c r="GF20" s="866"/>
      <c r="GG20" s="866"/>
      <c r="GH20" s="866"/>
      <c r="GI20" s="866"/>
      <c r="GJ20" s="866"/>
      <c r="GK20" s="866"/>
      <c r="GL20" s="866"/>
      <c r="GM20" s="866"/>
      <c r="GN20" s="866"/>
      <c r="GO20" s="866"/>
      <c r="GP20" s="866"/>
      <c r="GQ20" s="866"/>
      <c r="GR20" s="866"/>
      <c r="GS20" s="866"/>
      <c r="GT20" s="866"/>
      <c r="GU20" s="866"/>
      <c r="GV20" s="866"/>
      <c r="GW20" s="866"/>
      <c r="GX20" s="866"/>
      <c r="GY20" s="866"/>
      <c r="GZ20" s="866"/>
      <c r="HA20" s="866"/>
      <c r="HB20" s="866"/>
      <c r="HC20" s="866"/>
      <c r="HD20" s="866"/>
      <c r="HE20" s="866"/>
      <c r="HF20" s="866"/>
      <c r="HG20" s="866"/>
      <c r="HH20" s="866"/>
      <c r="HI20" s="866"/>
      <c r="HJ20" s="866"/>
      <c r="HK20" s="866"/>
      <c r="HL20" s="866"/>
      <c r="HM20" s="866"/>
      <c r="HN20" s="866"/>
      <c r="HO20" s="866"/>
      <c r="HP20" s="866"/>
      <c r="HQ20" s="866"/>
      <c r="HR20" s="866"/>
      <c r="HS20" s="866"/>
      <c r="HT20" s="866"/>
      <c r="HU20" s="866"/>
      <c r="HV20" s="866"/>
      <c r="HW20" s="866"/>
      <c r="HX20" s="866"/>
      <c r="HY20" s="866"/>
      <c r="HZ20" s="866"/>
      <c r="IA20" s="866"/>
      <c r="IB20" s="866"/>
      <c r="IC20" s="866"/>
      <c r="ID20" s="866"/>
      <c r="IE20" s="866"/>
      <c r="IF20" s="866"/>
      <c r="IG20" s="866"/>
      <c r="IH20" s="866"/>
      <c r="II20" s="866"/>
      <c r="IJ20" s="866"/>
      <c r="IK20" s="866"/>
      <c r="IL20" s="866"/>
      <c r="IM20" s="866"/>
      <c r="IN20" s="866"/>
      <c r="IO20" s="866"/>
      <c r="IP20" s="866"/>
      <c r="IQ20" s="866"/>
      <c r="IR20" s="866"/>
      <c r="IS20" s="866"/>
      <c r="IT20" s="866"/>
      <c r="IU20" s="866"/>
      <c r="IV20" s="866"/>
    </row>
    <row r="21" spans="1:256" ht="15.75" customHeight="1">
      <c r="A21" s="1342" t="s">
        <v>386</v>
      </c>
      <c r="B21" s="862"/>
      <c r="C21" s="862"/>
      <c r="D21" s="1343">
        <v>8.1609999999999996</v>
      </c>
      <c r="E21" s="839"/>
      <c r="F21" s="3394">
        <f>ROUND(73001.86/1000000,3)</f>
        <v>7.2999999999999995E-2</v>
      </c>
      <c r="G21" s="839"/>
      <c r="H21" s="3395">
        <f>ROUND(5597.95/1000000,3)-0.001</f>
        <v>5.0000000000000001E-3</v>
      </c>
      <c r="I21" s="839"/>
      <c r="J21" s="3396">
        <v>0</v>
      </c>
      <c r="K21" s="839"/>
      <c r="L21" s="1756">
        <f>D21+F21-H21+J21</f>
        <v>8.2289999999999992</v>
      </c>
      <c r="M21" s="864"/>
      <c r="N21" s="866"/>
      <c r="O21" s="866"/>
      <c r="P21" s="866"/>
      <c r="Q21" s="866"/>
      <c r="R21" s="866"/>
      <c r="S21" s="866"/>
      <c r="T21" s="866"/>
      <c r="U21" s="866"/>
      <c r="V21" s="866"/>
      <c r="W21" s="866"/>
      <c r="X21" s="866"/>
      <c r="Y21" s="866"/>
      <c r="Z21" s="866"/>
      <c r="AA21" s="866"/>
      <c r="AB21" s="866"/>
      <c r="AC21" s="866"/>
      <c r="AD21" s="866"/>
      <c r="AE21" s="866"/>
      <c r="AF21" s="866"/>
      <c r="AG21" s="866"/>
      <c r="AH21" s="866"/>
      <c r="AI21" s="866"/>
      <c r="AJ21" s="866"/>
      <c r="AK21" s="866"/>
      <c r="AL21" s="866"/>
      <c r="AM21" s="866"/>
      <c r="AN21" s="866"/>
      <c r="AO21" s="866"/>
      <c r="AP21" s="866"/>
      <c r="AQ21" s="866"/>
      <c r="AR21" s="866"/>
      <c r="AS21" s="866"/>
      <c r="AT21" s="866"/>
      <c r="AU21" s="866"/>
      <c r="AV21" s="866"/>
      <c r="AW21" s="866"/>
      <c r="AX21" s="866"/>
      <c r="AY21" s="866"/>
      <c r="AZ21" s="866"/>
      <c r="BA21" s="866"/>
      <c r="BB21" s="866"/>
      <c r="BC21" s="866"/>
      <c r="BD21" s="866"/>
      <c r="BE21" s="866"/>
      <c r="BF21" s="866"/>
      <c r="BG21" s="866"/>
      <c r="BH21" s="866"/>
      <c r="BI21" s="866"/>
      <c r="BJ21" s="866"/>
      <c r="BK21" s="866"/>
      <c r="BL21" s="866"/>
      <c r="BM21" s="866"/>
      <c r="BN21" s="866"/>
      <c r="BO21" s="866"/>
      <c r="BP21" s="866"/>
      <c r="BQ21" s="866"/>
      <c r="BR21" s="866"/>
      <c r="BS21" s="866"/>
      <c r="BT21" s="866"/>
      <c r="BU21" s="866"/>
      <c r="BV21" s="866"/>
      <c r="BW21" s="866"/>
      <c r="BX21" s="866"/>
      <c r="BY21" s="866"/>
      <c r="BZ21" s="866"/>
      <c r="CA21" s="866"/>
      <c r="CB21" s="866"/>
      <c r="CC21" s="866"/>
      <c r="CD21" s="866"/>
      <c r="CE21" s="866"/>
      <c r="CF21" s="866"/>
      <c r="CG21" s="866"/>
      <c r="CH21" s="866"/>
      <c r="CI21" s="866"/>
      <c r="CJ21" s="866"/>
      <c r="CK21" s="866"/>
      <c r="CL21" s="866"/>
      <c r="CM21" s="866"/>
      <c r="CN21" s="866"/>
      <c r="CO21" s="866"/>
      <c r="CP21" s="866"/>
      <c r="CQ21" s="866"/>
      <c r="CR21" s="866"/>
      <c r="CS21" s="866"/>
      <c r="CT21" s="866"/>
      <c r="CU21" s="866"/>
      <c r="CV21" s="866"/>
      <c r="CW21" s="866"/>
      <c r="CX21" s="866"/>
      <c r="CY21" s="866"/>
      <c r="CZ21" s="866"/>
      <c r="DA21" s="866"/>
      <c r="DB21" s="866"/>
      <c r="DC21" s="866"/>
      <c r="DD21" s="866"/>
      <c r="DE21" s="866"/>
      <c r="DF21" s="866"/>
      <c r="DG21" s="866"/>
      <c r="DH21" s="866"/>
      <c r="DI21" s="866"/>
      <c r="DJ21" s="866"/>
      <c r="DK21" s="866"/>
      <c r="DL21" s="866"/>
      <c r="DM21" s="866"/>
      <c r="DN21" s="866"/>
      <c r="DO21" s="866"/>
      <c r="DP21" s="866"/>
      <c r="DQ21" s="866"/>
      <c r="DR21" s="866"/>
      <c r="DS21" s="866"/>
      <c r="DT21" s="866"/>
      <c r="DU21" s="866"/>
      <c r="DV21" s="866"/>
      <c r="DW21" s="866"/>
      <c r="DX21" s="866"/>
      <c r="DY21" s="866"/>
      <c r="DZ21" s="866"/>
      <c r="EA21" s="866"/>
      <c r="EB21" s="866"/>
      <c r="EC21" s="866"/>
      <c r="ED21" s="866"/>
      <c r="EE21" s="866"/>
      <c r="EF21" s="866"/>
      <c r="EG21" s="866"/>
      <c r="EH21" s="866"/>
      <c r="EI21" s="866"/>
      <c r="EJ21" s="866"/>
      <c r="EK21" s="866"/>
      <c r="EL21" s="866"/>
      <c r="EM21" s="866"/>
      <c r="EN21" s="866"/>
      <c r="EO21" s="866"/>
      <c r="EP21" s="866"/>
      <c r="EQ21" s="866"/>
      <c r="ER21" s="866"/>
      <c r="ES21" s="866"/>
      <c r="ET21" s="866"/>
      <c r="EU21" s="866"/>
      <c r="EV21" s="866"/>
      <c r="EW21" s="866"/>
      <c r="EX21" s="866"/>
      <c r="EY21" s="866"/>
      <c r="EZ21" s="866"/>
      <c r="FA21" s="866"/>
      <c r="FB21" s="866"/>
      <c r="FC21" s="866"/>
      <c r="FD21" s="866"/>
      <c r="FE21" s="866"/>
      <c r="FF21" s="866"/>
      <c r="FG21" s="866"/>
      <c r="FH21" s="866"/>
      <c r="FI21" s="866"/>
      <c r="FJ21" s="866"/>
      <c r="FK21" s="866"/>
      <c r="FL21" s="866"/>
      <c r="FM21" s="866"/>
      <c r="FN21" s="866"/>
      <c r="FO21" s="866"/>
      <c r="FP21" s="866"/>
      <c r="FQ21" s="866"/>
      <c r="FR21" s="866"/>
      <c r="FS21" s="866"/>
      <c r="FT21" s="866"/>
      <c r="FU21" s="866"/>
      <c r="FV21" s="866"/>
      <c r="FW21" s="866"/>
      <c r="FX21" s="866"/>
      <c r="FY21" s="866"/>
      <c r="FZ21" s="866"/>
      <c r="GA21" s="866"/>
      <c r="GB21" s="866"/>
      <c r="GC21" s="866"/>
      <c r="GD21" s="866"/>
      <c r="GE21" s="866"/>
      <c r="GF21" s="866"/>
      <c r="GG21" s="866"/>
      <c r="GH21" s="866"/>
      <c r="GI21" s="866"/>
      <c r="GJ21" s="866"/>
      <c r="GK21" s="866"/>
      <c r="GL21" s="866"/>
      <c r="GM21" s="866"/>
      <c r="GN21" s="866"/>
      <c r="GO21" s="866"/>
      <c r="GP21" s="866"/>
      <c r="GQ21" s="866"/>
      <c r="GR21" s="866"/>
      <c r="GS21" s="866"/>
      <c r="GT21" s="866"/>
      <c r="GU21" s="866"/>
      <c r="GV21" s="866"/>
      <c r="GW21" s="866"/>
      <c r="GX21" s="866"/>
      <c r="GY21" s="866"/>
      <c r="GZ21" s="866"/>
      <c r="HA21" s="866"/>
      <c r="HB21" s="866"/>
      <c r="HC21" s="866"/>
      <c r="HD21" s="866"/>
      <c r="HE21" s="866"/>
      <c r="HF21" s="866"/>
      <c r="HG21" s="866"/>
      <c r="HH21" s="866"/>
      <c r="HI21" s="866"/>
      <c r="HJ21" s="866"/>
      <c r="HK21" s="866"/>
      <c r="HL21" s="866"/>
      <c r="HM21" s="866"/>
      <c r="HN21" s="866"/>
      <c r="HO21" s="866"/>
      <c r="HP21" s="866"/>
      <c r="HQ21" s="866"/>
      <c r="HR21" s="866"/>
      <c r="HS21" s="866"/>
      <c r="HT21" s="866"/>
      <c r="HU21" s="866"/>
      <c r="HV21" s="866"/>
      <c r="HW21" s="866"/>
      <c r="HX21" s="866"/>
      <c r="HY21" s="866"/>
      <c r="HZ21" s="866"/>
      <c r="IA21" s="866"/>
      <c r="IB21" s="866"/>
      <c r="IC21" s="866"/>
      <c r="ID21" s="866"/>
      <c r="IE21" s="866"/>
      <c r="IF21" s="866"/>
      <c r="IG21" s="866"/>
      <c r="IH21" s="866"/>
      <c r="II21" s="866"/>
      <c r="IJ21" s="866"/>
      <c r="IK21" s="866"/>
      <c r="IL21" s="866"/>
      <c r="IM21" s="866"/>
      <c r="IN21" s="866"/>
      <c r="IO21" s="866"/>
      <c r="IP21" s="866"/>
      <c r="IQ21" s="866"/>
      <c r="IR21" s="866"/>
      <c r="IS21" s="866"/>
      <c r="IT21" s="866"/>
      <c r="IU21" s="866"/>
      <c r="IV21" s="866"/>
    </row>
    <row r="22" spans="1:256" ht="6.75" customHeight="1">
      <c r="A22" s="1342"/>
      <c r="B22" s="862"/>
      <c r="C22" s="862"/>
      <c r="D22" s="842"/>
      <c r="E22" s="839"/>
      <c r="F22" s="842" t="s">
        <v>15</v>
      </c>
      <c r="G22" s="839"/>
      <c r="H22" s="1344"/>
      <c r="I22" s="839"/>
      <c r="J22" s="1345"/>
      <c r="K22" s="839"/>
      <c r="L22" s="842"/>
      <c r="M22" s="864"/>
      <c r="N22" s="866"/>
      <c r="O22" s="866"/>
      <c r="P22" s="866"/>
      <c r="Q22" s="866"/>
      <c r="R22" s="866"/>
      <c r="S22" s="866"/>
      <c r="T22" s="866"/>
      <c r="U22" s="866"/>
      <c r="V22" s="866"/>
      <c r="W22" s="866"/>
      <c r="X22" s="866"/>
      <c r="Y22" s="866"/>
      <c r="Z22" s="866"/>
      <c r="AA22" s="866"/>
      <c r="AB22" s="866"/>
      <c r="AC22" s="866"/>
      <c r="AD22" s="866"/>
      <c r="AE22" s="866"/>
      <c r="AF22" s="866"/>
      <c r="AG22" s="866"/>
      <c r="AH22" s="866"/>
      <c r="AI22" s="866"/>
      <c r="AJ22" s="866"/>
      <c r="AK22" s="866"/>
      <c r="AL22" s="866"/>
      <c r="AM22" s="866"/>
      <c r="AN22" s="866"/>
      <c r="AO22" s="866"/>
      <c r="AP22" s="866"/>
      <c r="AQ22" s="866"/>
      <c r="AR22" s="866"/>
      <c r="AS22" s="866"/>
      <c r="AT22" s="866"/>
      <c r="AU22" s="866"/>
      <c r="AV22" s="866"/>
      <c r="AW22" s="866"/>
      <c r="AX22" s="866"/>
      <c r="AY22" s="866"/>
      <c r="AZ22" s="866"/>
      <c r="BA22" s="866"/>
      <c r="BB22" s="866"/>
      <c r="BC22" s="866"/>
      <c r="BD22" s="866"/>
      <c r="BE22" s="866"/>
      <c r="BF22" s="866"/>
      <c r="BG22" s="866"/>
      <c r="BH22" s="866"/>
      <c r="BI22" s="866"/>
      <c r="BJ22" s="866"/>
      <c r="BK22" s="866"/>
      <c r="BL22" s="866"/>
      <c r="BM22" s="866"/>
      <c r="BN22" s="866"/>
      <c r="BO22" s="866"/>
      <c r="BP22" s="866"/>
      <c r="BQ22" s="866"/>
      <c r="BR22" s="866"/>
      <c r="BS22" s="866"/>
      <c r="BT22" s="866"/>
      <c r="BU22" s="866"/>
      <c r="BV22" s="866"/>
      <c r="BW22" s="866"/>
      <c r="BX22" s="866"/>
      <c r="BY22" s="866"/>
      <c r="BZ22" s="866"/>
      <c r="CA22" s="866"/>
      <c r="CB22" s="866"/>
      <c r="CC22" s="866"/>
      <c r="CD22" s="866"/>
      <c r="CE22" s="866"/>
      <c r="CF22" s="866"/>
      <c r="CG22" s="866"/>
      <c r="CH22" s="866"/>
      <c r="CI22" s="866"/>
      <c r="CJ22" s="866"/>
      <c r="CK22" s="866"/>
      <c r="CL22" s="866"/>
      <c r="CM22" s="866"/>
      <c r="CN22" s="866"/>
      <c r="CO22" s="866"/>
      <c r="CP22" s="866"/>
      <c r="CQ22" s="866"/>
      <c r="CR22" s="866"/>
      <c r="CS22" s="866"/>
      <c r="CT22" s="866"/>
      <c r="CU22" s="866"/>
      <c r="CV22" s="866"/>
      <c r="CW22" s="866"/>
      <c r="CX22" s="866"/>
      <c r="CY22" s="866"/>
      <c r="CZ22" s="866"/>
      <c r="DA22" s="866"/>
      <c r="DB22" s="866"/>
      <c r="DC22" s="866"/>
      <c r="DD22" s="866"/>
      <c r="DE22" s="866"/>
      <c r="DF22" s="866"/>
      <c r="DG22" s="866"/>
      <c r="DH22" s="866"/>
      <c r="DI22" s="866"/>
      <c r="DJ22" s="866"/>
      <c r="DK22" s="866"/>
      <c r="DL22" s="866"/>
      <c r="DM22" s="866"/>
      <c r="DN22" s="866"/>
      <c r="DO22" s="866"/>
      <c r="DP22" s="866"/>
      <c r="DQ22" s="866"/>
      <c r="DR22" s="866"/>
      <c r="DS22" s="866"/>
      <c r="DT22" s="866"/>
      <c r="DU22" s="866"/>
      <c r="DV22" s="866"/>
      <c r="DW22" s="866"/>
      <c r="DX22" s="866"/>
      <c r="DY22" s="866"/>
      <c r="DZ22" s="866"/>
      <c r="EA22" s="866"/>
      <c r="EB22" s="866"/>
      <c r="EC22" s="866"/>
      <c r="ED22" s="866"/>
      <c r="EE22" s="866"/>
      <c r="EF22" s="866"/>
      <c r="EG22" s="866"/>
      <c r="EH22" s="866"/>
      <c r="EI22" s="866"/>
      <c r="EJ22" s="866"/>
      <c r="EK22" s="866"/>
      <c r="EL22" s="866"/>
      <c r="EM22" s="866"/>
      <c r="EN22" s="866"/>
      <c r="EO22" s="866"/>
      <c r="EP22" s="866"/>
      <c r="EQ22" s="866"/>
      <c r="ER22" s="866"/>
      <c r="ES22" s="866"/>
      <c r="ET22" s="866"/>
      <c r="EU22" s="866"/>
      <c r="EV22" s="866"/>
      <c r="EW22" s="866"/>
      <c r="EX22" s="866"/>
      <c r="EY22" s="866"/>
      <c r="EZ22" s="866"/>
      <c r="FA22" s="866"/>
      <c r="FB22" s="866"/>
      <c r="FC22" s="866"/>
      <c r="FD22" s="866"/>
      <c r="FE22" s="866"/>
      <c r="FF22" s="866"/>
      <c r="FG22" s="866"/>
      <c r="FH22" s="866"/>
      <c r="FI22" s="866"/>
      <c r="FJ22" s="866"/>
      <c r="FK22" s="866"/>
      <c r="FL22" s="866"/>
      <c r="FM22" s="866"/>
      <c r="FN22" s="866"/>
      <c r="FO22" s="866"/>
      <c r="FP22" s="866"/>
      <c r="FQ22" s="866"/>
      <c r="FR22" s="866"/>
      <c r="FS22" s="866"/>
      <c r="FT22" s="866"/>
      <c r="FU22" s="866"/>
      <c r="FV22" s="866"/>
      <c r="FW22" s="866"/>
      <c r="FX22" s="866"/>
      <c r="FY22" s="866"/>
      <c r="FZ22" s="866"/>
      <c r="GA22" s="866"/>
      <c r="GB22" s="866"/>
      <c r="GC22" s="866"/>
      <c r="GD22" s="866"/>
      <c r="GE22" s="866"/>
      <c r="GF22" s="866"/>
      <c r="GG22" s="866"/>
      <c r="GH22" s="866"/>
      <c r="GI22" s="866"/>
      <c r="GJ22" s="866"/>
      <c r="GK22" s="866"/>
      <c r="GL22" s="866"/>
      <c r="GM22" s="866"/>
      <c r="GN22" s="866"/>
      <c r="GO22" s="866"/>
      <c r="GP22" s="866"/>
      <c r="GQ22" s="866"/>
      <c r="GR22" s="866"/>
      <c r="GS22" s="866"/>
      <c r="GT22" s="866"/>
      <c r="GU22" s="866"/>
      <c r="GV22" s="866"/>
      <c r="GW22" s="866"/>
      <c r="GX22" s="866"/>
      <c r="GY22" s="866"/>
      <c r="GZ22" s="866"/>
      <c r="HA22" s="866"/>
      <c r="HB22" s="866"/>
      <c r="HC22" s="866"/>
      <c r="HD22" s="866"/>
      <c r="HE22" s="866"/>
      <c r="HF22" s="866"/>
      <c r="HG22" s="866"/>
      <c r="HH22" s="866"/>
      <c r="HI22" s="866"/>
      <c r="HJ22" s="866"/>
      <c r="HK22" s="866"/>
      <c r="HL22" s="866"/>
      <c r="HM22" s="866"/>
      <c r="HN22" s="866"/>
      <c r="HO22" s="866"/>
      <c r="HP22" s="866"/>
      <c r="HQ22" s="866"/>
      <c r="HR22" s="866"/>
      <c r="HS22" s="866"/>
      <c r="HT22" s="866"/>
      <c r="HU22" s="866"/>
      <c r="HV22" s="866"/>
      <c r="HW22" s="866"/>
      <c r="HX22" s="866"/>
      <c r="HY22" s="866"/>
      <c r="HZ22" s="866"/>
      <c r="IA22" s="866"/>
      <c r="IB22" s="866"/>
      <c r="IC22" s="866"/>
      <c r="ID22" s="866"/>
      <c r="IE22" s="866"/>
      <c r="IF22" s="866"/>
      <c r="IG22" s="866"/>
      <c r="IH22" s="866"/>
      <c r="II22" s="866"/>
      <c r="IJ22" s="866"/>
      <c r="IK22" s="866"/>
      <c r="IL22" s="866"/>
      <c r="IM22" s="866"/>
      <c r="IN22" s="866"/>
      <c r="IO22" s="866"/>
      <c r="IP22" s="866"/>
      <c r="IQ22" s="866"/>
      <c r="IR22" s="866"/>
      <c r="IS22" s="866"/>
      <c r="IT22" s="866"/>
      <c r="IU22" s="866"/>
      <c r="IV22" s="866"/>
    </row>
    <row r="23" spans="1:256" ht="17.25" customHeight="1">
      <c r="A23" s="868" t="s">
        <v>1358</v>
      </c>
      <c r="B23" s="862"/>
      <c r="C23" s="884"/>
      <c r="D23" s="1346">
        <f>ROUND(SUM(D20:D21),3)</f>
        <v>10.616</v>
      </c>
      <c r="E23" s="1341"/>
      <c r="F23" s="1346">
        <f>ROUND(SUM(F20:F21),3)</f>
        <v>7.3999999999999996E-2</v>
      </c>
      <c r="G23" s="1341"/>
      <c r="H23" s="1346">
        <f>ROUND(SUM(H20:H21),3)</f>
        <v>8.9999999999999993E-3</v>
      </c>
      <c r="I23" s="1341"/>
      <c r="J23" s="1346">
        <f>ROUND(SUM(J20:J21),3)</f>
        <v>0</v>
      </c>
      <c r="K23" s="1341"/>
      <c r="L23" s="1346">
        <f>ROUND(SUM(L20:L21),3)</f>
        <v>10.680999999999999</v>
      </c>
      <c r="M23" s="876"/>
      <c r="N23" s="877"/>
      <c r="O23" s="866"/>
      <c r="P23" s="866"/>
      <c r="Q23" s="866"/>
      <c r="R23" s="866"/>
      <c r="S23" s="866"/>
      <c r="T23" s="866"/>
      <c r="U23" s="866"/>
      <c r="V23" s="866"/>
      <c r="W23" s="866"/>
      <c r="X23" s="866"/>
      <c r="Y23" s="866"/>
      <c r="Z23" s="866"/>
      <c r="AA23" s="866"/>
      <c r="AB23" s="866"/>
      <c r="AC23" s="866"/>
      <c r="AD23" s="866"/>
      <c r="AE23" s="866"/>
      <c r="AF23" s="866"/>
      <c r="AG23" s="866"/>
      <c r="AH23" s="866"/>
      <c r="AI23" s="866"/>
      <c r="AJ23" s="866"/>
      <c r="AK23" s="866"/>
      <c r="AL23" s="866"/>
      <c r="AM23" s="866"/>
      <c r="AN23" s="866"/>
      <c r="AO23" s="866"/>
      <c r="AP23" s="866"/>
      <c r="AQ23" s="866"/>
      <c r="AR23" s="866"/>
      <c r="AS23" s="866"/>
      <c r="AT23" s="866"/>
      <c r="AU23" s="866"/>
      <c r="AV23" s="866"/>
      <c r="AW23" s="866"/>
      <c r="AX23" s="866"/>
      <c r="AY23" s="866"/>
      <c r="AZ23" s="866"/>
      <c r="BA23" s="866"/>
      <c r="BB23" s="866"/>
      <c r="BC23" s="866"/>
      <c r="BD23" s="866"/>
      <c r="BE23" s="866"/>
      <c r="BF23" s="866"/>
      <c r="BG23" s="866"/>
      <c r="BH23" s="866"/>
      <c r="BI23" s="866"/>
      <c r="BJ23" s="866"/>
      <c r="BK23" s="866"/>
      <c r="BL23" s="866"/>
      <c r="BM23" s="866"/>
      <c r="BN23" s="866"/>
      <c r="BO23" s="866"/>
      <c r="BP23" s="866"/>
      <c r="BQ23" s="866"/>
      <c r="BR23" s="866"/>
      <c r="BS23" s="866"/>
      <c r="BT23" s="866"/>
      <c r="BU23" s="866"/>
      <c r="BV23" s="866"/>
      <c r="BW23" s="866"/>
      <c r="BX23" s="866"/>
      <c r="BY23" s="866"/>
      <c r="BZ23" s="866"/>
      <c r="CA23" s="866"/>
      <c r="CB23" s="866"/>
      <c r="CC23" s="866"/>
      <c r="CD23" s="866"/>
      <c r="CE23" s="866"/>
      <c r="CF23" s="866"/>
      <c r="CG23" s="866"/>
      <c r="CH23" s="866"/>
      <c r="CI23" s="866"/>
      <c r="CJ23" s="866"/>
      <c r="CK23" s="866"/>
      <c r="CL23" s="866"/>
      <c r="CM23" s="866"/>
      <c r="CN23" s="866"/>
      <c r="CO23" s="866"/>
      <c r="CP23" s="866"/>
      <c r="CQ23" s="866"/>
      <c r="CR23" s="866"/>
      <c r="CS23" s="866"/>
      <c r="CT23" s="866"/>
      <c r="CU23" s="866"/>
      <c r="CV23" s="866"/>
      <c r="CW23" s="866"/>
      <c r="CX23" s="866"/>
      <c r="CY23" s="866"/>
      <c r="CZ23" s="866"/>
      <c r="DA23" s="866"/>
      <c r="DB23" s="866"/>
      <c r="DC23" s="866"/>
      <c r="DD23" s="866"/>
      <c r="DE23" s="866"/>
      <c r="DF23" s="866"/>
      <c r="DG23" s="866"/>
      <c r="DH23" s="866"/>
      <c r="DI23" s="866"/>
      <c r="DJ23" s="866"/>
      <c r="DK23" s="866"/>
      <c r="DL23" s="866"/>
      <c r="DM23" s="866"/>
      <c r="DN23" s="866"/>
      <c r="DO23" s="866"/>
      <c r="DP23" s="866"/>
      <c r="DQ23" s="866"/>
      <c r="DR23" s="866"/>
      <c r="DS23" s="866"/>
      <c r="DT23" s="866"/>
      <c r="DU23" s="866"/>
      <c r="DV23" s="866"/>
      <c r="DW23" s="866"/>
      <c r="DX23" s="866"/>
      <c r="DY23" s="866"/>
      <c r="DZ23" s="866"/>
      <c r="EA23" s="866"/>
      <c r="EB23" s="866"/>
      <c r="EC23" s="866"/>
      <c r="ED23" s="866"/>
      <c r="EE23" s="866"/>
      <c r="EF23" s="866"/>
      <c r="EG23" s="866"/>
      <c r="EH23" s="866"/>
      <c r="EI23" s="866"/>
      <c r="EJ23" s="866"/>
      <c r="EK23" s="866"/>
      <c r="EL23" s="866"/>
      <c r="EM23" s="866"/>
      <c r="EN23" s="866"/>
      <c r="EO23" s="866"/>
      <c r="EP23" s="866"/>
      <c r="EQ23" s="866"/>
      <c r="ER23" s="866"/>
      <c r="ES23" s="866"/>
      <c r="ET23" s="866"/>
      <c r="EU23" s="866"/>
      <c r="EV23" s="866"/>
      <c r="EW23" s="866"/>
      <c r="EX23" s="866"/>
      <c r="EY23" s="866"/>
      <c r="EZ23" s="866"/>
      <c r="FA23" s="866"/>
      <c r="FB23" s="866"/>
      <c r="FC23" s="866"/>
      <c r="FD23" s="866"/>
      <c r="FE23" s="866"/>
      <c r="FF23" s="866"/>
      <c r="FG23" s="866"/>
      <c r="FH23" s="866"/>
      <c r="FI23" s="866"/>
      <c r="FJ23" s="866"/>
      <c r="FK23" s="866"/>
      <c r="FL23" s="866"/>
      <c r="FM23" s="866"/>
      <c r="FN23" s="866"/>
      <c r="FO23" s="866"/>
      <c r="FP23" s="866"/>
      <c r="FQ23" s="866"/>
      <c r="FR23" s="866"/>
      <c r="FS23" s="866"/>
      <c r="FT23" s="866"/>
      <c r="FU23" s="866"/>
      <c r="FV23" s="866"/>
      <c r="FW23" s="866"/>
      <c r="FX23" s="866"/>
      <c r="FY23" s="866"/>
      <c r="FZ23" s="866"/>
      <c r="GA23" s="866"/>
      <c r="GB23" s="866"/>
      <c r="GC23" s="866"/>
      <c r="GD23" s="866"/>
      <c r="GE23" s="866"/>
      <c r="GF23" s="866"/>
      <c r="GG23" s="866"/>
      <c r="GH23" s="866"/>
      <c r="GI23" s="866"/>
      <c r="GJ23" s="866"/>
      <c r="GK23" s="866"/>
      <c r="GL23" s="866"/>
      <c r="GM23" s="866"/>
      <c r="GN23" s="866"/>
      <c r="GO23" s="866"/>
      <c r="GP23" s="866"/>
      <c r="GQ23" s="866"/>
      <c r="GR23" s="866"/>
      <c r="GS23" s="866"/>
      <c r="GT23" s="866"/>
      <c r="GU23" s="866"/>
      <c r="GV23" s="866"/>
      <c r="GW23" s="866"/>
      <c r="GX23" s="866"/>
      <c r="GY23" s="866"/>
      <c r="GZ23" s="866"/>
      <c r="HA23" s="866"/>
      <c r="HB23" s="866"/>
      <c r="HC23" s="866"/>
      <c r="HD23" s="866"/>
      <c r="HE23" s="866"/>
      <c r="HF23" s="866"/>
      <c r="HG23" s="866"/>
      <c r="HH23" s="866"/>
      <c r="HI23" s="866"/>
      <c r="HJ23" s="866"/>
      <c r="HK23" s="866"/>
      <c r="HL23" s="866"/>
      <c r="HM23" s="866"/>
      <c r="HN23" s="866"/>
      <c r="HO23" s="866"/>
      <c r="HP23" s="866"/>
      <c r="HQ23" s="866"/>
      <c r="HR23" s="866"/>
      <c r="HS23" s="866"/>
      <c r="HT23" s="866"/>
      <c r="HU23" s="866"/>
      <c r="HV23" s="866"/>
      <c r="HW23" s="866"/>
      <c r="HX23" s="866"/>
      <c r="HY23" s="866"/>
      <c r="HZ23" s="866"/>
      <c r="IA23" s="866"/>
      <c r="IB23" s="866"/>
      <c r="IC23" s="866"/>
      <c r="ID23" s="866"/>
      <c r="IE23" s="866"/>
      <c r="IF23" s="866"/>
      <c r="IG23" s="866"/>
      <c r="IH23" s="866"/>
      <c r="II23" s="866"/>
      <c r="IJ23" s="866"/>
      <c r="IK23" s="866"/>
      <c r="IL23" s="866"/>
      <c r="IM23" s="866"/>
      <c r="IN23" s="866"/>
      <c r="IO23" s="866"/>
      <c r="IP23" s="866"/>
      <c r="IQ23" s="866"/>
      <c r="IR23" s="866"/>
      <c r="IS23" s="866"/>
      <c r="IT23" s="866"/>
      <c r="IU23" s="866"/>
      <c r="IV23" s="866"/>
    </row>
    <row r="24" spans="1:256" ht="12" customHeight="1">
      <c r="A24" s="862"/>
      <c r="B24" s="862"/>
      <c r="C24" s="862"/>
      <c r="D24" s="1341"/>
      <c r="E24" s="1339"/>
      <c r="F24" s="1341"/>
      <c r="G24" s="1339"/>
      <c r="H24" s="1341"/>
      <c r="I24" s="1339"/>
      <c r="J24" s="1341"/>
      <c r="K24" s="1339"/>
      <c r="L24" s="1341"/>
      <c r="M24" s="864"/>
      <c r="N24" s="866"/>
      <c r="O24" s="866"/>
      <c r="P24" s="866"/>
      <c r="Q24" s="866"/>
      <c r="R24" s="866"/>
      <c r="S24" s="866"/>
      <c r="T24" s="866"/>
      <c r="U24" s="866"/>
      <c r="V24" s="866"/>
      <c r="W24" s="866"/>
      <c r="X24" s="866"/>
      <c r="Y24" s="866"/>
      <c r="Z24" s="866"/>
      <c r="AA24" s="866"/>
      <c r="AB24" s="866"/>
      <c r="AC24" s="866"/>
      <c r="AD24" s="866"/>
      <c r="AE24" s="866"/>
      <c r="AF24" s="866"/>
      <c r="AG24" s="866"/>
      <c r="AH24" s="866"/>
      <c r="AI24" s="866"/>
      <c r="AJ24" s="866"/>
      <c r="AK24" s="866"/>
      <c r="AL24" s="866"/>
      <c r="AM24" s="866"/>
      <c r="AN24" s="866"/>
      <c r="AO24" s="866"/>
      <c r="AP24" s="866"/>
      <c r="AQ24" s="866"/>
      <c r="AR24" s="866"/>
      <c r="AS24" s="866"/>
      <c r="AT24" s="866"/>
      <c r="AU24" s="866"/>
      <c r="AV24" s="866"/>
      <c r="AW24" s="866"/>
      <c r="AX24" s="866"/>
      <c r="AY24" s="866"/>
      <c r="AZ24" s="866"/>
      <c r="BA24" s="866"/>
      <c r="BB24" s="866"/>
      <c r="BC24" s="866"/>
      <c r="BD24" s="866"/>
      <c r="BE24" s="866"/>
      <c r="BF24" s="866"/>
      <c r="BG24" s="866"/>
      <c r="BH24" s="866"/>
      <c r="BI24" s="866"/>
      <c r="BJ24" s="866"/>
      <c r="BK24" s="866"/>
      <c r="BL24" s="866"/>
      <c r="BM24" s="866"/>
      <c r="BN24" s="866"/>
      <c r="BO24" s="866"/>
      <c r="BP24" s="866"/>
      <c r="BQ24" s="866"/>
      <c r="BR24" s="866"/>
      <c r="BS24" s="866"/>
      <c r="BT24" s="866"/>
      <c r="BU24" s="866"/>
      <c r="BV24" s="866"/>
      <c r="BW24" s="866"/>
      <c r="BX24" s="866"/>
      <c r="BY24" s="866"/>
      <c r="BZ24" s="866"/>
      <c r="CA24" s="866"/>
      <c r="CB24" s="866"/>
      <c r="CC24" s="866"/>
      <c r="CD24" s="866"/>
      <c r="CE24" s="866"/>
      <c r="CF24" s="866"/>
      <c r="CG24" s="866"/>
      <c r="CH24" s="866"/>
      <c r="CI24" s="866"/>
      <c r="CJ24" s="866"/>
      <c r="CK24" s="866"/>
      <c r="CL24" s="866"/>
      <c r="CM24" s="866"/>
      <c r="CN24" s="866"/>
      <c r="CO24" s="866"/>
      <c r="CP24" s="866"/>
      <c r="CQ24" s="866"/>
      <c r="CR24" s="866"/>
      <c r="CS24" s="866"/>
      <c r="CT24" s="866"/>
      <c r="CU24" s="866"/>
      <c r="CV24" s="866"/>
      <c r="CW24" s="866"/>
      <c r="CX24" s="866"/>
      <c r="CY24" s="866"/>
      <c r="CZ24" s="866"/>
      <c r="DA24" s="866"/>
      <c r="DB24" s="866"/>
      <c r="DC24" s="866"/>
      <c r="DD24" s="866"/>
      <c r="DE24" s="866"/>
      <c r="DF24" s="866"/>
      <c r="DG24" s="866"/>
      <c r="DH24" s="866"/>
      <c r="DI24" s="866"/>
      <c r="DJ24" s="866"/>
      <c r="DK24" s="866"/>
      <c r="DL24" s="866"/>
      <c r="DM24" s="866"/>
      <c r="DN24" s="866"/>
      <c r="DO24" s="866"/>
      <c r="DP24" s="866"/>
      <c r="DQ24" s="866"/>
      <c r="DR24" s="866"/>
      <c r="DS24" s="866"/>
      <c r="DT24" s="866"/>
      <c r="DU24" s="866"/>
      <c r="DV24" s="866"/>
      <c r="DW24" s="866"/>
      <c r="DX24" s="866"/>
      <c r="DY24" s="866"/>
      <c r="DZ24" s="866"/>
      <c r="EA24" s="866"/>
      <c r="EB24" s="866"/>
      <c r="EC24" s="866"/>
      <c r="ED24" s="866"/>
      <c r="EE24" s="866"/>
      <c r="EF24" s="866"/>
      <c r="EG24" s="866"/>
      <c r="EH24" s="866"/>
      <c r="EI24" s="866"/>
      <c r="EJ24" s="866"/>
      <c r="EK24" s="866"/>
      <c r="EL24" s="866"/>
      <c r="EM24" s="866"/>
      <c r="EN24" s="866"/>
      <c r="EO24" s="866"/>
      <c r="EP24" s="866"/>
      <c r="EQ24" s="866"/>
      <c r="ER24" s="866"/>
      <c r="ES24" s="866"/>
      <c r="ET24" s="866"/>
      <c r="EU24" s="866"/>
      <c r="EV24" s="866"/>
      <c r="EW24" s="866"/>
      <c r="EX24" s="866"/>
      <c r="EY24" s="866"/>
      <c r="EZ24" s="866"/>
      <c r="FA24" s="866"/>
      <c r="FB24" s="866"/>
      <c r="FC24" s="866"/>
      <c r="FD24" s="866"/>
      <c r="FE24" s="866"/>
      <c r="FF24" s="866"/>
      <c r="FG24" s="866"/>
      <c r="FH24" s="866"/>
      <c r="FI24" s="866"/>
      <c r="FJ24" s="866"/>
      <c r="FK24" s="866"/>
      <c r="FL24" s="866"/>
      <c r="FM24" s="866"/>
      <c r="FN24" s="866"/>
      <c r="FO24" s="866"/>
      <c r="FP24" s="866"/>
      <c r="FQ24" s="866"/>
      <c r="FR24" s="866"/>
      <c r="FS24" s="866"/>
      <c r="FT24" s="866"/>
      <c r="FU24" s="866"/>
      <c r="FV24" s="866"/>
      <c r="FW24" s="866"/>
      <c r="FX24" s="866"/>
      <c r="FY24" s="866"/>
      <c r="FZ24" s="866"/>
      <c r="GA24" s="866"/>
      <c r="GB24" s="866"/>
      <c r="GC24" s="866"/>
      <c r="GD24" s="866"/>
      <c r="GE24" s="866"/>
      <c r="GF24" s="866"/>
      <c r="GG24" s="866"/>
      <c r="GH24" s="866"/>
      <c r="GI24" s="866"/>
      <c r="GJ24" s="866"/>
      <c r="GK24" s="866"/>
      <c r="GL24" s="866"/>
      <c r="GM24" s="866"/>
      <c r="GN24" s="866"/>
      <c r="GO24" s="866"/>
      <c r="GP24" s="866"/>
      <c r="GQ24" s="866"/>
      <c r="GR24" s="866"/>
      <c r="GS24" s="866"/>
      <c r="GT24" s="866"/>
      <c r="GU24" s="866"/>
      <c r="GV24" s="866"/>
      <c r="GW24" s="866"/>
      <c r="GX24" s="866"/>
      <c r="GY24" s="866"/>
      <c r="GZ24" s="866"/>
      <c r="HA24" s="866"/>
      <c r="HB24" s="866"/>
      <c r="HC24" s="866"/>
      <c r="HD24" s="866"/>
      <c r="HE24" s="866"/>
      <c r="HF24" s="866"/>
      <c r="HG24" s="866"/>
      <c r="HH24" s="866"/>
      <c r="HI24" s="866"/>
      <c r="HJ24" s="866"/>
      <c r="HK24" s="866"/>
      <c r="HL24" s="866"/>
      <c r="HM24" s="866"/>
      <c r="HN24" s="866"/>
      <c r="HO24" s="866"/>
      <c r="HP24" s="866"/>
      <c r="HQ24" s="866"/>
      <c r="HR24" s="866"/>
      <c r="HS24" s="866"/>
      <c r="HT24" s="866"/>
      <c r="HU24" s="866"/>
      <c r="HV24" s="866"/>
      <c r="HW24" s="866"/>
      <c r="HX24" s="866"/>
      <c r="HY24" s="866"/>
      <c r="HZ24" s="866"/>
      <c r="IA24" s="866"/>
      <c r="IB24" s="866"/>
      <c r="IC24" s="866"/>
      <c r="ID24" s="866"/>
      <c r="IE24" s="866"/>
      <c r="IF24" s="866"/>
      <c r="IG24" s="866"/>
      <c r="IH24" s="866"/>
      <c r="II24" s="866"/>
      <c r="IJ24" s="866"/>
      <c r="IK24" s="866"/>
      <c r="IL24" s="866"/>
      <c r="IM24" s="866"/>
      <c r="IN24" s="866"/>
      <c r="IO24" s="866"/>
      <c r="IP24" s="866"/>
      <c r="IQ24" s="866"/>
      <c r="IR24" s="866"/>
      <c r="IS24" s="866"/>
      <c r="IT24" s="866"/>
      <c r="IU24" s="866"/>
      <c r="IV24" s="866"/>
    </row>
    <row r="25" spans="1:256" ht="18">
      <c r="A25" s="869" t="s">
        <v>387</v>
      </c>
      <c r="B25" s="862"/>
      <c r="C25" s="862"/>
      <c r="D25" s="1339"/>
      <c r="E25" s="1339"/>
      <c r="F25" s="1339"/>
      <c r="G25" s="1339"/>
      <c r="H25" s="1339"/>
      <c r="I25" s="1339"/>
      <c r="J25" s="1339"/>
      <c r="K25" s="1339"/>
      <c r="L25" s="1339"/>
      <c r="M25" s="864"/>
      <c r="N25" s="866"/>
      <c r="O25" s="866"/>
      <c r="P25" s="866"/>
      <c r="Q25" s="866"/>
      <c r="R25" s="866"/>
      <c r="S25" s="866"/>
      <c r="T25" s="866"/>
      <c r="U25" s="866"/>
      <c r="V25" s="866"/>
      <c r="W25" s="866"/>
      <c r="X25" s="866"/>
      <c r="Y25" s="866"/>
      <c r="Z25" s="866"/>
      <c r="AA25" s="866"/>
      <c r="AB25" s="866"/>
      <c r="AC25" s="866"/>
      <c r="AD25" s="866"/>
      <c r="AE25" s="866"/>
      <c r="AF25" s="866"/>
      <c r="AG25" s="866"/>
      <c r="AH25" s="866"/>
      <c r="AI25" s="866"/>
      <c r="AJ25" s="866"/>
      <c r="AK25" s="866"/>
      <c r="AL25" s="866"/>
      <c r="AM25" s="866"/>
      <c r="AN25" s="866"/>
      <c r="AO25" s="866"/>
      <c r="AP25" s="866"/>
      <c r="AQ25" s="866"/>
      <c r="AR25" s="866"/>
      <c r="AS25" s="866"/>
      <c r="AT25" s="866"/>
      <c r="AU25" s="866"/>
      <c r="AV25" s="866"/>
      <c r="AW25" s="866"/>
      <c r="AX25" s="866"/>
      <c r="AY25" s="866"/>
      <c r="AZ25" s="866"/>
      <c r="BA25" s="866"/>
      <c r="BB25" s="866"/>
      <c r="BC25" s="866"/>
      <c r="BD25" s="866"/>
      <c r="BE25" s="866"/>
      <c r="BF25" s="866"/>
      <c r="BG25" s="866"/>
      <c r="BH25" s="866"/>
      <c r="BI25" s="866"/>
      <c r="BJ25" s="866"/>
      <c r="BK25" s="866"/>
      <c r="BL25" s="866"/>
      <c r="BM25" s="866"/>
      <c r="BN25" s="866"/>
      <c r="BO25" s="866"/>
      <c r="BP25" s="866"/>
      <c r="BQ25" s="866"/>
      <c r="BR25" s="866"/>
      <c r="BS25" s="866"/>
      <c r="BT25" s="866"/>
      <c r="BU25" s="866"/>
      <c r="BV25" s="866"/>
      <c r="BW25" s="866"/>
      <c r="BX25" s="866"/>
      <c r="BY25" s="866"/>
      <c r="BZ25" s="866"/>
      <c r="CA25" s="866"/>
      <c r="CB25" s="866"/>
      <c r="CC25" s="866"/>
      <c r="CD25" s="866"/>
      <c r="CE25" s="866"/>
      <c r="CF25" s="866"/>
      <c r="CG25" s="866"/>
      <c r="CH25" s="866"/>
      <c r="CI25" s="866"/>
      <c r="CJ25" s="866"/>
      <c r="CK25" s="866"/>
      <c r="CL25" s="866"/>
      <c r="CM25" s="866"/>
      <c r="CN25" s="866"/>
      <c r="CO25" s="866"/>
      <c r="CP25" s="866"/>
      <c r="CQ25" s="866"/>
      <c r="CR25" s="866"/>
      <c r="CS25" s="866"/>
      <c r="CT25" s="866"/>
      <c r="CU25" s="866"/>
      <c r="CV25" s="866"/>
      <c r="CW25" s="866"/>
      <c r="CX25" s="866"/>
      <c r="CY25" s="866"/>
      <c r="CZ25" s="866"/>
      <c r="DA25" s="866"/>
      <c r="DB25" s="866"/>
      <c r="DC25" s="866"/>
      <c r="DD25" s="866"/>
      <c r="DE25" s="866"/>
      <c r="DF25" s="866"/>
      <c r="DG25" s="866"/>
      <c r="DH25" s="866"/>
      <c r="DI25" s="866"/>
      <c r="DJ25" s="866"/>
      <c r="DK25" s="866"/>
      <c r="DL25" s="866"/>
      <c r="DM25" s="866"/>
      <c r="DN25" s="866"/>
      <c r="DO25" s="866"/>
      <c r="DP25" s="866"/>
      <c r="DQ25" s="866"/>
      <c r="DR25" s="866"/>
      <c r="DS25" s="866"/>
      <c r="DT25" s="866"/>
      <c r="DU25" s="866"/>
      <c r="DV25" s="866"/>
      <c r="DW25" s="866"/>
      <c r="DX25" s="866"/>
      <c r="DY25" s="866"/>
      <c r="DZ25" s="866"/>
      <c r="EA25" s="866"/>
      <c r="EB25" s="866"/>
      <c r="EC25" s="866"/>
      <c r="ED25" s="866"/>
      <c r="EE25" s="866"/>
      <c r="EF25" s="866"/>
      <c r="EG25" s="866"/>
      <c r="EH25" s="866"/>
      <c r="EI25" s="866"/>
      <c r="EJ25" s="866"/>
      <c r="EK25" s="866"/>
      <c r="EL25" s="866"/>
      <c r="EM25" s="866"/>
      <c r="EN25" s="866"/>
      <c r="EO25" s="866"/>
      <c r="EP25" s="866"/>
      <c r="EQ25" s="866"/>
      <c r="ER25" s="866"/>
      <c r="ES25" s="866"/>
      <c r="ET25" s="866"/>
      <c r="EU25" s="866"/>
      <c r="EV25" s="866"/>
      <c r="EW25" s="866"/>
      <c r="EX25" s="866"/>
      <c r="EY25" s="866"/>
      <c r="EZ25" s="866"/>
      <c r="FA25" s="866"/>
      <c r="FB25" s="866"/>
      <c r="FC25" s="866"/>
      <c r="FD25" s="866"/>
      <c r="FE25" s="866"/>
      <c r="FF25" s="866"/>
      <c r="FG25" s="866"/>
      <c r="FH25" s="866"/>
      <c r="FI25" s="866"/>
      <c r="FJ25" s="866"/>
      <c r="FK25" s="866"/>
      <c r="FL25" s="866"/>
      <c r="FM25" s="866"/>
      <c r="FN25" s="866"/>
      <c r="FO25" s="866"/>
      <c r="FP25" s="866"/>
      <c r="FQ25" s="866"/>
      <c r="FR25" s="866"/>
      <c r="FS25" s="866"/>
      <c r="FT25" s="866"/>
      <c r="FU25" s="866"/>
      <c r="FV25" s="866"/>
      <c r="FW25" s="866"/>
      <c r="FX25" s="866"/>
      <c r="FY25" s="866"/>
      <c r="FZ25" s="866"/>
      <c r="GA25" s="866"/>
      <c r="GB25" s="866"/>
      <c r="GC25" s="866"/>
      <c r="GD25" s="866"/>
      <c r="GE25" s="866"/>
      <c r="GF25" s="866"/>
      <c r="GG25" s="866"/>
      <c r="GH25" s="866"/>
      <c r="GI25" s="866"/>
      <c r="GJ25" s="866"/>
      <c r="GK25" s="866"/>
      <c r="GL25" s="866"/>
      <c r="GM25" s="866"/>
      <c r="GN25" s="866"/>
      <c r="GO25" s="866"/>
      <c r="GP25" s="866"/>
      <c r="GQ25" s="866"/>
      <c r="GR25" s="866"/>
      <c r="GS25" s="866"/>
      <c r="GT25" s="866"/>
      <c r="GU25" s="866"/>
      <c r="GV25" s="866"/>
      <c r="GW25" s="866"/>
      <c r="GX25" s="866"/>
      <c r="GY25" s="866"/>
      <c r="GZ25" s="866"/>
      <c r="HA25" s="866"/>
      <c r="HB25" s="866"/>
      <c r="HC25" s="866"/>
      <c r="HD25" s="866"/>
      <c r="HE25" s="866"/>
      <c r="HF25" s="866"/>
      <c r="HG25" s="866"/>
      <c r="HH25" s="866"/>
      <c r="HI25" s="866"/>
      <c r="HJ25" s="866"/>
      <c r="HK25" s="866"/>
      <c r="HL25" s="866"/>
      <c r="HM25" s="866"/>
      <c r="HN25" s="866"/>
      <c r="HO25" s="866"/>
      <c r="HP25" s="866"/>
      <c r="HQ25" s="866"/>
      <c r="HR25" s="866"/>
      <c r="HS25" s="866"/>
      <c r="HT25" s="866"/>
      <c r="HU25" s="866"/>
      <c r="HV25" s="866"/>
      <c r="HW25" s="866"/>
      <c r="HX25" s="866"/>
      <c r="HY25" s="866"/>
      <c r="HZ25" s="866"/>
      <c r="IA25" s="866"/>
      <c r="IB25" s="866"/>
      <c r="IC25" s="866"/>
      <c r="ID25" s="866"/>
      <c r="IE25" s="866"/>
      <c r="IF25" s="866"/>
      <c r="IG25" s="866"/>
      <c r="IH25" s="866"/>
      <c r="II25" s="866"/>
      <c r="IJ25" s="866"/>
      <c r="IK25" s="866"/>
      <c r="IL25" s="866"/>
      <c r="IM25" s="866"/>
      <c r="IN25" s="866"/>
      <c r="IO25" s="866"/>
      <c r="IP25" s="866"/>
      <c r="IQ25" s="866"/>
      <c r="IR25" s="866"/>
      <c r="IS25" s="866"/>
      <c r="IT25" s="866"/>
      <c r="IU25" s="866"/>
      <c r="IV25" s="866"/>
    </row>
    <row r="26" spans="1:256" ht="7.5" customHeight="1">
      <c r="A26" s="866" t="s">
        <v>15</v>
      </c>
      <c r="B26" s="866"/>
      <c r="C26" s="866"/>
      <c r="D26" s="839"/>
      <c r="E26" s="839"/>
      <c r="F26" s="839"/>
      <c r="G26" s="839"/>
      <c r="H26" s="839"/>
      <c r="I26" s="839"/>
      <c r="J26" s="839"/>
      <c r="K26" s="839"/>
      <c r="L26" s="839"/>
      <c r="M26" s="864"/>
      <c r="N26" s="866"/>
      <c r="O26" s="866"/>
      <c r="P26" s="866"/>
      <c r="Q26" s="866"/>
      <c r="R26" s="866"/>
      <c r="S26" s="866"/>
      <c r="T26" s="866"/>
      <c r="U26" s="866"/>
      <c r="V26" s="866"/>
      <c r="W26" s="866"/>
      <c r="X26" s="866"/>
      <c r="Y26" s="866"/>
      <c r="Z26" s="866"/>
      <c r="AA26" s="866"/>
      <c r="AB26" s="866"/>
      <c r="AC26" s="866"/>
      <c r="AD26" s="866"/>
      <c r="AE26" s="866"/>
      <c r="AF26" s="866"/>
      <c r="AG26" s="866"/>
      <c r="AH26" s="866"/>
      <c r="AI26" s="866"/>
      <c r="AJ26" s="866"/>
      <c r="AK26" s="866"/>
      <c r="AL26" s="866"/>
      <c r="AM26" s="866"/>
      <c r="AN26" s="866"/>
      <c r="AO26" s="866"/>
      <c r="AP26" s="866"/>
      <c r="AQ26" s="866"/>
      <c r="AR26" s="866"/>
      <c r="AS26" s="866"/>
      <c r="AT26" s="866"/>
      <c r="AU26" s="866"/>
      <c r="AV26" s="866"/>
      <c r="AW26" s="866"/>
      <c r="AX26" s="866"/>
      <c r="AY26" s="866"/>
      <c r="AZ26" s="866"/>
      <c r="BA26" s="866"/>
      <c r="BB26" s="866"/>
      <c r="BC26" s="866"/>
      <c r="BD26" s="866"/>
      <c r="BE26" s="866"/>
      <c r="BF26" s="866"/>
      <c r="BG26" s="866"/>
      <c r="BH26" s="866"/>
      <c r="BI26" s="866"/>
      <c r="BJ26" s="866"/>
      <c r="BK26" s="866"/>
      <c r="BL26" s="866"/>
      <c r="BM26" s="866"/>
      <c r="BN26" s="866"/>
      <c r="BO26" s="866"/>
      <c r="BP26" s="866"/>
      <c r="BQ26" s="866"/>
      <c r="BR26" s="866"/>
      <c r="BS26" s="866"/>
      <c r="BT26" s="866"/>
      <c r="BU26" s="866"/>
      <c r="BV26" s="866"/>
      <c r="BW26" s="866"/>
      <c r="BX26" s="866"/>
      <c r="BY26" s="866"/>
      <c r="BZ26" s="866"/>
      <c r="CA26" s="866"/>
      <c r="CB26" s="866"/>
      <c r="CC26" s="866"/>
      <c r="CD26" s="866"/>
      <c r="CE26" s="866"/>
      <c r="CF26" s="866"/>
      <c r="CG26" s="866"/>
      <c r="CH26" s="866"/>
      <c r="CI26" s="866"/>
      <c r="CJ26" s="866"/>
      <c r="CK26" s="866"/>
      <c r="CL26" s="866"/>
      <c r="CM26" s="866"/>
      <c r="CN26" s="866"/>
      <c r="CO26" s="866"/>
      <c r="CP26" s="866"/>
      <c r="CQ26" s="866"/>
      <c r="CR26" s="866"/>
      <c r="CS26" s="866"/>
      <c r="CT26" s="866"/>
      <c r="CU26" s="866"/>
      <c r="CV26" s="866"/>
      <c r="CW26" s="866"/>
      <c r="CX26" s="866"/>
      <c r="CY26" s="866"/>
      <c r="CZ26" s="866"/>
      <c r="DA26" s="866"/>
      <c r="DB26" s="866"/>
      <c r="DC26" s="866"/>
      <c r="DD26" s="866"/>
      <c r="DE26" s="866"/>
      <c r="DF26" s="866"/>
      <c r="DG26" s="866"/>
      <c r="DH26" s="866"/>
      <c r="DI26" s="866"/>
      <c r="DJ26" s="866"/>
      <c r="DK26" s="866"/>
      <c r="DL26" s="866"/>
      <c r="DM26" s="866"/>
      <c r="DN26" s="866"/>
      <c r="DO26" s="866"/>
      <c r="DP26" s="866"/>
      <c r="DQ26" s="866"/>
      <c r="DR26" s="866"/>
      <c r="DS26" s="866"/>
      <c r="DT26" s="866"/>
      <c r="DU26" s="866"/>
      <c r="DV26" s="866"/>
      <c r="DW26" s="866"/>
      <c r="DX26" s="866"/>
      <c r="DY26" s="866"/>
      <c r="DZ26" s="866"/>
      <c r="EA26" s="866"/>
      <c r="EB26" s="866"/>
      <c r="EC26" s="866"/>
      <c r="ED26" s="866"/>
      <c r="EE26" s="866"/>
      <c r="EF26" s="866"/>
      <c r="EG26" s="866"/>
      <c r="EH26" s="866"/>
      <c r="EI26" s="866"/>
      <c r="EJ26" s="866"/>
      <c r="EK26" s="866"/>
      <c r="EL26" s="866"/>
      <c r="EM26" s="866"/>
      <c r="EN26" s="866"/>
      <c r="EO26" s="866"/>
      <c r="EP26" s="866"/>
      <c r="EQ26" s="866"/>
      <c r="ER26" s="866"/>
      <c r="ES26" s="866"/>
      <c r="ET26" s="866"/>
      <c r="EU26" s="866"/>
      <c r="EV26" s="866"/>
      <c r="EW26" s="866"/>
      <c r="EX26" s="866"/>
      <c r="EY26" s="866"/>
      <c r="EZ26" s="866"/>
      <c r="FA26" s="866"/>
      <c r="FB26" s="866"/>
      <c r="FC26" s="866"/>
      <c r="FD26" s="866"/>
      <c r="FE26" s="866"/>
      <c r="FF26" s="866"/>
      <c r="FG26" s="866"/>
      <c r="FH26" s="866"/>
      <c r="FI26" s="866"/>
      <c r="FJ26" s="866"/>
      <c r="FK26" s="866"/>
      <c r="FL26" s="866"/>
      <c r="FM26" s="866"/>
      <c r="FN26" s="866"/>
      <c r="FO26" s="866"/>
      <c r="FP26" s="866"/>
      <c r="FQ26" s="866"/>
      <c r="FR26" s="866"/>
      <c r="FS26" s="866"/>
      <c r="FT26" s="866"/>
      <c r="FU26" s="866"/>
      <c r="FV26" s="866"/>
      <c r="FW26" s="866"/>
      <c r="FX26" s="866"/>
      <c r="FY26" s="866"/>
      <c r="FZ26" s="866"/>
      <c r="GA26" s="866"/>
      <c r="GB26" s="866"/>
      <c r="GC26" s="866"/>
      <c r="GD26" s="866"/>
      <c r="GE26" s="866"/>
      <c r="GF26" s="866"/>
      <c r="GG26" s="866"/>
      <c r="GH26" s="866"/>
      <c r="GI26" s="866"/>
      <c r="GJ26" s="866"/>
      <c r="GK26" s="866"/>
      <c r="GL26" s="866"/>
      <c r="GM26" s="866"/>
      <c r="GN26" s="866"/>
      <c r="GO26" s="866"/>
      <c r="GP26" s="866"/>
      <c r="GQ26" s="866"/>
      <c r="GR26" s="866"/>
      <c r="GS26" s="866"/>
      <c r="GT26" s="866"/>
      <c r="GU26" s="866"/>
      <c r="GV26" s="866"/>
      <c r="GW26" s="866"/>
      <c r="GX26" s="866"/>
      <c r="GY26" s="866"/>
      <c r="GZ26" s="866"/>
      <c r="HA26" s="866"/>
      <c r="HB26" s="866"/>
      <c r="HC26" s="866"/>
      <c r="HD26" s="866"/>
      <c r="HE26" s="866"/>
      <c r="HF26" s="866"/>
      <c r="HG26" s="866"/>
      <c r="HH26" s="866"/>
      <c r="HI26" s="866"/>
      <c r="HJ26" s="866"/>
      <c r="HK26" s="866"/>
      <c r="HL26" s="866"/>
      <c r="HM26" s="866"/>
      <c r="HN26" s="866"/>
      <c r="HO26" s="866"/>
      <c r="HP26" s="866"/>
      <c r="HQ26" s="866"/>
      <c r="HR26" s="866"/>
      <c r="HS26" s="866"/>
      <c r="HT26" s="866"/>
      <c r="HU26" s="866"/>
      <c r="HV26" s="866"/>
      <c r="HW26" s="866"/>
      <c r="HX26" s="866"/>
      <c r="HY26" s="866"/>
      <c r="HZ26" s="866"/>
      <c r="IA26" s="866"/>
      <c r="IB26" s="866"/>
      <c r="IC26" s="866"/>
      <c r="ID26" s="866"/>
      <c r="IE26" s="866"/>
      <c r="IF26" s="866"/>
      <c r="IG26" s="866"/>
      <c r="IH26" s="866"/>
      <c r="II26" s="866"/>
      <c r="IJ26" s="866"/>
      <c r="IK26" s="866"/>
      <c r="IL26" s="866"/>
      <c r="IM26" s="866"/>
      <c r="IN26" s="866"/>
      <c r="IO26" s="866"/>
      <c r="IP26" s="866"/>
      <c r="IQ26" s="866"/>
      <c r="IR26" s="866"/>
      <c r="IS26" s="866"/>
      <c r="IT26" s="866"/>
      <c r="IU26" s="866"/>
      <c r="IV26" s="866"/>
    </row>
    <row r="27" spans="1:256" ht="16.5" customHeight="1">
      <c r="A27" s="866" t="s">
        <v>1134</v>
      </c>
      <c r="B27" s="866"/>
      <c r="C27" s="866" t="s">
        <v>15</v>
      </c>
      <c r="D27" s="843">
        <v>19.425000000000001</v>
      </c>
      <c r="E27" s="838"/>
      <c r="F27" s="1347">
        <v>0.309</v>
      </c>
      <c r="G27" s="838"/>
      <c r="H27" s="1347">
        <v>0</v>
      </c>
      <c r="I27" s="838"/>
      <c r="J27" s="1347">
        <v>0</v>
      </c>
      <c r="K27" s="838"/>
      <c r="L27" s="839">
        <f t="shared" ref="L27:L43" si="0">ROUND(D27+F27-H27+J27,3)</f>
        <v>19.734000000000002</v>
      </c>
      <c r="M27" s="873"/>
      <c r="N27" s="866"/>
      <c r="O27" s="866"/>
      <c r="P27" s="866"/>
      <c r="Q27" s="866"/>
      <c r="R27" s="866"/>
      <c r="S27" s="866"/>
      <c r="T27" s="866"/>
      <c r="U27" s="866"/>
      <c r="V27" s="866"/>
      <c r="W27" s="866"/>
      <c r="X27" s="866"/>
      <c r="Y27" s="866"/>
      <c r="Z27" s="866"/>
      <c r="AA27" s="866"/>
      <c r="AB27" s="866"/>
      <c r="AC27" s="866"/>
      <c r="AD27" s="866"/>
      <c r="AE27" s="866"/>
      <c r="AF27" s="866"/>
      <c r="AG27" s="866"/>
      <c r="AH27" s="866"/>
      <c r="AI27" s="866"/>
      <c r="AJ27" s="866"/>
      <c r="AK27" s="866"/>
      <c r="AL27" s="866"/>
      <c r="AM27" s="866"/>
      <c r="AN27" s="866"/>
      <c r="AO27" s="866"/>
      <c r="AP27" s="866"/>
      <c r="AQ27" s="866"/>
      <c r="AR27" s="866"/>
      <c r="AS27" s="866"/>
      <c r="AT27" s="866"/>
      <c r="AU27" s="866"/>
      <c r="AV27" s="866"/>
      <c r="AW27" s="866"/>
      <c r="AX27" s="866"/>
      <c r="AY27" s="866"/>
      <c r="AZ27" s="866"/>
      <c r="BA27" s="866"/>
      <c r="BB27" s="866"/>
      <c r="BC27" s="866"/>
      <c r="BD27" s="866"/>
      <c r="BE27" s="866"/>
      <c r="BF27" s="866"/>
      <c r="BG27" s="866"/>
      <c r="BH27" s="866"/>
      <c r="BI27" s="866"/>
      <c r="BJ27" s="866"/>
      <c r="BK27" s="866"/>
      <c r="BL27" s="866"/>
      <c r="BM27" s="866"/>
      <c r="BN27" s="866"/>
      <c r="BO27" s="866"/>
      <c r="BP27" s="866"/>
      <c r="BQ27" s="866"/>
      <c r="BR27" s="866"/>
      <c r="BS27" s="866"/>
      <c r="BT27" s="866"/>
      <c r="BU27" s="866"/>
      <c r="BV27" s="866"/>
      <c r="BW27" s="866"/>
      <c r="BX27" s="866"/>
      <c r="BY27" s="866"/>
      <c r="BZ27" s="866"/>
      <c r="CA27" s="866"/>
      <c r="CB27" s="866"/>
      <c r="CC27" s="866"/>
      <c r="CD27" s="866"/>
      <c r="CE27" s="866"/>
      <c r="CF27" s="866"/>
      <c r="CG27" s="866"/>
      <c r="CH27" s="866"/>
      <c r="CI27" s="866"/>
      <c r="CJ27" s="866"/>
      <c r="CK27" s="866"/>
      <c r="CL27" s="866"/>
      <c r="CM27" s="866"/>
      <c r="CN27" s="866"/>
      <c r="CO27" s="866"/>
      <c r="CP27" s="866"/>
      <c r="CQ27" s="866"/>
      <c r="CR27" s="866"/>
      <c r="CS27" s="866"/>
      <c r="CT27" s="866"/>
      <c r="CU27" s="866"/>
      <c r="CV27" s="866"/>
      <c r="CW27" s="866"/>
      <c r="CX27" s="866"/>
      <c r="CY27" s="866"/>
      <c r="CZ27" s="866"/>
      <c r="DA27" s="866"/>
      <c r="DB27" s="866"/>
      <c r="DC27" s="866"/>
      <c r="DD27" s="866"/>
      <c r="DE27" s="866"/>
      <c r="DF27" s="866"/>
      <c r="DG27" s="866"/>
      <c r="DH27" s="866"/>
      <c r="DI27" s="866"/>
      <c r="DJ27" s="866"/>
      <c r="DK27" s="866"/>
      <c r="DL27" s="866"/>
      <c r="DM27" s="866"/>
      <c r="DN27" s="866"/>
      <c r="DO27" s="866"/>
      <c r="DP27" s="866"/>
      <c r="DQ27" s="866"/>
      <c r="DR27" s="866"/>
      <c r="DS27" s="866"/>
      <c r="DT27" s="866"/>
      <c r="DU27" s="866"/>
      <c r="DV27" s="866"/>
      <c r="DW27" s="866"/>
      <c r="DX27" s="866"/>
      <c r="DY27" s="866"/>
      <c r="DZ27" s="866"/>
      <c r="EA27" s="866"/>
      <c r="EB27" s="866"/>
      <c r="EC27" s="866"/>
      <c r="ED27" s="866"/>
      <c r="EE27" s="866"/>
      <c r="EF27" s="866"/>
      <c r="EG27" s="866"/>
      <c r="EH27" s="866"/>
      <c r="EI27" s="866"/>
      <c r="EJ27" s="866"/>
      <c r="EK27" s="866"/>
      <c r="EL27" s="866"/>
      <c r="EM27" s="866"/>
      <c r="EN27" s="866"/>
      <c r="EO27" s="866"/>
      <c r="EP27" s="866"/>
      <c r="EQ27" s="866"/>
      <c r="ER27" s="866"/>
      <c r="ES27" s="866"/>
      <c r="ET27" s="866"/>
      <c r="EU27" s="866"/>
      <c r="EV27" s="866"/>
      <c r="EW27" s="866"/>
      <c r="EX27" s="866"/>
      <c r="EY27" s="866"/>
      <c r="EZ27" s="866"/>
      <c r="FA27" s="866"/>
      <c r="FB27" s="866"/>
      <c r="FC27" s="866"/>
      <c r="FD27" s="866"/>
      <c r="FE27" s="866"/>
      <c r="FF27" s="866"/>
      <c r="FG27" s="866"/>
      <c r="FH27" s="866"/>
      <c r="FI27" s="866"/>
      <c r="FJ27" s="866"/>
      <c r="FK27" s="866"/>
      <c r="FL27" s="866"/>
      <c r="FM27" s="866"/>
      <c r="FN27" s="866"/>
      <c r="FO27" s="866"/>
      <c r="FP27" s="866"/>
      <c r="FQ27" s="866"/>
      <c r="FR27" s="866"/>
      <c r="FS27" s="866"/>
      <c r="FT27" s="866"/>
      <c r="FU27" s="866"/>
      <c r="FV27" s="866"/>
      <c r="FW27" s="866"/>
      <c r="FX27" s="866"/>
      <c r="FY27" s="866"/>
      <c r="FZ27" s="866"/>
      <c r="GA27" s="866"/>
      <c r="GB27" s="866"/>
      <c r="GC27" s="866"/>
      <c r="GD27" s="866"/>
      <c r="GE27" s="866"/>
      <c r="GF27" s="866"/>
      <c r="GG27" s="866"/>
      <c r="GH27" s="866"/>
      <c r="GI27" s="866"/>
      <c r="GJ27" s="866"/>
      <c r="GK27" s="866"/>
      <c r="GL27" s="866"/>
      <c r="GM27" s="866"/>
      <c r="GN27" s="866"/>
      <c r="GO27" s="866"/>
      <c r="GP27" s="866"/>
      <c r="GQ27" s="866"/>
      <c r="GR27" s="866"/>
      <c r="GS27" s="866"/>
      <c r="GT27" s="866"/>
      <c r="GU27" s="866"/>
      <c r="GV27" s="866"/>
      <c r="GW27" s="866"/>
      <c r="GX27" s="866"/>
      <c r="GY27" s="866"/>
      <c r="GZ27" s="866"/>
      <c r="HA27" s="866"/>
      <c r="HB27" s="866"/>
      <c r="HC27" s="866"/>
      <c r="HD27" s="866"/>
      <c r="HE27" s="866"/>
      <c r="HF27" s="866"/>
      <c r="HG27" s="866"/>
      <c r="HH27" s="866"/>
      <c r="HI27" s="866"/>
      <c r="HJ27" s="866"/>
      <c r="HK27" s="866"/>
      <c r="HL27" s="866"/>
      <c r="HM27" s="866"/>
      <c r="HN27" s="866"/>
      <c r="HO27" s="866"/>
      <c r="HP27" s="866"/>
      <c r="HQ27" s="866"/>
      <c r="HR27" s="866"/>
      <c r="HS27" s="866"/>
      <c r="HT27" s="866"/>
      <c r="HU27" s="866"/>
      <c r="HV27" s="866"/>
      <c r="HW27" s="866"/>
      <c r="HX27" s="866"/>
      <c r="HY27" s="866"/>
      <c r="HZ27" s="866"/>
      <c r="IA27" s="866"/>
      <c r="IB27" s="866"/>
      <c r="IC27" s="866"/>
      <c r="ID27" s="866"/>
      <c r="IE27" s="866"/>
      <c r="IF27" s="866"/>
      <c r="IG27" s="866"/>
      <c r="IH27" s="866"/>
      <c r="II27" s="866"/>
      <c r="IJ27" s="866"/>
      <c r="IK27" s="866"/>
      <c r="IL27" s="866"/>
      <c r="IM27" s="866"/>
      <c r="IN27" s="866"/>
      <c r="IO27" s="866"/>
      <c r="IP27" s="866"/>
      <c r="IQ27" s="866"/>
      <c r="IR27" s="866"/>
      <c r="IS27" s="866"/>
      <c r="IT27" s="866"/>
      <c r="IU27" s="866"/>
      <c r="IV27" s="866"/>
    </row>
    <row r="28" spans="1:256" ht="15.75" customHeight="1">
      <c r="A28" s="1342" t="s">
        <v>388</v>
      </c>
      <c r="B28" s="866"/>
      <c r="C28" s="866"/>
      <c r="D28" s="843">
        <v>0.49199999999999999</v>
      </c>
      <c r="E28" s="838"/>
      <c r="F28" s="1347">
        <v>5.0000000000000001E-3</v>
      </c>
      <c r="G28" s="838"/>
      <c r="H28" s="1347">
        <v>8.9999999999999993E-3</v>
      </c>
      <c r="I28" s="838"/>
      <c r="J28" s="1347">
        <v>0</v>
      </c>
      <c r="K28" s="1348"/>
      <c r="L28" s="839">
        <f t="shared" si="0"/>
        <v>0.48799999999999999</v>
      </c>
      <c r="M28" s="873"/>
      <c r="N28" s="866"/>
      <c r="O28" s="866"/>
      <c r="P28" s="866"/>
      <c r="Q28" s="866"/>
      <c r="R28" s="866"/>
      <c r="S28" s="866"/>
      <c r="T28" s="866"/>
      <c r="U28" s="866"/>
      <c r="V28" s="866"/>
      <c r="W28" s="866"/>
      <c r="X28" s="866"/>
      <c r="Y28" s="866"/>
      <c r="Z28" s="866"/>
      <c r="AA28" s="866"/>
      <c r="AB28" s="866"/>
      <c r="AC28" s="866"/>
      <c r="AD28" s="866"/>
      <c r="AE28" s="866"/>
      <c r="AF28" s="866"/>
      <c r="AG28" s="866"/>
      <c r="AH28" s="866"/>
      <c r="AI28" s="866"/>
      <c r="AJ28" s="866"/>
      <c r="AK28" s="866"/>
      <c r="AL28" s="866"/>
      <c r="AM28" s="866"/>
      <c r="AN28" s="866"/>
      <c r="AO28" s="866"/>
      <c r="AP28" s="866"/>
      <c r="AQ28" s="866"/>
      <c r="AR28" s="866"/>
      <c r="AS28" s="866"/>
      <c r="AT28" s="866"/>
      <c r="AU28" s="866"/>
      <c r="AV28" s="866"/>
      <c r="AW28" s="866"/>
      <c r="AX28" s="866"/>
      <c r="AY28" s="866"/>
      <c r="AZ28" s="866"/>
      <c r="BA28" s="866"/>
      <c r="BB28" s="866"/>
      <c r="BC28" s="866"/>
      <c r="BD28" s="866"/>
      <c r="BE28" s="866"/>
      <c r="BF28" s="866"/>
      <c r="BG28" s="866"/>
      <c r="BH28" s="866"/>
      <c r="BI28" s="866"/>
      <c r="BJ28" s="866"/>
      <c r="BK28" s="866"/>
      <c r="BL28" s="866"/>
      <c r="BM28" s="866"/>
      <c r="BN28" s="866"/>
      <c r="BO28" s="866"/>
      <c r="BP28" s="866"/>
      <c r="BQ28" s="866"/>
      <c r="BR28" s="866"/>
      <c r="BS28" s="866"/>
      <c r="BT28" s="866"/>
      <c r="BU28" s="866"/>
      <c r="BV28" s="866"/>
      <c r="BW28" s="866"/>
      <c r="BX28" s="866"/>
      <c r="BY28" s="866"/>
      <c r="BZ28" s="866"/>
      <c r="CA28" s="866"/>
      <c r="CB28" s="866"/>
      <c r="CC28" s="866"/>
      <c r="CD28" s="866"/>
      <c r="CE28" s="866"/>
      <c r="CF28" s="866"/>
      <c r="CG28" s="866"/>
      <c r="CH28" s="866"/>
      <c r="CI28" s="866"/>
      <c r="CJ28" s="866"/>
      <c r="CK28" s="866"/>
      <c r="CL28" s="866"/>
      <c r="CM28" s="866"/>
      <c r="CN28" s="866"/>
      <c r="CO28" s="866"/>
      <c r="CP28" s="866"/>
      <c r="CQ28" s="866"/>
      <c r="CR28" s="866"/>
      <c r="CS28" s="866"/>
      <c r="CT28" s="866"/>
      <c r="CU28" s="866"/>
      <c r="CV28" s="866"/>
      <c r="CW28" s="866"/>
      <c r="CX28" s="866"/>
      <c r="CY28" s="866"/>
      <c r="CZ28" s="866"/>
      <c r="DA28" s="866"/>
      <c r="DB28" s="866"/>
      <c r="DC28" s="866"/>
      <c r="DD28" s="866"/>
      <c r="DE28" s="866"/>
      <c r="DF28" s="866"/>
      <c r="DG28" s="866"/>
      <c r="DH28" s="866"/>
      <c r="DI28" s="866"/>
      <c r="DJ28" s="866"/>
      <c r="DK28" s="866"/>
      <c r="DL28" s="866"/>
      <c r="DM28" s="866"/>
      <c r="DN28" s="866"/>
      <c r="DO28" s="866"/>
      <c r="DP28" s="866"/>
      <c r="DQ28" s="866"/>
      <c r="DR28" s="866"/>
      <c r="DS28" s="866"/>
      <c r="DT28" s="866"/>
      <c r="DU28" s="866"/>
      <c r="DV28" s="866"/>
      <c r="DW28" s="866"/>
      <c r="DX28" s="866"/>
      <c r="DY28" s="866"/>
      <c r="DZ28" s="866"/>
      <c r="EA28" s="866"/>
      <c r="EB28" s="866"/>
      <c r="EC28" s="866"/>
      <c r="ED28" s="866"/>
      <c r="EE28" s="866"/>
      <c r="EF28" s="866"/>
      <c r="EG28" s="866"/>
      <c r="EH28" s="866"/>
      <c r="EI28" s="866"/>
      <c r="EJ28" s="866"/>
      <c r="EK28" s="866"/>
      <c r="EL28" s="866"/>
      <c r="EM28" s="866"/>
      <c r="EN28" s="866"/>
      <c r="EO28" s="866"/>
      <c r="EP28" s="866"/>
      <c r="EQ28" s="866"/>
      <c r="ER28" s="866"/>
      <c r="ES28" s="866"/>
      <c r="ET28" s="866"/>
      <c r="EU28" s="866"/>
      <c r="EV28" s="866"/>
      <c r="EW28" s="866"/>
      <c r="EX28" s="866"/>
      <c r="EY28" s="866"/>
      <c r="EZ28" s="866"/>
      <c r="FA28" s="866"/>
      <c r="FB28" s="866"/>
      <c r="FC28" s="866"/>
      <c r="FD28" s="866"/>
      <c r="FE28" s="866"/>
      <c r="FF28" s="866"/>
      <c r="FG28" s="866"/>
      <c r="FH28" s="866"/>
      <c r="FI28" s="866"/>
      <c r="FJ28" s="866"/>
      <c r="FK28" s="866"/>
      <c r="FL28" s="866"/>
      <c r="FM28" s="866"/>
      <c r="FN28" s="866"/>
      <c r="FO28" s="866"/>
      <c r="FP28" s="866"/>
      <c r="FQ28" s="866"/>
      <c r="FR28" s="866"/>
      <c r="FS28" s="866"/>
      <c r="FT28" s="866"/>
      <c r="FU28" s="866"/>
      <c r="FV28" s="866"/>
      <c r="FW28" s="866"/>
      <c r="FX28" s="866"/>
      <c r="FY28" s="866"/>
      <c r="FZ28" s="866"/>
      <c r="GA28" s="866"/>
      <c r="GB28" s="866"/>
      <c r="GC28" s="866"/>
      <c r="GD28" s="866"/>
      <c r="GE28" s="866"/>
      <c r="GF28" s="866"/>
      <c r="GG28" s="866"/>
      <c r="GH28" s="866"/>
      <c r="GI28" s="866"/>
      <c r="GJ28" s="866"/>
      <c r="GK28" s="866"/>
      <c r="GL28" s="866"/>
      <c r="GM28" s="866"/>
      <c r="GN28" s="866"/>
      <c r="GO28" s="866"/>
      <c r="GP28" s="866"/>
      <c r="GQ28" s="866"/>
      <c r="GR28" s="866"/>
      <c r="GS28" s="866"/>
      <c r="GT28" s="866"/>
      <c r="GU28" s="866"/>
      <c r="GV28" s="866"/>
      <c r="GW28" s="866"/>
      <c r="GX28" s="866"/>
      <c r="GY28" s="866"/>
      <c r="GZ28" s="866"/>
      <c r="HA28" s="866"/>
      <c r="HB28" s="866"/>
      <c r="HC28" s="866"/>
      <c r="HD28" s="866"/>
      <c r="HE28" s="866"/>
      <c r="HF28" s="866"/>
      <c r="HG28" s="866"/>
      <c r="HH28" s="866"/>
      <c r="HI28" s="866"/>
      <c r="HJ28" s="866"/>
      <c r="HK28" s="866"/>
      <c r="HL28" s="866"/>
      <c r="HM28" s="866"/>
      <c r="HN28" s="866"/>
      <c r="HO28" s="866"/>
      <c r="HP28" s="866"/>
      <c r="HQ28" s="866"/>
      <c r="HR28" s="866"/>
      <c r="HS28" s="866"/>
      <c r="HT28" s="866"/>
      <c r="HU28" s="866"/>
      <c r="HV28" s="866"/>
      <c r="HW28" s="866"/>
      <c r="HX28" s="866"/>
      <c r="HY28" s="866"/>
      <c r="HZ28" s="866"/>
      <c r="IA28" s="866"/>
      <c r="IB28" s="866"/>
      <c r="IC28" s="866"/>
      <c r="ID28" s="866"/>
      <c r="IE28" s="866"/>
      <c r="IF28" s="866"/>
      <c r="IG28" s="866"/>
      <c r="IH28" s="866"/>
      <c r="II28" s="866"/>
      <c r="IJ28" s="866"/>
      <c r="IK28" s="866"/>
      <c r="IL28" s="866"/>
      <c r="IM28" s="866"/>
      <c r="IN28" s="866"/>
      <c r="IO28" s="866"/>
      <c r="IP28" s="866"/>
      <c r="IQ28" s="866"/>
      <c r="IR28" s="866"/>
      <c r="IS28" s="866"/>
      <c r="IT28" s="866"/>
      <c r="IU28" s="866"/>
      <c r="IV28" s="866"/>
    </row>
    <row r="29" spans="1:256" ht="16.5" customHeight="1">
      <c r="A29" s="866" t="s">
        <v>389</v>
      </c>
      <c r="B29" s="866"/>
      <c r="C29" s="866"/>
      <c r="D29" s="843">
        <v>850.399</v>
      </c>
      <c r="E29" s="838"/>
      <c r="F29" s="1347">
        <v>758.06700000000001</v>
      </c>
      <c r="G29" s="838"/>
      <c r="H29" s="1347">
        <v>827.49599999999998</v>
      </c>
      <c r="I29" s="838"/>
      <c r="J29" s="1347">
        <v>0</v>
      </c>
      <c r="K29" s="1348"/>
      <c r="L29" s="839">
        <f t="shared" si="0"/>
        <v>780.97</v>
      </c>
      <c r="M29" s="873"/>
      <c r="N29" s="866"/>
      <c r="O29" s="866"/>
      <c r="P29" s="866"/>
      <c r="Q29" s="866"/>
      <c r="R29" s="866"/>
      <c r="S29" s="866"/>
      <c r="T29" s="866"/>
      <c r="U29" s="866"/>
      <c r="V29" s="866"/>
      <c r="W29" s="866"/>
      <c r="X29" s="866"/>
      <c r="Y29" s="866"/>
      <c r="Z29" s="866"/>
      <c r="AA29" s="866"/>
      <c r="AB29" s="866"/>
      <c r="AC29" s="866"/>
      <c r="AD29" s="866"/>
      <c r="AE29" s="866"/>
      <c r="AF29" s="866"/>
      <c r="AG29" s="866"/>
      <c r="AH29" s="866"/>
      <c r="AI29" s="866"/>
      <c r="AJ29" s="866"/>
      <c r="AK29" s="866"/>
      <c r="AL29" s="866"/>
      <c r="AM29" s="866"/>
      <c r="AN29" s="866"/>
      <c r="AO29" s="866"/>
      <c r="AP29" s="866"/>
      <c r="AQ29" s="866"/>
      <c r="AR29" s="866"/>
      <c r="AS29" s="866"/>
      <c r="AT29" s="866"/>
      <c r="AU29" s="866"/>
      <c r="AV29" s="866"/>
      <c r="AW29" s="866"/>
      <c r="AX29" s="866"/>
      <c r="AY29" s="866"/>
      <c r="AZ29" s="866"/>
      <c r="BA29" s="866"/>
      <c r="BB29" s="866"/>
      <c r="BC29" s="866"/>
      <c r="BD29" s="866"/>
      <c r="BE29" s="866"/>
      <c r="BF29" s="866"/>
      <c r="BG29" s="866"/>
      <c r="BH29" s="866"/>
      <c r="BI29" s="866"/>
      <c r="BJ29" s="866"/>
      <c r="BK29" s="866"/>
      <c r="BL29" s="866"/>
      <c r="BM29" s="866"/>
      <c r="BN29" s="866"/>
      <c r="BO29" s="866"/>
      <c r="BP29" s="866"/>
      <c r="BQ29" s="866"/>
      <c r="BR29" s="866"/>
      <c r="BS29" s="866"/>
      <c r="BT29" s="866"/>
      <c r="BU29" s="866"/>
      <c r="BV29" s="866"/>
      <c r="BW29" s="866"/>
      <c r="BX29" s="866"/>
      <c r="BY29" s="866"/>
      <c r="BZ29" s="866"/>
      <c r="CA29" s="866"/>
      <c r="CB29" s="866"/>
      <c r="CC29" s="866"/>
      <c r="CD29" s="866"/>
      <c r="CE29" s="866"/>
      <c r="CF29" s="866"/>
      <c r="CG29" s="866"/>
      <c r="CH29" s="866"/>
      <c r="CI29" s="866"/>
      <c r="CJ29" s="866"/>
      <c r="CK29" s="866"/>
      <c r="CL29" s="866"/>
      <c r="CM29" s="866"/>
      <c r="CN29" s="866"/>
      <c r="CO29" s="866"/>
      <c r="CP29" s="866"/>
      <c r="CQ29" s="866"/>
      <c r="CR29" s="866"/>
      <c r="CS29" s="866"/>
      <c r="CT29" s="866"/>
      <c r="CU29" s="866"/>
      <c r="CV29" s="866"/>
      <c r="CW29" s="866"/>
      <c r="CX29" s="866"/>
      <c r="CY29" s="866"/>
      <c r="CZ29" s="866"/>
      <c r="DA29" s="866"/>
      <c r="DB29" s="866"/>
      <c r="DC29" s="866"/>
      <c r="DD29" s="866"/>
      <c r="DE29" s="866"/>
      <c r="DF29" s="866"/>
      <c r="DG29" s="866"/>
      <c r="DH29" s="866"/>
      <c r="DI29" s="866"/>
      <c r="DJ29" s="866"/>
      <c r="DK29" s="866"/>
      <c r="DL29" s="866"/>
      <c r="DM29" s="866"/>
      <c r="DN29" s="866"/>
      <c r="DO29" s="866"/>
      <c r="DP29" s="866"/>
      <c r="DQ29" s="866"/>
      <c r="DR29" s="866"/>
      <c r="DS29" s="866"/>
      <c r="DT29" s="866"/>
      <c r="DU29" s="866"/>
      <c r="DV29" s="866"/>
      <c r="DW29" s="866"/>
      <c r="DX29" s="866"/>
      <c r="DY29" s="866"/>
      <c r="DZ29" s="866"/>
      <c r="EA29" s="866"/>
      <c r="EB29" s="866"/>
      <c r="EC29" s="866"/>
      <c r="ED29" s="866"/>
      <c r="EE29" s="866"/>
      <c r="EF29" s="866"/>
      <c r="EG29" s="866"/>
      <c r="EH29" s="866"/>
      <c r="EI29" s="866"/>
      <c r="EJ29" s="866"/>
      <c r="EK29" s="866"/>
      <c r="EL29" s="866"/>
      <c r="EM29" s="866"/>
      <c r="EN29" s="866"/>
      <c r="EO29" s="866"/>
      <c r="EP29" s="866"/>
      <c r="EQ29" s="866"/>
      <c r="ER29" s="866"/>
      <c r="ES29" s="866"/>
      <c r="ET29" s="866"/>
      <c r="EU29" s="866"/>
      <c r="EV29" s="866"/>
      <c r="EW29" s="866"/>
      <c r="EX29" s="866"/>
      <c r="EY29" s="866"/>
      <c r="EZ29" s="866"/>
      <c r="FA29" s="866"/>
      <c r="FB29" s="866"/>
      <c r="FC29" s="866"/>
      <c r="FD29" s="866"/>
      <c r="FE29" s="866"/>
      <c r="FF29" s="866"/>
      <c r="FG29" s="866"/>
      <c r="FH29" s="866"/>
      <c r="FI29" s="866"/>
      <c r="FJ29" s="866"/>
      <c r="FK29" s="866"/>
      <c r="FL29" s="866"/>
      <c r="FM29" s="866"/>
      <c r="FN29" s="866"/>
      <c r="FO29" s="866"/>
      <c r="FP29" s="866"/>
      <c r="FQ29" s="866"/>
      <c r="FR29" s="866"/>
      <c r="FS29" s="866"/>
      <c r="FT29" s="866"/>
      <c r="FU29" s="866"/>
      <c r="FV29" s="866"/>
      <c r="FW29" s="866"/>
      <c r="FX29" s="866"/>
      <c r="FY29" s="866"/>
      <c r="FZ29" s="866"/>
      <c r="GA29" s="866"/>
      <c r="GB29" s="866"/>
      <c r="GC29" s="866"/>
      <c r="GD29" s="866"/>
      <c r="GE29" s="866"/>
      <c r="GF29" s="866"/>
      <c r="GG29" s="866"/>
      <c r="GH29" s="866"/>
      <c r="GI29" s="866"/>
      <c r="GJ29" s="866"/>
      <c r="GK29" s="866"/>
      <c r="GL29" s="866"/>
      <c r="GM29" s="866"/>
      <c r="GN29" s="866"/>
      <c r="GO29" s="866"/>
      <c r="GP29" s="866"/>
      <c r="GQ29" s="866"/>
      <c r="GR29" s="866"/>
      <c r="GS29" s="866"/>
      <c r="GT29" s="866"/>
      <c r="GU29" s="866"/>
      <c r="GV29" s="866"/>
      <c r="GW29" s="866"/>
      <c r="GX29" s="866"/>
      <c r="GY29" s="866"/>
      <c r="GZ29" s="866"/>
      <c r="HA29" s="866"/>
      <c r="HB29" s="866"/>
      <c r="HC29" s="866"/>
      <c r="HD29" s="866"/>
      <c r="HE29" s="866"/>
      <c r="HF29" s="866"/>
      <c r="HG29" s="866"/>
      <c r="HH29" s="866"/>
      <c r="HI29" s="866"/>
      <c r="HJ29" s="866"/>
      <c r="HK29" s="866"/>
      <c r="HL29" s="866"/>
      <c r="HM29" s="866"/>
      <c r="HN29" s="866"/>
      <c r="HO29" s="866"/>
      <c r="HP29" s="866"/>
      <c r="HQ29" s="866"/>
      <c r="HR29" s="866"/>
      <c r="HS29" s="866"/>
      <c r="HT29" s="866"/>
      <c r="HU29" s="866"/>
      <c r="HV29" s="866"/>
      <c r="HW29" s="866"/>
      <c r="HX29" s="866"/>
      <c r="HY29" s="866"/>
      <c r="HZ29" s="866"/>
      <c r="IA29" s="866"/>
      <c r="IB29" s="866"/>
      <c r="IC29" s="866"/>
      <c r="ID29" s="866"/>
      <c r="IE29" s="866"/>
      <c r="IF29" s="866"/>
      <c r="IG29" s="866"/>
      <c r="IH29" s="866"/>
      <c r="II29" s="866"/>
      <c r="IJ29" s="866"/>
      <c r="IK29" s="866"/>
      <c r="IL29" s="866"/>
      <c r="IM29" s="866"/>
      <c r="IN29" s="866"/>
      <c r="IO29" s="866"/>
      <c r="IP29" s="866"/>
      <c r="IQ29" s="866"/>
      <c r="IR29" s="866"/>
      <c r="IS29" s="866"/>
      <c r="IT29" s="866"/>
      <c r="IU29" s="866"/>
      <c r="IV29" s="866"/>
    </row>
    <row r="30" spans="1:256" ht="16.5" customHeight="1">
      <c r="A30" s="866" t="s">
        <v>390</v>
      </c>
      <c r="B30" s="866"/>
      <c r="C30" s="866" t="s">
        <v>15</v>
      </c>
      <c r="D30" s="843">
        <v>14.721</v>
      </c>
      <c r="E30" s="838"/>
      <c r="F30" s="1347">
        <v>109.923</v>
      </c>
      <c r="G30" s="838"/>
      <c r="H30" s="1347">
        <v>109.651</v>
      </c>
      <c r="I30" s="838"/>
      <c r="J30" s="1347">
        <v>0</v>
      </c>
      <c r="K30" s="1348"/>
      <c r="L30" s="839">
        <f>ROUND(D30+F30-H30+J30,3)</f>
        <v>14.993</v>
      </c>
      <c r="M30" s="873"/>
      <c r="N30" s="866"/>
      <c r="O30" s="866"/>
      <c r="P30" s="866"/>
      <c r="Q30" s="866"/>
      <c r="R30" s="866"/>
      <c r="S30" s="866"/>
      <c r="T30" s="866"/>
      <c r="U30" s="866"/>
      <c r="V30" s="866"/>
      <c r="W30" s="866"/>
      <c r="X30" s="866"/>
      <c r="Y30" s="866"/>
      <c r="Z30" s="866"/>
      <c r="AA30" s="866"/>
      <c r="AB30" s="866"/>
      <c r="AC30" s="866"/>
      <c r="AD30" s="866"/>
      <c r="AE30" s="866"/>
      <c r="AF30" s="866"/>
      <c r="AG30" s="866"/>
      <c r="AH30" s="866"/>
      <c r="AI30" s="866"/>
      <c r="AJ30" s="866"/>
      <c r="AK30" s="866"/>
      <c r="AL30" s="866"/>
      <c r="AM30" s="866"/>
      <c r="AN30" s="866"/>
      <c r="AO30" s="866"/>
      <c r="AP30" s="866"/>
      <c r="AQ30" s="866"/>
      <c r="AR30" s="866"/>
      <c r="AS30" s="866"/>
      <c r="AT30" s="866"/>
      <c r="AU30" s="866"/>
      <c r="AV30" s="866"/>
      <c r="AW30" s="866"/>
      <c r="AX30" s="866"/>
      <c r="AY30" s="866"/>
      <c r="AZ30" s="866"/>
      <c r="BA30" s="866"/>
      <c r="BB30" s="866"/>
      <c r="BC30" s="866"/>
      <c r="BD30" s="866"/>
      <c r="BE30" s="866"/>
      <c r="BF30" s="866"/>
      <c r="BG30" s="866"/>
      <c r="BH30" s="866"/>
      <c r="BI30" s="866"/>
      <c r="BJ30" s="866"/>
      <c r="BK30" s="866"/>
      <c r="BL30" s="866"/>
      <c r="BM30" s="866"/>
      <c r="BN30" s="866"/>
      <c r="BO30" s="866"/>
      <c r="BP30" s="866"/>
      <c r="BQ30" s="866"/>
      <c r="BR30" s="866"/>
      <c r="BS30" s="866"/>
      <c r="BT30" s="866"/>
      <c r="BU30" s="866"/>
      <c r="BV30" s="866"/>
      <c r="BW30" s="866"/>
      <c r="BX30" s="866"/>
      <c r="BY30" s="866"/>
      <c r="BZ30" s="866"/>
      <c r="CA30" s="866"/>
      <c r="CB30" s="866"/>
      <c r="CC30" s="866"/>
      <c r="CD30" s="866"/>
      <c r="CE30" s="866"/>
      <c r="CF30" s="866"/>
      <c r="CG30" s="866"/>
      <c r="CH30" s="866"/>
      <c r="CI30" s="866"/>
      <c r="CJ30" s="866"/>
      <c r="CK30" s="866"/>
      <c r="CL30" s="866"/>
      <c r="CM30" s="866"/>
      <c r="CN30" s="866"/>
      <c r="CO30" s="866"/>
      <c r="CP30" s="866"/>
      <c r="CQ30" s="866"/>
      <c r="CR30" s="866"/>
      <c r="CS30" s="866"/>
      <c r="CT30" s="866"/>
      <c r="CU30" s="866"/>
      <c r="CV30" s="866"/>
      <c r="CW30" s="866"/>
      <c r="CX30" s="866"/>
      <c r="CY30" s="866"/>
      <c r="CZ30" s="866"/>
      <c r="DA30" s="866"/>
      <c r="DB30" s="866"/>
      <c r="DC30" s="866"/>
      <c r="DD30" s="866"/>
      <c r="DE30" s="866"/>
      <c r="DF30" s="866"/>
      <c r="DG30" s="866"/>
      <c r="DH30" s="866"/>
      <c r="DI30" s="866"/>
      <c r="DJ30" s="866"/>
      <c r="DK30" s="866"/>
      <c r="DL30" s="866"/>
      <c r="DM30" s="866"/>
      <c r="DN30" s="866"/>
      <c r="DO30" s="866"/>
      <c r="DP30" s="866"/>
      <c r="DQ30" s="866"/>
      <c r="DR30" s="866"/>
      <c r="DS30" s="866"/>
      <c r="DT30" s="866"/>
      <c r="DU30" s="866"/>
      <c r="DV30" s="866"/>
      <c r="DW30" s="866"/>
      <c r="DX30" s="866"/>
      <c r="DY30" s="866"/>
      <c r="DZ30" s="866"/>
      <c r="EA30" s="866"/>
      <c r="EB30" s="866"/>
      <c r="EC30" s="866"/>
      <c r="ED30" s="866"/>
      <c r="EE30" s="866"/>
      <c r="EF30" s="866"/>
      <c r="EG30" s="866"/>
      <c r="EH30" s="866"/>
      <c r="EI30" s="866"/>
      <c r="EJ30" s="866"/>
      <c r="EK30" s="866"/>
      <c r="EL30" s="866"/>
      <c r="EM30" s="866"/>
      <c r="EN30" s="866"/>
      <c r="EO30" s="866"/>
      <c r="EP30" s="866"/>
      <c r="EQ30" s="866"/>
      <c r="ER30" s="866"/>
      <c r="ES30" s="866"/>
      <c r="ET30" s="866"/>
      <c r="EU30" s="866"/>
      <c r="EV30" s="866"/>
      <c r="EW30" s="866"/>
      <c r="EX30" s="866"/>
      <c r="EY30" s="866"/>
      <c r="EZ30" s="866"/>
      <c r="FA30" s="866"/>
      <c r="FB30" s="866"/>
      <c r="FC30" s="866"/>
      <c r="FD30" s="866"/>
      <c r="FE30" s="866"/>
      <c r="FF30" s="866"/>
      <c r="FG30" s="866"/>
      <c r="FH30" s="866"/>
      <c r="FI30" s="866"/>
      <c r="FJ30" s="866"/>
      <c r="FK30" s="866"/>
      <c r="FL30" s="866"/>
      <c r="FM30" s="866"/>
      <c r="FN30" s="866"/>
      <c r="FO30" s="866"/>
      <c r="FP30" s="866"/>
      <c r="FQ30" s="866"/>
      <c r="FR30" s="866"/>
      <c r="FS30" s="866"/>
      <c r="FT30" s="866"/>
      <c r="FU30" s="866"/>
      <c r="FV30" s="866"/>
      <c r="FW30" s="866"/>
      <c r="FX30" s="866"/>
      <c r="FY30" s="866"/>
      <c r="FZ30" s="866"/>
      <c r="GA30" s="866"/>
      <c r="GB30" s="866"/>
      <c r="GC30" s="866"/>
      <c r="GD30" s="866"/>
      <c r="GE30" s="866"/>
      <c r="GF30" s="866"/>
      <c r="GG30" s="866"/>
      <c r="GH30" s="866"/>
      <c r="GI30" s="866"/>
      <c r="GJ30" s="866"/>
      <c r="GK30" s="866"/>
      <c r="GL30" s="866"/>
      <c r="GM30" s="866"/>
      <c r="GN30" s="866"/>
      <c r="GO30" s="866"/>
      <c r="GP30" s="866"/>
      <c r="GQ30" s="866"/>
      <c r="GR30" s="866"/>
      <c r="GS30" s="866"/>
      <c r="GT30" s="866"/>
      <c r="GU30" s="866"/>
      <c r="GV30" s="866"/>
      <c r="GW30" s="866"/>
      <c r="GX30" s="866"/>
      <c r="GY30" s="866"/>
      <c r="GZ30" s="866"/>
      <c r="HA30" s="866"/>
      <c r="HB30" s="866"/>
      <c r="HC30" s="866"/>
      <c r="HD30" s="866"/>
      <c r="HE30" s="866"/>
      <c r="HF30" s="866"/>
      <c r="HG30" s="866"/>
      <c r="HH30" s="866"/>
      <c r="HI30" s="866"/>
      <c r="HJ30" s="866"/>
      <c r="HK30" s="866"/>
      <c r="HL30" s="866"/>
      <c r="HM30" s="866"/>
      <c r="HN30" s="866"/>
      <c r="HO30" s="866"/>
      <c r="HP30" s="866"/>
      <c r="HQ30" s="866"/>
      <c r="HR30" s="866"/>
      <c r="HS30" s="866"/>
      <c r="HT30" s="866"/>
      <c r="HU30" s="866"/>
      <c r="HV30" s="866"/>
      <c r="HW30" s="866"/>
      <c r="HX30" s="866"/>
      <c r="HY30" s="866"/>
      <c r="HZ30" s="866"/>
      <c r="IA30" s="866"/>
      <c r="IB30" s="866"/>
      <c r="IC30" s="866"/>
      <c r="ID30" s="866"/>
      <c r="IE30" s="866"/>
      <c r="IF30" s="866"/>
      <c r="IG30" s="866"/>
      <c r="IH30" s="866"/>
      <c r="II30" s="866"/>
      <c r="IJ30" s="866"/>
      <c r="IK30" s="866"/>
      <c r="IL30" s="866"/>
      <c r="IM30" s="866"/>
      <c r="IN30" s="866"/>
      <c r="IO30" s="866"/>
      <c r="IP30" s="866"/>
      <c r="IQ30" s="866"/>
      <c r="IR30" s="866"/>
      <c r="IS30" s="866"/>
      <c r="IT30" s="866"/>
      <c r="IU30" s="866"/>
      <c r="IV30" s="866"/>
    </row>
    <row r="31" spans="1:256" ht="16.5" customHeight="1">
      <c r="A31" s="866" t="s">
        <v>1147</v>
      </c>
      <c r="B31" s="866"/>
      <c r="C31" s="866"/>
      <c r="D31" s="843">
        <v>29.111999999999998</v>
      </c>
      <c r="E31" s="838"/>
      <c r="F31" s="1347">
        <v>459.80799999999999</v>
      </c>
      <c r="G31" s="838"/>
      <c r="H31" s="1347">
        <v>482.488</v>
      </c>
      <c r="I31" s="838"/>
      <c r="J31" s="1347">
        <v>0</v>
      </c>
      <c r="K31" s="1348"/>
      <c r="L31" s="839">
        <f t="shared" si="0"/>
        <v>6.4320000000000004</v>
      </c>
      <c r="M31" s="873"/>
      <c r="N31" s="748"/>
      <c r="O31" s="866"/>
      <c r="P31" s="866"/>
      <c r="Q31" s="866"/>
      <c r="R31" s="866"/>
      <c r="S31" s="866"/>
      <c r="T31" s="866"/>
      <c r="U31" s="866"/>
      <c r="V31" s="866"/>
      <c r="W31" s="866"/>
      <c r="X31" s="866"/>
      <c r="Y31" s="866"/>
      <c r="Z31" s="866"/>
      <c r="AA31" s="866"/>
      <c r="AB31" s="866"/>
      <c r="AC31" s="866"/>
      <c r="AD31" s="866"/>
      <c r="AE31" s="866"/>
      <c r="AF31" s="866"/>
      <c r="AG31" s="866"/>
      <c r="AH31" s="866"/>
      <c r="AI31" s="866"/>
      <c r="AJ31" s="866"/>
      <c r="AK31" s="866"/>
      <c r="AL31" s="866"/>
      <c r="AM31" s="866"/>
      <c r="AN31" s="866"/>
      <c r="AO31" s="866"/>
      <c r="AP31" s="866"/>
      <c r="AQ31" s="866"/>
      <c r="AR31" s="866"/>
      <c r="AS31" s="866"/>
      <c r="AT31" s="866"/>
      <c r="AU31" s="866"/>
      <c r="AV31" s="866"/>
      <c r="AW31" s="866"/>
      <c r="AX31" s="866"/>
      <c r="AY31" s="866"/>
      <c r="AZ31" s="866"/>
      <c r="BA31" s="866"/>
      <c r="BB31" s="866"/>
      <c r="BC31" s="866"/>
      <c r="BD31" s="866"/>
      <c r="BE31" s="866"/>
      <c r="BF31" s="866"/>
      <c r="BG31" s="866"/>
      <c r="BH31" s="866"/>
      <c r="BI31" s="866"/>
      <c r="BJ31" s="866"/>
      <c r="BK31" s="866"/>
      <c r="BL31" s="866"/>
      <c r="BM31" s="866"/>
      <c r="BN31" s="866"/>
      <c r="BO31" s="866"/>
      <c r="BP31" s="866"/>
      <c r="BQ31" s="866"/>
      <c r="BR31" s="866"/>
      <c r="BS31" s="866"/>
      <c r="BT31" s="866"/>
      <c r="BU31" s="866"/>
      <c r="BV31" s="866"/>
      <c r="BW31" s="866"/>
      <c r="BX31" s="866"/>
      <c r="BY31" s="866"/>
      <c r="BZ31" s="866"/>
      <c r="CA31" s="866"/>
      <c r="CB31" s="866"/>
      <c r="CC31" s="866"/>
      <c r="CD31" s="866"/>
      <c r="CE31" s="866"/>
      <c r="CF31" s="866"/>
      <c r="CG31" s="866"/>
      <c r="CH31" s="866"/>
      <c r="CI31" s="866"/>
      <c r="CJ31" s="866"/>
      <c r="CK31" s="866"/>
      <c r="CL31" s="866"/>
      <c r="CM31" s="866"/>
      <c r="CN31" s="866"/>
      <c r="CO31" s="866"/>
      <c r="CP31" s="866"/>
      <c r="CQ31" s="866"/>
      <c r="CR31" s="866"/>
      <c r="CS31" s="866"/>
      <c r="CT31" s="866"/>
      <c r="CU31" s="866"/>
      <c r="CV31" s="866"/>
      <c r="CW31" s="866"/>
      <c r="CX31" s="866"/>
      <c r="CY31" s="866"/>
      <c r="CZ31" s="866"/>
      <c r="DA31" s="866"/>
      <c r="DB31" s="866"/>
      <c r="DC31" s="866"/>
      <c r="DD31" s="866"/>
      <c r="DE31" s="866"/>
      <c r="DF31" s="866"/>
      <c r="DG31" s="866"/>
      <c r="DH31" s="866"/>
      <c r="DI31" s="866"/>
      <c r="DJ31" s="866"/>
      <c r="DK31" s="866"/>
      <c r="DL31" s="866"/>
      <c r="DM31" s="866"/>
      <c r="DN31" s="866"/>
      <c r="DO31" s="866"/>
      <c r="DP31" s="866"/>
      <c r="DQ31" s="866"/>
      <c r="DR31" s="866"/>
      <c r="DS31" s="866"/>
      <c r="DT31" s="866"/>
      <c r="DU31" s="866"/>
      <c r="DV31" s="866"/>
      <c r="DW31" s="866"/>
      <c r="DX31" s="866"/>
      <c r="DY31" s="866"/>
      <c r="DZ31" s="866"/>
      <c r="EA31" s="866"/>
      <c r="EB31" s="866"/>
      <c r="EC31" s="866"/>
      <c r="ED31" s="866"/>
      <c r="EE31" s="866"/>
      <c r="EF31" s="866"/>
      <c r="EG31" s="866"/>
      <c r="EH31" s="866"/>
      <c r="EI31" s="866"/>
      <c r="EJ31" s="866"/>
      <c r="EK31" s="866"/>
      <c r="EL31" s="866"/>
      <c r="EM31" s="866"/>
      <c r="EN31" s="866"/>
      <c r="EO31" s="866"/>
      <c r="EP31" s="866"/>
      <c r="EQ31" s="866"/>
      <c r="ER31" s="866"/>
      <c r="ES31" s="866"/>
      <c r="ET31" s="866"/>
      <c r="EU31" s="866"/>
      <c r="EV31" s="866"/>
      <c r="EW31" s="866"/>
      <c r="EX31" s="866"/>
      <c r="EY31" s="866"/>
      <c r="EZ31" s="866"/>
      <c r="FA31" s="866"/>
      <c r="FB31" s="866"/>
      <c r="FC31" s="866"/>
      <c r="FD31" s="866"/>
      <c r="FE31" s="866"/>
      <c r="FF31" s="866"/>
      <c r="FG31" s="866"/>
      <c r="FH31" s="866"/>
      <c r="FI31" s="866"/>
      <c r="FJ31" s="866"/>
      <c r="FK31" s="866"/>
      <c r="FL31" s="866"/>
      <c r="FM31" s="866"/>
      <c r="FN31" s="866"/>
      <c r="FO31" s="866"/>
      <c r="FP31" s="866"/>
      <c r="FQ31" s="866"/>
      <c r="FR31" s="866"/>
      <c r="FS31" s="866"/>
      <c r="FT31" s="866"/>
      <c r="FU31" s="866"/>
      <c r="FV31" s="866"/>
      <c r="FW31" s="866"/>
      <c r="FX31" s="866"/>
      <c r="FY31" s="866"/>
      <c r="FZ31" s="866"/>
      <c r="GA31" s="866"/>
      <c r="GB31" s="866"/>
      <c r="GC31" s="866"/>
      <c r="GD31" s="866"/>
      <c r="GE31" s="866"/>
      <c r="GF31" s="866"/>
      <c r="GG31" s="866"/>
      <c r="GH31" s="866"/>
      <c r="GI31" s="866"/>
      <c r="GJ31" s="866"/>
      <c r="GK31" s="866"/>
      <c r="GL31" s="866"/>
      <c r="GM31" s="866"/>
      <c r="GN31" s="866"/>
      <c r="GO31" s="866"/>
      <c r="GP31" s="866"/>
      <c r="GQ31" s="866"/>
      <c r="GR31" s="866"/>
      <c r="GS31" s="866"/>
      <c r="GT31" s="866"/>
      <c r="GU31" s="866"/>
      <c r="GV31" s="866"/>
      <c r="GW31" s="866"/>
      <c r="GX31" s="866"/>
      <c r="GY31" s="866"/>
      <c r="GZ31" s="866"/>
      <c r="HA31" s="866"/>
      <c r="HB31" s="866"/>
      <c r="HC31" s="866"/>
      <c r="HD31" s="866"/>
      <c r="HE31" s="866"/>
      <c r="HF31" s="866"/>
      <c r="HG31" s="866"/>
      <c r="HH31" s="866"/>
      <c r="HI31" s="866"/>
      <c r="HJ31" s="866"/>
      <c r="HK31" s="866"/>
      <c r="HL31" s="866"/>
      <c r="HM31" s="866"/>
      <c r="HN31" s="866"/>
      <c r="HO31" s="866"/>
      <c r="HP31" s="866"/>
      <c r="HQ31" s="866"/>
      <c r="HR31" s="866"/>
      <c r="HS31" s="866"/>
      <c r="HT31" s="866"/>
      <c r="HU31" s="866"/>
      <c r="HV31" s="866"/>
      <c r="HW31" s="866"/>
      <c r="HX31" s="866"/>
      <c r="HY31" s="866"/>
      <c r="HZ31" s="866"/>
      <c r="IA31" s="866"/>
      <c r="IB31" s="866"/>
      <c r="IC31" s="866"/>
      <c r="ID31" s="866"/>
      <c r="IE31" s="866"/>
      <c r="IF31" s="866"/>
      <c r="IG31" s="866"/>
      <c r="IH31" s="866"/>
      <c r="II31" s="866"/>
      <c r="IJ31" s="866"/>
      <c r="IK31" s="866"/>
      <c r="IL31" s="866"/>
      <c r="IM31" s="866"/>
      <c r="IN31" s="866"/>
      <c r="IO31" s="866"/>
      <c r="IP31" s="866"/>
      <c r="IQ31" s="866"/>
      <c r="IR31" s="866"/>
      <c r="IS31" s="866"/>
      <c r="IT31" s="866"/>
      <c r="IU31" s="866"/>
      <c r="IV31" s="866"/>
    </row>
    <row r="32" spans="1:256" ht="16.5" customHeight="1">
      <c r="A32" s="866" t="s">
        <v>391</v>
      </c>
      <c r="B32" s="866"/>
      <c r="C32" s="866" t="s">
        <v>15</v>
      </c>
      <c r="D32" s="843">
        <v>11.448</v>
      </c>
      <c r="E32" s="838"/>
      <c r="F32" s="1347">
        <v>5.3109999999999999</v>
      </c>
      <c r="G32" s="838">
        <v>8.7609999999999992</v>
      </c>
      <c r="H32" s="1347">
        <v>5.5679999999999996</v>
      </c>
      <c r="I32" s="838"/>
      <c r="J32" s="1347">
        <v>0</v>
      </c>
      <c r="K32" s="1348"/>
      <c r="L32" s="839">
        <f t="shared" si="0"/>
        <v>11.191000000000001</v>
      </c>
      <c r="M32" s="873"/>
      <c r="N32" s="866"/>
      <c r="O32" s="866"/>
      <c r="P32" s="866"/>
      <c r="Q32" s="866"/>
      <c r="R32" s="866"/>
      <c r="S32" s="866"/>
      <c r="T32" s="866"/>
      <c r="U32" s="866"/>
      <c r="V32" s="866"/>
      <c r="W32" s="866"/>
      <c r="X32" s="866"/>
      <c r="Y32" s="866"/>
      <c r="Z32" s="866"/>
      <c r="AA32" s="866"/>
      <c r="AB32" s="866"/>
      <c r="AC32" s="866"/>
      <c r="AD32" s="866"/>
      <c r="AE32" s="866"/>
      <c r="AF32" s="866"/>
      <c r="AG32" s="866"/>
      <c r="AH32" s="866"/>
      <c r="AI32" s="866"/>
      <c r="AJ32" s="866"/>
      <c r="AK32" s="866"/>
      <c r="AL32" s="866"/>
      <c r="AM32" s="866"/>
      <c r="AN32" s="866"/>
      <c r="AO32" s="866"/>
      <c r="AP32" s="866"/>
      <c r="AQ32" s="866"/>
      <c r="AR32" s="866"/>
      <c r="AS32" s="866"/>
      <c r="AT32" s="866"/>
      <c r="AU32" s="866"/>
      <c r="AV32" s="866"/>
      <c r="AW32" s="866"/>
      <c r="AX32" s="866"/>
      <c r="AY32" s="866"/>
      <c r="AZ32" s="866"/>
      <c r="BA32" s="866"/>
      <c r="BB32" s="866"/>
      <c r="BC32" s="866"/>
      <c r="BD32" s="866"/>
      <c r="BE32" s="866"/>
      <c r="BF32" s="866"/>
      <c r="BG32" s="866"/>
      <c r="BH32" s="866"/>
      <c r="BI32" s="866"/>
      <c r="BJ32" s="866"/>
      <c r="BK32" s="866"/>
      <c r="BL32" s="866"/>
      <c r="BM32" s="866"/>
      <c r="BN32" s="866"/>
      <c r="BO32" s="866"/>
      <c r="BP32" s="866"/>
      <c r="BQ32" s="866"/>
      <c r="BR32" s="866"/>
      <c r="BS32" s="866"/>
      <c r="BT32" s="866"/>
      <c r="BU32" s="866"/>
      <c r="BV32" s="866"/>
      <c r="BW32" s="866"/>
      <c r="BX32" s="866"/>
      <c r="BY32" s="866"/>
      <c r="BZ32" s="866"/>
      <c r="CA32" s="866"/>
      <c r="CB32" s="866"/>
      <c r="CC32" s="866"/>
      <c r="CD32" s="866"/>
      <c r="CE32" s="866"/>
      <c r="CF32" s="866"/>
      <c r="CG32" s="866"/>
      <c r="CH32" s="866"/>
      <c r="CI32" s="866"/>
      <c r="CJ32" s="866"/>
      <c r="CK32" s="866"/>
      <c r="CL32" s="866"/>
      <c r="CM32" s="866"/>
      <c r="CN32" s="866"/>
      <c r="CO32" s="866"/>
      <c r="CP32" s="866"/>
      <c r="CQ32" s="866"/>
      <c r="CR32" s="866"/>
      <c r="CS32" s="866"/>
      <c r="CT32" s="866"/>
      <c r="CU32" s="866"/>
      <c r="CV32" s="866"/>
      <c r="CW32" s="866"/>
      <c r="CX32" s="866"/>
      <c r="CY32" s="866"/>
      <c r="CZ32" s="866"/>
      <c r="DA32" s="866"/>
      <c r="DB32" s="866"/>
      <c r="DC32" s="866"/>
      <c r="DD32" s="866"/>
      <c r="DE32" s="866"/>
      <c r="DF32" s="866"/>
      <c r="DG32" s="866"/>
      <c r="DH32" s="866"/>
      <c r="DI32" s="866"/>
      <c r="DJ32" s="866"/>
      <c r="DK32" s="866"/>
      <c r="DL32" s="866"/>
      <c r="DM32" s="866"/>
      <c r="DN32" s="866"/>
      <c r="DO32" s="866"/>
      <c r="DP32" s="866"/>
      <c r="DQ32" s="866"/>
      <c r="DR32" s="866"/>
      <c r="DS32" s="866"/>
      <c r="DT32" s="866"/>
      <c r="DU32" s="866"/>
      <c r="DV32" s="866"/>
      <c r="DW32" s="866"/>
      <c r="DX32" s="866"/>
      <c r="DY32" s="866"/>
      <c r="DZ32" s="866"/>
      <c r="EA32" s="866"/>
      <c r="EB32" s="866"/>
      <c r="EC32" s="866"/>
      <c r="ED32" s="866"/>
      <c r="EE32" s="866"/>
      <c r="EF32" s="866"/>
      <c r="EG32" s="866"/>
      <c r="EH32" s="866"/>
      <c r="EI32" s="866"/>
      <c r="EJ32" s="866"/>
      <c r="EK32" s="866"/>
      <c r="EL32" s="866"/>
      <c r="EM32" s="866"/>
      <c r="EN32" s="866"/>
      <c r="EO32" s="866"/>
      <c r="EP32" s="866"/>
      <c r="EQ32" s="866"/>
      <c r="ER32" s="866"/>
      <c r="ES32" s="866"/>
      <c r="ET32" s="866"/>
      <c r="EU32" s="866"/>
      <c r="EV32" s="866"/>
      <c r="EW32" s="866"/>
      <c r="EX32" s="866"/>
      <c r="EY32" s="866"/>
      <c r="EZ32" s="866"/>
      <c r="FA32" s="866"/>
      <c r="FB32" s="866"/>
      <c r="FC32" s="866"/>
      <c r="FD32" s="866"/>
      <c r="FE32" s="866"/>
      <c r="FF32" s="866"/>
      <c r="FG32" s="866"/>
      <c r="FH32" s="866"/>
      <c r="FI32" s="866"/>
      <c r="FJ32" s="866"/>
      <c r="FK32" s="866"/>
      <c r="FL32" s="866"/>
      <c r="FM32" s="866"/>
      <c r="FN32" s="866"/>
      <c r="FO32" s="866"/>
      <c r="FP32" s="866"/>
      <c r="FQ32" s="866"/>
      <c r="FR32" s="866"/>
      <c r="FS32" s="866"/>
      <c r="FT32" s="866"/>
      <c r="FU32" s="866"/>
      <c r="FV32" s="866"/>
      <c r="FW32" s="866"/>
      <c r="FX32" s="866"/>
      <c r="FY32" s="866"/>
      <c r="FZ32" s="866"/>
      <c r="GA32" s="866"/>
      <c r="GB32" s="866"/>
      <c r="GC32" s="866"/>
      <c r="GD32" s="866"/>
      <c r="GE32" s="866"/>
      <c r="GF32" s="866"/>
      <c r="GG32" s="866"/>
      <c r="GH32" s="866"/>
      <c r="GI32" s="866"/>
      <c r="GJ32" s="866"/>
      <c r="GK32" s="866"/>
      <c r="GL32" s="866"/>
      <c r="GM32" s="866"/>
      <c r="GN32" s="866"/>
      <c r="GO32" s="866"/>
      <c r="GP32" s="866"/>
      <c r="GQ32" s="866"/>
      <c r="GR32" s="866"/>
      <c r="GS32" s="866"/>
      <c r="GT32" s="866"/>
      <c r="GU32" s="866"/>
      <c r="GV32" s="866"/>
      <c r="GW32" s="866"/>
      <c r="GX32" s="866"/>
      <c r="GY32" s="866"/>
      <c r="GZ32" s="866"/>
      <c r="HA32" s="866"/>
      <c r="HB32" s="866"/>
      <c r="HC32" s="866"/>
      <c r="HD32" s="866"/>
      <c r="HE32" s="866"/>
      <c r="HF32" s="866"/>
      <c r="HG32" s="866"/>
      <c r="HH32" s="866"/>
      <c r="HI32" s="866"/>
      <c r="HJ32" s="866"/>
      <c r="HK32" s="866"/>
      <c r="HL32" s="866"/>
      <c r="HM32" s="866"/>
      <c r="HN32" s="866"/>
      <c r="HO32" s="866"/>
      <c r="HP32" s="866"/>
      <c r="HQ32" s="866"/>
      <c r="HR32" s="866"/>
      <c r="HS32" s="866"/>
      <c r="HT32" s="866"/>
      <c r="HU32" s="866"/>
      <c r="HV32" s="866"/>
      <c r="HW32" s="866"/>
      <c r="HX32" s="866"/>
      <c r="HY32" s="866"/>
      <c r="HZ32" s="866"/>
      <c r="IA32" s="866"/>
      <c r="IB32" s="866"/>
      <c r="IC32" s="866"/>
      <c r="ID32" s="866"/>
      <c r="IE32" s="866"/>
      <c r="IF32" s="866"/>
      <c r="IG32" s="866"/>
      <c r="IH32" s="866"/>
      <c r="II32" s="866"/>
      <c r="IJ32" s="866"/>
      <c r="IK32" s="866"/>
      <c r="IL32" s="866"/>
      <c r="IM32" s="866"/>
      <c r="IN32" s="866"/>
      <c r="IO32" s="866"/>
      <c r="IP32" s="866"/>
      <c r="IQ32" s="866"/>
      <c r="IR32" s="866"/>
      <c r="IS32" s="866"/>
      <c r="IT32" s="866"/>
      <c r="IU32" s="866"/>
      <c r="IV32" s="866"/>
    </row>
    <row r="33" spans="1:256" ht="15.75" customHeight="1">
      <c r="A33" s="866" t="s">
        <v>392</v>
      </c>
      <c r="B33" s="866"/>
      <c r="C33" s="866"/>
      <c r="D33" s="843">
        <v>0.63700000000000001</v>
      </c>
      <c r="E33" s="838"/>
      <c r="F33" s="1347">
        <v>0.88300000000000001</v>
      </c>
      <c r="G33" s="838">
        <v>1.4990000000000001</v>
      </c>
      <c r="H33" s="1347">
        <v>0.86599999999999999</v>
      </c>
      <c r="I33" s="838"/>
      <c r="J33" s="1347">
        <v>0</v>
      </c>
      <c r="K33" s="1348"/>
      <c r="L33" s="839">
        <f t="shared" si="0"/>
        <v>0.65400000000000003</v>
      </c>
      <c r="M33" s="873"/>
      <c r="N33" s="866"/>
      <c r="O33" s="866"/>
      <c r="P33" s="866"/>
      <c r="Q33" s="866"/>
      <c r="R33" s="866"/>
      <c r="S33" s="866"/>
      <c r="T33" s="866"/>
      <c r="U33" s="866"/>
      <c r="V33" s="866"/>
      <c r="W33" s="866"/>
      <c r="X33" s="866"/>
      <c r="Y33" s="866"/>
      <c r="Z33" s="866"/>
      <c r="AA33" s="866"/>
      <c r="AB33" s="866"/>
      <c r="AC33" s="866"/>
      <c r="AD33" s="866"/>
      <c r="AE33" s="866"/>
      <c r="AF33" s="866"/>
      <c r="AG33" s="866"/>
      <c r="AH33" s="866"/>
      <c r="AI33" s="866"/>
      <c r="AJ33" s="866"/>
      <c r="AK33" s="866"/>
      <c r="AL33" s="866"/>
      <c r="AM33" s="866"/>
      <c r="AN33" s="866"/>
      <c r="AO33" s="866"/>
      <c r="AP33" s="866"/>
      <c r="AQ33" s="866"/>
      <c r="AR33" s="866"/>
      <c r="AS33" s="866"/>
      <c r="AT33" s="866"/>
      <c r="AU33" s="866"/>
      <c r="AV33" s="866"/>
      <c r="AW33" s="866"/>
      <c r="AX33" s="866"/>
      <c r="AY33" s="866"/>
      <c r="AZ33" s="866"/>
      <c r="BA33" s="866"/>
      <c r="BB33" s="866"/>
      <c r="BC33" s="866"/>
      <c r="BD33" s="866"/>
      <c r="BE33" s="866"/>
      <c r="BF33" s="866"/>
      <c r="BG33" s="866"/>
      <c r="BH33" s="866"/>
      <c r="BI33" s="866"/>
      <c r="BJ33" s="866"/>
      <c r="BK33" s="866"/>
      <c r="BL33" s="866"/>
      <c r="BM33" s="866"/>
      <c r="BN33" s="866"/>
      <c r="BO33" s="866"/>
      <c r="BP33" s="866"/>
      <c r="BQ33" s="866"/>
      <c r="BR33" s="866"/>
      <c r="BS33" s="866"/>
      <c r="BT33" s="866"/>
      <c r="BU33" s="866"/>
      <c r="BV33" s="866"/>
      <c r="BW33" s="866"/>
      <c r="BX33" s="866"/>
      <c r="BY33" s="866"/>
      <c r="BZ33" s="866"/>
      <c r="CA33" s="866"/>
      <c r="CB33" s="866"/>
      <c r="CC33" s="866"/>
      <c r="CD33" s="866"/>
      <c r="CE33" s="866"/>
      <c r="CF33" s="866"/>
      <c r="CG33" s="866"/>
      <c r="CH33" s="866"/>
      <c r="CI33" s="866"/>
      <c r="CJ33" s="866"/>
      <c r="CK33" s="866"/>
      <c r="CL33" s="866"/>
      <c r="CM33" s="866"/>
      <c r="CN33" s="866"/>
      <c r="CO33" s="866"/>
      <c r="CP33" s="866"/>
      <c r="CQ33" s="866"/>
      <c r="CR33" s="866"/>
      <c r="CS33" s="866"/>
      <c r="CT33" s="866"/>
      <c r="CU33" s="866"/>
      <c r="CV33" s="866"/>
      <c r="CW33" s="866"/>
      <c r="CX33" s="866"/>
      <c r="CY33" s="866"/>
      <c r="CZ33" s="866"/>
      <c r="DA33" s="866"/>
      <c r="DB33" s="866"/>
      <c r="DC33" s="866"/>
      <c r="DD33" s="866"/>
      <c r="DE33" s="866"/>
      <c r="DF33" s="866"/>
      <c r="DG33" s="866"/>
      <c r="DH33" s="866"/>
      <c r="DI33" s="866"/>
      <c r="DJ33" s="866"/>
      <c r="DK33" s="866"/>
      <c r="DL33" s="866"/>
      <c r="DM33" s="866"/>
      <c r="DN33" s="866"/>
      <c r="DO33" s="866"/>
      <c r="DP33" s="866"/>
      <c r="DQ33" s="866"/>
      <c r="DR33" s="866"/>
      <c r="DS33" s="866"/>
      <c r="DT33" s="866"/>
      <c r="DU33" s="866"/>
      <c r="DV33" s="866"/>
      <c r="DW33" s="866"/>
      <c r="DX33" s="866"/>
      <c r="DY33" s="866"/>
      <c r="DZ33" s="866"/>
      <c r="EA33" s="866"/>
      <c r="EB33" s="866"/>
      <c r="EC33" s="866"/>
      <c r="ED33" s="866"/>
      <c r="EE33" s="866"/>
      <c r="EF33" s="866"/>
      <c r="EG33" s="866"/>
      <c r="EH33" s="866"/>
      <c r="EI33" s="866"/>
      <c r="EJ33" s="866"/>
      <c r="EK33" s="866"/>
      <c r="EL33" s="866"/>
      <c r="EM33" s="866"/>
      <c r="EN33" s="866"/>
      <c r="EO33" s="866"/>
      <c r="EP33" s="866"/>
      <c r="EQ33" s="866"/>
      <c r="ER33" s="866"/>
      <c r="ES33" s="866"/>
      <c r="ET33" s="866"/>
      <c r="EU33" s="866"/>
      <c r="EV33" s="866"/>
      <c r="EW33" s="866"/>
      <c r="EX33" s="866"/>
      <c r="EY33" s="866"/>
      <c r="EZ33" s="866"/>
      <c r="FA33" s="866"/>
      <c r="FB33" s="866"/>
      <c r="FC33" s="866"/>
      <c r="FD33" s="866"/>
      <c r="FE33" s="866"/>
      <c r="FF33" s="866"/>
      <c r="FG33" s="866"/>
      <c r="FH33" s="866"/>
      <c r="FI33" s="866"/>
      <c r="FJ33" s="866"/>
      <c r="FK33" s="866"/>
      <c r="FL33" s="866"/>
      <c r="FM33" s="866"/>
      <c r="FN33" s="866"/>
      <c r="FO33" s="866"/>
      <c r="FP33" s="866"/>
      <c r="FQ33" s="866"/>
      <c r="FR33" s="866"/>
      <c r="FS33" s="866"/>
      <c r="FT33" s="866"/>
      <c r="FU33" s="866"/>
      <c r="FV33" s="866"/>
      <c r="FW33" s="866"/>
      <c r="FX33" s="866"/>
      <c r="FY33" s="866"/>
      <c r="FZ33" s="866"/>
      <c r="GA33" s="866"/>
      <c r="GB33" s="866"/>
      <c r="GC33" s="866"/>
      <c r="GD33" s="866"/>
      <c r="GE33" s="866"/>
      <c r="GF33" s="866"/>
      <c r="GG33" s="866"/>
      <c r="GH33" s="866"/>
      <c r="GI33" s="866"/>
      <c r="GJ33" s="866"/>
      <c r="GK33" s="866"/>
      <c r="GL33" s="866"/>
      <c r="GM33" s="866"/>
      <c r="GN33" s="866"/>
      <c r="GO33" s="866"/>
      <c r="GP33" s="866"/>
      <c r="GQ33" s="866"/>
      <c r="GR33" s="866"/>
      <c r="GS33" s="866"/>
      <c r="GT33" s="866"/>
      <c r="GU33" s="866"/>
      <c r="GV33" s="866"/>
      <c r="GW33" s="866"/>
      <c r="GX33" s="866"/>
      <c r="GY33" s="866"/>
      <c r="GZ33" s="866"/>
      <c r="HA33" s="866"/>
      <c r="HB33" s="866"/>
      <c r="HC33" s="866"/>
      <c r="HD33" s="866"/>
      <c r="HE33" s="866"/>
      <c r="HF33" s="866"/>
      <c r="HG33" s="866"/>
      <c r="HH33" s="866"/>
      <c r="HI33" s="866"/>
      <c r="HJ33" s="866"/>
      <c r="HK33" s="866"/>
      <c r="HL33" s="866"/>
      <c r="HM33" s="866"/>
      <c r="HN33" s="866"/>
      <c r="HO33" s="866"/>
      <c r="HP33" s="866"/>
      <c r="HQ33" s="866"/>
      <c r="HR33" s="866"/>
      <c r="HS33" s="866"/>
      <c r="HT33" s="866"/>
      <c r="HU33" s="866"/>
      <c r="HV33" s="866"/>
      <c r="HW33" s="866"/>
      <c r="HX33" s="866"/>
      <c r="HY33" s="866"/>
      <c r="HZ33" s="866"/>
      <c r="IA33" s="866"/>
      <c r="IB33" s="866"/>
      <c r="IC33" s="866"/>
      <c r="ID33" s="866"/>
      <c r="IE33" s="866"/>
      <c r="IF33" s="866"/>
      <c r="IG33" s="866"/>
      <c r="IH33" s="866"/>
      <c r="II33" s="866"/>
      <c r="IJ33" s="866"/>
      <c r="IK33" s="866"/>
      <c r="IL33" s="866"/>
      <c r="IM33" s="866"/>
      <c r="IN33" s="866"/>
      <c r="IO33" s="866"/>
      <c r="IP33" s="866"/>
      <c r="IQ33" s="866"/>
      <c r="IR33" s="866"/>
      <c r="IS33" s="866"/>
      <c r="IT33" s="866"/>
      <c r="IU33" s="866"/>
      <c r="IV33" s="866"/>
    </row>
    <row r="34" spans="1:256" ht="15.75" customHeight="1">
      <c r="A34" s="866" t="s">
        <v>393</v>
      </c>
      <c r="B34" s="866"/>
      <c r="C34" s="866"/>
      <c r="D34" s="843">
        <v>501.96600000000001</v>
      </c>
      <c r="E34" s="838"/>
      <c r="F34" s="1347">
        <v>49.566000000000003</v>
      </c>
      <c r="G34" s="838"/>
      <c r="H34" s="1347">
        <v>76.078000000000003</v>
      </c>
      <c r="I34" s="838"/>
      <c r="J34" s="1347">
        <v>0</v>
      </c>
      <c r="K34" s="1348"/>
      <c r="L34" s="839">
        <f t="shared" si="0"/>
        <v>475.45400000000001</v>
      </c>
      <c r="M34" s="878"/>
      <c r="N34" s="866"/>
      <c r="O34" s="866"/>
      <c r="P34" s="866"/>
      <c r="Q34" s="866"/>
      <c r="R34" s="866"/>
      <c r="S34" s="866"/>
      <c r="T34" s="866"/>
      <c r="U34" s="866"/>
      <c r="V34" s="866"/>
      <c r="W34" s="866"/>
      <c r="X34" s="866"/>
      <c r="Y34" s="866"/>
      <c r="Z34" s="866"/>
      <c r="AA34" s="866"/>
      <c r="AB34" s="866"/>
      <c r="AC34" s="866"/>
      <c r="AD34" s="866"/>
      <c r="AE34" s="866"/>
      <c r="AF34" s="866"/>
      <c r="AG34" s="866"/>
      <c r="AH34" s="866"/>
      <c r="AI34" s="866"/>
      <c r="AJ34" s="866"/>
      <c r="AK34" s="866"/>
      <c r="AL34" s="866"/>
      <c r="AM34" s="866"/>
      <c r="AN34" s="866"/>
      <c r="AO34" s="866"/>
      <c r="AP34" s="866"/>
      <c r="AQ34" s="866"/>
      <c r="AR34" s="866"/>
      <c r="AS34" s="866"/>
      <c r="AT34" s="866"/>
      <c r="AU34" s="866"/>
      <c r="AV34" s="866"/>
      <c r="AW34" s="866"/>
      <c r="AX34" s="866"/>
      <c r="AY34" s="866"/>
      <c r="AZ34" s="866"/>
      <c r="BA34" s="866"/>
      <c r="BB34" s="866"/>
      <c r="BC34" s="866"/>
      <c r="BD34" s="866"/>
      <c r="BE34" s="866"/>
      <c r="BF34" s="866"/>
      <c r="BG34" s="866"/>
      <c r="BH34" s="866"/>
      <c r="BI34" s="866"/>
      <c r="BJ34" s="866"/>
      <c r="BK34" s="866"/>
      <c r="BL34" s="866"/>
      <c r="BM34" s="866"/>
      <c r="BN34" s="866"/>
      <c r="BO34" s="866"/>
      <c r="BP34" s="866"/>
      <c r="BQ34" s="866"/>
      <c r="BR34" s="866"/>
      <c r="BS34" s="866"/>
      <c r="BT34" s="866"/>
      <c r="BU34" s="866"/>
      <c r="BV34" s="866"/>
      <c r="BW34" s="866"/>
      <c r="BX34" s="866"/>
      <c r="BY34" s="866"/>
      <c r="BZ34" s="866"/>
      <c r="CA34" s="866"/>
      <c r="CB34" s="866"/>
      <c r="CC34" s="866"/>
      <c r="CD34" s="866"/>
      <c r="CE34" s="866"/>
      <c r="CF34" s="866"/>
      <c r="CG34" s="866"/>
      <c r="CH34" s="866"/>
      <c r="CI34" s="866"/>
      <c r="CJ34" s="866"/>
      <c r="CK34" s="866"/>
      <c r="CL34" s="866"/>
      <c r="CM34" s="866"/>
      <c r="CN34" s="866"/>
      <c r="CO34" s="866"/>
      <c r="CP34" s="866"/>
      <c r="CQ34" s="866"/>
      <c r="CR34" s="866"/>
      <c r="CS34" s="866"/>
      <c r="CT34" s="866"/>
      <c r="CU34" s="866"/>
      <c r="CV34" s="866"/>
      <c r="CW34" s="866"/>
      <c r="CX34" s="866"/>
      <c r="CY34" s="866"/>
      <c r="CZ34" s="866"/>
      <c r="DA34" s="866"/>
      <c r="DB34" s="866"/>
      <c r="DC34" s="866"/>
      <c r="DD34" s="866"/>
      <c r="DE34" s="866"/>
      <c r="DF34" s="866"/>
      <c r="DG34" s="866"/>
      <c r="DH34" s="866"/>
      <c r="DI34" s="866"/>
      <c r="DJ34" s="866"/>
      <c r="DK34" s="866"/>
      <c r="DL34" s="866"/>
      <c r="DM34" s="866"/>
      <c r="DN34" s="866"/>
      <c r="DO34" s="866"/>
      <c r="DP34" s="866"/>
      <c r="DQ34" s="866"/>
      <c r="DR34" s="866"/>
      <c r="DS34" s="866"/>
      <c r="DT34" s="866"/>
      <c r="DU34" s="866"/>
      <c r="DV34" s="866"/>
      <c r="DW34" s="866"/>
      <c r="DX34" s="866"/>
      <c r="DY34" s="866"/>
      <c r="DZ34" s="866"/>
      <c r="EA34" s="866"/>
      <c r="EB34" s="866"/>
      <c r="EC34" s="866"/>
      <c r="ED34" s="866"/>
      <c r="EE34" s="866"/>
      <c r="EF34" s="866"/>
      <c r="EG34" s="866"/>
      <c r="EH34" s="866"/>
      <c r="EI34" s="866"/>
      <c r="EJ34" s="866"/>
      <c r="EK34" s="866"/>
      <c r="EL34" s="866"/>
      <c r="EM34" s="866"/>
      <c r="EN34" s="866"/>
      <c r="EO34" s="866"/>
      <c r="EP34" s="866"/>
      <c r="EQ34" s="866"/>
      <c r="ER34" s="866"/>
      <c r="ES34" s="866"/>
      <c r="ET34" s="866"/>
      <c r="EU34" s="866"/>
      <c r="EV34" s="866"/>
      <c r="EW34" s="866"/>
      <c r="EX34" s="866"/>
      <c r="EY34" s="866"/>
      <c r="EZ34" s="866"/>
      <c r="FA34" s="866"/>
      <c r="FB34" s="866"/>
      <c r="FC34" s="866"/>
      <c r="FD34" s="866"/>
      <c r="FE34" s="866"/>
      <c r="FF34" s="866"/>
      <c r="FG34" s="866"/>
      <c r="FH34" s="866"/>
      <c r="FI34" s="866"/>
      <c r="FJ34" s="866"/>
      <c r="FK34" s="866"/>
      <c r="FL34" s="866"/>
      <c r="FM34" s="866"/>
      <c r="FN34" s="866"/>
      <c r="FO34" s="866"/>
      <c r="FP34" s="866"/>
      <c r="FQ34" s="866"/>
      <c r="FR34" s="866"/>
      <c r="FS34" s="866"/>
      <c r="FT34" s="866"/>
      <c r="FU34" s="866"/>
      <c r="FV34" s="866"/>
      <c r="FW34" s="866"/>
      <c r="FX34" s="866"/>
      <c r="FY34" s="866"/>
      <c r="FZ34" s="866"/>
      <c r="GA34" s="866"/>
      <c r="GB34" s="866"/>
      <c r="GC34" s="866"/>
      <c r="GD34" s="866"/>
      <c r="GE34" s="866"/>
      <c r="GF34" s="866"/>
      <c r="GG34" s="866"/>
      <c r="GH34" s="866"/>
      <c r="GI34" s="866"/>
      <c r="GJ34" s="866"/>
      <c r="GK34" s="866"/>
      <c r="GL34" s="866"/>
      <c r="GM34" s="866"/>
      <c r="GN34" s="866"/>
      <c r="GO34" s="866"/>
      <c r="GP34" s="866"/>
      <c r="GQ34" s="866"/>
      <c r="GR34" s="866"/>
      <c r="GS34" s="866"/>
      <c r="GT34" s="866"/>
      <c r="GU34" s="866"/>
      <c r="GV34" s="866"/>
      <c r="GW34" s="866"/>
      <c r="GX34" s="866"/>
      <c r="GY34" s="866"/>
      <c r="GZ34" s="866"/>
      <c r="HA34" s="866"/>
      <c r="HB34" s="866"/>
      <c r="HC34" s="866"/>
      <c r="HD34" s="866"/>
      <c r="HE34" s="866"/>
      <c r="HF34" s="866"/>
      <c r="HG34" s="866"/>
      <c r="HH34" s="866"/>
      <c r="HI34" s="866"/>
      <c r="HJ34" s="866"/>
      <c r="HK34" s="866"/>
      <c r="HL34" s="866"/>
      <c r="HM34" s="866"/>
      <c r="HN34" s="866"/>
      <c r="HO34" s="866"/>
      <c r="HP34" s="866"/>
      <c r="HQ34" s="866"/>
      <c r="HR34" s="866"/>
      <c r="HS34" s="866"/>
      <c r="HT34" s="866"/>
      <c r="HU34" s="866"/>
      <c r="HV34" s="866"/>
      <c r="HW34" s="866"/>
      <c r="HX34" s="866"/>
      <c r="HY34" s="866"/>
      <c r="HZ34" s="866"/>
      <c r="IA34" s="866"/>
      <c r="IB34" s="866"/>
      <c r="IC34" s="866"/>
      <c r="ID34" s="866"/>
      <c r="IE34" s="866"/>
      <c r="IF34" s="866"/>
      <c r="IG34" s="866"/>
      <c r="IH34" s="866"/>
      <c r="II34" s="866"/>
      <c r="IJ34" s="866"/>
      <c r="IK34" s="866"/>
      <c r="IL34" s="866"/>
      <c r="IM34" s="866"/>
      <c r="IN34" s="866"/>
      <c r="IO34" s="866"/>
      <c r="IP34" s="866"/>
      <c r="IQ34" s="866"/>
      <c r="IR34" s="866"/>
      <c r="IS34" s="866"/>
      <c r="IT34" s="866"/>
      <c r="IU34" s="866"/>
      <c r="IV34" s="866"/>
    </row>
    <row r="35" spans="1:256" ht="16.5" customHeight="1">
      <c r="A35" s="866" t="s">
        <v>394</v>
      </c>
      <c r="B35" s="866"/>
      <c r="C35" s="866"/>
      <c r="D35" s="843">
        <v>0.121</v>
      </c>
      <c r="E35" s="838"/>
      <c r="F35" s="1347">
        <v>1.6E-2</v>
      </c>
      <c r="G35" s="838"/>
      <c r="H35" s="1347">
        <v>0</v>
      </c>
      <c r="I35" s="838"/>
      <c r="J35" s="1347">
        <v>0</v>
      </c>
      <c r="K35" s="1348"/>
      <c r="L35" s="839">
        <f t="shared" si="0"/>
        <v>0.13700000000000001</v>
      </c>
      <c r="M35" s="873"/>
      <c r="N35" s="866"/>
      <c r="O35" s="866"/>
      <c r="P35" s="866"/>
      <c r="Q35" s="866"/>
      <c r="R35" s="866"/>
      <c r="S35" s="866"/>
      <c r="T35" s="866"/>
      <c r="U35" s="866"/>
      <c r="V35" s="866"/>
      <c r="W35" s="866"/>
      <c r="X35" s="866"/>
      <c r="Y35" s="866"/>
      <c r="Z35" s="866"/>
      <c r="AA35" s="866"/>
      <c r="AB35" s="866"/>
      <c r="AC35" s="866"/>
      <c r="AD35" s="866"/>
      <c r="AE35" s="866"/>
      <c r="AF35" s="866"/>
      <c r="AG35" s="866"/>
      <c r="AH35" s="866"/>
      <c r="AI35" s="866"/>
      <c r="AJ35" s="866"/>
      <c r="AK35" s="866"/>
      <c r="AL35" s="866"/>
      <c r="AM35" s="866"/>
      <c r="AN35" s="866"/>
      <c r="AO35" s="866"/>
      <c r="AP35" s="866"/>
      <c r="AQ35" s="866"/>
      <c r="AR35" s="866"/>
      <c r="AS35" s="866"/>
      <c r="AT35" s="866"/>
      <c r="AU35" s="866"/>
      <c r="AV35" s="866"/>
      <c r="AW35" s="866"/>
      <c r="AX35" s="866"/>
      <c r="AY35" s="866"/>
      <c r="AZ35" s="866"/>
      <c r="BA35" s="866"/>
      <c r="BB35" s="866"/>
      <c r="BC35" s="866"/>
      <c r="BD35" s="866"/>
      <c r="BE35" s="866"/>
      <c r="BF35" s="866"/>
      <c r="BG35" s="866"/>
      <c r="BH35" s="866"/>
      <c r="BI35" s="866"/>
      <c r="BJ35" s="866"/>
      <c r="BK35" s="866"/>
      <c r="BL35" s="866"/>
      <c r="BM35" s="866"/>
      <c r="BN35" s="866"/>
      <c r="BO35" s="866"/>
      <c r="BP35" s="866"/>
      <c r="BQ35" s="866"/>
      <c r="BR35" s="866"/>
      <c r="BS35" s="866"/>
      <c r="BT35" s="866"/>
      <c r="BU35" s="866"/>
      <c r="BV35" s="866"/>
      <c r="BW35" s="866"/>
      <c r="BX35" s="866"/>
      <c r="BY35" s="866"/>
      <c r="BZ35" s="866"/>
      <c r="CA35" s="866"/>
      <c r="CB35" s="866"/>
      <c r="CC35" s="866"/>
      <c r="CD35" s="866"/>
      <c r="CE35" s="866"/>
      <c r="CF35" s="866"/>
      <c r="CG35" s="866"/>
      <c r="CH35" s="866"/>
      <c r="CI35" s="866"/>
      <c r="CJ35" s="866"/>
      <c r="CK35" s="866"/>
      <c r="CL35" s="866"/>
      <c r="CM35" s="866"/>
      <c r="CN35" s="866"/>
      <c r="CO35" s="866"/>
      <c r="CP35" s="866"/>
      <c r="CQ35" s="866"/>
      <c r="CR35" s="866"/>
      <c r="CS35" s="866"/>
      <c r="CT35" s="866"/>
      <c r="CU35" s="866"/>
      <c r="CV35" s="866"/>
      <c r="CW35" s="866"/>
      <c r="CX35" s="866"/>
      <c r="CY35" s="866"/>
      <c r="CZ35" s="866"/>
      <c r="DA35" s="866"/>
      <c r="DB35" s="866"/>
      <c r="DC35" s="866"/>
      <c r="DD35" s="866"/>
      <c r="DE35" s="866"/>
      <c r="DF35" s="866"/>
      <c r="DG35" s="866"/>
      <c r="DH35" s="866"/>
      <c r="DI35" s="866"/>
      <c r="DJ35" s="866"/>
      <c r="DK35" s="866"/>
      <c r="DL35" s="866"/>
      <c r="DM35" s="866"/>
      <c r="DN35" s="866"/>
      <c r="DO35" s="866"/>
      <c r="DP35" s="866"/>
      <c r="DQ35" s="866"/>
      <c r="DR35" s="866"/>
      <c r="DS35" s="866"/>
      <c r="DT35" s="866"/>
      <c r="DU35" s="866"/>
      <c r="DV35" s="866"/>
      <c r="DW35" s="866"/>
      <c r="DX35" s="866"/>
      <c r="DY35" s="866"/>
      <c r="DZ35" s="866"/>
      <c r="EA35" s="866"/>
      <c r="EB35" s="866"/>
      <c r="EC35" s="866"/>
      <c r="ED35" s="866"/>
      <c r="EE35" s="866"/>
      <c r="EF35" s="866"/>
      <c r="EG35" s="866"/>
      <c r="EH35" s="866"/>
      <c r="EI35" s="866"/>
      <c r="EJ35" s="866"/>
      <c r="EK35" s="866"/>
      <c r="EL35" s="866"/>
      <c r="EM35" s="866"/>
      <c r="EN35" s="866"/>
      <c r="EO35" s="866"/>
      <c r="EP35" s="866"/>
      <c r="EQ35" s="866"/>
      <c r="ER35" s="866"/>
      <c r="ES35" s="866"/>
      <c r="ET35" s="866"/>
      <c r="EU35" s="866"/>
      <c r="EV35" s="866"/>
      <c r="EW35" s="866"/>
      <c r="EX35" s="866"/>
      <c r="EY35" s="866"/>
      <c r="EZ35" s="866"/>
      <c r="FA35" s="866"/>
      <c r="FB35" s="866"/>
      <c r="FC35" s="866"/>
      <c r="FD35" s="866"/>
      <c r="FE35" s="866"/>
      <c r="FF35" s="866"/>
      <c r="FG35" s="866"/>
      <c r="FH35" s="866"/>
      <c r="FI35" s="866"/>
      <c r="FJ35" s="866"/>
      <c r="FK35" s="866"/>
      <c r="FL35" s="866"/>
      <c r="FM35" s="866"/>
      <c r="FN35" s="866"/>
      <c r="FO35" s="866"/>
      <c r="FP35" s="866"/>
      <c r="FQ35" s="866"/>
      <c r="FR35" s="866"/>
      <c r="FS35" s="866"/>
      <c r="FT35" s="866"/>
      <c r="FU35" s="866"/>
      <c r="FV35" s="866"/>
      <c r="FW35" s="866"/>
      <c r="FX35" s="866"/>
      <c r="FY35" s="866"/>
      <c r="FZ35" s="866"/>
      <c r="GA35" s="866"/>
      <c r="GB35" s="866"/>
      <c r="GC35" s="866"/>
      <c r="GD35" s="866"/>
      <c r="GE35" s="866"/>
      <c r="GF35" s="866"/>
      <c r="GG35" s="866"/>
      <c r="GH35" s="866"/>
      <c r="GI35" s="866"/>
      <c r="GJ35" s="866"/>
      <c r="GK35" s="866"/>
      <c r="GL35" s="866"/>
      <c r="GM35" s="866"/>
      <c r="GN35" s="866"/>
      <c r="GO35" s="866"/>
      <c r="GP35" s="866"/>
      <c r="GQ35" s="866"/>
      <c r="GR35" s="866"/>
      <c r="GS35" s="866"/>
      <c r="GT35" s="866"/>
      <c r="GU35" s="866"/>
      <c r="GV35" s="866"/>
      <c r="GW35" s="866"/>
      <c r="GX35" s="866"/>
      <c r="GY35" s="866"/>
      <c r="GZ35" s="866"/>
      <c r="HA35" s="866"/>
      <c r="HB35" s="866"/>
      <c r="HC35" s="866"/>
      <c r="HD35" s="866"/>
      <c r="HE35" s="866"/>
      <c r="HF35" s="866"/>
      <c r="HG35" s="866"/>
      <c r="HH35" s="866"/>
      <c r="HI35" s="866"/>
      <c r="HJ35" s="866"/>
      <c r="HK35" s="866"/>
      <c r="HL35" s="866"/>
      <c r="HM35" s="866"/>
      <c r="HN35" s="866"/>
      <c r="HO35" s="866"/>
      <c r="HP35" s="866"/>
      <c r="HQ35" s="866"/>
      <c r="HR35" s="866"/>
      <c r="HS35" s="866"/>
      <c r="HT35" s="866"/>
      <c r="HU35" s="866"/>
      <c r="HV35" s="866"/>
      <c r="HW35" s="866"/>
      <c r="HX35" s="866"/>
      <c r="HY35" s="866"/>
      <c r="HZ35" s="866"/>
      <c r="IA35" s="866"/>
      <c r="IB35" s="866"/>
      <c r="IC35" s="866"/>
      <c r="ID35" s="866"/>
      <c r="IE35" s="866"/>
      <c r="IF35" s="866"/>
      <c r="IG35" s="866"/>
      <c r="IH35" s="866"/>
      <c r="II35" s="866"/>
      <c r="IJ35" s="866"/>
      <c r="IK35" s="866"/>
      <c r="IL35" s="866"/>
      <c r="IM35" s="866"/>
      <c r="IN35" s="866"/>
      <c r="IO35" s="866"/>
      <c r="IP35" s="866"/>
      <c r="IQ35" s="866"/>
      <c r="IR35" s="866"/>
      <c r="IS35" s="866"/>
      <c r="IT35" s="866"/>
      <c r="IU35" s="866"/>
      <c r="IV35" s="866"/>
    </row>
    <row r="36" spans="1:256" ht="16.5" customHeight="1">
      <c r="A36" s="866" t="s">
        <v>395</v>
      </c>
      <c r="B36" s="866"/>
      <c r="C36" s="866"/>
      <c r="D36" s="843">
        <v>1430.4780000000001</v>
      </c>
      <c r="E36" s="838"/>
      <c r="F36" s="1347">
        <v>20.494</v>
      </c>
      <c r="G36" s="838"/>
      <c r="H36" s="1347">
        <v>46.704000000000001</v>
      </c>
      <c r="I36" s="838"/>
      <c r="J36" s="1347">
        <v>0</v>
      </c>
      <c r="K36" s="1348"/>
      <c r="L36" s="839">
        <f t="shared" si="0"/>
        <v>1404.268</v>
      </c>
      <c r="M36" s="873"/>
      <c r="N36" s="3327"/>
      <c r="O36" s="866"/>
      <c r="P36" s="866"/>
      <c r="Q36" s="866"/>
      <c r="R36" s="866"/>
      <c r="S36" s="866"/>
      <c r="T36" s="866"/>
      <c r="U36" s="866"/>
      <c r="V36" s="866"/>
      <c r="W36" s="866"/>
      <c r="X36" s="866"/>
      <c r="Y36" s="866"/>
      <c r="Z36" s="866"/>
      <c r="AA36" s="866"/>
      <c r="AB36" s="866"/>
      <c r="AC36" s="866"/>
      <c r="AD36" s="866"/>
      <c r="AE36" s="866"/>
      <c r="AF36" s="866"/>
      <c r="AG36" s="866"/>
      <c r="AH36" s="866"/>
      <c r="AI36" s="866"/>
      <c r="AJ36" s="866"/>
      <c r="AK36" s="866"/>
      <c r="AL36" s="866"/>
      <c r="AM36" s="866"/>
      <c r="AN36" s="866"/>
      <c r="AO36" s="866"/>
      <c r="AP36" s="866"/>
      <c r="AQ36" s="866"/>
      <c r="AR36" s="866"/>
      <c r="AS36" s="866"/>
      <c r="AT36" s="866"/>
      <c r="AU36" s="866"/>
      <c r="AV36" s="866"/>
      <c r="AW36" s="866"/>
      <c r="AX36" s="866"/>
      <c r="AY36" s="866"/>
      <c r="AZ36" s="866"/>
      <c r="BA36" s="866"/>
      <c r="BB36" s="866"/>
      <c r="BC36" s="866"/>
      <c r="BD36" s="866"/>
      <c r="BE36" s="866"/>
      <c r="BF36" s="866"/>
      <c r="BG36" s="866"/>
      <c r="BH36" s="866"/>
      <c r="BI36" s="866"/>
      <c r="BJ36" s="866"/>
      <c r="BK36" s="866"/>
      <c r="BL36" s="866"/>
      <c r="BM36" s="866"/>
      <c r="BN36" s="866"/>
      <c r="BO36" s="866"/>
      <c r="BP36" s="866"/>
      <c r="BQ36" s="866"/>
      <c r="BR36" s="866"/>
      <c r="BS36" s="866"/>
      <c r="BT36" s="866"/>
      <c r="BU36" s="866"/>
      <c r="BV36" s="866"/>
      <c r="BW36" s="866"/>
      <c r="BX36" s="866"/>
      <c r="BY36" s="866"/>
      <c r="BZ36" s="866"/>
      <c r="CA36" s="866"/>
      <c r="CB36" s="866"/>
      <c r="CC36" s="866"/>
      <c r="CD36" s="866"/>
      <c r="CE36" s="866"/>
      <c r="CF36" s="866"/>
      <c r="CG36" s="866"/>
      <c r="CH36" s="866"/>
      <c r="CI36" s="866"/>
      <c r="CJ36" s="866"/>
      <c r="CK36" s="866"/>
      <c r="CL36" s="866"/>
      <c r="CM36" s="866"/>
      <c r="CN36" s="866"/>
      <c r="CO36" s="866"/>
      <c r="CP36" s="866"/>
      <c r="CQ36" s="866"/>
      <c r="CR36" s="866"/>
      <c r="CS36" s="866"/>
      <c r="CT36" s="866"/>
      <c r="CU36" s="866"/>
      <c r="CV36" s="866"/>
      <c r="CW36" s="866"/>
      <c r="CX36" s="866"/>
      <c r="CY36" s="866"/>
      <c r="CZ36" s="866"/>
      <c r="DA36" s="866"/>
      <c r="DB36" s="866"/>
      <c r="DC36" s="866"/>
      <c r="DD36" s="866"/>
      <c r="DE36" s="866"/>
      <c r="DF36" s="866"/>
      <c r="DG36" s="866"/>
      <c r="DH36" s="866"/>
      <c r="DI36" s="866"/>
      <c r="DJ36" s="866"/>
      <c r="DK36" s="866"/>
      <c r="DL36" s="866"/>
      <c r="DM36" s="866"/>
      <c r="DN36" s="866"/>
      <c r="DO36" s="866"/>
      <c r="DP36" s="866"/>
      <c r="DQ36" s="866"/>
      <c r="DR36" s="866"/>
      <c r="DS36" s="866"/>
      <c r="DT36" s="866"/>
      <c r="DU36" s="866"/>
      <c r="DV36" s="866"/>
      <c r="DW36" s="866"/>
      <c r="DX36" s="866"/>
      <c r="DY36" s="866"/>
      <c r="DZ36" s="866"/>
      <c r="EA36" s="866"/>
      <c r="EB36" s="866"/>
      <c r="EC36" s="866"/>
      <c r="ED36" s="866"/>
      <c r="EE36" s="866"/>
      <c r="EF36" s="866"/>
      <c r="EG36" s="866"/>
      <c r="EH36" s="866"/>
      <c r="EI36" s="866"/>
      <c r="EJ36" s="866"/>
      <c r="EK36" s="866"/>
      <c r="EL36" s="866"/>
      <c r="EM36" s="866"/>
      <c r="EN36" s="866"/>
      <c r="EO36" s="866"/>
      <c r="EP36" s="866"/>
      <c r="EQ36" s="866"/>
      <c r="ER36" s="866"/>
      <c r="ES36" s="866"/>
      <c r="ET36" s="866"/>
      <c r="EU36" s="866"/>
      <c r="EV36" s="866"/>
      <c r="EW36" s="866"/>
      <c r="EX36" s="866"/>
      <c r="EY36" s="866"/>
      <c r="EZ36" s="866"/>
      <c r="FA36" s="866"/>
      <c r="FB36" s="866"/>
      <c r="FC36" s="866"/>
      <c r="FD36" s="866"/>
      <c r="FE36" s="866"/>
      <c r="FF36" s="866"/>
      <c r="FG36" s="866"/>
      <c r="FH36" s="866"/>
      <c r="FI36" s="866"/>
      <c r="FJ36" s="866"/>
      <c r="FK36" s="866"/>
      <c r="FL36" s="866"/>
      <c r="FM36" s="866"/>
      <c r="FN36" s="866"/>
      <c r="FO36" s="866"/>
      <c r="FP36" s="866"/>
      <c r="FQ36" s="866"/>
      <c r="FR36" s="866"/>
      <c r="FS36" s="866"/>
      <c r="FT36" s="866"/>
      <c r="FU36" s="866"/>
      <c r="FV36" s="866"/>
      <c r="FW36" s="866"/>
      <c r="FX36" s="866"/>
      <c r="FY36" s="866"/>
      <c r="FZ36" s="866"/>
      <c r="GA36" s="866"/>
      <c r="GB36" s="866"/>
      <c r="GC36" s="866"/>
      <c r="GD36" s="866"/>
      <c r="GE36" s="866"/>
      <c r="GF36" s="866"/>
      <c r="GG36" s="866"/>
      <c r="GH36" s="866"/>
      <c r="GI36" s="866"/>
      <c r="GJ36" s="866"/>
      <c r="GK36" s="866"/>
      <c r="GL36" s="866"/>
      <c r="GM36" s="866"/>
      <c r="GN36" s="866"/>
      <c r="GO36" s="866"/>
      <c r="GP36" s="866"/>
      <c r="GQ36" s="866"/>
      <c r="GR36" s="866"/>
      <c r="GS36" s="866"/>
      <c r="GT36" s="866"/>
      <c r="GU36" s="866"/>
      <c r="GV36" s="866"/>
      <c r="GW36" s="866"/>
      <c r="GX36" s="866"/>
      <c r="GY36" s="866"/>
      <c r="GZ36" s="866"/>
      <c r="HA36" s="866"/>
      <c r="HB36" s="866"/>
      <c r="HC36" s="866"/>
      <c r="HD36" s="866"/>
      <c r="HE36" s="866"/>
      <c r="HF36" s="866"/>
      <c r="HG36" s="866"/>
      <c r="HH36" s="866"/>
      <c r="HI36" s="866"/>
      <c r="HJ36" s="866"/>
      <c r="HK36" s="866"/>
      <c r="HL36" s="866"/>
      <c r="HM36" s="866"/>
      <c r="HN36" s="866"/>
      <c r="HO36" s="866"/>
      <c r="HP36" s="866"/>
      <c r="HQ36" s="866"/>
      <c r="HR36" s="866"/>
      <c r="HS36" s="866"/>
      <c r="HT36" s="866"/>
      <c r="HU36" s="866"/>
      <c r="HV36" s="866"/>
      <c r="HW36" s="866"/>
      <c r="HX36" s="866"/>
      <c r="HY36" s="866"/>
      <c r="HZ36" s="866"/>
      <c r="IA36" s="866"/>
      <c r="IB36" s="866"/>
      <c r="IC36" s="866"/>
      <c r="ID36" s="866"/>
      <c r="IE36" s="866"/>
      <c r="IF36" s="866"/>
      <c r="IG36" s="866"/>
      <c r="IH36" s="866"/>
      <c r="II36" s="866"/>
      <c r="IJ36" s="866"/>
      <c r="IK36" s="866"/>
      <c r="IL36" s="866"/>
      <c r="IM36" s="866"/>
      <c r="IN36" s="866"/>
      <c r="IO36" s="866"/>
      <c r="IP36" s="866"/>
      <c r="IQ36" s="866"/>
      <c r="IR36" s="866"/>
      <c r="IS36" s="866"/>
      <c r="IT36" s="866"/>
      <c r="IU36" s="866"/>
      <c r="IV36" s="866"/>
    </row>
    <row r="37" spans="1:256" ht="16.5" customHeight="1">
      <c r="A37" s="866" t="s">
        <v>1155</v>
      </c>
      <c r="B37" s="866"/>
      <c r="C37" s="866"/>
      <c r="D37" s="843">
        <v>28.706</v>
      </c>
      <c r="E37" s="838"/>
      <c r="F37" s="1347">
        <v>11.54</v>
      </c>
      <c r="G37" s="838"/>
      <c r="H37" s="1347">
        <v>16.044</v>
      </c>
      <c r="I37" s="838"/>
      <c r="J37" s="1347">
        <v>0</v>
      </c>
      <c r="K37" s="1348"/>
      <c r="L37" s="839">
        <f t="shared" si="0"/>
        <v>24.202000000000002</v>
      </c>
      <c r="M37" s="873"/>
      <c r="N37" s="866"/>
      <c r="O37" s="866"/>
      <c r="P37" s="866"/>
      <c r="Q37" s="866"/>
      <c r="R37" s="866"/>
      <c r="S37" s="866"/>
      <c r="T37" s="866"/>
      <c r="U37" s="866"/>
      <c r="V37" s="866"/>
      <c r="W37" s="866"/>
      <c r="X37" s="866"/>
      <c r="Y37" s="866"/>
      <c r="Z37" s="866"/>
      <c r="AA37" s="866"/>
      <c r="AB37" s="866"/>
      <c r="AC37" s="866"/>
      <c r="AD37" s="866"/>
      <c r="AE37" s="866"/>
      <c r="AF37" s="866"/>
      <c r="AG37" s="866"/>
      <c r="AH37" s="866"/>
      <c r="AI37" s="866"/>
      <c r="AJ37" s="866"/>
      <c r="AK37" s="866"/>
      <c r="AL37" s="866"/>
      <c r="AM37" s="866"/>
      <c r="AN37" s="866"/>
      <c r="AO37" s="866"/>
      <c r="AP37" s="866"/>
      <c r="AQ37" s="866"/>
      <c r="AR37" s="866"/>
      <c r="AS37" s="866"/>
      <c r="AT37" s="866"/>
      <c r="AU37" s="866"/>
      <c r="AV37" s="866"/>
      <c r="AW37" s="866"/>
      <c r="AX37" s="866"/>
      <c r="AY37" s="866"/>
      <c r="AZ37" s="866"/>
      <c r="BA37" s="866"/>
      <c r="BB37" s="866"/>
      <c r="BC37" s="866"/>
      <c r="BD37" s="866"/>
      <c r="BE37" s="866"/>
      <c r="BF37" s="866"/>
      <c r="BG37" s="866"/>
      <c r="BH37" s="866"/>
      <c r="BI37" s="866"/>
      <c r="BJ37" s="866"/>
      <c r="BK37" s="866"/>
      <c r="BL37" s="866"/>
      <c r="BM37" s="866"/>
      <c r="BN37" s="866"/>
      <c r="BO37" s="866"/>
      <c r="BP37" s="866"/>
      <c r="BQ37" s="866"/>
      <c r="BR37" s="866"/>
      <c r="BS37" s="866"/>
      <c r="BT37" s="866"/>
      <c r="BU37" s="866"/>
      <c r="BV37" s="866"/>
      <c r="BW37" s="866"/>
      <c r="BX37" s="866"/>
      <c r="BY37" s="866"/>
      <c r="BZ37" s="866"/>
      <c r="CA37" s="866"/>
      <c r="CB37" s="866"/>
      <c r="CC37" s="866"/>
      <c r="CD37" s="866"/>
      <c r="CE37" s="866"/>
      <c r="CF37" s="866"/>
      <c r="CG37" s="866"/>
      <c r="CH37" s="866"/>
      <c r="CI37" s="866"/>
      <c r="CJ37" s="866"/>
      <c r="CK37" s="866"/>
      <c r="CL37" s="866"/>
      <c r="CM37" s="866"/>
      <c r="CN37" s="866"/>
      <c r="CO37" s="866"/>
      <c r="CP37" s="866"/>
      <c r="CQ37" s="866"/>
      <c r="CR37" s="866"/>
      <c r="CS37" s="866"/>
      <c r="CT37" s="866"/>
      <c r="CU37" s="866"/>
      <c r="CV37" s="866"/>
      <c r="CW37" s="866"/>
      <c r="CX37" s="866"/>
      <c r="CY37" s="866"/>
      <c r="CZ37" s="866"/>
      <c r="DA37" s="866"/>
      <c r="DB37" s="866"/>
      <c r="DC37" s="866"/>
      <c r="DD37" s="866"/>
      <c r="DE37" s="866"/>
      <c r="DF37" s="866"/>
      <c r="DG37" s="866"/>
      <c r="DH37" s="866"/>
      <c r="DI37" s="866"/>
      <c r="DJ37" s="866"/>
      <c r="DK37" s="866"/>
      <c r="DL37" s="866"/>
      <c r="DM37" s="866"/>
      <c r="DN37" s="866"/>
      <c r="DO37" s="866"/>
      <c r="DP37" s="866"/>
      <c r="DQ37" s="866"/>
      <c r="DR37" s="866"/>
      <c r="DS37" s="866"/>
      <c r="DT37" s="866"/>
      <c r="DU37" s="866"/>
      <c r="DV37" s="866"/>
      <c r="DW37" s="866"/>
      <c r="DX37" s="866"/>
      <c r="DY37" s="866"/>
      <c r="DZ37" s="866"/>
      <c r="EA37" s="866"/>
      <c r="EB37" s="866"/>
      <c r="EC37" s="866"/>
      <c r="ED37" s="866"/>
      <c r="EE37" s="866"/>
      <c r="EF37" s="866"/>
      <c r="EG37" s="866"/>
      <c r="EH37" s="866"/>
      <c r="EI37" s="866"/>
      <c r="EJ37" s="866"/>
      <c r="EK37" s="866"/>
      <c r="EL37" s="866"/>
      <c r="EM37" s="866"/>
      <c r="EN37" s="866"/>
      <c r="EO37" s="866"/>
      <c r="EP37" s="866"/>
      <c r="EQ37" s="866"/>
      <c r="ER37" s="866"/>
      <c r="ES37" s="866"/>
      <c r="ET37" s="866"/>
      <c r="EU37" s="866"/>
      <c r="EV37" s="866"/>
      <c r="EW37" s="866"/>
      <c r="EX37" s="866"/>
      <c r="EY37" s="866"/>
      <c r="EZ37" s="866"/>
      <c r="FA37" s="866"/>
      <c r="FB37" s="866"/>
      <c r="FC37" s="866"/>
      <c r="FD37" s="866"/>
      <c r="FE37" s="866"/>
      <c r="FF37" s="866"/>
      <c r="FG37" s="866"/>
      <c r="FH37" s="866"/>
      <c r="FI37" s="866"/>
      <c r="FJ37" s="866"/>
      <c r="FK37" s="866"/>
      <c r="FL37" s="866"/>
      <c r="FM37" s="866"/>
      <c r="FN37" s="866"/>
      <c r="FO37" s="866"/>
      <c r="FP37" s="866"/>
      <c r="FQ37" s="866"/>
      <c r="FR37" s="866"/>
      <c r="FS37" s="866"/>
      <c r="FT37" s="866"/>
      <c r="FU37" s="866"/>
      <c r="FV37" s="866"/>
      <c r="FW37" s="866"/>
      <c r="FX37" s="866"/>
      <c r="FY37" s="866"/>
      <c r="FZ37" s="866"/>
      <c r="GA37" s="866"/>
      <c r="GB37" s="866"/>
      <c r="GC37" s="866"/>
      <c r="GD37" s="866"/>
      <c r="GE37" s="866"/>
      <c r="GF37" s="866"/>
      <c r="GG37" s="866"/>
      <c r="GH37" s="866"/>
      <c r="GI37" s="866"/>
      <c r="GJ37" s="866"/>
      <c r="GK37" s="866"/>
      <c r="GL37" s="866"/>
      <c r="GM37" s="866"/>
      <c r="GN37" s="866"/>
      <c r="GO37" s="866"/>
      <c r="GP37" s="866"/>
      <c r="GQ37" s="866"/>
      <c r="GR37" s="866"/>
      <c r="GS37" s="866"/>
      <c r="GT37" s="866"/>
      <c r="GU37" s="866"/>
      <c r="GV37" s="866"/>
      <c r="GW37" s="866"/>
      <c r="GX37" s="866"/>
      <c r="GY37" s="866"/>
      <c r="GZ37" s="866"/>
      <c r="HA37" s="866"/>
      <c r="HB37" s="866"/>
      <c r="HC37" s="866"/>
      <c r="HD37" s="866"/>
      <c r="HE37" s="866"/>
      <c r="HF37" s="866"/>
      <c r="HG37" s="866"/>
      <c r="HH37" s="866"/>
      <c r="HI37" s="866"/>
      <c r="HJ37" s="866"/>
      <c r="HK37" s="866"/>
      <c r="HL37" s="866"/>
      <c r="HM37" s="866"/>
      <c r="HN37" s="866"/>
      <c r="HO37" s="866"/>
      <c r="HP37" s="866"/>
      <c r="HQ37" s="866"/>
      <c r="HR37" s="866"/>
      <c r="HS37" s="866"/>
      <c r="HT37" s="866"/>
      <c r="HU37" s="866"/>
      <c r="HV37" s="866"/>
      <c r="HW37" s="866"/>
      <c r="HX37" s="866"/>
      <c r="HY37" s="866"/>
      <c r="HZ37" s="866"/>
      <c r="IA37" s="866"/>
      <c r="IB37" s="866"/>
      <c r="IC37" s="866"/>
      <c r="ID37" s="866"/>
      <c r="IE37" s="866"/>
      <c r="IF37" s="866"/>
      <c r="IG37" s="866"/>
      <c r="IH37" s="866"/>
      <c r="II37" s="866"/>
      <c r="IJ37" s="866"/>
      <c r="IK37" s="866"/>
      <c r="IL37" s="866"/>
      <c r="IM37" s="866"/>
      <c r="IN37" s="866"/>
      <c r="IO37" s="866"/>
      <c r="IP37" s="866"/>
      <c r="IQ37" s="866"/>
      <c r="IR37" s="866"/>
      <c r="IS37" s="866"/>
      <c r="IT37" s="866"/>
      <c r="IU37" s="866"/>
      <c r="IV37" s="866"/>
    </row>
    <row r="38" spans="1:256" ht="16.5" customHeight="1">
      <c r="A38" s="866" t="s">
        <v>396</v>
      </c>
      <c r="B38" s="866"/>
      <c r="C38" s="866"/>
      <c r="D38" s="843">
        <v>532.89800000000002</v>
      </c>
      <c r="E38" s="838"/>
      <c r="F38" s="1347">
        <v>0.124</v>
      </c>
      <c r="G38" s="838"/>
      <c r="H38" s="1347">
        <v>483.34199999999998</v>
      </c>
      <c r="I38" s="838"/>
      <c r="J38" s="1347">
        <v>0</v>
      </c>
      <c r="K38" s="1348"/>
      <c r="L38" s="839">
        <f t="shared" si="0"/>
        <v>49.68</v>
      </c>
      <c r="M38" s="873"/>
      <c r="N38" s="866"/>
      <c r="O38" s="866"/>
      <c r="P38" s="866"/>
      <c r="Q38" s="866"/>
      <c r="R38" s="866"/>
      <c r="S38" s="866"/>
      <c r="T38" s="866"/>
      <c r="U38" s="866"/>
      <c r="V38" s="866"/>
      <c r="W38" s="866"/>
      <c r="X38" s="866"/>
      <c r="Y38" s="866"/>
      <c r="Z38" s="866"/>
      <c r="AA38" s="866"/>
      <c r="AB38" s="866"/>
      <c r="AC38" s="866"/>
      <c r="AD38" s="866"/>
      <c r="AE38" s="866"/>
      <c r="AF38" s="866"/>
      <c r="AG38" s="866"/>
      <c r="AH38" s="866"/>
      <c r="AI38" s="866"/>
      <c r="AJ38" s="866"/>
      <c r="AK38" s="866"/>
      <c r="AL38" s="866"/>
      <c r="AM38" s="866"/>
      <c r="AN38" s="866"/>
      <c r="AO38" s="866"/>
      <c r="AP38" s="866"/>
      <c r="AQ38" s="866"/>
      <c r="AR38" s="866"/>
      <c r="AS38" s="866"/>
      <c r="AT38" s="866"/>
      <c r="AU38" s="866"/>
      <c r="AV38" s="866"/>
      <c r="AW38" s="866"/>
      <c r="AX38" s="866"/>
      <c r="AY38" s="866"/>
      <c r="AZ38" s="866"/>
      <c r="BA38" s="866"/>
      <c r="BB38" s="866"/>
      <c r="BC38" s="866"/>
      <c r="BD38" s="866"/>
      <c r="BE38" s="866"/>
      <c r="BF38" s="866"/>
      <c r="BG38" s="866"/>
      <c r="BH38" s="866"/>
      <c r="BI38" s="866"/>
      <c r="BJ38" s="866"/>
      <c r="BK38" s="866"/>
      <c r="BL38" s="866"/>
      <c r="BM38" s="866"/>
      <c r="BN38" s="866"/>
      <c r="BO38" s="866"/>
      <c r="BP38" s="866"/>
      <c r="BQ38" s="866"/>
      <c r="BR38" s="866"/>
      <c r="BS38" s="866"/>
      <c r="BT38" s="866"/>
      <c r="BU38" s="866"/>
      <c r="BV38" s="866"/>
      <c r="BW38" s="866"/>
      <c r="BX38" s="866"/>
      <c r="BY38" s="866"/>
      <c r="BZ38" s="866"/>
      <c r="CA38" s="866"/>
      <c r="CB38" s="866"/>
      <c r="CC38" s="866"/>
      <c r="CD38" s="866"/>
      <c r="CE38" s="866"/>
      <c r="CF38" s="866"/>
      <c r="CG38" s="866"/>
      <c r="CH38" s="866"/>
      <c r="CI38" s="866"/>
      <c r="CJ38" s="866"/>
      <c r="CK38" s="866"/>
      <c r="CL38" s="866"/>
      <c r="CM38" s="866"/>
      <c r="CN38" s="866"/>
      <c r="CO38" s="866"/>
      <c r="CP38" s="866"/>
      <c r="CQ38" s="866"/>
      <c r="CR38" s="866"/>
      <c r="CS38" s="866"/>
      <c r="CT38" s="866"/>
      <c r="CU38" s="866"/>
      <c r="CV38" s="866"/>
      <c r="CW38" s="866"/>
      <c r="CX38" s="866"/>
      <c r="CY38" s="866"/>
      <c r="CZ38" s="866"/>
      <c r="DA38" s="866"/>
      <c r="DB38" s="866"/>
      <c r="DC38" s="866"/>
      <c r="DD38" s="866"/>
      <c r="DE38" s="866"/>
      <c r="DF38" s="866"/>
      <c r="DG38" s="866"/>
      <c r="DH38" s="866"/>
      <c r="DI38" s="866"/>
      <c r="DJ38" s="866"/>
      <c r="DK38" s="866"/>
      <c r="DL38" s="866"/>
      <c r="DM38" s="866"/>
      <c r="DN38" s="866"/>
      <c r="DO38" s="866"/>
      <c r="DP38" s="866"/>
      <c r="DQ38" s="866"/>
      <c r="DR38" s="866"/>
      <c r="DS38" s="866"/>
      <c r="DT38" s="866"/>
      <c r="DU38" s="866"/>
      <c r="DV38" s="866"/>
      <c r="DW38" s="866"/>
      <c r="DX38" s="866"/>
      <c r="DY38" s="866"/>
      <c r="DZ38" s="866"/>
      <c r="EA38" s="866"/>
      <c r="EB38" s="866"/>
      <c r="EC38" s="866"/>
      <c r="ED38" s="866"/>
      <c r="EE38" s="866"/>
      <c r="EF38" s="866"/>
      <c r="EG38" s="866"/>
      <c r="EH38" s="866"/>
      <c r="EI38" s="866"/>
      <c r="EJ38" s="866"/>
      <c r="EK38" s="866"/>
      <c r="EL38" s="866"/>
      <c r="EM38" s="866"/>
      <c r="EN38" s="866"/>
      <c r="EO38" s="866"/>
      <c r="EP38" s="866"/>
      <c r="EQ38" s="866"/>
      <c r="ER38" s="866"/>
      <c r="ES38" s="866"/>
      <c r="ET38" s="866"/>
      <c r="EU38" s="866"/>
      <c r="EV38" s="866"/>
      <c r="EW38" s="866"/>
      <c r="EX38" s="866"/>
      <c r="EY38" s="866"/>
      <c r="EZ38" s="866"/>
      <c r="FA38" s="866"/>
      <c r="FB38" s="866"/>
      <c r="FC38" s="866"/>
      <c r="FD38" s="866"/>
      <c r="FE38" s="866"/>
      <c r="FF38" s="866"/>
      <c r="FG38" s="866"/>
      <c r="FH38" s="866"/>
      <c r="FI38" s="866"/>
      <c r="FJ38" s="866"/>
      <c r="FK38" s="866"/>
      <c r="FL38" s="866"/>
      <c r="FM38" s="866"/>
      <c r="FN38" s="866"/>
      <c r="FO38" s="866"/>
      <c r="FP38" s="866"/>
      <c r="FQ38" s="866"/>
      <c r="FR38" s="866"/>
      <c r="FS38" s="866"/>
      <c r="FT38" s="866"/>
      <c r="FU38" s="866"/>
      <c r="FV38" s="866"/>
      <c r="FW38" s="866"/>
      <c r="FX38" s="866"/>
      <c r="FY38" s="866"/>
      <c r="FZ38" s="866"/>
      <c r="GA38" s="866"/>
      <c r="GB38" s="866"/>
      <c r="GC38" s="866"/>
      <c r="GD38" s="866"/>
      <c r="GE38" s="866"/>
      <c r="GF38" s="866"/>
      <c r="GG38" s="866"/>
      <c r="GH38" s="866"/>
      <c r="GI38" s="866"/>
      <c r="GJ38" s="866"/>
      <c r="GK38" s="866"/>
      <c r="GL38" s="866"/>
      <c r="GM38" s="866"/>
      <c r="GN38" s="866"/>
      <c r="GO38" s="866"/>
      <c r="GP38" s="866"/>
      <c r="GQ38" s="866"/>
      <c r="GR38" s="866"/>
      <c r="GS38" s="866"/>
      <c r="GT38" s="866"/>
      <c r="GU38" s="866"/>
      <c r="GV38" s="866"/>
      <c r="GW38" s="866"/>
      <c r="GX38" s="866"/>
      <c r="GY38" s="866"/>
      <c r="GZ38" s="866"/>
      <c r="HA38" s="866"/>
      <c r="HB38" s="866"/>
      <c r="HC38" s="866"/>
      <c r="HD38" s="866"/>
      <c r="HE38" s="866"/>
      <c r="HF38" s="866"/>
      <c r="HG38" s="866"/>
      <c r="HH38" s="866"/>
      <c r="HI38" s="866"/>
      <c r="HJ38" s="866"/>
      <c r="HK38" s="866"/>
      <c r="HL38" s="866"/>
      <c r="HM38" s="866"/>
      <c r="HN38" s="866"/>
      <c r="HO38" s="866"/>
      <c r="HP38" s="866"/>
      <c r="HQ38" s="866"/>
      <c r="HR38" s="866"/>
      <c r="HS38" s="866"/>
      <c r="HT38" s="866"/>
      <c r="HU38" s="866"/>
      <c r="HV38" s="866"/>
      <c r="HW38" s="866"/>
      <c r="HX38" s="866"/>
      <c r="HY38" s="866"/>
      <c r="HZ38" s="866"/>
      <c r="IA38" s="866"/>
      <c r="IB38" s="866"/>
      <c r="IC38" s="866"/>
      <c r="ID38" s="866"/>
      <c r="IE38" s="866"/>
      <c r="IF38" s="866"/>
      <c r="IG38" s="866"/>
      <c r="IH38" s="866"/>
      <c r="II38" s="866"/>
      <c r="IJ38" s="866"/>
      <c r="IK38" s="866"/>
      <c r="IL38" s="866"/>
      <c r="IM38" s="866"/>
      <c r="IN38" s="866"/>
      <c r="IO38" s="866"/>
      <c r="IP38" s="866"/>
      <c r="IQ38" s="866"/>
      <c r="IR38" s="866"/>
      <c r="IS38" s="866"/>
      <c r="IT38" s="866"/>
      <c r="IU38" s="866"/>
      <c r="IV38" s="866"/>
    </row>
    <row r="39" spans="1:256" ht="16.5" customHeight="1">
      <c r="A39" s="866" t="s">
        <v>1156</v>
      </c>
      <c r="B39" s="866"/>
      <c r="C39" s="866"/>
      <c r="D39" s="843">
        <v>324.67099999999999</v>
      </c>
      <c r="E39" s="838"/>
      <c r="F39" s="1347">
        <v>5124.55</v>
      </c>
      <c r="G39" s="838"/>
      <c r="H39" s="1347">
        <v>4976.701</v>
      </c>
      <c r="I39" s="838"/>
      <c r="J39" s="1347">
        <v>0</v>
      </c>
      <c r="K39" s="1348"/>
      <c r="L39" s="839">
        <f t="shared" si="0"/>
        <v>472.52</v>
      </c>
      <c r="M39" s="873"/>
      <c r="N39" s="866"/>
      <c r="O39" s="866"/>
      <c r="P39" s="866"/>
      <c r="Q39" s="866"/>
      <c r="R39" s="866"/>
      <c r="S39" s="866"/>
      <c r="T39" s="866"/>
      <c r="U39" s="866"/>
      <c r="V39" s="866"/>
      <c r="W39" s="866"/>
      <c r="X39" s="866"/>
      <c r="Y39" s="866"/>
      <c r="Z39" s="866"/>
      <c r="AA39" s="866"/>
      <c r="AB39" s="866"/>
      <c r="AC39" s="866"/>
      <c r="AD39" s="866"/>
      <c r="AE39" s="866"/>
      <c r="AF39" s="866"/>
      <c r="AG39" s="866"/>
      <c r="AH39" s="866"/>
      <c r="AI39" s="866"/>
      <c r="AJ39" s="866"/>
      <c r="AK39" s="866"/>
      <c r="AL39" s="866"/>
      <c r="AM39" s="866"/>
      <c r="AN39" s="866"/>
      <c r="AO39" s="866"/>
      <c r="AP39" s="866"/>
      <c r="AQ39" s="866"/>
      <c r="AR39" s="866"/>
      <c r="AS39" s="866"/>
      <c r="AT39" s="866"/>
      <c r="AU39" s="866"/>
      <c r="AV39" s="866"/>
      <c r="AW39" s="866"/>
      <c r="AX39" s="866"/>
      <c r="AY39" s="866"/>
      <c r="AZ39" s="866"/>
      <c r="BA39" s="866"/>
      <c r="BB39" s="866"/>
      <c r="BC39" s="866"/>
      <c r="BD39" s="866"/>
      <c r="BE39" s="866"/>
      <c r="BF39" s="866"/>
      <c r="BG39" s="866"/>
      <c r="BH39" s="866"/>
      <c r="BI39" s="866"/>
      <c r="BJ39" s="866"/>
      <c r="BK39" s="866"/>
      <c r="BL39" s="866"/>
      <c r="BM39" s="866"/>
      <c r="BN39" s="866"/>
      <c r="BO39" s="866"/>
      <c r="BP39" s="866"/>
      <c r="BQ39" s="866"/>
      <c r="BR39" s="866"/>
      <c r="BS39" s="866"/>
      <c r="BT39" s="866"/>
      <c r="BU39" s="866"/>
      <c r="BV39" s="866"/>
      <c r="BW39" s="866"/>
      <c r="BX39" s="866"/>
      <c r="BY39" s="866"/>
      <c r="BZ39" s="866"/>
      <c r="CA39" s="866"/>
      <c r="CB39" s="866"/>
      <c r="CC39" s="866"/>
      <c r="CD39" s="866"/>
      <c r="CE39" s="866"/>
      <c r="CF39" s="866"/>
      <c r="CG39" s="866"/>
      <c r="CH39" s="866"/>
      <c r="CI39" s="866"/>
      <c r="CJ39" s="866"/>
      <c r="CK39" s="866"/>
      <c r="CL39" s="866"/>
      <c r="CM39" s="866"/>
      <c r="CN39" s="866"/>
      <c r="CO39" s="866"/>
      <c r="CP39" s="866"/>
      <c r="CQ39" s="866"/>
      <c r="CR39" s="866"/>
      <c r="CS39" s="866"/>
      <c r="CT39" s="866"/>
      <c r="CU39" s="866"/>
      <c r="CV39" s="866"/>
      <c r="CW39" s="866"/>
      <c r="CX39" s="866"/>
      <c r="CY39" s="866"/>
      <c r="CZ39" s="866"/>
      <c r="DA39" s="866"/>
      <c r="DB39" s="866"/>
      <c r="DC39" s="866"/>
      <c r="DD39" s="866"/>
      <c r="DE39" s="866"/>
      <c r="DF39" s="866"/>
      <c r="DG39" s="866"/>
      <c r="DH39" s="866"/>
      <c r="DI39" s="866"/>
      <c r="DJ39" s="866"/>
      <c r="DK39" s="866"/>
      <c r="DL39" s="866"/>
      <c r="DM39" s="866"/>
      <c r="DN39" s="866"/>
      <c r="DO39" s="866"/>
      <c r="DP39" s="866"/>
      <c r="DQ39" s="866"/>
      <c r="DR39" s="866"/>
      <c r="DS39" s="866"/>
      <c r="DT39" s="866"/>
      <c r="DU39" s="866"/>
      <c r="DV39" s="866"/>
      <c r="DW39" s="866"/>
      <c r="DX39" s="866"/>
      <c r="DY39" s="866"/>
      <c r="DZ39" s="866"/>
      <c r="EA39" s="866"/>
      <c r="EB39" s="866"/>
      <c r="EC39" s="866"/>
      <c r="ED39" s="866"/>
      <c r="EE39" s="866"/>
      <c r="EF39" s="866"/>
      <c r="EG39" s="866"/>
      <c r="EH39" s="866"/>
      <c r="EI39" s="866"/>
      <c r="EJ39" s="866"/>
      <c r="EK39" s="866"/>
      <c r="EL39" s="866"/>
      <c r="EM39" s="866"/>
      <c r="EN39" s="866"/>
      <c r="EO39" s="866"/>
      <c r="EP39" s="866"/>
      <c r="EQ39" s="866"/>
      <c r="ER39" s="866"/>
      <c r="ES39" s="866"/>
      <c r="ET39" s="866"/>
      <c r="EU39" s="866"/>
      <c r="EV39" s="866"/>
      <c r="EW39" s="866"/>
      <c r="EX39" s="866"/>
      <c r="EY39" s="866"/>
      <c r="EZ39" s="866"/>
      <c r="FA39" s="866"/>
      <c r="FB39" s="866"/>
      <c r="FC39" s="866"/>
      <c r="FD39" s="866"/>
      <c r="FE39" s="866"/>
      <c r="FF39" s="866"/>
      <c r="FG39" s="866"/>
      <c r="FH39" s="866"/>
      <c r="FI39" s="866"/>
      <c r="FJ39" s="866"/>
      <c r="FK39" s="866"/>
      <c r="FL39" s="866"/>
      <c r="FM39" s="866"/>
      <c r="FN39" s="866"/>
      <c r="FO39" s="866"/>
      <c r="FP39" s="866"/>
      <c r="FQ39" s="866"/>
      <c r="FR39" s="866"/>
      <c r="FS39" s="866"/>
      <c r="FT39" s="866"/>
      <c r="FU39" s="866"/>
      <c r="FV39" s="866"/>
      <c r="FW39" s="866"/>
      <c r="FX39" s="866"/>
      <c r="FY39" s="866"/>
      <c r="FZ39" s="866"/>
      <c r="GA39" s="866"/>
      <c r="GB39" s="866"/>
      <c r="GC39" s="866"/>
      <c r="GD39" s="866"/>
      <c r="GE39" s="866"/>
      <c r="GF39" s="866"/>
      <c r="GG39" s="866"/>
      <c r="GH39" s="866"/>
      <c r="GI39" s="866"/>
      <c r="GJ39" s="866"/>
      <c r="GK39" s="866"/>
      <c r="GL39" s="866"/>
      <c r="GM39" s="866"/>
      <c r="GN39" s="866"/>
      <c r="GO39" s="866"/>
      <c r="GP39" s="866"/>
      <c r="GQ39" s="866"/>
      <c r="GR39" s="866"/>
      <c r="GS39" s="866"/>
      <c r="GT39" s="866"/>
      <c r="GU39" s="866"/>
      <c r="GV39" s="866"/>
      <c r="GW39" s="866"/>
      <c r="GX39" s="866"/>
      <c r="GY39" s="866"/>
      <c r="GZ39" s="866"/>
      <c r="HA39" s="866"/>
      <c r="HB39" s="866"/>
      <c r="HC39" s="866"/>
      <c r="HD39" s="866"/>
      <c r="HE39" s="866"/>
      <c r="HF39" s="866"/>
      <c r="HG39" s="866"/>
      <c r="HH39" s="866"/>
      <c r="HI39" s="866"/>
      <c r="HJ39" s="866"/>
      <c r="HK39" s="866"/>
      <c r="HL39" s="866"/>
      <c r="HM39" s="866"/>
      <c r="HN39" s="866"/>
      <c r="HO39" s="866"/>
      <c r="HP39" s="866"/>
      <c r="HQ39" s="866"/>
      <c r="HR39" s="866"/>
      <c r="HS39" s="866"/>
      <c r="HT39" s="866"/>
      <c r="HU39" s="866"/>
      <c r="HV39" s="866"/>
      <c r="HW39" s="866"/>
      <c r="HX39" s="866"/>
      <c r="HY39" s="866"/>
      <c r="HZ39" s="866"/>
      <c r="IA39" s="866"/>
      <c r="IB39" s="866"/>
      <c r="IC39" s="866"/>
      <c r="ID39" s="866"/>
      <c r="IE39" s="866"/>
      <c r="IF39" s="866"/>
      <c r="IG39" s="866"/>
      <c r="IH39" s="866"/>
      <c r="II39" s="866"/>
      <c r="IJ39" s="866"/>
      <c r="IK39" s="866"/>
      <c r="IL39" s="866"/>
      <c r="IM39" s="866"/>
      <c r="IN39" s="866"/>
      <c r="IO39" s="866"/>
      <c r="IP39" s="866"/>
      <c r="IQ39" s="866"/>
      <c r="IR39" s="866"/>
      <c r="IS39" s="866"/>
      <c r="IT39" s="866"/>
      <c r="IU39" s="866"/>
      <c r="IV39" s="866"/>
    </row>
    <row r="40" spans="1:256" ht="15.75" customHeight="1">
      <c r="A40" s="866" t="s">
        <v>397</v>
      </c>
      <c r="B40" s="866"/>
      <c r="C40" s="866"/>
      <c r="D40" s="1347">
        <v>0</v>
      </c>
      <c r="E40" s="838"/>
      <c r="F40" s="1347">
        <v>0</v>
      </c>
      <c r="G40" s="838"/>
      <c r="H40" s="1347">
        <v>0</v>
      </c>
      <c r="I40" s="838"/>
      <c r="J40" s="1347">
        <v>0</v>
      </c>
      <c r="K40" s="1348"/>
      <c r="L40" s="839">
        <f t="shared" si="0"/>
        <v>0</v>
      </c>
      <c r="M40" s="873"/>
      <c r="N40" s="866"/>
      <c r="P40" s="866"/>
      <c r="Q40" s="866"/>
      <c r="R40" s="866"/>
      <c r="S40" s="866"/>
      <c r="T40" s="866"/>
      <c r="U40" s="866"/>
      <c r="V40" s="866"/>
      <c r="W40" s="866"/>
      <c r="X40" s="866"/>
      <c r="Y40" s="866"/>
      <c r="Z40" s="866"/>
      <c r="AA40" s="866"/>
      <c r="AB40" s="866"/>
      <c r="AC40" s="866"/>
      <c r="AD40" s="866"/>
      <c r="AE40" s="866"/>
      <c r="AF40" s="866"/>
      <c r="AG40" s="866"/>
      <c r="AH40" s="866"/>
      <c r="AI40" s="866"/>
      <c r="AJ40" s="866"/>
      <c r="AK40" s="866"/>
      <c r="AL40" s="866"/>
      <c r="AM40" s="866"/>
      <c r="AN40" s="866"/>
      <c r="AO40" s="866"/>
      <c r="AP40" s="866"/>
      <c r="AQ40" s="866"/>
      <c r="AR40" s="866"/>
      <c r="AS40" s="866"/>
      <c r="AT40" s="866"/>
      <c r="AU40" s="866"/>
      <c r="AV40" s="866"/>
      <c r="AW40" s="866"/>
      <c r="AX40" s="866"/>
      <c r="AY40" s="866"/>
      <c r="AZ40" s="866"/>
      <c r="BA40" s="866"/>
      <c r="BB40" s="866"/>
      <c r="BC40" s="866"/>
      <c r="BD40" s="866"/>
      <c r="BE40" s="866"/>
      <c r="BF40" s="866"/>
      <c r="BG40" s="866"/>
      <c r="BH40" s="866"/>
      <c r="BI40" s="866"/>
      <c r="BJ40" s="866"/>
      <c r="BK40" s="866"/>
      <c r="BL40" s="866"/>
      <c r="BM40" s="866"/>
      <c r="BN40" s="866"/>
      <c r="BO40" s="866"/>
      <c r="BP40" s="866"/>
      <c r="BQ40" s="866"/>
      <c r="BR40" s="866"/>
      <c r="BS40" s="866"/>
      <c r="BT40" s="866"/>
      <c r="BU40" s="866"/>
      <c r="BV40" s="866"/>
      <c r="BW40" s="866"/>
      <c r="BX40" s="866"/>
      <c r="BY40" s="866"/>
      <c r="BZ40" s="866"/>
      <c r="CA40" s="866"/>
      <c r="CB40" s="866"/>
      <c r="CC40" s="866"/>
      <c r="CD40" s="866"/>
      <c r="CE40" s="866"/>
      <c r="CF40" s="866"/>
      <c r="CG40" s="866"/>
      <c r="CH40" s="866"/>
      <c r="CI40" s="866"/>
      <c r="CJ40" s="866"/>
      <c r="CK40" s="866"/>
      <c r="CL40" s="866"/>
      <c r="CM40" s="866"/>
      <c r="CN40" s="866"/>
      <c r="CO40" s="866"/>
      <c r="CP40" s="866"/>
      <c r="CQ40" s="866"/>
      <c r="CR40" s="866"/>
      <c r="CS40" s="866"/>
      <c r="CT40" s="866"/>
      <c r="CU40" s="866"/>
      <c r="CV40" s="866"/>
      <c r="CW40" s="866"/>
      <c r="CX40" s="866"/>
      <c r="CY40" s="866"/>
      <c r="CZ40" s="866"/>
      <c r="DA40" s="866"/>
      <c r="DB40" s="866"/>
      <c r="DC40" s="866"/>
      <c r="DD40" s="866"/>
      <c r="DE40" s="866"/>
      <c r="DF40" s="866"/>
      <c r="DG40" s="866"/>
      <c r="DH40" s="866"/>
      <c r="DI40" s="866"/>
      <c r="DJ40" s="866"/>
      <c r="DK40" s="866"/>
      <c r="DL40" s="866"/>
      <c r="DM40" s="866"/>
      <c r="DN40" s="866"/>
      <c r="DO40" s="866"/>
      <c r="DP40" s="866"/>
      <c r="DQ40" s="866"/>
      <c r="DR40" s="866"/>
      <c r="DS40" s="866"/>
      <c r="DT40" s="866"/>
      <c r="DU40" s="866"/>
      <c r="DV40" s="866"/>
      <c r="DW40" s="866"/>
      <c r="DX40" s="866"/>
      <c r="DY40" s="866"/>
      <c r="DZ40" s="866"/>
      <c r="EA40" s="866"/>
      <c r="EB40" s="866"/>
      <c r="EC40" s="866"/>
      <c r="ED40" s="866"/>
      <c r="EE40" s="866"/>
      <c r="EF40" s="866"/>
      <c r="EG40" s="866"/>
      <c r="EH40" s="866"/>
      <c r="EI40" s="866"/>
      <c r="EJ40" s="866"/>
      <c r="EK40" s="866"/>
      <c r="EL40" s="866"/>
      <c r="EM40" s="866"/>
      <c r="EN40" s="866"/>
      <c r="EO40" s="866"/>
      <c r="EP40" s="866"/>
      <c r="EQ40" s="866"/>
      <c r="ER40" s="866"/>
      <c r="ES40" s="866"/>
      <c r="ET40" s="866"/>
      <c r="EU40" s="866"/>
      <c r="EV40" s="866"/>
      <c r="EW40" s="866"/>
      <c r="EX40" s="866"/>
      <c r="EY40" s="866"/>
      <c r="EZ40" s="866"/>
      <c r="FA40" s="866"/>
      <c r="FB40" s="866"/>
      <c r="FC40" s="866"/>
      <c r="FD40" s="866"/>
      <c r="FE40" s="866"/>
      <c r="FF40" s="866"/>
      <c r="FG40" s="866"/>
      <c r="FH40" s="866"/>
      <c r="FI40" s="866"/>
      <c r="FJ40" s="866"/>
      <c r="FK40" s="866"/>
      <c r="FL40" s="866"/>
      <c r="FM40" s="866"/>
      <c r="FN40" s="866"/>
      <c r="FO40" s="866"/>
      <c r="FP40" s="866"/>
      <c r="FQ40" s="866"/>
      <c r="FR40" s="866"/>
      <c r="FS40" s="866"/>
      <c r="FT40" s="866"/>
      <c r="FU40" s="866"/>
      <c r="FV40" s="866"/>
      <c r="FW40" s="866"/>
      <c r="FX40" s="866"/>
      <c r="FY40" s="866"/>
      <c r="FZ40" s="866"/>
      <c r="GA40" s="866"/>
      <c r="GB40" s="866"/>
      <c r="GC40" s="866"/>
      <c r="GD40" s="866"/>
      <c r="GE40" s="866"/>
      <c r="GF40" s="866"/>
      <c r="GG40" s="866"/>
      <c r="GH40" s="866"/>
      <c r="GI40" s="866"/>
      <c r="GJ40" s="866"/>
      <c r="GK40" s="866"/>
      <c r="GL40" s="866"/>
      <c r="GM40" s="866"/>
      <c r="GN40" s="866"/>
      <c r="GO40" s="866"/>
      <c r="GP40" s="866"/>
      <c r="GQ40" s="866"/>
      <c r="GR40" s="866"/>
      <c r="GS40" s="866"/>
      <c r="GT40" s="866"/>
      <c r="GU40" s="866"/>
      <c r="GV40" s="866"/>
      <c r="GW40" s="866"/>
      <c r="GX40" s="866"/>
      <c r="GY40" s="866"/>
      <c r="GZ40" s="866"/>
      <c r="HA40" s="866"/>
      <c r="HB40" s="866"/>
      <c r="HC40" s="866"/>
      <c r="HD40" s="866"/>
      <c r="HE40" s="866"/>
      <c r="HF40" s="866"/>
      <c r="HG40" s="866"/>
      <c r="HH40" s="866"/>
      <c r="HI40" s="866"/>
      <c r="HJ40" s="866"/>
      <c r="HK40" s="866"/>
      <c r="HL40" s="866"/>
      <c r="HM40" s="866"/>
      <c r="HN40" s="866"/>
      <c r="HO40" s="866"/>
      <c r="HP40" s="866"/>
      <c r="HQ40" s="866"/>
      <c r="HR40" s="866"/>
      <c r="HS40" s="866"/>
      <c r="HT40" s="866"/>
      <c r="HU40" s="866"/>
      <c r="HV40" s="866"/>
      <c r="HW40" s="866"/>
      <c r="HX40" s="866"/>
      <c r="HY40" s="866"/>
      <c r="HZ40" s="866"/>
      <c r="IA40" s="866"/>
      <c r="IB40" s="866"/>
      <c r="IC40" s="866"/>
      <c r="ID40" s="866"/>
      <c r="IE40" s="866"/>
      <c r="IF40" s="866"/>
      <c r="IG40" s="866"/>
      <c r="IH40" s="866"/>
      <c r="II40" s="866"/>
      <c r="IJ40" s="866"/>
      <c r="IK40" s="866"/>
      <c r="IL40" s="866"/>
      <c r="IM40" s="866"/>
      <c r="IN40" s="866"/>
      <c r="IO40" s="866"/>
      <c r="IP40" s="866"/>
      <c r="IQ40" s="866"/>
      <c r="IR40" s="866"/>
      <c r="IS40" s="866"/>
      <c r="IT40" s="866"/>
      <c r="IU40" s="866"/>
      <c r="IV40" s="866"/>
    </row>
    <row r="41" spans="1:256" ht="15.75" customHeight="1">
      <c r="A41" s="866" t="s">
        <v>1145</v>
      </c>
      <c r="B41" s="866"/>
      <c r="C41" s="866"/>
      <c r="D41" s="843">
        <v>114.608</v>
      </c>
      <c r="E41" s="838"/>
      <c r="F41" s="1347">
        <v>290.495</v>
      </c>
      <c r="G41" s="838"/>
      <c r="H41" s="1347">
        <v>0</v>
      </c>
      <c r="I41" s="838"/>
      <c r="J41" s="1347">
        <v>0</v>
      </c>
      <c r="K41" s="1348"/>
      <c r="L41" s="839">
        <f t="shared" si="0"/>
        <v>405.10300000000001</v>
      </c>
      <c r="M41" s="873"/>
      <c r="N41" s="866"/>
      <c r="O41" s="866"/>
      <c r="P41" s="866"/>
      <c r="Q41" s="866"/>
      <c r="R41" s="866"/>
      <c r="S41" s="866"/>
      <c r="T41" s="866"/>
      <c r="U41" s="866"/>
      <c r="V41" s="866"/>
      <c r="W41" s="866"/>
      <c r="X41" s="866"/>
      <c r="Y41" s="866"/>
      <c r="Z41" s="866"/>
      <c r="AA41" s="866"/>
      <c r="AB41" s="866"/>
      <c r="AC41" s="866"/>
      <c r="AD41" s="866"/>
      <c r="AE41" s="866"/>
      <c r="AF41" s="866"/>
      <c r="AG41" s="866"/>
      <c r="AH41" s="866"/>
      <c r="AI41" s="866"/>
      <c r="AJ41" s="866"/>
      <c r="AK41" s="866"/>
      <c r="AL41" s="866"/>
      <c r="AM41" s="866"/>
      <c r="AN41" s="866"/>
      <c r="AO41" s="866"/>
      <c r="AP41" s="866"/>
      <c r="AQ41" s="866"/>
      <c r="AR41" s="866"/>
      <c r="AS41" s="866"/>
      <c r="AT41" s="866"/>
      <c r="AU41" s="866"/>
      <c r="AV41" s="866"/>
      <c r="AW41" s="866"/>
      <c r="AX41" s="866"/>
      <c r="AY41" s="866"/>
      <c r="AZ41" s="866"/>
      <c r="BA41" s="866"/>
      <c r="BB41" s="866"/>
      <c r="BC41" s="866"/>
      <c r="BD41" s="866"/>
      <c r="BE41" s="866"/>
      <c r="BF41" s="866"/>
      <c r="BG41" s="866"/>
      <c r="BH41" s="866"/>
      <c r="BI41" s="866"/>
      <c r="BJ41" s="866"/>
      <c r="BK41" s="866"/>
      <c r="BL41" s="866"/>
      <c r="BM41" s="866"/>
      <c r="BN41" s="866"/>
      <c r="BO41" s="866"/>
      <c r="BP41" s="866"/>
      <c r="BQ41" s="866"/>
      <c r="BR41" s="866"/>
      <c r="BS41" s="866"/>
      <c r="BT41" s="866"/>
      <c r="BU41" s="866"/>
      <c r="BV41" s="866"/>
      <c r="BW41" s="866"/>
      <c r="BX41" s="866"/>
      <c r="BY41" s="866"/>
      <c r="BZ41" s="866"/>
      <c r="CA41" s="866"/>
      <c r="CB41" s="866"/>
      <c r="CC41" s="866"/>
      <c r="CD41" s="866"/>
      <c r="CE41" s="866"/>
      <c r="CF41" s="866"/>
      <c r="CG41" s="866"/>
      <c r="CH41" s="866"/>
      <c r="CI41" s="866"/>
      <c r="CJ41" s="866"/>
      <c r="CK41" s="866"/>
      <c r="CL41" s="866"/>
      <c r="CM41" s="866"/>
      <c r="CN41" s="866"/>
      <c r="CO41" s="866"/>
      <c r="CP41" s="866"/>
      <c r="CQ41" s="866"/>
      <c r="CR41" s="866"/>
      <c r="CS41" s="866"/>
      <c r="CT41" s="866"/>
      <c r="CU41" s="866"/>
      <c r="CV41" s="866"/>
      <c r="CW41" s="866"/>
      <c r="CX41" s="866"/>
      <c r="CY41" s="866"/>
      <c r="CZ41" s="866"/>
      <c r="DA41" s="866"/>
      <c r="DB41" s="866"/>
      <c r="DC41" s="866"/>
      <c r="DD41" s="866"/>
      <c r="DE41" s="866"/>
      <c r="DF41" s="866"/>
      <c r="DG41" s="866"/>
      <c r="DH41" s="866"/>
      <c r="DI41" s="866"/>
      <c r="DJ41" s="866"/>
      <c r="DK41" s="866"/>
      <c r="DL41" s="866"/>
      <c r="DM41" s="866"/>
      <c r="DN41" s="866"/>
      <c r="DO41" s="866"/>
      <c r="DP41" s="866"/>
      <c r="DQ41" s="866"/>
      <c r="DR41" s="866"/>
      <c r="DS41" s="866"/>
      <c r="DT41" s="866"/>
      <c r="DU41" s="866"/>
      <c r="DV41" s="866"/>
      <c r="DW41" s="866"/>
      <c r="DX41" s="866"/>
      <c r="DY41" s="866"/>
      <c r="DZ41" s="866"/>
      <c r="EA41" s="866"/>
      <c r="EB41" s="866"/>
      <c r="EC41" s="866"/>
      <c r="ED41" s="866"/>
      <c r="EE41" s="866"/>
      <c r="EF41" s="866"/>
      <c r="EG41" s="866"/>
      <c r="EH41" s="866"/>
      <c r="EI41" s="866"/>
      <c r="EJ41" s="866"/>
      <c r="EK41" s="866"/>
      <c r="EL41" s="866"/>
      <c r="EM41" s="866"/>
      <c r="EN41" s="866"/>
      <c r="EO41" s="866"/>
      <c r="EP41" s="866"/>
      <c r="EQ41" s="866"/>
      <c r="ER41" s="866"/>
      <c r="ES41" s="866"/>
      <c r="ET41" s="866"/>
      <c r="EU41" s="866"/>
      <c r="EV41" s="866"/>
      <c r="EW41" s="866"/>
      <c r="EX41" s="866"/>
      <c r="EY41" s="866"/>
      <c r="EZ41" s="866"/>
      <c r="FA41" s="866"/>
      <c r="FB41" s="866"/>
      <c r="FC41" s="866"/>
      <c r="FD41" s="866"/>
      <c r="FE41" s="866"/>
      <c r="FF41" s="866"/>
      <c r="FG41" s="866"/>
      <c r="FH41" s="866"/>
      <c r="FI41" s="866"/>
      <c r="FJ41" s="866"/>
      <c r="FK41" s="866"/>
      <c r="FL41" s="866"/>
      <c r="FM41" s="866"/>
      <c r="FN41" s="866"/>
      <c r="FO41" s="866"/>
      <c r="FP41" s="866"/>
      <c r="FQ41" s="866"/>
      <c r="FR41" s="866"/>
      <c r="FS41" s="866"/>
      <c r="FT41" s="866"/>
      <c r="FU41" s="866"/>
      <c r="FV41" s="866"/>
      <c r="FW41" s="866"/>
      <c r="FX41" s="866"/>
      <c r="FY41" s="866"/>
      <c r="FZ41" s="866"/>
      <c r="GA41" s="866"/>
      <c r="GB41" s="866"/>
      <c r="GC41" s="866"/>
      <c r="GD41" s="866"/>
      <c r="GE41" s="866"/>
      <c r="GF41" s="866"/>
      <c r="GG41" s="866"/>
      <c r="GH41" s="866"/>
      <c r="GI41" s="866"/>
      <c r="GJ41" s="866"/>
      <c r="GK41" s="866"/>
      <c r="GL41" s="866"/>
      <c r="GM41" s="866"/>
      <c r="GN41" s="866"/>
      <c r="GO41" s="866"/>
      <c r="GP41" s="866"/>
      <c r="GQ41" s="866"/>
      <c r="GR41" s="866"/>
      <c r="GS41" s="866"/>
      <c r="GT41" s="866"/>
      <c r="GU41" s="866"/>
      <c r="GV41" s="866"/>
      <c r="GW41" s="866"/>
      <c r="GX41" s="866"/>
      <c r="GY41" s="866"/>
      <c r="GZ41" s="866"/>
      <c r="HA41" s="866"/>
      <c r="HB41" s="866"/>
      <c r="HC41" s="866"/>
      <c r="HD41" s="866"/>
      <c r="HE41" s="866"/>
      <c r="HF41" s="866"/>
      <c r="HG41" s="866"/>
      <c r="HH41" s="866"/>
      <c r="HI41" s="866"/>
      <c r="HJ41" s="866"/>
      <c r="HK41" s="866"/>
      <c r="HL41" s="866"/>
      <c r="HM41" s="866"/>
      <c r="HN41" s="866"/>
      <c r="HO41" s="866"/>
      <c r="HP41" s="866"/>
      <c r="HQ41" s="866"/>
      <c r="HR41" s="866"/>
      <c r="HS41" s="866"/>
      <c r="HT41" s="866"/>
      <c r="HU41" s="866"/>
      <c r="HV41" s="866"/>
      <c r="HW41" s="866"/>
      <c r="HX41" s="866"/>
      <c r="HY41" s="866"/>
      <c r="HZ41" s="866"/>
      <c r="IA41" s="866"/>
      <c r="IB41" s="866"/>
      <c r="IC41" s="866"/>
      <c r="ID41" s="866"/>
      <c r="IE41" s="866"/>
      <c r="IF41" s="866"/>
      <c r="IG41" s="866"/>
      <c r="IH41" s="866"/>
      <c r="II41" s="866"/>
      <c r="IJ41" s="866"/>
      <c r="IK41" s="866"/>
      <c r="IL41" s="866"/>
      <c r="IM41" s="866"/>
      <c r="IN41" s="866"/>
      <c r="IO41" s="866"/>
      <c r="IP41" s="866"/>
      <c r="IQ41" s="866"/>
      <c r="IR41" s="866"/>
      <c r="IS41" s="866"/>
      <c r="IT41" s="866"/>
      <c r="IU41" s="866"/>
      <c r="IV41" s="866"/>
    </row>
    <row r="42" spans="1:256" ht="15.75" customHeight="1">
      <c r="A42" s="866" t="s">
        <v>1146</v>
      </c>
      <c r="B42" s="866"/>
      <c r="C42" s="866"/>
      <c r="D42" s="1347">
        <v>-0.33600000000000002</v>
      </c>
      <c r="E42" s="838"/>
      <c r="F42" s="1347">
        <v>277.02999999999997</v>
      </c>
      <c r="G42" s="838"/>
      <c r="H42" s="1347">
        <v>336.38900000000001</v>
      </c>
      <c r="I42" s="838"/>
      <c r="J42" s="1347">
        <v>0</v>
      </c>
      <c r="K42" s="1348"/>
      <c r="L42" s="839">
        <f t="shared" si="0"/>
        <v>-59.695</v>
      </c>
      <c r="M42" s="873"/>
      <c r="N42" s="866"/>
      <c r="O42" s="866"/>
      <c r="P42" s="866"/>
      <c r="Q42" s="866"/>
      <c r="R42" s="866"/>
      <c r="S42" s="866"/>
      <c r="T42" s="866"/>
      <c r="U42" s="866"/>
      <c r="V42" s="866"/>
      <c r="W42" s="866"/>
      <c r="X42" s="866"/>
      <c r="Y42" s="866"/>
      <c r="Z42" s="866"/>
      <c r="AA42" s="866"/>
      <c r="AB42" s="866"/>
      <c r="AC42" s="866"/>
      <c r="AD42" s="866"/>
      <c r="AE42" s="866"/>
      <c r="AF42" s="866"/>
      <c r="AG42" s="866"/>
      <c r="AH42" s="866"/>
      <c r="AI42" s="866"/>
      <c r="AJ42" s="866"/>
      <c r="AK42" s="866"/>
      <c r="AL42" s="866"/>
      <c r="AM42" s="866"/>
      <c r="AN42" s="866"/>
      <c r="AO42" s="866"/>
      <c r="AP42" s="866"/>
      <c r="AQ42" s="866"/>
      <c r="AR42" s="866"/>
      <c r="AS42" s="866"/>
      <c r="AT42" s="866"/>
      <c r="AU42" s="866"/>
      <c r="AV42" s="866"/>
      <c r="AW42" s="866"/>
      <c r="AX42" s="866"/>
      <c r="AY42" s="866"/>
      <c r="AZ42" s="866"/>
      <c r="BA42" s="866"/>
      <c r="BB42" s="866"/>
      <c r="BC42" s="866"/>
      <c r="BD42" s="866"/>
      <c r="BE42" s="866"/>
      <c r="BF42" s="866"/>
      <c r="BG42" s="866"/>
      <c r="BH42" s="866"/>
      <c r="BI42" s="866"/>
      <c r="BJ42" s="866"/>
      <c r="BK42" s="866"/>
      <c r="BL42" s="866"/>
      <c r="BM42" s="866"/>
      <c r="BN42" s="866"/>
      <c r="BO42" s="866"/>
      <c r="BP42" s="866"/>
      <c r="BQ42" s="866"/>
      <c r="BR42" s="866"/>
      <c r="BS42" s="866"/>
      <c r="BT42" s="866"/>
      <c r="BU42" s="866"/>
      <c r="BV42" s="866"/>
      <c r="BW42" s="866"/>
      <c r="BX42" s="866"/>
      <c r="BY42" s="866"/>
      <c r="BZ42" s="866"/>
      <c r="CA42" s="866"/>
      <c r="CB42" s="866"/>
      <c r="CC42" s="866"/>
      <c r="CD42" s="866"/>
      <c r="CE42" s="866"/>
      <c r="CF42" s="866"/>
      <c r="CG42" s="866"/>
      <c r="CH42" s="866"/>
      <c r="CI42" s="866"/>
      <c r="CJ42" s="866"/>
      <c r="CK42" s="866"/>
      <c r="CL42" s="866"/>
      <c r="CM42" s="866"/>
      <c r="CN42" s="866"/>
      <c r="CO42" s="866"/>
      <c r="CP42" s="866"/>
      <c r="CQ42" s="866"/>
      <c r="CR42" s="866"/>
      <c r="CS42" s="866"/>
      <c r="CT42" s="866"/>
      <c r="CU42" s="866"/>
      <c r="CV42" s="866"/>
      <c r="CW42" s="866"/>
      <c r="CX42" s="866"/>
      <c r="CY42" s="866"/>
      <c r="CZ42" s="866"/>
      <c r="DA42" s="866"/>
      <c r="DB42" s="866"/>
      <c r="DC42" s="866"/>
      <c r="DD42" s="866"/>
      <c r="DE42" s="866"/>
      <c r="DF42" s="866"/>
      <c r="DG42" s="866"/>
      <c r="DH42" s="866"/>
      <c r="DI42" s="866"/>
      <c r="DJ42" s="866"/>
      <c r="DK42" s="866"/>
      <c r="DL42" s="866"/>
      <c r="DM42" s="866"/>
      <c r="DN42" s="866"/>
      <c r="DO42" s="866"/>
      <c r="DP42" s="866"/>
      <c r="DQ42" s="866"/>
      <c r="DR42" s="866"/>
      <c r="DS42" s="866"/>
      <c r="DT42" s="866"/>
      <c r="DU42" s="866"/>
      <c r="DV42" s="866"/>
      <c r="DW42" s="866"/>
      <c r="DX42" s="866"/>
      <c r="DY42" s="866"/>
      <c r="DZ42" s="866"/>
      <c r="EA42" s="866"/>
      <c r="EB42" s="866"/>
      <c r="EC42" s="866"/>
      <c r="ED42" s="866"/>
      <c r="EE42" s="866"/>
      <c r="EF42" s="866"/>
      <c r="EG42" s="866"/>
      <c r="EH42" s="866"/>
      <c r="EI42" s="866"/>
      <c r="EJ42" s="866"/>
      <c r="EK42" s="866"/>
      <c r="EL42" s="866"/>
      <c r="EM42" s="866"/>
      <c r="EN42" s="866"/>
      <c r="EO42" s="866"/>
      <c r="EP42" s="866"/>
      <c r="EQ42" s="866"/>
      <c r="ER42" s="866"/>
      <c r="ES42" s="866"/>
      <c r="ET42" s="866"/>
      <c r="EU42" s="866"/>
      <c r="EV42" s="866"/>
      <c r="EW42" s="866"/>
      <c r="EX42" s="866"/>
      <c r="EY42" s="866"/>
      <c r="EZ42" s="866"/>
      <c r="FA42" s="866"/>
      <c r="FB42" s="866"/>
      <c r="FC42" s="866"/>
      <c r="FD42" s="866"/>
      <c r="FE42" s="866"/>
      <c r="FF42" s="866"/>
      <c r="FG42" s="866"/>
      <c r="FH42" s="866"/>
      <c r="FI42" s="866"/>
      <c r="FJ42" s="866"/>
      <c r="FK42" s="866"/>
      <c r="FL42" s="866"/>
      <c r="FM42" s="866"/>
      <c r="FN42" s="866"/>
      <c r="FO42" s="866"/>
      <c r="FP42" s="866"/>
      <c r="FQ42" s="866"/>
      <c r="FR42" s="866"/>
      <c r="FS42" s="866"/>
      <c r="FT42" s="866"/>
      <c r="FU42" s="866"/>
      <c r="FV42" s="866"/>
      <c r="FW42" s="866"/>
      <c r="FX42" s="866"/>
      <c r="FY42" s="866"/>
      <c r="FZ42" s="866"/>
      <c r="GA42" s="866"/>
      <c r="GB42" s="866"/>
      <c r="GC42" s="866"/>
      <c r="GD42" s="866"/>
      <c r="GE42" s="866"/>
      <c r="GF42" s="866"/>
      <c r="GG42" s="866"/>
      <c r="GH42" s="866"/>
      <c r="GI42" s="866"/>
      <c r="GJ42" s="866"/>
      <c r="GK42" s="866"/>
      <c r="GL42" s="866"/>
      <c r="GM42" s="866"/>
      <c r="GN42" s="866"/>
      <c r="GO42" s="866"/>
      <c r="GP42" s="866"/>
      <c r="GQ42" s="866"/>
      <c r="GR42" s="866"/>
      <c r="GS42" s="866"/>
      <c r="GT42" s="866"/>
      <c r="GU42" s="866"/>
      <c r="GV42" s="866"/>
      <c r="GW42" s="866"/>
      <c r="GX42" s="866"/>
      <c r="GY42" s="866"/>
      <c r="GZ42" s="866"/>
      <c r="HA42" s="866"/>
      <c r="HB42" s="866"/>
      <c r="HC42" s="866"/>
      <c r="HD42" s="866"/>
      <c r="HE42" s="866"/>
      <c r="HF42" s="866"/>
      <c r="HG42" s="866"/>
      <c r="HH42" s="866"/>
      <c r="HI42" s="866"/>
      <c r="HJ42" s="866"/>
      <c r="HK42" s="866"/>
      <c r="HL42" s="866"/>
      <c r="HM42" s="866"/>
      <c r="HN42" s="866"/>
      <c r="HO42" s="866"/>
      <c r="HP42" s="866"/>
      <c r="HQ42" s="866"/>
      <c r="HR42" s="866"/>
      <c r="HS42" s="866"/>
      <c r="HT42" s="866"/>
      <c r="HU42" s="866"/>
      <c r="HV42" s="866"/>
      <c r="HW42" s="866"/>
      <c r="HX42" s="866"/>
      <c r="HY42" s="866"/>
      <c r="HZ42" s="866"/>
      <c r="IA42" s="866"/>
      <c r="IB42" s="866"/>
      <c r="IC42" s="866"/>
      <c r="ID42" s="866"/>
      <c r="IE42" s="866"/>
      <c r="IF42" s="866"/>
      <c r="IG42" s="866"/>
      <c r="IH42" s="866"/>
      <c r="II42" s="866"/>
      <c r="IJ42" s="866"/>
      <c r="IK42" s="866"/>
      <c r="IL42" s="866"/>
      <c r="IM42" s="866"/>
      <c r="IN42" s="866"/>
      <c r="IO42" s="866"/>
      <c r="IP42" s="866"/>
      <c r="IQ42" s="866"/>
      <c r="IR42" s="866"/>
      <c r="IS42" s="866"/>
      <c r="IT42" s="866"/>
      <c r="IU42" s="866"/>
      <c r="IV42" s="866"/>
    </row>
    <row r="43" spans="1:256" ht="18" customHeight="1">
      <c r="A43" s="866" t="s">
        <v>1360</v>
      </c>
      <c r="B43" s="866"/>
      <c r="C43" s="866"/>
      <c r="D43" s="1349">
        <v>0</v>
      </c>
      <c r="E43" s="843"/>
      <c r="F43" s="1347">
        <v>0</v>
      </c>
      <c r="G43" s="838"/>
      <c r="H43" s="1347">
        <v>0</v>
      </c>
      <c r="I43" s="838"/>
      <c r="J43" s="1347">
        <v>0</v>
      </c>
      <c r="K43" s="843"/>
      <c r="L43" s="839">
        <f t="shared" si="0"/>
        <v>0</v>
      </c>
      <c r="M43" s="873"/>
      <c r="N43" s="866"/>
      <c r="O43" s="879"/>
      <c r="P43" s="879"/>
      <c r="Q43" s="866"/>
      <c r="R43" s="866"/>
      <c r="S43" s="866"/>
      <c r="T43" s="866"/>
      <c r="U43" s="866"/>
      <c r="V43" s="866"/>
      <c r="W43" s="866"/>
      <c r="X43" s="866"/>
      <c r="Y43" s="866"/>
      <c r="Z43" s="866"/>
      <c r="AA43" s="866"/>
      <c r="AB43" s="866"/>
      <c r="AC43" s="866"/>
      <c r="AD43" s="866"/>
      <c r="AE43" s="866"/>
      <c r="AF43" s="866"/>
      <c r="AG43" s="866"/>
      <c r="AH43" s="866"/>
      <c r="AI43" s="866"/>
      <c r="AJ43" s="866"/>
      <c r="AK43" s="866"/>
      <c r="AL43" s="866"/>
      <c r="AM43" s="866"/>
      <c r="AN43" s="866"/>
      <c r="AO43" s="866"/>
      <c r="AP43" s="866"/>
      <c r="AQ43" s="866"/>
      <c r="AR43" s="866"/>
      <c r="AS43" s="866"/>
      <c r="AT43" s="866"/>
      <c r="AU43" s="866"/>
      <c r="AV43" s="866"/>
      <c r="AW43" s="866"/>
      <c r="AX43" s="866"/>
      <c r="AY43" s="866"/>
      <c r="AZ43" s="866"/>
      <c r="BA43" s="866"/>
      <c r="BB43" s="866"/>
      <c r="BC43" s="866"/>
      <c r="BD43" s="866"/>
      <c r="BE43" s="866"/>
      <c r="BF43" s="866"/>
      <c r="BG43" s="866"/>
      <c r="BH43" s="866"/>
      <c r="BI43" s="866"/>
      <c r="BJ43" s="866"/>
      <c r="BK43" s="866"/>
      <c r="BL43" s="866"/>
      <c r="BM43" s="866"/>
      <c r="BN43" s="866"/>
      <c r="BO43" s="866"/>
      <c r="BP43" s="866"/>
      <c r="BQ43" s="866"/>
      <c r="BR43" s="866"/>
      <c r="BS43" s="866"/>
      <c r="BT43" s="866"/>
      <c r="BU43" s="866"/>
      <c r="BV43" s="866"/>
      <c r="BW43" s="866"/>
      <c r="BX43" s="866"/>
      <c r="BY43" s="866"/>
      <c r="BZ43" s="866"/>
      <c r="CA43" s="866"/>
      <c r="CB43" s="866"/>
      <c r="CC43" s="866"/>
      <c r="CD43" s="866"/>
      <c r="CE43" s="866"/>
      <c r="CF43" s="866"/>
      <c r="CG43" s="866"/>
      <c r="CH43" s="866"/>
      <c r="CI43" s="866"/>
      <c r="CJ43" s="866"/>
      <c r="CK43" s="866"/>
      <c r="CL43" s="866"/>
      <c r="CM43" s="866"/>
      <c r="CN43" s="866"/>
      <c r="CO43" s="866"/>
      <c r="CP43" s="866"/>
      <c r="CQ43" s="866"/>
      <c r="CR43" s="866"/>
      <c r="CS43" s="866"/>
      <c r="CT43" s="866"/>
      <c r="CU43" s="866"/>
      <c r="CV43" s="866"/>
      <c r="CW43" s="866"/>
      <c r="CX43" s="866"/>
      <c r="CY43" s="866"/>
      <c r="CZ43" s="866"/>
      <c r="DA43" s="866"/>
      <c r="DB43" s="866"/>
      <c r="DC43" s="866"/>
      <c r="DD43" s="866"/>
      <c r="DE43" s="866"/>
      <c r="DF43" s="866"/>
      <c r="DG43" s="866"/>
      <c r="DH43" s="866"/>
      <c r="DI43" s="866"/>
      <c r="DJ43" s="866"/>
      <c r="DK43" s="866"/>
      <c r="DL43" s="866"/>
      <c r="DM43" s="866"/>
      <c r="DN43" s="866"/>
      <c r="DO43" s="866"/>
      <c r="DP43" s="866"/>
      <c r="DQ43" s="866"/>
      <c r="DR43" s="866"/>
      <c r="DS43" s="866"/>
      <c r="DT43" s="866"/>
      <c r="DU43" s="866"/>
      <c r="DV43" s="866"/>
      <c r="DW43" s="866"/>
      <c r="DX43" s="866"/>
      <c r="DY43" s="866"/>
      <c r="DZ43" s="866"/>
      <c r="EA43" s="866"/>
      <c r="EB43" s="866"/>
      <c r="EC43" s="866"/>
      <c r="ED43" s="866"/>
      <c r="EE43" s="866"/>
      <c r="EF43" s="866"/>
      <c r="EG43" s="866"/>
      <c r="EH43" s="866"/>
      <c r="EI43" s="866"/>
      <c r="EJ43" s="866"/>
      <c r="EK43" s="866"/>
      <c r="EL43" s="866"/>
      <c r="EM43" s="866"/>
      <c r="EN43" s="866"/>
      <c r="EO43" s="866"/>
      <c r="EP43" s="866"/>
      <c r="EQ43" s="866"/>
      <c r="ER43" s="866"/>
      <c r="ES43" s="866"/>
      <c r="ET43" s="866"/>
      <c r="EU43" s="866"/>
      <c r="EV43" s="866"/>
      <c r="EW43" s="866"/>
      <c r="EX43" s="866"/>
      <c r="EY43" s="866"/>
      <c r="EZ43" s="866"/>
      <c r="FA43" s="866"/>
      <c r="FB43" s="866"/>
      <c r="FC43" s="866"/>
      <c r="FD43" s="866"/>
      <c r="FE43" s="866"/>
      <c r="FF43" s="866"/>
      <c r="FG43" s="866"/>
      <c r="FH43" s="866"/>
      <c r="FI43" s="866"/>
      <c r="FJ43" s="866"/>
      <c r="FK43" s="866"/>
      <c r="FL43" s="866"/>
      <c r="FM43" s="866"/>
      <c r="FN43" s="866"/>
      <c r="FO43" s="866"/>
      <c r="FP43" s="866"/>
      <c r="FQ43" s="866"/>
      <c r="FR43" s="866"/>
      <c r="FS43" s="866"/>
      <c r="FT43" s="866"/>
      <c r="FU43" s="866"/>
      <c r="FV43" s="866"/>
      <c r="FW43" s="866"/>
      <c r="FX43" s="866"/>
      <c r="FY43" s="866"/>
      <c r="FZ43" s="866"/>
      <c r="GA43" s="866"/>
      <c r="GB43" s="866"/>
      <c r="GC43" s="866"/>
      <c r="GD43" s="866"/>
      <c r="GE43" s="866"/>
      <c r="GF43" s="866"/>
      <c r="GG43" s="866"/>
      <c r="GH43" s="866"/>
      <c r="GI43" s="866"/>
      <c r="GJ43" s="866"/>
      <c r="GK43" s="866"/>
      <c r="GL43" s="866"/>
      <c r="GM43" s="866"/>
      <c r="GN43" s="866"/>
      <c r="GO43" s="866"/>
      <c r="GP43" s="866"/>
      <c r="GQ43" s="866"/>
      <c r="GR43" s="866"/>
      <c r="GS43" s="866"/>
      <c r="GT43" s="866"/>
      <c r="GU43" s="866"/>
      <c r="GV43" s="866"/>
      <c r="GW43" s="866"/>
      <c r="GX43" s="866"/>
      <c r="GY43" s="866"/>
      <c r="GZ43" s="866"/>
      <c r="HA43" s="866"/>
      <c r="HB43" s="866"/>
      <c r="HC43" s="866"/>
      <c r="HD43" s="866"/>
      <c r="HE43" s="866"/>
      <c r="HF43" s="866"/>
      <c r="HG43" s="866"/>
      <c r="HH43" s="866"/>
      <c r="HI43" s="866"/>
      <c r="HJ43" s="866"/>
      <c r="HK43" s="866"/>
      <c r="HL43" s="866"/>
      <c r="HM43" s="866"/>
      <c r="HN43" s="866"/>
      <c r="HO43" s="866"/>
      <c r="HP43" s="866"/>
      <c r="HQ43" s="866"/>
      <c r="HR43" s="866"/>
      <c r="HS43" s="866"/>
      <c r="HT43" s="866"/>
      <c r="HU43" s="866"/>
      <c r="HV43" s="866"/>
      <c r="HW43" s="866"/>
      <c r="HX43" s="866"/>
      <c r="HY43" s="866"/>
      <c r="HZ43" s="866"/>
      <c r="IA43" s="866"/>
      <c r="IB43" s="866"/>
      <c r="IC43" s="866"/>
      <c r="ID43" s="866"/>
      <c r="IE43" s="866"/>
      <c r="IF43" s="866"/>
      <c r="IG43" s="866"/>
      <c r="IH43" s="866"/>
      <c r="II43" s="866"/>
      <c r="IJ43" s="866"/>
      <c r="IK43" s="866"/>
      <c r="IL43" s="866"/>
      <c r="IM43" s="866"/>
      <c r="IN43" s="866"/>
      <c r="IO43" s="866"/>
      <c r="IP43" s="866"/>
      <c r="IQ43" s="866"/>
      <c r="IR43" s="866"/>
      <c r="IS43" s="866"/>
      <c r="IT43" s="866"/>
      <c r="IU43" s="866"/>
      <c r="IV43" s="866"/>
    </row>
    <row r="44" spans="1:256" ht="17.25" customHeight="1">
      <c r="A44" s="862" t="s">
        <v>1348</v>
      </c>
      <c r="B44" s="866"/>
      <c r="C44" s="866"/>
      <c r="D44" s="1350">
        <f>ROUND(SUM(D27:D43),3)</f>
        <v>3859.346</v>
      </c>
      <c r="E44" s="1338"/>
      <c r="F44" s="1350">
        <f>ROUND(SUM(F27:F43),3)</f>
        <v>7108.1210000000001</v>
      </c>
      <c r="G44" s="1338"/>
      <c r="H44" s="1350">
        <f>ROUND(SUM(H27:H43),3)</f>
        <v>7361.3360000000002</v>
      </c>
      <c r="I44" s="1338"/>
      <c r="J44" s="1350">
        <f>ROUND(SUM(J27:J43),3)</f>
        <v>0</v>
      </c>
      <c r="K44" s="1338"/>
      <c r="L44" s="1350">
        <f>SUM(L27:L43)</f>
        <v>3606.1309999999999</v>
      </c>
      <c r="M44" s="874"/>
      <c r="N44" s="749"/>
      <c r="O44" s="877"/>
      <c r="P44" s="866"/>
      <c r="Q44" s="866"/>
      <c r="R44" s="866"/>
      <c r="S44" s="866"/>
      <c r="T44" s="866"/>
      <c r="U44" s="866"/>
      <c r="V44" s="866"/>
      <c r="W44" s="866"/>
      <c r="X44" s="866"/>
      <c r="Y44" s="866"/>
      <c r="Z44" s="866"/>
      <c r="AA44" s="866"/>
      <c r="AB44" s="866"/>
      <c r="AC44" s="866"/>
      <c r="AD44" s="866"/>
      <c r="AE44" s="866"/>
      <c r="AF44" s="866"/>
      <c r="AG44" s="866"/>
      <c r="AH44" s="866"/>
      <c r="AI44" s="866"/>
      <c r="AJ44" s="866"/>
      <c r="AK44" s="866"/>
      <c r="AL44" s="866"/>
      <c r="AM44" s="866"/>
      <c r="AN44" s="866"/>
      <c r="AO44" s="866"/>
      <c r="AP44" s="866"/>
      <c r="AQ44" s="866"/>
      <c r="AR44" s="866"/>
      <c r="AS44" s="866"/>
      <c r="AT44" s="866"/>
      <c r="AU44" s="866"/>
      <c r="AV44" s="866"/>
      <c r="AW44" s="866"/>
      <c r="AX44" s="866"/>
      <c r="AY44" s="866"/>
      <c r="AZ44" s="866"/>
      <c r="BA44" s="866"/>
      <c r="BB44" s="866"/>
      <c r="BC44" s="866"/>
      <c r="BD44" s="866"/>
      <c r="BE44" s="866"/>
      <c r="BF44" s="866"/>
      <c r="BG44" s="866"/>
      <c r="BH44" s="866"/>
      <c r="BI44" s="866"/>
      <c r="BJ44" s="866"/>
      <c r="BK44" s="866"/>
      <c r="BL44" s="866"/>
      <c r="BM44" s="866"/>
      <c r="BN44" s="866"/>
      <c r="BO44" s="866"/>
      <c r="BP44" s="866"/>
      <c r="BQ44" s="866"/>
      <c r="BR44" s="866"/>
      <c r="BS44" s="866"/>
      <c r="BT44" s="866"/>
      <c r="BU44" s="866"/>
      <c r="BV44" s="866"/>
      <c r="BW44" s="866"/>
      <c r="BX44" s="866"/>
      <c r="BY44" s="866"/>
      <c r="BZ44" s="866"/>
      <c r="CA44" s="866"/>
      <c r="CB44" s="866"/>
      <c r="CC44" s="866"/>
      <c r="CD44" s="866"/>
      <c r="CE44" s="866"/>
      <c r="CF44" s="866"/>
      <c r="CG44" s="866"/>
      <c r="CH44" s="866"/>
      <c r="CI44" s="866"/>
      <c r="CJ44" s="866"/>
      <c r="CK44" s="866"/>
      <c r="CL44" s="866"/>
      <c r="CM44" s="866"/>
      <c r="CN44" s="866"/>
      <c r="CO44" s="866"/>
      <c r="CP44" s="866"/>
      <c r="CQ44" s="866"/>
      <c r="CR44" s="866"/>
      <c r="CS44" s="866"/>
      <c r="CT44" s="866"/>
      <c r="CU44" s="866"/>
      <c r="CV44" s="866"/>
      <c r="CW44" s="866"/>
      <c r="CX44" s="866"/>
      <c r="CY44" s="866"/>
      <c r="CZ44" s="866"/>
      <c r="DA44" s="866"/>
      <c r="DB44" s="866"/>
      <c r="DC44" s="866"/>
      <c r="DD44" s="866"/>
      <c r="DE44" s="866"/>
      <c r="DF44" s="866"/>
      <c r="DG44" s="866"/>
      <c r="DH44" s="866"/>
      <c r="DI44" s="866"/>
      <c r="DJ44" s="866"/>
      <c r="DK44" s="866"/>
      <c r="DL44" s="866"/>
      <c r="DM44" s="866"/>
      <c r="DN44" s="866"/>
      <c r="DO44" s="866"/>
      <c r="DP44" s="866"/>
      <c r="DQ44" s="866"/>
      <c r="DR44" s="866"/>
      <c r="DS44" s="866"/>
      <c r="DT44" s="866"/>
      <c r="DU44" s="866"/>
      <c r="DV44" s="866"/>
      <c r="DW44" s="866"/>
      <c r="DX44" s="866"/>
      <c r="DY44" s="866"/>
      <c r="DZ44" s="866"/>
      <c r="EA44" s="866"/>
      <c r="EB44" s="866"/>
      <c r="EC44" s="866"/>
      <c r="ED44" s="866"/>
      <c r="EE44" s="866"/>
      <c r="EF44" s="866"/>
      <c r="EG44" s="866"/>
      <c r="EH44" s="866"/>
      <c r="EI44" s="866"/>
      <c r="EJ44" s="866"/>
      <c r="EK44" s="866"/>
      <c r="EL44" s="866"/>
      <c r="EM44" s="866"/>
      <c r="EN44" s="866"/>
      <c r="EO44" s="866"/>
      <c r="EP44" s="866"/>
      <c r="EQ44" s="866"/>
      <c r="ER44" s="866"/>
      <c r="ES44" s="866"/>
      <c r="ET44" s="866"/>
      <c r="EU44" s="866"/>
      <c r="EV44" s="866"/>
      <c r="EW44" s="866"/>
      <c r="EX44" s="866"/>
      <c r="EY44" s="866"/>
      <c r="EZ44" s="866"/>
      <c r="FA44" s="866"/>
      <c r="FB44" s="866"/>
      <c r="FC44" s="866"/>
      <c r="FD44" s="866"/>
      <c r="FE44" s="866"/>
      <c r="FF44" s="866"/>
      <c r="FG44" s="866"/>
      <c r="FH44" s="866"/>
      <c r="FI44" s="866"/>
      <c r="FJ44" s="866"/>
      <c r="FK44" s="866"/>
      <c r="FL44" s="866"/>
      <c r="FM44" s="866"/>
      <c r="FN44" s="866"/>
      <c r="FO44" s="866"/>
      <c r="FP44" s="866"/>
      <c r="FQ44" s="866"/>
      <c r="FR44" s="866"/>
      <c r="FS44" s="866"/>
      <c r="FT44" s="866"/>
      <c r="FU44" s="866"/>
      <c r="FV44" s="866"/>
      <c r="FW44" s="866"/>
      <c r="FX44" s="866"/>
      <c r="FY44" s="866"/>
      <c r="FZ44" s="866"/>
      <c r="GA44" s="866"/>
      <c r="GB44" s="866"/>
      <c r="GC44" s="866"/>
      <c r="GD44" s="866"/>
      <c r="GE44" s="866"/>
      <c r="GF44" s="866"/>
      <c r="GG44" s="866"/>
      <c r="GH44" s="866"/>
      <c r="GI44" s="866"/>
      <c r="GJ44" s="866"/>
      <c r="GK44" s="866"/>
      <c r="GL44" s="866"/>
      <c r="GM44" s="866"/>
      <c r="GN44" s="866"/>
      <c r="GO44" s="866"/>
      <c r="GP44" s="866"/>
      <c r="GQ44" s="866"/>
      <c r="GR44" s="866"/>
      <c r="GS44" s="866"/>
      <c r="GT44" s="866"/>
      <c r="GU44" s="866"/>
      <c r="GV44" s="866"/>
      <c r="GW44" s="866"/>
      <c r="GX44" s="866"/>
      <c r="GY44" s="866"/>
      <c r="GZ44" s="866"/>
      <c r="HA44" s="866"/>
      <c r="HB44" s="866"/>
      <c r="HC44" s="866"/>
      <c r="HD44" s="866"/>
      <c r="HE44" s="866"/>
      <c r="HF44" s="866"/>
      <c r="HG44" s="866"/>
      <c r="HH44" s="866"/>
      <c r="HI44" s="866"/>
      <c r="HJ44" s="866"/>
      <c r="HK44" s="866"/>
      <c r="HL44" s="866"/>
      <c r="HM44" s="866"/>
      <c r="HN44" s="866"/>
      <c r="HO44" s="866"/>
      <c r="HP44" s="866"/>
      <c r="HQ44" s="866"/>
      <c r="HR44" s="866"/>
      <c r="HS44" s="866"/>
      <c r="HT44" s="866"/>
      <c r="HU44" s="866"/>
      <c r="HV44" s="866"/>
      <c r="HW44" s="866"/>
      <c r="HX44" s="866"/>
      <c r="HY44" s="866"/>
      <c r="HZ44" s="866"/>
      <c r="IA44" s="866"/>
      <c r="IB44" s="866"/>
      <c r="IC44" s="866"/>
      <c r="ID44" s="866"/>
      <c r="IE44" s="866"/>
      <c r="IF44" s="866"/>
      <c r="IG44" s="866"/>
      <c r="IH44" s="866"/>
      <c r="II44" s="866"/>
      <c r="IJ44" s="866"/>
      <c r="IK44" s="866"/>
      <c r="IL44" s="866"/>
      <c r="IM44" s="866"/>
      <c r="IN44" s="866"/>
      <c r="IO44" s="866"/>
      <c r="IP44" s="866"/>
      <c r="IQ44" s="866"/>
      <c r="IR44" s="866"/>
      <c r="IS44" s="866"/>
      <c r="IT44" s="866"/>
      <c r="IU44" s="866"/>
      <c r="IV44" s="866"/>
    </row>
    <row r="45" spans="1:256" ht="12" customHeight="1">
      <c r="A45" s="862"/>
      <c r="B45" s="866"/>
      <c r="C45" s="866"/>
      <c r="D45" s="1340" t="s">
        <v>15</v>
      </c>
      <c r="E45" s="839"/>
      <c r="F45" s="1340" t="s">
        <v>15</v>
      </c>
      <c r="G45" s="839"/>
      <c r="H45" s="1340" t="s">
        <v>15</v>
      </c>
      <c r="I45" s="839"/>
      <c r="J45" s="842" t="s">
        <v>15</v>
      </c>
      <c r="K45" s="839"/>
      <c r="L45" s="1340" t="s">
        <v>15</v>
      </c>
      <c r="M45" s="873"/>
      <c r="N45" s="866"/>
      <c r="O45" s="879"/>
      <c r="P45" s="879"/>
      <c r="Q45" s="866"/>
      <c r="R45" s="866"/>
      <c r="S45" s="866"/>
      <c r="T45" s="866"/>
      <c r="U45" s="866"/>
      <c r="V45" s="866"/>
      <c r="W45" s="866"/>
      <c r="X45" s="866"/>
      <c r="Y45" s="866"/>
      <c r="Z45" s="866"/>
      <c r="AA45" s="866"/>
      <c r="AB45" s="866"/>
      <c r="AC45" s="866"/>
      <c r="AD45" s="866"/>
      <c r="AE45" s="866"/>
      <c r="AF45" s="866"/>
      <c r="AG45" s="866"/>
      <c r="AH45" s="866"/>
      <c r="AI45" s="866"/>
      <c r="AJ45" s="866"/>
      <c r="AK45" s="866"/>
      <c r="AL45" s="866"/>
      <c r="AM45" s="866"/>
      <c r="AN45" s="866"/>
      <c r="AO45" s="866"/>
      <c r="AP45" s="866"/>
      <c r="AQ45" s="866"/>
      <c r="AR45" s="866"/>
      <c r="AS45" s="866"/>
      <c r="AT45" s="866"/>
      <c r="AU45" s="866"/>
      <c r="AV45" s="866"/>
      <c r="AW45" s="866"/>
      <c r="AX45" s="866"/>
      <c r="AY45" s="866"/>
      <c r="AZ45" s="866"/>
      <c r="BA45" s="866"/>
      <c r="BB45" s="866"/>
      <c r="BC45" s="866"/>
      <c r="BD45" s="866"/>
      <c r="BE45" s="866"/>
      <c r="BF45" s="866"/>
      <c r="BG45" s="866"/>
      <c r="BH45" s="866"/>
      <c r="BI45" s="866"/>
      <c r="BJ45" s="866"/>
      <c r="BK45" s="866"/>
      <c r="BL45" s="866"/>
      <c r="BM45" s="866"/>
      <c r="BN45" s="866"/>
      <c r="BO45" s="866"/>
      <c r="BP45" s="866"/>
      <c r="BQ45" s="866"/>
      <c r="BR45" s="866"/>
      <c r="BS45" s="866"/>
      <c r="BT45" s="866"/>
      <c r="BU45" s="866"/>
      <c r="BV45" s="866"/>
      <c r="BW45" s="866"/>
      <c r="BX45" s="866"/>
      <c r="BY45" s="866"/>
      <c r="BZ45" s="866"/>
      <c r="CA45" s="866"/>
      <c r="CB45" s="866"/>
      <c r="CC45" s="866"/>
      <c r="CD45" s="866"/>
      <c r="CE45" s="866"/>
      <c r="CF45" s="866"/>
      <c r="CG45" s="866"/>
      <c r="CH45" s="866"/>
      <c r="CI45" s="866"/>
      <c r="CJ45" s="866"/>
      <c r="CK45" s="866"/>
      <c r="CL45" s="866"/>
      <c r="CM45" s="866"/>
      <c r="CN45" s="866"/>
      <c r="CO45" s="866"/>
      <c r="CP45" s="866"/>
      <c r="CQ45" s="866"/>
      <c r="CR45" s="866"/>
      <c r="CS45" s="866"/>
      <c r="CT45" s="866"/>
      <c r="CU45" s="866"/>
      <c r="CV45" s="866"/>
      <c r="CW45" s="866"/>
      <c r="CX45" s="866"/>
      <c r="CY45" s="866"/>
      <c r="CZ45" s="866"/>
      <c r="DA45" s="866"/>
      <c r="DB45" s="866"/>
      <c r="DC45" s="866"/>
      <c r="DD45" s="866"/>
      <c r="DE45" s="866"/>
      <c r="DF45" s="866"/>
      <c r="DG45" s="866"/>
      <c r="DH45" s="866"/>
      <c r="DI45" s="866"/>
      <c r="DJ45" s="866"/>
      <c r="DK45" s="866"/>
      <c r="DL45" s="866"/>
      <c r="DM45" s="866"/>
      <c r="DN45" s="866"/>
      <c r="DO45" s="866"/>
      <c r="DP45" s="866"/>
      <c r="DQ45" s="866"/>
      <c r="DR45" s="866"/>
      <c r="DS45" s="866"/>
      <c r="DT45" s="866"/>
      <c r="DU45" s="866"/>
      <c r="DV45" s="866"/>
      <c r="DW45" s="866"/>
      <c r="DX45" s="866"/>
      <c r="DY45" s="866"/>
      <c r="DZ45" s="866"/>
      <c r="EA45" s="866"/>
      <c r="EB45" s="866"/>
      <c r="EC45" s="866"/>
      <c r="ED45" s="866"/>
      <c r="EE45" s="866"/>
      <c r="EF45" s="866"/>
      <c r="EG45" s="866"/>
      <c r="EH45" s="866"/>
      <c r="EI45" s="866"/>
      <c r="EJ45" s="866"/>
      <c r="EK45" s="866"/>
      <c r="EL45" s="866"/>
      <c r="EM45" s="866"/>
      <c r="EN45" s="866"/>
      <c r="EO45" s="866"/>
      <c r="EP45" s="866"/>
      <c r="EQ45" s="866"/>
      <c r="ER45" s="866"/>
      <c r="ES45" s="866"/>
      <c r="ET45" s="866"/>
      <c r="EU45" s="866"/>
      <c r="EV45" s="866"/>
      <c r="EW45" s="866"/>
      <c r="EX45" s="866"/>
      <c r="EY45" s="866"/>
      <c r="EZ45" s="866"/>
      <c r="FA45" s="866"/>
      <c r="FB45" s="866"/>
      <c r="FC45" s="866"/>
      <c r="FD45" s="866"/>
      <c r="FE45" s="866"/>
      <c r="FF45" s="866"/>
      <c r="FG45" s="866"/>
      <c r="FH45" s="866"/>
      <c r="FI45" s="866"/>
      <c r="FJ45" s="866"/>
      <c r="FK45" s="866"/>
      <c r="FL45" s="866"/>
      <c r="FM45" s="866"/>
      <c r="FN45" s="866"/>
      <c r="FO45" s="866"/>
      <c r="FP45" s="866"/>
      <c r="FQ45" s="866"/>
      <c r="FR45" s="866"/>
      <c r="FS45" s="866"/>
      <c r="FT45" s="866"/>
      <c r="FU45" s="866"/>
      <c r="FV45" s="866"/>
      <c r="FW45" s="866"/>
      <c r="FX45" s="866"/>
      <c r="FY45" s="866"/>
      <c r="FZ45" s="866"/>
      <c r="GA45" s="866"/>
      <c r="GB45" s="866"/>
      <c r="GC45" s="866"/>
      <c r="GD45" s="866"/>
      <c r="GE45" s="866"/>
      <c r="GF45" s="866"/>
      <c r="GG45" s="866"/>
      <c r="GH45" s="866"/>
      <c r="GI45" s="866"/>
      <c r="GJ45" s="866"/>
      <c r="GK45" s="866"/>
      <c r="GL45" s="866"/>
      <c r="GM45" s="866"/>
      <c r="GN45" s="866"/>
      <c r="GO45" s="866"/>
      <c r="GP45" s="866"/>
      <c r="GQ45" s="866"/>
      <c r="GR45" s="866"/>
      <c r="GS45" s="866"/>
      <c r="GT45" s="866"/>
      <c r="GU45" s="866"/>
      <c r="GV45" s="866"/>
      <c r="GW45" s="866"/>
      <c r="GX45" s="866"/>
      <c r="GY45" s="866"/>
      <c r="GZ45" s="866"/>
      <c r="HA45" s="866"/>
      <c r="HB45" s="866"/>
      <c r="HC45" s="866"/>
      <c r="HD45" s="866"/>
      <c r="HE45" s="866"/>
      <c r="HF45" s="866"/>
      <c r="HG45" s="866"/>
      <c r="HH45" s="866"/>
      <c r="HI45" s="866"/>
      <c r="HJ45" s="866"/>
      <c r="HK45" s="866"/>
      <c r="HL45" s="866"/>
      <c r="HM45" s="866"/>
      <c r="HN45" s="866"/>
      <c r="HO45" s="866"/>
      <c r="HP45" s="866"/>
      <c r="HQ45" s="866"/>
      <c r="HR45" s="866"/>
      <c r="HS45" s="866"/>
      <c r="HT45" s="866"/>
      <c r="HU45" s="866"/>
      <c r="HV45" s="866"/>
      <c r="HW45" s="866"/>
      <c r="HX45" s="866"/>
      <c r="HY45" s="866"/>
      <c r="HZ45" s="866"/>
      <c r="IA45" s="866"/>
      <c r="IB45" s="866"/>
      <c r="IC45" s="866"/>
      <c r="ID45" s="866"/>
      <c r="IE45" s="866"/>
      <c r="IF45" s="866"/>
      <c r="IG45" s="866"/>
      <c r="IH45" s="866"/>
      <c r="II45" s="866"/>
      <c r="IJ45" s="866"/>
      <c r="IK45" s="866"/>
      <c r="IL45" s="866"/>
      <c r="IM45" s="866"/>
      <c r="IN45" s="866"/>
      <c r="IO45" s="866"/>
      <c r="IP45" s="866"/>
      <c r="IQ45" s="866"/>
      <c r="IR45" s="866"/>
      <c r="IS45" s="866"/>
      <c r="IT45" s="866"/>
      <c r="IU45" s="866"/>
      <c r="IV45" s="866"/>
    </row>
    <row r="46" spans="1:256" ht="3" customHeight="1">
      <c r="A46" s="862"/>
      <c r="B46" s="866"/>
      <c r="C46" s="866"/>
      <c r="D46" s="1351"/>
      <c r="E46" s="1351"/>
      <c r="F46" s="1351"/>
      <c r="G46" s="1351"/>
      <c r="H46" s="1351"/>
      <c r="I46" s="1351"/>
      <c r="J46" s="1351"/>
      <c r="K46" s="1351"/>
      <c r="L46" s="1351"/>
      <c r="M46" s="873"/>
      <c r="N46" s="866"/>
      <c r="O46" s="879"/>
      <c r="P46" s="879"/>
      <c r="Q46" s="866"/>
      <c r="R46" s="866"/>
      <c r="S46" s="866"/>
      <c r="T46" s="866"/>
      <c r="U46" s="866"/>
      <c r="V46" s="866"/>
      <c r="W46" s="866"/>
      <c r="X46" s="866"/>
      <c r="Y46" s="866"/>
      <c r="Z46" s="866"/>
      <c r="AA46" s="866"/>
      <c r="AB46" s="866"/>
      <c r="AC46" s="866"/>
      <c r="AD46" s="866"/>
      <c r="AE46" s="866"/>
      <c r="AF46" s="866"/>
      <c r="AG46" s="866"/>
      <c r="AH46" s="866"/>
      <c r="AI46" s="866"/>
      <c r="AJ46" s="866"/>
      <c r="AK46" s="866"/>
      <c r="AL46" s="866"/>
      <c r="AM46" s="866"/>
      <c r="AN46" s="866"/>
      <c r="AO46" s="866"/>
      <c r="AP46" s="866"/>
      <c r="AQ46" s="866"/>
      <c r="AR46" s="866"/>
      <c r="AS46" s="866"/>
      <c r="AT46" s="866"/>
      <c r="AU46" s="866"/>
      <c r="AV46" s="866"/>
      <c r="AW46" s="866"/>
      <c r="AX46" s="866"/>
      <c r="AY46" s="866"/>
      <c r="AZ46" s="866"/>
      <c r="BA46" s="866"/>
      <c r="BB46" s="866"/>
      <c r="BC46" s="866"/>
      <c r="BD46" s="866"/>
      <c r="BE46" s="866"/>
      <c r="BF46" s="866"/>
      <c r="BG46" s="866"/>
      <c r="BH46" s="866"/>
      <c r="BI46" s="866"/>
      <c r="BJ46" s="866"/>
      <c r="BK46" s="866"/>
      <c r="BL46" s="866"/>
      <c r="BM46" s="866"/>
      <c r="BN46" s="866"/>
      <c r="BO46" s="866"/>
      <c r="BP46" s="866"/>
      <c r="BQ46" s="866"/>
      <c r="BR46" s="866"/>
      <c r="BS46" s="866"/>
      <c r="BT46" s="866"/>
      <c r="BU46" s="866"/>
      <c r="BV46" s="866"/>
      <c r="BW46" s="866"/>
      <c r="BX46" s="866"/>
      <c r="BY46" s="866"/>
      <c r="BZ46" s="866"/>
      <c r="CA46" s="866"/>
      <c r="CB46" s="866"/>
      <c r="CC46" s="866"/>
      <c r="CD46" s="866"/>
      <c r="CE46" s="866"/>
      <c r="CF46" s="866"/>
      <c r="CG46" s="866"/>
      <c r="CH46" s="866"/>
      <c r="CI46" s="866"/>
      <c r="CJ46" s="866"/>
      <c r="CK46" s="866"/>
      <c r="CL46" s="866"/>
      <c r="CM46" s="866"/>
      <c r="CN46" s="866"/>
      <c r="CO46" s="866"/>
      <c r="CP46" s="866"/>
      <c r="CQ46" s="866"/>
      <c r="CR46" s="866"/>
      <c r="CS46" s="866"/>
      <c r="CT46" s="866"/>
      <c r="CU46" s="866"/>
      <c r="CV46" s="866"/>
      <c r="CW46" s="866"/>
      <c r="CX46" s="866"/>
      <c r="CY46" s="866"/>
      <c r="CZ46" s="866"/>
      <c r="DA46" s="866"/>
      <c r="DB46" s="866"/>
      <c r="DC46" s="866"/>
      <c r="DD46" s="866"/>
      <c r="DE46" s="866"/>
      <c r="DF46" s="866"/>
      <c r="DG46" s="866"/>
      <c r="DH46" s="866"/>
      <c r="DI46" s="866"/>
      <c r="DJ46" s="866"/>
      <c r="DK46" s="866"/>
      <c r="DL46" s="866"/>
      <c r="DM46" s="866"/>
      <c r="DN46" s="866"/>
      <c r="DO46" s="866"/>
      <c r="DP46" s="866"/>
      <c r="DQ46" s="866"/>
      <c r="DR46" s="866"/>
      <c r="DS46" s="866"/>
      <c r="DT46" s="866"/>
      <c r="DU46" s="866"/>
      <c r="DV46" s="866"/>
      <c r="DW46" s="866"/>
      <c r="DX46" s="866"/>
      <c r="DY46" s="866"/>
      <c r="DZ46" s="866"/>
      <c r="EA46" s="866"/>
      <c r="EB46" s="866"/>
      <c r="EC46" s="866"/>
      <c r="ED46" s="866"/>
      <c r="EE46" s="866"/>
      <c r="EF46" s="866"/>
      <c r="EG46" s="866"/>
      <c r="EH46" s="866"/>
      <c r="EI46" s="866"/>
      <c r="EJ46" s="866"/>
      <c r="EK46" s="866"/>
      <c r="EL46" s="866"/>
      <c r="EM46" s="866"/>
      <c r="EN46" s="866"/>
      <c r="EO46" s="866"/>
      <c r="EP46" s="866"/>
      <c r="EQ46" s="866"/>
      <c r="ER46" s="866"/>
      <c r="ES46" s="866"/>
      <c r="ET46" s="866"/>
      <c r="EU46" s="866"/>
      <c r="EV46" s="866"/>
      <c r="EW46" s="866"/>
      <c r="EX46" s="866"/>
      <c r="EY46" s="866"/>
      <c r="EZ46" s="866"/>
      <c r="FA46" s="866"/>
      <c r="FB46" s="866"/>
      <c r="FC46" s="866"/>
      <c r="FD46" s="866"/>
      <c r="FE46" s="866"/>
      <c r="FF46" s="866"/>
      <c r="FG46" s="866"/>
      <c r="FH46" s="866"/>
      <c r="FI46" s="866"/>
      <c r="FJ46" s="866"/>
      <c r="FK46" s="866"/>
      <c r="FL46" s="866"/>
      <c r="FM46" s="866"/>
      <c r="FN46" s="866"/>
      <c r="FO46" s="866"/>
      <c r="FP46" s="866"/>
      <c r="FQ46" s="866"/>
      <c r="FR46" s="866"/>
      <c r="FS46" s="866"/>
      <c r="FT46" s="866"/>
      <c r="FU46" s="866"/>
      <c r="FV46" s="866"/>
      <c r="FW46" s="866"/>
      <c r="FX46" s="866"/>
      <c r="FY46" s="866"/>
      <c r="FZ46" s="866"/>
      <c r="GA46" s="866"/>
      <c r="GB46" s="866"/>
      <c r="GC46" s="866"/>
      <c r="GD46" s="866"/>
      <c r="GE46" s="866"/>
      <c r="GF46" s="866"/>
      <c r="GG46" s="866"/>
      <c r="GH46" s="866"/>
      <c r="GI46" s="866"/>
      <c r="GJ46" s="866"/>
      <c r="GK46" s="866"/>
      <c r="GL46" s="866"/>
      <c r="GM46" s="866"/>
      <c r="GN46" s="866"/>
      <c r="GO46" s="866"/>
      <c r="GP46" s="866"/>
      <c r="GQ46" s="866"/>
      <c r="GR46" s="866"/>
      <c r="GS46" s="866"/>
      <c r="GT46" s="866"/>
      <c r="GU46" s="866"/>
      <c r="GV46" s="866"/>
      <c r="GW46" s="866"/>
      <c r="GX46" s="866"/>
      <c r="GY46" s="866"/>
      <c r="GZ46" s="866"/>
      <c r="HA46" s="866"/>
      <c r="HB46" s="866"/>
      <c r="HC46" s="866"/>
      <c r="HD46" s="866"/>
      <c r="HE46" s="866"/>
      <c r="HF46" s="866"/>
      <c r="HG46" s="866"/>
      <c r="HH46" s="866"/>
      <c r="HI46" s="866"/>
      <c r="HJ46" s="866"/>
      <c r="HK46" s="866"/>
      <c r="HL46" s="866"/>
      <c r="HM46" s="866"/>
      <c r="HN46" s="866"/>
      <c r="HO46" s="866"/>
      <c r="HP46" s="866"/>
      <c r="HQ46" s="866"/>
      <c r="HR46" s="866"/>
      <c r="HS46" s="866"/>
      <c r="HT46" s="866"/>
      <c r="HU46" s="866"/>
      <c r="HV46" s="866"/>
      <c r="HW46" s="866"/>
      <c r="HX46" s="866"/>
      <c r="HY46" s="866"/>
      <c r="HZ46" s="866"/>
      <c r="IA46" s="866"/>
      <c r="IB46" s="866"/>
      <c r="IC46" s="866"/>
      <c r="ID46" s="866"/>
      <c r="IE46" s="866"/>
      <c r="IF46" s="866"/>
      <c r="IG46" s="866"/>
      <c r="IH46" s="866"/>
      <c r="II46" s="866"/>
      <c r="IJ46" s="866"/>
      <c r="IK46" s="866"/>
      <c r="IL46" s="866"/>
      <c r="IM46" s="866"/>
      <c r="IN46" s="866"/>
      <c r="IO46" s="866"/>
      <c r="IP46" s="866"/>
      <c r="IQ46" s="866"/>
      <c r="IR46" s="866"/>
      <c r="IS46" s="866"/>
      <c r="IT46" s="866"/>
      <c r="IU46" s="866"/>
      <c r="IV46" s="866"/>
    </row>
    <row r="47" spans="1:256" ht="17.25" customHeight="1" thickBot="1">
      <c r="A47" s="862" t="s">
        <v>1349</v>
      </c>
      <c r="B47" s="866"/>
      <c r="C47" s="884"/>
      <c r="D47" s="1352">
        <f>ROUND(D16+D23+D44,3)</f>
        <v>3858.076</v>
      </c>
      <c r="E47" s="1353"/>
      <c r="F47" s="1352">
        <f>ROUND(F16+F23+F44,3)</f>
        <v>7112.97</v>
      </c>
      <c r="G47" s="1353"/>
      <c r="H47" s="1352">
        <f>ROUND(H16+H23+H44,3)</f>
        <v>7380.241</v>
      </c>
      <c r="I47" s="1354"/>
      <c r="J47" s="1352">
        <f>ROUND(J16+J23+J44,3)</f>
        <v>0</v>
      </c>
      <c r="K47" s="1353"/>
      <c r="L47" s="1352">
        <f>ROUND(L16+L23+L44,3)</f>
        <v>3590.8049999999998</v>
      </c>
      <c r="M47" s="874"/>
      <c r="N47" s="877"/>
      <c r="O47" s="879"/>
      <c r="P47" s="879"/>
      <c r="Q47" s="866"/>
      <c r="R47" s="866"/>
      <c r="S47" s="866"/>
      <c r="T47" s="866"/>
      <c r="U47" s="866"/>
      <c r="V47" s="866"/>
      <c r="W47" s="866"/>
      <c r="X47" s="866"/>
      <c r="Y47" s="866"/>
      <c r="Z47" s="866"/>
      <c r="AA47" s="866"/>
      <c r="AB47" s="866"/>
      <c r="AC47" s="866"/>
      <c r="AD47" s="866"/>
      <c r="AE47" s="866"/>
      <c r="AF47" s="866"/>
      <c r="AG47" s="866"/>
      <c r="AH47" s="866"/>
      <c r="AI47" s="866"/>
      <c r="AJ47" s="866"/>
      <c r="AK47" s="866"/>
      <c r="AL47" s="866"/>
      <c r="AM47" s="866"/>
      <c r="AN47" s="866"/>
      <c r="AO47" s="866"/>
      <c r="AP47" s="866"/>
      <c r="AQ47" s="866"/>
      <c r="AR47" s="866"/>
      <c r="AS47" s="866"/>
      <c r="AT47" s="866"/>
      <c r="AU47" s="866"/>
      <c r="AV47" s="866"/>
      <c r="AW47" s="866"/>
      <c r="AX47" s="866"/>
      <c r="AY47" s="866"/>
      <c r="AZ47" s="866"/>
      <c r="BA47" s="866"/>
      <c r="BB47" s="866"/>
      <c r="BC47" s="866"/>
      <c r="BD47" s="866"/>
      <c r="BE47" s="866"/>
      <c r="BF47" s="866"/>
      <c r="BG47" s="866"/>
      <c r="BH47" s="866"/>
      <c r="BI47" s="866"/>
      <c r="BJ47" s="866"/>
      <c r="BK47" s="866"/>
      <c r="BL47" s="866"/>
      <c r="BM47" s="866"/>
      <c r="BN47" s="866"/>
      <c r="BO47" s="866"/>
      <c r="BP47" s="866"/>
      <c r="BQ47" s="866"/>
      <c r="BR47" s="866"/>
      <c r="BS47" s="866"/>
      <c r="BT47" s="866"/>
      <c r="BU47" s="866"/>
      <c r="BV47" s="866"/>
      <c r="BW47" s="866"/>
      <c r="BX47" s="866"/>
      <c r="BY47" s="866"/>
      <c r="BZ47" s="866"/>
      <c r="CA47" s="866"/>
      <c r="CB47" s="866"/>
      <c r="CC47" s="866"/>
      <c r="CD47" s="866"/>
      <c r="CE47" s="866"/>
      <c r="CF47" s="866"/>
      <c r="CG47" s="866"/>
      <c r="CH47" s="866"/>
      <c r="CI47" s="866"/>
      <c r="CJ47" s="866"/>
      <c r="CK47" s="866"/>
      <c r="CL47" s="866"/>
      <c r="CM47" s="866"/>
      <c r="CN47" s="866"/>
      <c r="CO47" s="866"/>
      <c r="CP47" s="866"/>
      <c r="CQ47" s="866"/>
      <c r="CR47" s="866"/>
      <c r="CS47" s="866"/>
      <c r="CT47" s="866"/>
      <c r="CU47" s="866"/>
      <c r="CV47" s="866"/>
      <c r="CW47" s="866"/>
      <c r="CX47" s="866"/>
      <c r="CY47" s="866"/>
      <c r="CZ47" s="866"/>
      <c r="DA47" s="866"/>
      <c r="DB47" s="866"/>
      <c r="DC47" s="866"/>
      <c r="DD47" s="866"/>
      <c r="DE47" s="866"/>
      <c r="DF47" s="866"/>
      <c r="DG47" s="866"/>
      <c r="DH47" s="866"/>
      <c r="DI47" s="866"/>
      <c r="DJ47" s="866"/>
      <c r="DK47" s="866"/>
      <c r="DL47" s="866"/>
      <c r="DM47" s="866"/>
      <c r="DN47" s="866"/>
      <c r="DO47" s="866"/>
      <c r="DP47" s="866"/>
      <c r="DQ47" s="866"/>
      <c r="DR47" s="866"/>
      <c r="DS47" s="866"/>
      <c r="DT47" s="866"/>
      <c r="DU47" s="866"/>
      <c r="DV47" s="866"/>
      <c r="DW47" s="866"/>
      <c r="DX47" s="866"/>
      <c r="DY47" s="866"/>
      <c r="DZ47" s="866"/>
      <c r="EA47" s="866"/>
      <c r="EB47" s="866"/>
      <c r="EC47" s="866"/>
      <c r="ED47" s="866"/>
      <c r="EE47" s="866"/>
      <c r="EF47" s="866"/>
      <c r="EG47" s="866"/>
      <c r="EH47" s="866"/>
      <c r="EI47" s="866"/>
      <c r="EJ47" s="866"/>
      <c r="EK47" s="866"/>
      <c r="EL47" s="866"/>
      <c r="EM47" s="866"/>
      <c r="EN47" s="866"/>
      <c r="EO47" s="866"/>
      <c r="EP47" s="866"/>
      <c r="EQ47" s="866"/>
      <c r="ER47" s="866"/>
      <c r="ES47" s="866"/>
      <c r="ET47" s="866"/>
      <c r="EU47" s="866"/>
      <c r="EV47" s="866"/>
      <c r="EW47" s="866"/>
      <c r="EX47" s="866"/>
      <c r="EY47" s="866"/>
      <c r="EZ47" s="866"/>
      <c r="FA47" s="866"/>
      <c r="FB47" s="866"/>
      <c r="FC47" s="866"/>
      <c r="FD47" s="866"/>
      <c r="FE47" s="866"/>
      <c r="FF47" s="866"/>
      <c r="FG47" s="866"/>
      <c r="FH47" s="866"/>
      <c r="FI47" s="866"/>
      <c r="FJ47" s="866"/>
      <c r="FK47" s="866"/>
      <c r="FL47" s="866"/>
      <c r="FM47" s="866"/>
      <c r="FN47" s="866"/>
      <c r="FO47" s="866"/>
      <c r="FP47" s="866"/>
      <c r="FQ47" s="866"/>
      <c r="FR47" s="866"/>
      <c r="FS47" s="866"/>
      <c r="FT47" s="866"/>
      <c r="FU47" s="866"/>
      <c r="FV47" s="866"/>
      <c r="FW47" s="866"/>
      <c r="FX47" s="866"/>
      <c r="FY47" s="866"/>
      <c r="FZ47" s="866"/>
      <c r="GA47" s="866"/>
      <c r="GB47" s="866"/>
      <c r="GC47" s="866"/>
      <c r="GD47" s="866"/>
      <c r="GE47" s="866"/>
      <c r="GF47" s="866"/>
      <c r="GG47" s="866"/>
      <c r="GH47" s="866"/>
      <c r="GI47" s="866"/>
      <c r="GJ47" s="866"/>
      <c r="GK47" s="866"/>
      <c r="GL47" s="866"/>
      <c r="GM47" s="866"/>
      <c r="GN47" s="866"/>
      <c r="GO47" s="866"/>
      <c r="GP47" s="866"/>
      <c r="GQ47" s="866"/>
      <c r="GR47" s="866"/>
      <c r="GS47" s="866"/>
      <c r="GT47" s="866"/>
      <c r="GU47" s="866"/>
      <c r="GV47" s="866"/>
      <c r="GW47" s="866"/>
      <c r="GX47" s="866"/>
      <c r="GY47" s="866"/>
      <c r="GZ47" s="866"/>
      <c r="HA47" s="866"/>
      <c r="HB47" s="866"/>
      <c r="HC47" s="866"/>
      <c r="HD47" s="866"/>
      <c r="HE47" s="866"/>
      <c r="HF47" s="866"/>
      <c r="HG47" s="866"/>
      <c r="HH47" s="866"/>
      <c r="HI47" s="866"/>
      <c r="HJ47" s="866"/>
      <c r="HK47" s="866"/>
      <c r="HL47" s="866"/>
      <c r="HM47" s="866"/>
      <c r="HN47" s="866"/>
      <c r="HO47" s="866"/>
      <c r="HP47" s="866"/>
      <c r="HQ47" s="866"/>
      <c r="HR47" s="866"/>
      <c r="HS47" s="866"/>
      <c r="HT47" s="866"/>
      <c r="HU47" s="866"/>
      <c r="HV47" s="866"/>
      <c r="HW47" s="866"/>
      <c r="HX47" s="866"/>
      <c r="HY47" s="866"/>
      <c r="HZ47" s="866"/>
      <c r="IA47" s="866"/>
      <c r="IB47" s="866"/>
      <c r="IC47" s="866"/>
      <c r="ID47" s="866"/>
      <c r="IE47" s="866"/>
      <c r="IF47" s="866"/>
      <c r="IG47" s="866"/>
      <c r="IH47" s="866"/>
      <c r="II47" s="866"/>
      <c r="IJ47" s="866"/>
      <c r="IK47" s="866"/>
      <c r="IL47" s="866"/>
      <c r="IM47" s="866"/>
      <c r="IN47" s="866"/>
      <c r="IO47" s="866"/>
      <c r="IP47" s="866"/>
      <c r="IQ47" s="866"/>
      <c r="IR47" s="866"/>
      <c r="IS47" s="866"/>
      <c r="IT47" s="866"/>
      <c r="IU47" s="866"/>
      <c r="IV47" s="866"/>
    </row>
    <row r="48" spans="1:256" ht="12" customHeight="1" thickTop="1">
      <c r="A48" s="866"/>
      <c r="B48" s="866"/>
      <c r="C48" s="866"/>
      <c r="D48" s="1355" t="s">
        <v>15</v>
      </c>
      <c r="E48" s="1334"/>
      <c r="F48" s="1355" t="s">
        <v>15</v>
      </c>
      <c r="G48" s="1334"/>
      <c r="H48" s="1355" t="s">
        <v>15</v>
      </c>
      <c r="I48" s="1334"/>
      <c r="J48" s="1329" t="s">
        <v>15</v>
      </c>
      <c r="K48" s="1334"/>
      <c r="L48" s="1355" t="s">
        <v>15</v>
      </c>
      <c r="M48" s="873"/>
      <c r="N48" s="866"/>
      <c r="O48" s="879"/>
      <c r="P48" s="879"/>
      <c r="Q48" s="866"/>
      <c r="R48" s="866"/>
      <c r="S48" s="866"/>
      <c r="T48" s="866"/>
      <c r="U48" s="866"/>
      <c r="V48" s="866"/>
      <c r="W48" s="866"/>
      <c r="X48" s="866"/>
      <c r="Y48" s="866"/>
      <c r="Z48" s="866"/>
      <c r="AA48" s="866"/>
      <c r="AB48" s="866"/>
      <c r="AC48" s="866"/>
      <c r="AD48" s="866"/>
      <c r="AE48" s="866"/>
      <c r="AF48" s="866"/>
      <c r="AG48" s="866"/>
      <c r="AH48" s="866"/>
      <c r="AI48" s="866"/>
      <c r="AJ48" s="866"/>
      <c r="AK48" s="866"/>
      <c r="AL48" s="866"/>
      <c r="AM48" s="866"/>
      <c r="AN48" s="866"/>
      <c r="AO48" s="866"/>
      <c r="AP48" s="866"/>
      <c r="AQ48" s="866"/>
      <c r="AR48" s="866"/>
      <c r="AS48" s="866"/>
      <c r="AT48" s="866"/>
      <c r="AU48" s="866"/>
      <c r="AV48" s="866"/>
      <c r="AW48" s="866"/>
      <c r="AX48" s="866"/>
      <c r="AY48" s="866"/>
      <c r="AZ48" s="866"/>
      <c r="BA48" s="866"/>
      <c r="BB48" s="866"/>
      <c r="BC48" s="866"/>
      <c r="BD48" s="866"/>
      <c r="BE48" s="866"/>
      <c r="BF48" s="866"/>
      <c r="BG48" s="866"/>
      <c r="BH48" s="866"/>
      <c r="BI48" s="866"/>
      <c r="BJ48" s="866"/>
      <c r="BK48" s="866"/>
      <c r="BL48" s="866"/>
      <c r="BM48" s="866"/>
      <c r="BN48" s="866"/>
      <c r="BO48" s="866"/>
      <c r="BP48" s="866"/>
      <c r="BQ48" s="866"/>
      <c r="BR48" s="866"/>
      <c r="BS48" s="866"/>
      <c r="BT48" s="866"/>
      <c r="BU48" s="866"/>
      <c r="BV48" s="866"/>
      <c r="BW48" s="866"/>
      <c r="BX48" s="866"/>
      <c r="BY48" s="866"/>
      <c r="BZ48" s="866"/>
      <c r="CA48" s="866"/>
      <c r="CB48" s="866"/>
      <c r="CC48" s="866"/>
      <c r="CD48" s="866"/>
      <c r="CE48" s="866"/>
      <c r="CF48" s="866"/>
      <c r="CG48" s="866"/>
      <c r="CH48" s="866"/>
      <c r="CI48" s="866"/>
      <c r="CJ48" s="866"/>
      <c r="CK48" s="866"/>
      <c r="CL48" s="866"/>
      <c r="CM48" s="866"/>
      <c r="CN48" s="866"/>
      <c r="CO48" s="866"/>
      <c r="CP48" s="866"/>
      <c r="CQ48" s="866"/>
      <c r="CR48" s="866"/>
      <c r="CS48" s="866"/>
      <c r="CT48" s="866"/>
      <c r="CU48" s="866"/>
      <c r="CV48" s="866"/>
      <c r="CW48" s="866"/>
      <c r="CX48" s="866"/>
      <c r="CY48" s="866"/>
      <c r="CZ48" s="866"/>
      <c r="DA48" s="866"/>
      <c r="DB48" s="866"/>
      <c r="DC48" s="866"/>
      <c r="DD48" s="866"/>
      <c r="DE48" s="866"/>
      <c r="DF48" s="866"/>
      <c r="DG48" s="866"/>
      <c r="DH48" s="866"/>
      <c r="DI48" s="866"/>
      <c r="DJ48" s="866"/>
      <c r="DK48" s="866"/>
      <c r="DL48" s="866"/>
      <c r="DM48" s="866"/>
      <c r="DN48" s="866"/>
      <c r="DO48" s="866"/>
      <c r="DP48" s="866"/>
      <c r="DQ48" s="866"/>
      <c r="DR48" s="866"/>
      <c r="DS48" s="866"/>
      <c r="DT48" s="866"/>
      <c r="DU48" s="866"/>
      <c r="DV48" s="866"/>
      <c r="DW48" s="866"/>
      <c r="DX48" s="866"/>
      <c r="DY48" s="866"/>
      <c r="DZ48" s="866"/>
      <c r="EA48" s="866"/>
      <c r="EB48" s="866"/>
      <c r="EC48" s="866"/>
      <c r="ED48" s="866"/>
      <c r="EE48" s="866"/>
      <c r="EF48" s="866"/>
      <c r="EG48" s="866"/>
      <c r="EH48" s="866"/>
      <c r="EI48" s="866"/>
      <c r="EJ48" s="866"/>
      <c r="EK48" s="866"/>
      <c r="EL48" s="866"/>
      <c r="EM48" s="866"/>
      <c r="EN48" s="866"/>
      <c r="EO48" s="866"/>
      <c r="EP48" s="866"/>
      <c r="EQ48" s="866"/>
      <c r="ER48" s="866"/>
      <c r="ES48" s="866"/>
      <c r="ET48" s="866"/>
      <c r="EU48" s="866"/>
      <c r="EV48" s="866"/>
      <c r="EW48" s="866"/>
      <c r="EX48" s="866"/>
      <c r="EY48" s="866"/>
      <c r="EZ48" s="866"/>
      <c r="FA48" s="866"/>
      <c r="FB48" s="866"/>
      <c r="FC48" s="866"/>
      <c r="FD48" s="866"/>
      <c r="FE48" s="866"/>
      <c r="FF48" s="866"/>
      <c r="FG48" s="866"/>
      <c r="FH48" s="866"/>
      <c r="FI48" s="866"/>
      <c r="FJ48" s="866"/>
      <c r="FK48" s="866"/>
      <c r="FL48" s="866"/>
      <c r="FM48" s="866"/>
      <c r="FN48" s="866"/>
      <c r="FO48" s="866"/>
      <c r="FP48" s="866"/>
      <c r="FQ48" s="866"/>
      <c r="FR48" s="866"/>
      <c r="FS48" s="866"/>
      <c r="FT48" s="866"/>
      <c r="FU48" s="866"/>
      <c r="FV48" s="866"/>
      <c r="FW48" s="866"/>
      <c r="FX48" s="866"/>
      <c r="FY48" s="866"/>
      <c r="FZ48" s="866"/>
      <c r="GA48" s="866"/>
      <c r="GB48" s="866"/>
      <c r="GC48" s="866"/>
      <c r="GD48" s="866"/>
      <c r="GE48" s="866"/>
      <c r="GF48" s="866"/>
      <c r="GG48" s="866"/>
      <c r="GH48" s="866"/>
      <c r="GI48" s="866"/>
      <c r="GJ48" s="866"/>
      <c r="GK48" s="866"/>
      <c r="GL48" s="866"/>
      <c r="GM48" s="866"/>
      <c r="GN48" s="866"/>
      <c r="GO48" s="866"/>
      <c r="GP48" s="866"/>
      <c r="GQ48" s="866"/>
      <c r="GR48" s="866"/>
      <c r="GS48" s="866"/>
      <c r="GT48" s="866"/>
      <c r="GU48" s="866"/>
      <c r="GV48" s="866"/>
      <c r="GW48" s="866"/>
      <c r="GX48" s="866"/>
      <c r="GY48" s="866"/>
      <c r="GZ48" s="866"/>
      <c r="HA48" s="866"/>
      <c r="HB48" s="866"/>
      <c r="HC48" s="866"/>
      <c r="HD48" s="866"/>
      <c r="HE48" s="866"/>
      <c r="HF48" s="866"/>
      <c r="HG48" s="866"/>
      <c r="HH48" s="866"/>
      <c r="HI48" s="866"/>
      <c r="HJ48" s="866"/>
      <c r="HK48" s="866"/>
      <c r="HL48" s="866"/>
      <c r="HM48" s="866"/>
      <c r="HN48" s="866"/>
      <c r="HO48" s="866"/>
      <c r="HP48" s="866"/>
      <c r="HQ48" s="866"/>
      <c r="HR48" s="866"/>
      <c r="HS48" s="866"/>
      <c r="HT48" s="866"/>
      <c r="HU48" s="866"/>
      <c r="HV48" s="866"/>
      <c r="HW48" s="866"/>
      <c r="HX48" s="866"/>
      <c r="HY48" s="866"/>
      <c r="HZ48" s="866"/>
      <c r="IA48" s="866"/>
      <c r="IB48" s="866"/>
      <c r="IC48" s="866"/>
      <c r="ID48" s="866"/>
      <c r="IE48" s="866"/>
      <c r="IF48" s="866"/>
      <c r="IG48" s="866"/>
      <c r="IH48" s="866"/>
      <c r="II48" s="866"/>
      <c r="IJ48" s="866"/>
      <c r="IK48" s="866"/>
      <c r="IL48" s="866"/>
      <c r="IM48" s="866"/>
      <c r="IN48" s="866"/>
      <c r="IO48" s="866"/>
      <c r="IP48" s="866"/>
      <c r="IQ48" s="866"/>
      <c r="IR48" s="866"/>
      <c r="IS48" s="866"/>
      <c r="IT48" s="866"/>
      <c r="IU48" s="866"/>
      <c r="IV48" s="866"/>
    </row>
    <row r="49" spans="1:256" ht="15.75" customHeight="1">
      <c r="A49" s="1356"/>
      <c r="B49" s="866"/>
      <c r="C49" s="866"/>
      <c r="D49" s="866"/>
      <c r="E49" s="866"/>
      <c r="F49" s="866"/>
      <c r="G49" s="866"/>
      <c r="H49" s="866"/>
      <c r="I49" s="866"/>
      <c r="J49" s="866"/>
      <c r="K49" s="866"/>
      <c r="L49" s="866"/>
      <c r="M49" s="866"/>
      <c r="N49" s="866"/>
      <c r="O49" s="879"/>
      <c r="P49" s="879"/>
      <c r="Q49" s="866"/>
      <c r="R49" s="866"/>
      <c r="S49" s="866"/>
      <c r="T49" s="866"/>
      <c r="U49" s="866"/>
      <c r="V49" s="866"/>
      <c r="W49" s="866"/>
      <c r="X49" s="866"/>
      <c r="Y49" s="866"/>
      <c r="Z49" s="866"/>
      <c r="AA49" s="866"/>
      <c r="AB49" s="866"/>
      <c r="AC49" s="866"/>
      <c r="AD49" s="866"/>
      <c r="AE49" s="866"/>
      <c r="AF49" s="866"/>
      <c r="AG49" s="866"/>
      <c r="AH49" s="866"/>
      <c r="AI49" s="866"/>
      <c r="AJ49" s="866"/>
      <c r="AK49" s="866"/>
      <c r="AL49" s="866"/>
      <c r="AM49" s="866"/>
      <c r="AN49" s="866"/>
      <c r="AO49" s="866"/>
      <c r="AP49" s="866"/>
      <c r="AQ49" s="866"/>
      <c r="AR49" s="866"/>
      <c r="AS49" s="866"/>
      <c r="AT49" s="866"/>
      <c r="AU49" s="866"/>
      <c r="AV49" s="866"/>
      <c r="AW49" s="866"/>
      <c r="AX49" s="866"/>
      <c r="AY49" s="866"/>
      <c r="AZ49" s="866"/>
      <c r="BA49" s="866"/>
      <c r="BB49" s="866"/>
      <c r="BC49" s="866"/>
      <c r="BD49" s="866"/>
      <c r="BE49" s="866"/>
      <c r="BF49" s="866"/>
      <c r="BG49" s="866"/>
      <c r="BH49" s="866"/>
      <c r="BI49" s="866"/>
      <c r="BJ49" s="866"/>
      <c r="BK49" s="866"/>
      <c r="BL49" s="866"/>
      <c r="BM49" s="866"/>
      <c r="BN49" s="866"/>
      <c r="BO49" s="866"/>
      <c r="BP49" s="866"/>
      <c r="BQ49" s="866"/>
      <c r="BR49" s="866"/>
      <c r="BS49" s="866"/>
      <c r="BT49" s="866"/>
      <c r="BU49" s="866"/>
      <c r="BV49" s="866"/>
      <c r="BW49" s="866"/>
      <c r="BX49" s="866"/>
      <c r="BY49" s="866"/>
      <c r="BZ49" s="866"/>
      <c r="CA49" s="866"/>
      <c r="CB49" s="866"/>
      <c r="CC49" s="866"/>
      <c r="CD49" s="866"/>
      <c r="CE49" s="866"/>
      <c r="CF49" s="866"/>
      <c r="CG49" s="866"/>
      <c r="CH49" s="866"/>
      <c r="CI49" s="866"/>
      <c r="CJ49" s="866"/>
      <c r="CK49" s="866"/>
      <c r="CL49" s="866"/>
      <c r="CM49" s="866"/>
      <c r="CN49" s="866"/>
      <c r="CO49" s="866"/>
      <c r="CP49" s="866"/>
      <c r="CQ49" s="866"/>
      <c r="CR49" s="866"/>
      <c r="CS49" s="866"/>
      <c r="CT49" s="866"/>
      <c r="CU49" s="866"/>
      <c r="CV49" s="866"/>
      <c r="CW49" s="866"/>
      <c r="CX49" s="866"/>
      <c r="CY49" s="866"/>
      <c r="CZ49" s="866"/>
      <c r="DA49" s="866"/>
      <c r="DB49" s="866"/>
      <c r="DC49" s="866"/>
      <c r="DD49" s="866"/>
      <c r="DE49" s="866"/>
      <c r="DF49" s="866"/>
      <c r="DG49" s="866"/>
      <c r="DH49" s="866"/>
      <c r="DI49" s="866"/>
      <c r="DJ49" s="866"/>
      <c r="DK49" s="866"/>
      <c r="DL49" s="866"/>
      <c r="DM49" s="866"/>
      <c r="DN49" s="866"/>
      <c r="DO49" s="866"/>
      <c r="DP49" s="866"/>
      <c r="DQ49" s="866"/>
      <c r="DR49" s="866"/>
      <c r="DS49" s="866"/>
      <c r="DT49" s="866"/>
      <c r="DU49" s="866"/>
      <c r="DV49" s="866"/>
      <c r="DW49" s="866"/>
      <c r="DX49" s="866"/>
      <c r="DY49" s="866"/>
      <c r="DZ49" s="866"/>
      <c r="EA49" s="866"/>
      <c r="EB49" s="866"/>
      <c r="EC49" s="866"/>
      <c r="ED49" s="866"/>
      <c r="EE49" s="866"/>
      <c r="EF49" s="866"/>
      <c r="EG49" s="866"/>
      <c r="EH49" s="866"/>
      <c r="EI49" s="866"/>
      <c r="EJ49" s="866"/>
      <c r="EK49" s="866"/>
      <c r="EL49" s="866"/>
      <c r="EM49" s="866"/>
      <c r="EN49" s="866"/>
      <c r="EO49" s="866"/>
      <c r="EP49" s="866"/>
      <c r="EQ49" s="866"/>
      <c r="ER49" s="866"/>
      <c r="ES49" s="866"/>
      <c r="ET49" s="866"/>
      <c r="EU49" s="866"/>
      <c r="EV49" s="866"/>
      <c r="EW49" s="866"/>
      <c r="EX49" s="866"/>
      <c r="EY49" s="866"/>
      <c r="EZ49" s="866"/>
      <c r="FA49" s="866"/>
      <c r="FB49" s="866"/>
      <c r="FC49" s="866"/>
      <c r="FD49" s="866"/>
      <c r="FE49" s="866"/>
      <c r="FF49" s="866"/>
      <c r="FG49" s="866"/>
      <c r="FH49" s="866"/>
      <c r="FI49" s="866"/>
      <c r="FJ49" s="866"/>
      <c r="FK49" s="866"/>
      <c r="FL49" s="866"/>
      <c r="FM49" s="866"/>
      <c r="FN49" s="866"/>
      <c r="FO49" s="866"/>
      <c r="FP49" s="866"/>
      <c r="FQ49" s="866"/>
      <c r="FR49" s="866"/>
      <c r="FS49" s="866"/>
      <c r="FT49" s="866"/>
      <c r="FU49" s="866"/>
      <c r="FV49" s="866"/>
      <c r="FW49" s="866"/>
      <c r="FX49" s="866"/>
      <c r="FY49" s="866"/>
      <c r="FZ49" s="866"/>
      <c r="GA49" s="866"/>
      <c r="GB49" s="866"/>
      <c r="GC49" s="866"/>
      <c r="GD49" s="866"/>
      <c r="GE49" s="866"/>
      <c r="GF49" s="866"/>
      <c r="GG49" s="866"/>
      <c r="GH49" s="866"/>
      <c r="GI49" s="866"/>
      <c r="GJ49" s="866"/>
      <c r="GK49" s="866"/>
      <c r="GL49" s="866"/>
      <c r="GM49" s="866"/>
      <c r="GN49" s="866"/>
      <c r="GO49" s="866"/>
      <c r="GP49" s="866"/>
      <c r="GQ49" s="866"/>
      <c r="GR49" s="866"/>
      <c r="GS49" s="866"/>
      <c r="GT49" s="866"/>
      <c r="GU49" s="866"/>
      <c r="GV49" s="866"/>
      <c r="GW49" s="866"/>
      <c r="GX49" s="866"/>
      <c r="GY49" s="866"/>
      <c r="GZ49" s="866"/>
      <c r="HA49" s="866"/>
      <c r="HB49" s="866"/>
      <c r="HC49" s="866"/>
      <c r="HD49" s="866"/>
      <c r="HE49" s="866"/>
      <c r="HF49" s="866"/>
      <c r="HG49" s="866"/>
      <c r="HH49" s="866"/>
      <c r="HI49" s="866"/>
      <c r="HJ49" s="866"/>
      <c r="HK49" s="866"/>
      <c r="HL49" s="866"/>
      <c r="HM49" s="866"/>
      <c r="HN49" s="866"/>
      <c r="HO49" s="866"/>
      <c r="HP49" s="866"/>
      <c r="HQ49" s="866"/>
      <c r="HR49" s="866"/>
      <c r="HS49" s="866"/>
      <c r="HT49" s="866"/>
      <c r="HU49" s="866"/>
      <c r="HV49" s="866"/>
      <c r="HW49" s="866"/>
      <c r="HX49" s="866"/>
      <c r="HY49" s="866"/>
      <c r="HZ49" s="866"/>
      <c r="IA49" s="866"/>
      <c r="IB49" s="866"/>
      <c r="IC49" s="866"/>
      <c r="ID49" s="866"/>
      <c r="IE49" s="866"/>
      <c r="IF49" s="866"/>
      <c r="IG49" s="866"/>
      <c r="IH49" s="866"/>
      <c r="II49" s="866"/>
      <c r="IJ49" s="866"/>
      <c r="IK49" s="866"/>
      <c r="IL49" s="866"/>
      <c r="IM49" s="866"/>
      <c r="IN49" s="866"/>
      <c r="IO49" s="866"/>
      <c r="IP49" s="866"/>
      <c r="IQ49" s="866"/>
      <c r="IR49" s="866"/>
      <c r="IS49" s="866"/>
      <c r="IT49" s="866"/>
      <c r="IU49" s="866"/>
      <c r="IV49" s="866"/>
    </row>
    <row r="50" spans="1:256" ht="18">
      <c r="A50" s="866"/>
      <c r="B50" s="866"/>
      <c r="C50" s="866" t="s">
        <v>15</v>
      </c>
      <c r="D50" s="877"/>
      <c r="E50" s="866"/>
      <c r="F50" s="866"/>
      <c r="G50" s="866"/>
      <c r="H50" s="866"/>
      <c r="I50" s="866"/>
      <c r="J50" s="866"/>
      <c r="K50" s="866"/>
      <c r="L50" s="880"/>
      <c r="M50" s="866"/>
      <c r="N50" s="866"/>
      <c r="O50" s="879"/>
      <c r="P50" s="879"/>
      <c r="Q50" s="866"/>
      <c r="R50" s="866"/>
      <c r="S50" s="866"/>
      <c r="T50" s="866"/>
      <c r="U50" s="866"/>
      <c r="V50" s="866"/>
      <c r="W50" s="866"/>
      <c r="X50" s="866"/>
      <c r="Y50" s="866"/>
      <c r="Z50" s="866"/>
      <c r="AA50" s="866"/>
      <c r="AB50" s="866"/>
      <c r="AC50" s="866"/>
      <c r="AD50" s="866"/>
      <c r="AE50" s="866"/>
      <c r="AF50" s="866"/>
      <c r="AG50" s="866"/>
      <c r="AH50" s="866"/>
      <c r="AI50" s="866"/>
      <c r="AJ50" s="866"/>
      <c r="AK50" s="866"/>
      <c r="AL50" s="866"/>
      <c r="AM50" s="866"/>
      <c r="AN50" s="866"/>
      <c r="AO50" s="866"/>
      <c r="AP50" s="866"/>
      <c r="AQ50" s="866"/>
      <c r="AR50" s="866"/>
      <c r="AS50" s="866"/>
      <c r="AT50" s="866"/>
      <c r="AU50" s="866"/>
      <c r="AV50" s="866"/>
      <c r="AW50" s="866"/>
      <c r="AX50" s="866"/>
      <c r="AY50" s="866"/>
      <c r="AZ50" s="866"/>
      <c r="BA50" s="866"/>
      <c r="BB50" s="866"/>
      <c r="BC50" s="866"/>
      <c r="BD50" s="866"/>
      <c r="BE50" s="866"/>
      <c r="BF50" s="866"/>
      <c r="BG50" s="866"/>
      <c r="BH50" s="866"/>
      <c r="BI50" s="866"/>
      <c r="BJ50" s="866"/>
      <c r="BK50" s="866"/>
      <c r="BL50" s="866"/>
      <c r="BM50" s="866"/>
      <c r="BN50" s="866"/>
      <c r="BO50" s="866"/>
      <c r="BP50" s="866"/>
      <c r="BQ50" s="866"/>
      <c r="BR50" s="866"/>
      <c r="BS50" s="866"/>
      <c r="BT50" s="866"/>
      <c r="BU50" s="866"/>
      <c r="BV50" s="866"/>
      <c r="BW50" s="866"/>
      <c r="BX50" s="866"/>
      <c r="BY50" s="866"/>
      <c r="BZ50" s="866"/>
      <c r="CA50" s="866"/>
      <c r="CB50" s="866"/>
      <c r="CC50" s="866"/>
      <c r="CD50" s="866"/>
      <c r="CE50" s="866"/>
      <c r="CF50" s="866"/>
      <c r="CG50" s="866"/>
      <c r="CH50" s="866"/>
      <c r="CI50" s="866"/>
      <c r="CJ50" s="866"/>
      <c r="CK50" s="866"/>
      <c r="CL50" s="866"/>
      <c r="CM50" s="866"/>
      <c r="CN50" s="866"/>
      <c r="CO50" s="866"/>
      <c r="CP50" s="866"/>
      <c r="CQ50" s="866"/>
      <c r="CR50" s="866"/>
      <c r="CS50" s="866"/>
      <c r="CT50" s="866"/>
      <c r="CU50" s="866"/>
      <c r="CV50" s="866"/>
      <c r="CW50" s="866"/>
      <c r="CX50" s="866"/>
      <c r="CY50" s="866"/>
      <c r="CZ50" s="866"/>
      <c r="DA50" s="866"/>
      <c r="DB50" s="866"/>
      <c r="DC50" s="866"/>
      <c r="DD50" s="866"/>
      <c r="DE50" s="866"/>
      <c r="DF50" s="866"/>
      <c r="DG50" s="866"/>
      <c r="DH50" s="866"/>
      <c r="DI50" s="866"/>
      <c r="DJ50" s="866"/>
      <c r="DK50" s="866"/>
      <c r="DL50" s="866"/>
      <c r="DM50" s="866"/>
      <c r="DN50" s="866"/>
      <c r="DO50" s="866"/>
      <c r="DP50" s="866"/>
      <c r="DQ50" s="866"/>
      <c r="DR50" s="866"/>
      <c r="DS50" s="866"/>
      <c r="DT50" s="866"/>
      <c r="DU50" s="866"/>
      <c r="DV50" s="866"/>
      <c r="DW50" s="866"/>
      <c r="DX50" s="866"/>
      <c r="DY50" s="866"/>
      <c r="DZ50" s="866"/>
      <c r="EA50" s="866"/>
      <c r="EB50" s="866"/>
      <c r="EC50" s="866"/>
      <c r="ED50" s="866"/>
      <c r="EE50" s="866"/>
      <c r="EF50" s="866"/>
      <c r="EG50" s="866"/>
      <c r="EH50" s="866"/>
      <c r="EI50" s="866"/>
      <c r="EJ50" s="866"/>
      <c r="EK50" s="866"/>
      <c r="EL50" s="866"/>
      <c r="EM50" s="866"/>
      <c r="EN50" s="866"/>
      <c r="EO50" s="866"/>
      <c r="EP50" s="866"/>
      <c r="EQ50" s="866"/>
      <c r="ER50" s="866"/>
      <c r="ES50" s="866"/>
      <c r="ET50" s="866"/>
      <c r="EU50" s="866"/>
      <c r="EV50" s="866"/>
      <c r="EW50" s="866"/>
      <c r="EX50" s="866"/>
      <c r="EY50" s="866"/>
      <c r="EZ50" s="866"/>
      <c r="FA50" s="866"/>
      <c r="FB50" s="866"/>
      <c r="FC50" s="866"/>
      <c r="FD50" s="866"/>
      <c r="FE50" s="866"/>
      <c r="FF50" s="866"/>
      <c r="FG50" s="866"/>
      <c r="FH50" s="866"/>
      <c r="FI50" s="866"/>
      <c r="FJ50" s="866"/>
      <c r="FK50" s="866"/>
      <c r="FL50" s="866"/>
      <c r="FM50" s="866"/>
      <c r="FN50" s="866"/>
      <c r="FO50" s="866"/>
      <c r="FP50" s="866"/>
      <c r="FQ50" s="866"/>
      <c r="FR50" s="866"/>
      <c r="FS50" s="866"/>
      <c r="FT50" s="866"/>
      <c r="FU50" s="866"/>
      <c r="FV50" s="866"/>
      <c r="FW50" s="866"/>
      <c r="FX50" s="866"/>
      <c r="FY50" s="866"/>
      <c r="FZ50" s="866"/>
      <c r="GA50" s="866"/>
      <c r="GB50" s="866"/>
      <c r="GC50" s="866"/>
      <c r="GD50" s="866"/>
      <c r="GE50" s="866"/>
      <c r="GF50" s="866"/>
      <c r="GG50" s="866"/>
      <c r="GH50" s="866"/>
      <c r="GI50" s="866"/>
      <c r="GJ50" s="866"/>
      <c r="GK50" s="866"/>
      <c r="GL50" s="866"/>
      <c r="GM50" s="866"/>
      <c r="GN50" s="866"/>
      <c r="GO50" s="866"/>
      <c r="GP50" s="866"/>
      <c r="GQ50" s="866"/>
      <c r="GR50" s="866"/>
      <c r="GS50" s="866"/>
      <c r="GT50" s="866"/>
      <c r="GU50" s="866"/>
      <c r="GV50" s="866"/>
      <c r="GW50" s="866"/>
      <c r="GX50" s="866"/>
      <c r="GY50" s="866"/>
      <c r="GZ50" s="866"/>
      <c r="HA50" s="866"/>
      <c r="HB50" s="866"/>
      <c r="HC50" s="866"/>
      <c r="HD50" s="866"/>
      <c r="HE50" s="866"/>
      <c r="HF50" s="866"/>
      <c r="HG50" s="866"/>
      <c r="HH50" s="866"/>
      <c r="HI50" s="866"/>
      <c r="HJ50" s="866"/>
      <c r="HK50" s="866"/>
      <c r="HL50" s="866"/>
      <c r="HM50" s="866"/>
      <c r="HN50" s="866"/>
      <c r="HO50" s="866"/>
      <c r="HP50" s="866"/>
      <c r="HQ50" s="866"/>
      <c r="HR50" s="866"/>
      <c r="HS50" s="866"/>
      <c r="HT50" s="866"/>
      <c r="HU50" s="866"/>
      <c r="HV50" s="866"/>
      <c r="HW50" s="866"/>
      <c r="HX50" s="866"/>
      <c r="HY50" s="866"/>
      <c r="HZ50" s="866"/>
      <c r="IA50" s="866"/>
      <c r="IB50" s="866"/>
      <c r="IC50" s="866"/>
      <c r="ID50" s="866"/>
      <c r="IE50" s="866"/>
      <c r="IF50" s="866"/>
      <c r="IG50" s="866"/>
      <c r="IH50" s="866"/>
      <c r="II50" s="866"/>
      <c r="IJ50" s="866"/>
      <c r="IK50" s="866"/>
      <c r="IL50" s="866"/>
      <c r="IM50" s="866"/>
      <c r="IN50" s="866"/>
      <c r="IO50" s="866"/>
      <c r="IP50" s="866"/>
      <c r="IQ50" s="866"/>
      <c r="IR50" s="866"/>
      <c r="IS50" s="866"/>
      <c r="IT50" s="866"/>
      <c r="IU50" s="866"/>
      <c r="IV50" s="866"/>
    </row>
    <row r="51" spans="1:256" ht="18">
      <c r="A51" s="877"/>
      <c r="B51" s="866"/>
      <c r="C51" s="866"/>
      <c r="D51" s="866"/>
      <c r="E51" s="866"/>
      <c r="F51" s="866"/>
      <c r="G51" s="866"/>
      <c r="H51" s="866"/>
      <c r="I51" s="866"/>
      <c r="J51" s="866"/>
      <c r="K51" s="866"/>
      <c r="L51" s="866"/>
      <c r="M51" s="866"/>
      <c r="N51" s="866"/>
      <c r="O51" s="879"/>
      <c r="P51" s="879"/>
      <c r="Q51" s="866"/>
      <c r="R51" s="866"/>
      <c r="S51" s="866"/>
      <c r="T51" s="866"/>
      <c r="U51" s="866"/>
      <c r="V51" s="866"/>
      <c r="W51" s="866"/>
      <c r="X51" s="866"/>
      <c r="Y51" s="866"/>
      <c r="Z51" s="866"/>
      <c r="AA51" s="866"/>
      <c r="AB51" s="866"/>
      <c r="AC51" s="866"/>
      <c r="AD51" s="866"/>
      <c r="AE51" s="866"/>
      <c r="AF51" s="866"/>
      <c r="AG51" s="866"/>
      <c r="AH51" s="866"/>
      <c r="AI51" s="866"/>
      <c r="AJ51" s="866"/>
      <c r="AK51" s="866"/>
      <c r="AL51" s="866"/>
      <c r="AM51" s="866"/>
      <c r="AN51" s="866"/>
      <c r="AO51" s="866"/>
      <c r="AP51" s="866"/>
      <c r="AQ51" s="866"/>
      <c r="AR51" s="866"/>
      <c r="AS51" s="866"/>
      <c r="AT51" s="866"/>
      <c r="AU51" s="866"/>
      <c r="AV51" s="866"/>
      <c r="AW51" s="866"/>
      <c r="AX51" s="866"/>
      <c r="AY51" s="866"/>
      <c r="AZ51" s="866"/>
      <c r="BA51" s="866"/>
      <c r="BB51" s="866"/>
      <c r="BC51" s="866"/>
      <c r="BD51" s="866"/>
      <c r="BE51" s="866"/>
      <c r="BF51" s="866"/>
      <c r="BG51" s="866"/>
      <c r="BH51" s="866"/>
      <c r="BI51" s="866"/>
      <c r="BJ51" s="866"/>
      <c r="BK51" s="866"/>
      <c r="BL51" s="866"/>
      <c r="BM51" s="866"/>
      <c r="BN51" s="866"/>
      <c r="BO51" s="866"/>
      <c r="BP51" s="866"/>
      <c r="BQ51" s="866"/>
      <c r="BR51" s="866"/>
      <c r="BS51" s="866"/>
      <c r="BT51" s="866"/>
      <c r="BU51" s="866"/>
      <c r="BV51" s="866"/>
      <c r="BW51" s="866"/>
      <c r="BX51" s="866"/>
      <c r="BY51" s="866"/>
      <c r="BZ51" s="866"/>
      <c r="CA51" s="866"/>
      <c r="CB51" s="866"/>
      <c r="CC51" s="866"/>
      <c r="CD51" s="866"/>
      <c r="CE51" s="866"/>
      <c r="CF51" s="866"/>
      <c r="CG51" s="866"/>
      <c r="CH51" s="866"/>
      <c r="CI51" s="866"/>
      <c r="CJ51" s="866"/>
      <c r="CK51" s="866"/>
      <c r="CL51" s="866"/>
      <c r="CM51" s="866"/>
      <c r="CN51" s="866"/>
      <c r="CO51" s="866"/>
      <c r="CP51" s="866"/>
      <c r="CQ51" s="866"/>
      <c r="CR51" s="866"/>
      <c r="CS51" s="866"/>
      <c r="CT51" s="866"/>
      <c r="CU51" s="866"/>
      <c r="CV51" s="866"/>
      <c r="CW51" s="866"/>
      <c r="CX51" s="866"/>
      <c r="CY51" s="866"/>
      <c r="CZ51" s="866"/>
      <c r="DA51" s="866"/>
      <c r="DB51" s="866"/>
      <c r="DC51" s="866"/>
      <c r="DD51" s="866"/>
      <c r="DE51" s="866"/>
      <c r="DF51" s="866"/>
      <c r="DG51" s="866"/>
      <c r="DH51" s="866"/>
      <c r="DI51" s="866"/>
      <c r="DJ51" s="866"/>
      <c r="DK51" s="866"/>
      <c r="DL51" s="866"/>
      <c r="DM51" s="866"/>
      <c r="DN51" s="866"/>
      <c r="DO51" s="866"/>
      <c r="DP51" s="866"/>
      <c r="DQ51" s="866"/>
      <c r="DR51" s="866"/>
      <c r="DS51" s="866"/>
      <c r="DT51" s="866"/>
      <c r="DU51" s="866"/>
      <c r="DV51" s="866"/>
      <c r="DW51" s="866"/>
      <c r="DX51" s="866"/>
      <c r="DY51" s="866"/>
      <c r="DZ51" s="866"/>
      <c r="EA51" s="866"/>
      <c r="EB51" s="866"/>
      <c r="EC51" s="866"/>
      <c r="ED51" s="866"/>
      <c r="EE51" s="866"/>
      <c r="EF51" s="866"/>
      <c r="EG51" s="866"/>
      <c r="EH51" s="866"/>
      <c r="EI51" s="866"/>
      <c r="EJ51" s="866"/>
      <c r="EK51" s="866"/>
      <c r="EL51" s="866"/>
      <c r="EM51" s="866"/>
      <c r="EN51" s="866"/>
      <c r="EO51" s="866"/>
      <c r="EP51" s="866"/>
      <c r="EQ51" s="866"/>
      <c r="ER51" s="866"/>
      <c r="ES51" s="866"/>
      <c r="ET51" s="866"/>
      <c r="EU51" s="866"/>
      <c r="EV51" s="866"/>
      <c r="EW51" s="866"/>
      <c r="EX51" s="866"/>
      <c r="EY51" s="866"/>
      <c r="EZ51" s="866"/>
      <c r="FA51" s="866"/>
      <c r="FB51" s="866"/>
      <c r="FC51" s="866"/>
      <c r="FD51" s="866"/>
      <c r="FE51" s="866"/>
      <c r="FF51" s="866"/>
      <c r="FG51" s="866"/>
      <c r="FH51" s="866"/>
      <c r="FI51" s="866"/>
      <c r="FJ51" s="866"/>
      <c r="FK51" s="866"/>
      <c r="FL51" s="866"/>
      <c r="FM51" s="866"/>
      <c r="FN51" s="866"/>
      <c r="FO51" s="866"/>
      <c r="FP51" s="866"/>
      <c r="FQ51" s="866"/>
      <c r="FR51" s="866"/>
      <c r="FS51" s="866"/>
      <c r="FT51" s="866"/>
      <c r="FU51" s="866"/>
      <c r="FV51" s="866"/>
      <c r="FW51" s="866"/>
      <c r="FX51" s="866"/>
      <c r="FY51" s="866"/>
      <c r="FZ51" s="866"/>
      <c r="GA51" s="866"/>
      <c r="GB51" s="866"/>
      <c r="GC51" s="866"/>
      <c r="GD51" s="866"/>
      <c r="GE51" s="866"/>
      <c r="GF51" s="866"/>
      <c r="GG51" s="866"/>
      <c r="GH51" s="866"/>
      <c r="GI51" s="866"/>
      <c r="GJ51" s="866"/>
      <c r="GK51" s="866"/>
      <c r="GL51" s="866"/>
      <c r="GM51" s="866"/>
      <c r="GN51" s="866"/>
      <c r="GO51" s="866"/>
      <c r="GP51" s="866"/>
      <c r="GQ51" s="866"/>
      <c r="GR51" s="866"/>
      <c r="GS51" s="866"/>
      <c r="GT51" s="866"/>
      <c r="GU51" s="866"/>
      <c r="GV51" s="866"/>
      <c r="GW51" s="866"/>
      <c r="GX51" s="866"/>
      <c r="GY51" s="866"/>
      <c r="GZ51" s="866"/>
      <c r="HA51" s="866"/>
      <c r="HB51" s="866"/>
      <c r="HC51" s="866"/>
      <c r="HD51" s="866"/>
      <c r="HE51" s="866"/>
      <c r="HF51" s="866"/>
      <c r="HG51" s="866"/>
      <c r="HH51" s="866"/>
      <c r="HI51" s="866"/>
      <c r="HJ51" s="866"/>
      <c r="HK51" s="866"/>
      <c r="HL51" s="866"/>
      <c r="HM51" s="866"/>
      <c r="HN51" s="866"/>
      <c r="HO51" s="866"/>
      <c r="HP51" s="866"/>
      <c r="HQ51" s="866"/>
      <c r="HR51" s="866"/>
      <c r="HS51" s="866"/>
      <c r="HT51" s="866"/>
      <c r="HU51" s="866"/>
      <c r="HV51" s="866"/>
      <c r="HW51" s="866"/>
      <c r="HX51" s="866"/>
      <c r="HY51" s="866"/>
      <c r="HZ51" s="866"/>
      <c r="IA51" s="866"/>
      <c r="IB51" s="866"/>
      <c r="IC51" s="866"/>
      <c r="ID51" s="866"/>
      <c r="IE51" s="866"/>
      <c r="IF51" s="866"/>
      <c r="IG51" s="866"/>
      <c r="IH51" s="866"/>
      <c r="II51" s="866"/>
      <c r="IJ51" s="866"/>
      <c r="IK51" s="866"/>
      <c r="IL51" s="866"/>
      <c r="IM51" s="866"/>
      <c r="IN51" s="866"/>
      <c r="IO51" s="866"/>
      <c r="IP51" s="866"/>
      <c r="IQ51" s="866"/>
      <c r="IR51" s="866"/>
      <c r="IS51" s="866"/>
      <c r="IT51" s="866"/>
      <c r="IU51" s="866"/>
      <c r="IV51" s="866"/>
    </row>
    <row r="52" spans="1:256" ht="18">
      <c r="A52" s="877"/>
      <c r="B52" s="866"/>
      <c r="C52" s="866"/>
      <c r="D52" s="866"/>
      <c r="E52" s="866"/>
      <c r="F52" s="866"/>
      <c r="G52" s="866"/>
      <c r="H52" s="866"/>
      <c r="I52" s="866"/>
      <c r="J52" s="866"/>
      <c r="K52" s="866"/>
      <c r="L52" s="866"/>
      <c r="M52" s="866"/>
      <c r="N52" s="866"/>
      <c r="O52" s="879"/>
      <c r="P52" s="879"/>
      <c r="Q52" s="866"/>
      <c r="R52" s="866"/>
      <c r="S52" s="866"/>
      <c r="T52" s="866"/>
      <c r="U52" s="866"/>
      <c r="V52" s="866"/>
      <c r="W52" s="866"/>
      <c r="X52" s="866"/>
      <c r="Y52" s="866"/>
      <c r="Z52" s="866"/>
      <c r="AA52" s="866"/>
      <c r="AB52" s="866"/>
      <c r="AC52" s="866"/>
      <c r="AD52" s="866"/>
      <c r="AE52" s="866"/>
      <c r="AF52" s="866"/>
      <c r="AG52" s="866"/>
      <c r="AH52" s="866"/>
      <c r="AI52" s="866"/>
      <c r="AJ52" s="866"/>
      <c r="AK52" s="866"/>
      <c r="AL52" s="866"/>
      <c r="AM52" s="866"/>
      <c r="AN52" s="866"/>
      <c r="AO52" s="866"/>
      <c r="AP52" s="866"/>
      <c r="AQ52" s="866"/>
      <c r="AR52" s="866"/>
      <c r="AS52" s="866"/>
      <c r="AT52" s="866"/>
      <c r="AU52" s="866"/>
      <c r="AV52" s="866"/>
      <c r="AW52" s="866"/>
      <c r="AX52" s="866"/>
      <c r="AY52" s="866"/>
      <c r="AZ52" s="866"/>
      <c r="BA52" s="866"/>
      <c r="BB52" s="866"/>
      <c r="BC52" s="866"/>
      <c r="BD52" s="866"/>
      <c r="BE52" s="866"/>
      <c r="BF52" s="866"/>
      <c r="BG52" s="866"/>
      <c r="BH52" s="866"/>
      <c r="BI52" s="866"/>
      <c r="BJ52" s="866"/>
      <c r="BK52" s="866"/>
      <c r="BL52" s="866"/>
      <c r="BM52" s="866"/>
      <c r="BN52" s="866"/>
      <c r="BO52" s="866"/>
      <c r="BP52" s="866"/>
      <c r="BQ52" s="866"/>
      <c r="BR52" s="866"/>
      <c r="BS52" s="866"/>
      <c r="BT52" s="866"/>
      <c r="BU52" s="866"/>
      <c r="BV52" s="866"/>
      <c r="BW52" s="866"/>
      <c r="BX52" s="866"/>
      <c r="BY52" s="866"/>
      <c r="BZ52" s="866"/>
      <c r="CA52" s="866"/>
      <c r="CB52" s="866"/>
      <c r="CC52" s="866"/>
      <c r="CD52" s="866"/>
      <c r="CE52" s="866"/>
      <c r="CF52" s="866"/>
      <c r="CG52" s="866"/>
      <c r="CH52" s="866"/>
      <c r="CI52" s="866"/>
      <c r="CJ52" s="866"/>
      <c r="CK52" s="866"/>
      <c r="CL52" s="866"/>
      <c r="CM52" s="866"/>
      <c r="CN52" s="866"/>
      <c r="CO52" s="866"/>
      <c r="CP52" s="866"/>
      <c r="CQ52" s="866"/>
      <c r="CR52" s="866"/>
      <c r="CS52" s="866"/>
      <c r="CT52" s="866"/>
      <c r="CU52" s="866"/>
      <c r="CV52" s="866"/>
      <c r="CW52" s="866"/>
      <c r="CX52" s="866"/>
      <c r="CY52" s="866"/>
      <c r="CZ52" s="866"/>
      <c r="DA52" s="866"/>
      <c r="DB52" s="866"/>
      <c r="DC52" s="866"/>
      <c r="DD52" s="866"/>
      <c r="DE52" s="866"/>
      <c r="DF52" s="866"/>
      <c r="DG52" s="866"/>
      <c r="DH52" s="866"/>
      <c r="DI52" s="866"/>
      <c r="DJ52" s="866"/>
      <c r="DK52" s="866"/>
      <c r="DL52" s="866"/>
      <c r="DM52" s="866"/>
      <c r="DN52" s="866"/>
      <c r="DO52" s="866"/>
      <c r="DP52" s="866"/>
      <c r="DQ52" s="866"/>
      <c r="DR52" s="866"/>
      <c r="DS52" s="866"/>
      <c r="DT52" s="866"/>
      <c r="DU52" s="866"/>
      <c r="DV52" s="866"/>
      <c r="DW52" s="866"/>
      <c r="DX52" s="866"/>
      <c r="DY52" s="866"/>
      <c r="DZ52" s="866"/>
      <c r="EA52" s="866"/>
      <c r="EB52" s="866"/>
      <c r="EC52" s="866"/>
      <c r="ED52" s="866"/>
      <c r="EE52" s="866"/>
      <c r="EF52" s="866"/>
      <c r="EG52" s="866"/>
      <c r="EH52" s="866"/>
      <c r="EI52" s="866"/>
      <c r="EJ52" s="866"/>
      <c r="EK52" s="866"/>
      <c r="EL52" s="866"/>
      <c r="EM52" s="866"/>
      <c r="EN52" s="866"/>
      <c r="EO52" s="866"/>
      <c r="EP52" s="866"/>
      <c r="EQ52" s="866"/>
      <c r="ER52" s="866"/>
      <c r="ES52" s="866"/>
      <c r="ET52" s="866"/>
      <c r="EU52" s="866"/>
      <c r="EV52" s="866"/>
      <c r="EW52" s="866"/>
      <c r="EX52" s="866"/>
      <c r="EY52" s="866"/>
      <c r="EZ52" s="866"/>
      <c r="FA52" s="866"/>
      <c r="FB52" s="866"/>
      <c r="FC52" s="866"/>
      <c r="FD52" s="866"/>
      <c r="FE52" s="866"/>
      <c r="FF52" s="866"/>
      <c r="FG52" s="866"/>
      <c r="FH52" s="866"/>
      <c r="FI52" s="866"/>
      <c r="FJ52" s="866"/>
      <c r="FK52" s="866"/>
      <c r="FL52" s="866"/>
      <c r="FM52" s="866"/>
      <c r="FN52" s="866"/>
      <c r="FO52" s="866"/>
      <c r="FP52" s="866"/>
      <c r="FQ52" s="866"/>
      <c r="FR52" s="866"/>
      <c r="FS52" s="866"/>
      <c r="FT52" s="866"/>
      <c r="FU52" s="866"/>
      <c r="FV52" s="866"/>
      <c r="FW52" s="866"/>
      <c r="FX52" s="866"/>
      <c r="FY52" s="866"/>
      <c r="FZ52" s="866"/>
      <c r="GA52" s="866"/>
      <c r="GB52" s="866"/>
      <c r="GC52" s="866"/>
      <c r="GD52" s="866"/>
      <c r="GE52" s="866"/>
      <c r="GF52" s="866"/>
      <c r="GG52" s="866"/>
      <c r="GH52" s="866"/>
      <c r="GI52" s="866"/>
      <c r="GJ52" s="866"/>
      <c r="GK52" s="866"/>
      <c r="GL52" s="866"/>
      <c r="GM52" s="866"/>
      <c r="GN52" s="866"/>
      <c r="GO52" s="866"/>
      <c r="GP52" s="866"/>
      <c r="GQ52" s="866"/>
      <c r="GR52" s="866"/>
      <c r="GS52" s="866"/>
      <c r="GT52" s="866"/>
      <c r="GU52" s="866"/>
      <c r="GV52" s="866"/>
      <c r="GW52" s="866"/>
      <c r="GX52" s="866"/>
      <c r="GY52" s="866"/>
      <c r="GZ52" s="866"/>
      <c r="HA52" s="866"/>
      <c r="HB52" s="866"/>
      <c r="HC52" s="866"/>
      <c r="HD52" s="866"/>
      <c r="HE52" s="866"/>
      <c r="HF52" s="866"/>
      <c r="HG52" s="866"/>
      <c r="HH52" s="866"/>
      <c r="HI52" s="866"/>
      <c r="HJ52" s="866"/>
      <c r="HK52" s="866"/>
      <c r="HL52" s="866"/>
      <c r="HM52" s="866"/>
      <c r="HN52" s="866"/>
      <c r="HO52" s="866"/>
      <c r="HP52" s="866"/>
      <c r="HQ52" s="866"/>
      <c r="HR52" s="866"/>
      <c r="HS52" s="866"/>
      <c r="HT52" s="866"/>
      <c r="HU52" s="866"/>
      <c r="HV52" s="866"/>
      <c r="HW52" s="866"/>
      <c r="HX52" s="866"/>
      <c r="HY52" s="866"/>
      <c r="HZ52" s="866"/>
      <c r="IA52" s="866"/>
      <c r="IB52" s="866"/>
      <c r="IC52" s="866"/>
      <c r="ID52" s="866"/>
      <c r="IE52" s="866"/>
      <c r="IF52" s="866"/>
      <c r="IG52" s="866"/>
      <c r="IH52" s="866"/>
      <c r="II52" s="866"/>
      <c r="IJ52" s="866"/>
      <c r="IK52" s="866"/>
      <c r="IL52" s="866"/>
      <c r="IM52" s="866"/>
      <c r="IN52" s="866"/>
      <c r="IO52" s="866"/>
      <c r="IP52" s="866"/>
      <c r="IQ52" s="866"/>
      <c r="IR52" s="866"/>
      <c r="IS52" s="866"/>
      <c r="IT52" s="866"/>
      <c r="IU52" s="866"/>
      <c r="IV52" s="866"/>
    </row>
    <row r="53" spans="1:256" ht="18">
      <c r="A53" s="877"/>
      <c r="B53" s="866"/>
      <c r="C53" s="866"/>
      <c r="D53" s="866"/>
      <c r="E53" s="866"/>
      <c r="F53" s="866"/>
      <c r="G53" s="866"/>
      <c r="H53" s="866"/>
      <c r="I53" s="866"/>
      <c r="J53" s="866"/>
      <c r="K53" s="866"/>
      <c r="L53" s="866"/>
      <c r="M53" s="866"/>
      <c r="N53" s="866"/>
      <c r="O53" s="879"/>
      <c r="P53" s="879"/>
      <c r="Q53" s="866"/>
      <c r="R53" s="866"/>
      <c r="S53" s="866"/>
      <c r="T53" s="866"/>
      <c r="U53" s="866"/>
      <c r="V53" s="866"/>
      <c r="W53" s="866"/>
      <c r="X53" s="866"/>
      <c r="Y53" s="866"/>
      <c r="Z53" s="866"/>
      <c r="AA53" s="866"/>
      <c r="AB53" s="866"/>
      <c r="AC53" s="866"/>
      <c r="AD53" s="866"/>
      <c r="AE53" s="866"/>
      <c r="AF53" s="866"/>
      <c r="AG53" s="866"/>
      <c r="AH53" s="866"/>
      <c r="AI53" s="866"/>
      <c r="AJ53" s="866"/>
      <c r="AK53" s="866"/>
      <c r="AL53" s="866"/>
      <c r="AM53" s="866"/>
      <c r="AN53" s="866"/>
      <c r="AO53" s="866"/>
      <c r="AP53" s="866"/>
      <c r="AQ53" s="866"/>
      <c r="AR53" s="866"/>
      <c r="AS53" s="866"/>
      <c r="AT53" s="866"/>
      <c r="AU53" s="866"/>
      <c r="AV53" s="866"/>
      <c r="AW53" s="866"/>
      <c r="AX53" s="866"/>
      <c r="AY53" s="866"/>
      <c r="AZ53" s="866"/>
      <c r="BA53" s="866"/>
      <c r="BB53" s="866"/>
      <c r="BC53" s="866"/>
      <c r="BD53" s="866"/>
      <c r="BE53" s="866"/>
      <c r="BF53" s="866"/>
      <c r="BG53" s="866"/>
      <c r="BH53" s="866"/>
      <c r="BI53" s="866"/>
      <c r="BJ53" s="866"/>
      <c r="BK53" s="866"/>
      <c r="BL53" s="866"/>
      <c r="BM53" s="866"/>
      <c r="BN53" s="866"/>
      <c r="BO53" s="866"/>
      <c r="BP53" s="866"/>
      <c r="BQ53" s="866"/>
      <c r="BR53" s="866"/>
      <c r="BS53" s="866"/>
      <c r="BT53" s="866"/>
      <c r="BU53" s="866"/>
      <c r="BV53" s="866"/>
      <c r="BW53" s="866"/>
      <c r="BX53" s="866"/>
      <c r="BY53" s="866"/>
      <c r="BZ53" s="866"/>
      <c r="CA53" s="866"/>
      <c r="CB53" s="866"/>
      <c r="CC53" s="866"/>
      <c r="CD53" s="866"/>
      <c r="CE53" s="866"/>
      <c r="CF53" s="866"/>
      <c r="CG53" s="866"/>
      <c r="CH53" s="866"/>
      <c r="CI53" s="866"/>
      <c r="CJ53" s="866"/>
      <c r="CK53" s="866"/>
      <c r="CL53" s="866"/>
      <c r="CM53" s="866"/>
      <c r="CN53" s="866"/>
      <c r="CO53" s="866"/>
      <c r="CP53" s="866"/>
      <c r="CQ53" s="866"/>
      <c r="CR53" s="866"/>
      <c r="CS53" s="866"/>
      <c r="CT53" s="866"/>
      <c r="CU53" s="866"/>
      <c r="CV53" s="866"/>
      <c r="CW53" s="866"/>
      <c r="CX53" s="866"/>
      <c r="CY53" s="866"/>
      <c r="CZ53" s="866"/>
      <c r="DA53" s="866"/>
      <c r="DB53" s="866"/>
      <c r="DC53" s="866"/>
      <c r="DD53" s="866"/>
      <c r="DE53" s="866"/>
      <c r="DF53" s="866"/>
      <c r="DG53" s="866"/>
      <c r="DH53" s="866"/>
      <c r="DI53" s="866"/>
      <c r="DJ53" s="866"/>
      <c r="DK53" s="866"/>
      <c r="DL53" s="866"/>
      <c r="DM53" s="866"/>
      <c r="DN53" s="866"/>
      <c r="DO53" s="866"/>
      <c r="DP53" s="866"/>
      <c r="DQ53" s="866"/>
      <c r="DR53" s="866"/>
      <c r="DS53" s="866"/>
      <c r="DT53" s="866"/>
      <c r="DU53" s="866"/>
      <c r="DV53" s="866"/>
      <c r="DW53" s="866"/>
      <c r="DX53" s="866"/>
      <c r="DY53" s="866"/>
      <c r="DZ53" s="866"/>
      <c r="EA53" s="866"/>
      <c r="EB53" s="866"/>
      <c r="EC53" s="866"/>
      <c r="ED53" s="866"/>
      <c r="EE53" s="866"/>
      <c r="EF53" s="866"/>
      <c r="EG53" s="866"/>
      <c r="EH53" s="866"/>
      <c r="EI53" s="866"/>
      <c r="EJ53" s="866"/>
      <c r="EK53" s="866"/>
      <c r="EL53" s="866"/>
      <c r="EM53" s="866"/>
      <c r="EN53" s="866"/>
      <c r="EO53" s="866"/>
      <c r="EP53" s="866"/>
      <c r="EQ53" s="866"/>
      <c r="ER53" s="866"/>
      <c r="ES53" s="866"/>
      <c r="ET53" s="866"/>
      <c r="EU53" s="866"/>
      <c r="EV53" s="866"/>
      <c r="EW53" s="866"/>
      <c r="EX53" s="866"/>
      <c r="EY53" s="866"/>
      <c r="EZ53" s="866"/>
      <c r="FA53" s="866"/>
      <c r="FB53" s="866"/>
      <c r="FC53" s="866"/>
      <c r="FD53" s="866"/>
      <c r="FE53" s="866"/>
      <c r="FF53" s="866"/>
      <c r="FG53" s="866"/>
      <c r="FH53" s="866"/>
      <c r="FI53" s="866"/>
      <c r="FJ53" s="866"/>
      <c r="FK53" s="866"/>
      <c r="FL53" s="866"/>
      <c r="FM53" s="866"/>
      <c r="FN53" s="866"/>
      <c r="FO53" s="866"/>
      <c r="FP53" s="866"/>
      <c r="FQ53" s="866"/>
      <c r="FR53" s="866"/>
      <c r="FS53" s="866"/>
      <c r="FT53" s="866"/>
      <c r="FU53" s="866"/>
      <c r="FV53" s="866"/>
      <c r="FW53" s="866"/>
      <c r="FX53" s="866"/>
      <c r="FY53" s="866"/>
      <c r="FZ53" s="866"/>
      <c r="GA53" s="866"/>
      <c r="GB53" s="866"/>
      <c r="GC53" s="866"/>
      <c r="GD53" s="866"/>
      <c r="GE53" s="866"/>
      <c r="GF53" s="866"/>
      <c r="GG53" s="866"/>
      <c r="GH53" s="866"/>
      <c r="GI53" s="866"/>
      <c r="GJ53" s="866"/>
      <c r="GK53" s="866"/>
      <c r="GL53" s="866"/>
      <c r="GM53" s="866"/>
      <c r="GN53" s="866"/>
      <c r="GO53" s="866"/>
      <c r="GP53" s="866"/>
      <c r="GQ53" s="866"/>
      <c r="GR53" s="866"/>
      <c r="GS53" s="866"/>
      <c r="GT53" s="866"/>
      <c r="GU53" s="866"/>
      <c r="GV53" s="866"/>
      <c r="GW53" s="866"/>
      <c r="GX53" s="866"/>
      <c r="GY53" s="866"/>
      <c r="GZ53" s="866"/>
      <c r="HA53" s="866"/>
      <c r="HB53" s="866"/>
      <c r="HC53" s="866"/>
      <c r="HD53" s="866"/>
      <c r="HE53" s="866"/>
      <c r="HF53" s="866"/>
      <c r="HG53" s="866"/>
      <c r="HH53" s="866"/>
      <c r="HI53" s="866"/>
      <c r="HJ53" s="866"/>
      <c r="HK53" s="866"/>
      <c r="HL53" s="866"/>
      <c r="HM53" s="866"/>
      <c r="HN53" s="866"/>
      <c r="HO53" s="866"/>
      <c r="HP53" s="866"/>
      <c r="HQ53" s="866"/>
      <c r="HR53" s="866"/>
      <c r="HS53" s="866"/>
      <c r="HT53" s="866"/>
      <c r="HU53" s="866"/>
      <c r="HV53" s="866"/>
      <c r="HW53" s="866"/>
      <c r="HX53" s="866"/>
      <c r="HY53" s="866"/>
      <c r="HZ53" s="866"/>
      <c r="IA53" s="866"/>
      <c r="IB53" s="866"/>
      <c r="IC53" s="866"/>
      <c r="ID53" s="866"/>
      <c r="IE53" s="866"/>
      <c r="IF53" s="866"/>
      <c r="IG53" s="866"/>
      <c r="IH53" s="866"/>
      <c r="II53" s="866"/>
      <c r="IJ53" s="866"/>
      <c r="IK53" s="866"/>
      <c r="IL53" s="866"/>
      <c r="IM53" s="866"/>
      <c r="IN53" s="866"/>
      <c r="IO53" s="866"/>
      <c r="IP53" s="866"/>
      <c r="IQ53" s="866"/>
      <c r="IR53" s="866"/>
      <c r="IS53" s="866"/>
      <c r="IT53" s="866"/>
      <c r="IU53" s="866"/>
      <c r="IV53" s="866"/>
    </row>
    <row r="54" spans="1:256" ht="18">
      <c r="A54" s="877"/>
      <c r="B54" s="866"/>
      <c r="C54" s="866"/>
      <c r="D54" s="866"/>
      <c r="E54" s="866"/>
      <c r="F54" s="866"/>
      <c r="G54" s="866"/>
      <c r="H54" s="866"/>
      <c r="I54" s="866"/>
      <c r="J54" s="866"/>
      <c r="K54" s="866"/>
      <c r="L54" s="866"/>
      <c r="M54" s="866"/>
      <c r="N54" s="866"/>
      <c r="O54" s="879"/>
      <c r="P54" s="879"/>
      <c r="Q54" s="866"/>
      <c r="R54" s="866"/>
      <c r="S54" s="866"/>
      <c r="T54" s="866"/>
      <c r="U54" s="866"/>
      <c r="V54" s="866"/>
      <c r="W54" s="866"/>
      <c r="X54" s="866"/>
      <c r="Y54" s="866"/>
      <c r="Z54" s="866"/>
      <c r="AA54" s="866"/>
      <c r="AB54" s="866"/>
      <c r="AC54" s="866"/>
      <c r="AD54" s="866"/>
      <c r="AE54" s="866"/>
      <c r="AF54" s="866"/>
      <c r="AG54" s="866"/>
      <c r="AH54" s="866"/>
      <c r="AI54" s="866"/>
      <c r="AJ54" s="866"/>
      <c r="AK54" s="866"/>
      <c r="AL54" s="866"/>
      <c r="AM54" s="866"/>
      <c r="AN54" s="866"/>
      <c r="AO54" s="866"/>
      <c r="AP54" s="866"/>
      <c r="AQ54" s="866"/>
      <c r="AR54" s="866"/>
      <c r="AS54" s="866"/>
      <c r="AT54" s="866"/>
      <c r="AU54" s="866"/>
      <c r="AV54" s="866"/>
      <c r="AW54" s="866"/>
      <c r="AX54" s="866"/>
      <c r="AY54" s="866"/>
      <c r="AZ54" s="866"/>
      <c r="BA54" s="866"/>
      <c r="BB54" s="866"/>
      <c r="BC54" s="866"/>
      <c r="BD54" s="866"/>
      <c r="BE54" s="866"/>
      <c r="BF54" s="866"/>
      <c r="BG54" s="866"/>
      <c r="BH54" s="866"/>
      <c r="BI54" s="866"/>
      <c r="BJ54" s="866"/>
      <c r="BK54" s="866"/>
      <c r="BL54" s="866"/>
      <c r="BM54" s="866"/>
      <c r="BN54" s="866"/>
      <c r="BO54" s="866"/>
      <c r="BP54" s="866"/>
      <c r="BQ54" s="866"/>
      <c r="BR54" s="866"/>
      <c r="BS54" s="866"/>
      <c r="BT54" s="866"/>
      <c r="BU54" s="866"/>
      <c r="BV54" s="866"/>
      <c r="BW54" s="866"/>
      <c r="BX54" s="866"/>
      <c r="BY54" s="866"/>
      <c r="BZ54" s="866"/>
      <c r="CA54" s="866"/>
      <c r="CB54" s="866"/>
      <c r="CC54" s="866"/>
      <c r="CD54" s="866"/>
      <c r="CE54" s="866"/>
      <c r="CF54" s="866"/>
      <c r="CG54" s="866"/>
      <c r="CH54" s="866"/>
      <c r="CI54" s="866"/>
      <c r="CJ54" s="866"/>
      <c r="CK54" s="866"/>
      <c r="CL54" s="866"/>
      <c r="CM54" s="866"/>
      <c r="CN54" s="866"/>
      <c r="CO54" s="866"/>
      <c r="CP54" s="866"/>
      <c r="CQ54" s="866"/>
      <c r="CR54" s="866"/>
      <c r="CS54" s="866"/>
      <c r="CT54" s="866"/>
      <c r="CU54" s="866"/>
      <c r="CV54" s="866"/>
      <c r="CW54" s="866"/>
      <c r="CX54" s="866"/>
      <c r="CY54" s="866"/>
      <c r="CZ54" s="866"/>
      <c r="DA54" s="866"/>
      <c r="DB54" s="866"/>
      <c r="DC54" s="866"/>
      <c r="DD54" s="866"/>
      <c r="DE54" s="866"/>
      <c r="DF54" s="866"/>
      <c r="DG54" s="866"/>
      <c r="DH54" s="866"/>
      <c r="DI54" s="866"/>
      <c r="DJ54" s="866"/>
      <c r="DK54" s="866"/>
      <c r="DL54" s="866"/>
      <c r="DM54" s="866"/>
      <c r="DN54" s="866"/>
      <c r="DO54" s="866"/>
      <c r="DP54" s="866"/>
      <c r="DQ54" s="866"/>
      <c r="DR54" s="866"/>
      <c r="DS54" s="866"/>
      <c r="DT54" s="866"/>
      <c r="DU54" s="866"/>
      <c r="DV54" s="866"/>
      <c r="DW54" s="866"/>
      <c r="DX54" s="866"/>
      <c r="DY54" s="866"/>
      <c r="DZ54" s="866"/>
      <c r="EA54" s="866"/>
      <c r="EB54" s="866"/>
      <c r="EC54" s="866"/>
      <c r="ED54" s="866"/>
      <c r="EE54" s="866"/>
      <c r="EF54" s="866"/>
      <c r="EG54" s="866"/>
      <c r="EH54" s="866"/>
      <c r="EI54" s="866"/>
      <c r="EJ54" s="866"/>
      <c r="EK54" s="866"/>
      <c r="EL54" s="866"/>
      <c r="EM54" s="866"/>
      <c r="EN54" s="866"/>
      <c r="EO54" s="866"/>
      <c r="EP54" s="866"/>
      <c r="EQ54" s="866"/>
      <c r="ER54" s="866"/>
      <c r="ES54" s="866"/>
      <c r="ET54" s="866"/>
      <c r="EU54" s="866"/>
      <c r="EV54" s="866"/>
      <c r="EW54" s="866"/>
      <c r="EX54" s="866"/>
      <c r="EY54" s="866"/>
      <c r="EZ54" s="866"/>
      <c r="FA54" s="866"/>
      <c r="FB54" s="866"/>
      <c r="FC54" s="866"/>
      <c r="FD54" s="866"/>
      <c r="FE54" s="866"/>
      <c r="FF54" s="866"/>
      <c r="FG54" s="866"/>
      <c r="FH54" s="866"/>
      <c r="FI54" s="866"/>
      <c r="FJ54" s="866"/>
      <c r="FK54" s="866"/>
      <c r="FL54" s="866"/>
      <c r="FM54" s="866"/>
      <c r="FN54" s="866"/>
      <c r="FO54" s="866"/>
      <c r="FP54" s="866"/>
      <c r="FQ54" s="866"/>
      <c r="FR54" s="866"/>
      <c r="FS54" s="866"/>
      <c r="FT54" s="866"/>
      <c r="FU54" s="866"/>
      <c r="FV54" s="866"/>
      <c r="FW54" s="866"/>
      <c r="FX54" s="866"/>
      <c r="FY54" s="866"/>
      <c r="FZ54" s="866"/>
      <c r="GA54" s="866"/>
      <c r="GB54" s="866"/>
      <c r="GC54" s="866"/>
      <c r="GD54" s="866"/>
      <c r="GE54" s="866"/>
      <c r="GF54" s="866"/>
      <c r="GG54" s="866"/>
      <c r="GH54" s="866"/>
      <c r="GI54" s="866"/>
      <c r="GJ54" s="866"/>
      <c r="GK54" s="866"/>
      <c r="GL54" s="866"/>
      <c r="GM54" s="866"/>
      <c r="GN54" s="866"/>
      <c r="GO54" s="866"/>
      <c r="GP54" s="866"/>
      <c r="GQ54" s="866"/>
      <c r="GR54" s="866"/>
      <c r="GS54" s="866"/>
      <c r="GT54" s="866"/>
      <c r="GU54" s="866"/>
      <c r="GV54" s="866"/>
      <c r="GW54" s="866"/>
      <c r="GX54" s="866"/>
      <c r="GY54" s="866"/>
      <c r="GZ54" s="866"/>
      <c r="HA54" s="866"/>
      <c r="HB54" s="866"/>
      <c r="HC54" s="866"/>
      <c r="HD54" s="866"/>
      <c r="HE54" s="866"/>
      <c r="HF54" s="866"/>
      <c r="HG54" s="866"/>
      <c r="HH54" s="866"/>
      <c r="HI54" s="866"/>
      <c r="HJ54" s="866"/>
      <c r="HK54" s="866"/>
      <c r="HL54" s="866"/>
      <c r="HM54" s="866"/>
      <c r="HN54" s="866"/>
      <c r="HO54" s="866"/>
      <c r="HP54" s="866"/>
      <c r="HQ54" s="866"/>
      <c r="HR54" s="866"/>
      <c r="HS54" s="866"/>
      <c r="HT54" s="866"/>
      <c r="HU54" s="866"/>
      <c r="HV54" s="866"/>
      <c r="HW54" s="866"/>
      <c r="HX54" s="866"/>
      <c r="HY54" s="866"/>
      <c r="HZ54" s="866"/>
      <c r="IA54" s="866"/>
      <c r="IB54" s="866"/>
      <c r="IC54" s="866"/>
      <c r="ID54" s="866"/>
      <c r="IE54" s="866"/>
      <c r="IF54" s="866"/>
      <c r="IG54" s="866"/>
      <c r="IH54" s="866"/>
      <c r="II54" s="866"/>
      <c r="IJ54" s="866"/>
      <c r="IK54" s="866"/>
      <c r="IL54" s="866"/>
      <c r="IM54" s="866"/>
      <c r="IN54" s="866"/>
      <c r="IO54" s="866"/>
      <c r="IP54" s="866"/>
      <c r="IQ54" s="866"/>
      <c r="IR54" s="866"/>
      <c r="IS54" s="866"/>
      <c r="IT54" s="866"/>
      <c r="IU54" s="866"/>
      <c r="IV54" s="866"/>
    </row>
    <row r="55" spans="1:256" ht="18">
      <c r="A55" s="877"/>
      <c r="B55" s="866"/>
      <c r="C55" s="866"/>
      <c r="D55" s="866"/>
      <c r="E55" s="866"/>
      <c r="F55" s="866"/>
      <c r="G55" s="866"/>
      <c r="H55" s="866"/>
      <c r="I55" s="866"/>
      <c r="J55" s="866"/>
      <c r="K55" s="866"/>
      <c r="L55" s="866"/>
      <c r="M55" s="866"/>
      <c r="N55" s="866"/>
      <c r="O55" s="879"/>
      <c r="P55" s="879"/>
      <c r="Q55" s="866"/>
      <c r="R55" s="866"/>
      <c r="S55" s="866"/>
      <c r="T55" s="866"/>
      <c r="U55" s="866"/>
      <c r="V55" s="866"/>
      <c r="W55" s="866"/>
      <c r="X55" s="866"/>
      <c r="Y55" s="866"/>
      <c r="Z55" s="866"/>
      <c r="AA55" s="866"/>
      <c r="AB55" s="866"/>
      <c r="AC55" s="866"/>
      <c r="AD55" s="866"/>
      <c r="AE55" s="866"/>
      <c r="AF55" s="866"/>
      <c r="AG55" s="866"/>
      <c r="AH55" s="866"/>
      <c r="AI55" s="866"/>
      <c r="AJ55" s="866"/>
      <c r="AK55" s="866"/>
      <c r="AL55" s="866"/>
      <c r="AM55" s="866"/>
      <c r="AN55" s="866"/>
      <c r="AO55" s="866"/>
      <c r="AP55" s="866"/>
      <c r="AQ55" s="866"/>
      <c r="AR55" s="866"/>
      <c r="AS55" s="866"/>
      <c r="AT55" s="866"/>
      <c r="AU55" s="866"/>
      <c r="AV55" s="866"/>
      <c r="AW55" s="866"/>
      <c r="AX55" s="866"/>
      <c r="AY55" s="866"/>
      <c r="AZ55" s="866"/>
      <c r="BA55" s="866"/>
      <c r="BB55" s="866"/>
      <c r="BC55" s="866"/>
      <c r="BD55" s="866"/>
      <c r="BE55" s="866"/>
      <c r="BF55" s="866"/>
      <c r="BG55" s="866"/>
      <c r="BH55" s="866"/>
      <c r="BI55" s="866"/>
      <c r="BJ55" s="866"/>
      <c r="BK55" s="866"/>
      <c r="BL55" s="866"/>
      <c r="BM55" s="866"/>
      <c r="BN55" s="866"/>
      <c r="BO55" s="866"/>
      <c r="BP55" s="866"/>
      <c r="BQ55" s="866"/>
      <c r="BR55" s="866"/>
      <c r="BS55" s="866"/>
      <c r="BT55" s="866"/>
      <c r="BU55" s="866"/>
      <c r="BV55" s="866"/>
      <c r="BW55" s="866"/>
      <c r="BX55" s="866"/>
      <c r="BY55" s="866"/>
      <c r="BZ55" s="866"/>
      <c r="CA55" s="866"/>
      <c r="CB55" s="866"/>
      <c r="CC55" s="866"/>
      <c r="CD55" s="866"/>
      <c r="CE55" s="866"/>
      <c r="CF55" s="866"/>
      <c r="CG55" s="866"/>
      <c r="CH55" s="866"/>
      <c r="CI55" s="866"/>
      <c r="CJ55" s="866"/>
      <c r="CK55" s="866"/>
      <c r="CL55" s="866"/>
      <c r="CM55" s="866"/>
      <c r="CN55" s="866"/>
      <c r="CO55" s="866"/>
      <c r="CP55" s="866"/>
      <c r="CQ55" s="866"/>
      <c r="CR55" s="866"/>
      <c r="CS55" s="866"/>
      <c r="CT55" s="866"/>
      <c r="CU55" s="866"/>
      <c r="CV55" s="866"/>
      <c r="CW55" s="866"/>
      <c r="CX55" s="866"/>
      <c r="CY55" s="866"/>
      <c r="CZ55" s="866"/>
      <c r="DA55" s="866"/>
      <c r="DB55" s="866"/>
      <c r="DC55" s="866"/>
      <c r="DD55" s="866"/>
      <c r="DE55" s="866"/>
      <c r="DF55" s="866"/>
      <c r="DG55" s="866"/>
      <c r="DH55" s="866"/>
      <c r="DI55" s="866"/>
      <c r="DJ55" s="866"/>
      <c r="DK55" s="866"/>
      <c r="DL55" s="866"/>
      <c r="DM55" s="866"/>
      <c r="DN55" s="866"/>
      <c r="DO55" s="866"/>
      <c r="DP55" s="866"/>
      <c r="DQ55" s="866"/>
      <c r="DR55" s="866"/>
      <c r="DS55" s="866"/>
      <c r="DT55" s="866"/>
      <c r="DU55" s="866"/>
      <c r="DV55" s="866"/>
      <c r="DW55" s="866"/>
      <c r="DX55" s="866"/>
      <c r="DY55" s="866"/>
      <c r="DZ55" s="866"/>
      <c r="EA55" s="866"/>
      <c r="EB55" s="866"/>
      <c r="EC55" s="866"/>
      <c r="ED55" s="866"/>
      <c r="EE55" s="866"/>
      <c r="EF55" s="866"/>
      <c r="EG55" s="866"/>
      <c r="EH55" s="866"/>
      <c r="EI55" s="866"/>
      <c r="EJ55" s="866"/>
      <c r="EK55" s="866"/>
      <c r="EL55" s="866"/>
      <c r="EM55" s="866"/>
      <c r="EN55" s="866"/>
      <c r="EO55" s="866"/>
      <c r="EP55" s="866"/>
      <c r="EQ55" s="866"/>
      <c r="ER55" s="866"/>
      <c r="ES55" s="866"/>
      <c r="ET55" s="866"/>
      <c r="EU55" s="866"/>
      <c r="EV55" s="866"/>
      <c r="EW55" s="866"/>
      <c r="EX55" s="866"/>
      <c r="EY55" s="866"/>
      <c r="EZ55" s="866"/>
      <c r="FA55" s="866"/>
      <c r="FB55" s="866"/>
      <c r="FC55" s="866"/>
      <c r="FD55" s="866"/>
      <c r="FE55" s="866"/>
      <c r="FF55" s="866"/>
      <c r="FG55" s="866"/>
      <c r="FH55" s="866"/>
      <c r="FI55" s="866"/>
      <c r="FJ55" s="866"/>
      <c r="FK55" s="866"/>
      <c r="FL55" s="866"/>
      <c r="FM55" s="866"/>
      <c r="FN55" s="866"/>
      <c r="FO55" s="866"/>
      <c r="FP55" s="866"/>
      <c r="FQ55" s="866"/>
      <c r="FR55" s="866"/>
      <c r="FS55" s="866"/>
      <c r="FT55" s="866"/>
      <c r="FU55" s="866"/>
      <c r="FV55" s="866"/>
      <c r="FW55" s="866"/>
      <c r="FX55" s="866"/>
      <c r="FY55" s="866"/>
      <c r="FZ55" s="866"/>
      <c r="GA55" s="866"/>
      <c r="GB55" s="866"/>
      <c r="GC55" s="866"/>
      <c r="GD55" s="866"/>
      <c r="GE55" s="866"/>
      <c r="GF55" s="866"/>
      <c r="GG55" s="866"/>
      <c r="GH55" s="866"/>
      <c r="GI55" s="866"/>
      <c r="GJ55" s="866"/>
      <c r="GK55" s="866"/>
      <c r="GL55" s="866"/>
      <c r="GM55" s="866"/>
      <c r="GN55" s="866"/>
      <c r="GO55" s="866"/>
      <c r="GP55" s="866"/>
      <c r="GQ55" s="866"/>
      <c r="GR55" s="866"/>
      <c r="GS55" s="866"/>
      <c r="GT55" s="866"/>
      <c r="GU55" s="866"/>
      <c r="GV55" s="866"/>
      <c r="GW55" s="866"/>
      <c r="GX55" s="866"/>
      <c r="GY55" s="866"/>
      <c r="GZ55" s="866"/>
      <c r="HA55" s="866"/>
      <c r="HB55" s="866"/>
      <c r="HC55" s="866"/>
      <c r="HD55" s="866"/>
      <c r="HE55" s="866"/>
      <c r="HF55" s="866"/>
      <c r="HG55" s="866"/>
      <c r="HH55" s="866"/>
      <c r="HI55" s="866"/>
      <c r="HJ55" s="866"/>
      <c r="HK55" s="866"/>
      <c r="HL55" s="866"/>
      <c r="HM55" s="866"/>
      <c r="HN55" s="866"/>
      <c r="HO55" s="866"/>
      <c r="HP55" s="866"/>
      <c r="HQ55" s="866"/>
      <c r="HR55" s="866"/>
      <c r="HS55" s="866"/>
      <c r="HT55" s="866"/>
      <c r="HU55" s="866"/>
      <c r="HV55" s="866"/>
      <c r="HW55" s="866"/>
      <c r="HX55" s="866"/>
      <c r="HY55" s="866"/>
      <c r="HZ55" s="866"/>
      <c r="IA55" s="866"/>
      <c r="IB55" s="866"/>
      <c r="IC55" s="866"/>
      <c r="ID55" s="866"/>
      <c r="IE55" s="866"/>
      <c r="IF55" s="866"/>
      <c r="IG55" s="866"/>
      <c r="IH55" s="866"/>
      <c r="II55" s="866"/>
      <c r="IJ55" s="866"/>
      <c r="IK55" s="866"/>
      <c r="IL55" s="866"/>
      <c r="IM55" s="866"/>
      <c r="IN55" s="866"/>
      <c r="IO55" s="866"/>
      <c r="IP55" s="866"/>
      <c r="IQ55" s="866"/>
      <c r="IR55" s="866"/>
      <c r="IS55" s="866"/>
      <c r="IT55" s="866"/>
      <c r="IU55" s="866"/>
      <c r="IV55" s="866"/>
    </row>
    <row r="56" spans="1:256" ht="18">
      <c r="A56" s="866"/>
      <c r="B56" s="866"/>
      <c r="C56" s="866"/>
      <c r="D56" s="866"/>
      <c r="E56" s="866"/>
      <c r="F56" s="866"/>
      <c r="G56" s="866"/>
      <c r="H56" s="866"/>
      <c r="I56" s="866"/>
      <c r="J56" s="866"/>
      <c r="K56" s="866"/>
      <c r="L56" s="866"/>
      <c r="M56" s="866"/>
      <c r="N56" s="866"/>
      <c r="O56" s="879"/>
      <c r="P56" s="879"/>
      <c r="Q56" s="866"/>
      <c r="R56" s="866"/>
      <c r="S56" s="866"/>
      <c r="T56" s="866"/>
      <c r="U56" s="866"/>
      <c r="V56" s="866"/>
      <c r="W56" s="866"/>
      <c r="X56" s="866"/>
      <c r="Y56" s="866"/>
      <c r="Z56" s="866"/>
      <c r="AA56" s="866"/>
      <c r="AB56" s="866"/>
      <c r="AC56" s="866"/>
      <c r="AD56" s="866"/>
      <c r="AE56" s="866"/>
      <c r="AF56" s="866"/>
      <c r="AG56" s="866"/>
      <c r="AH56" s="866"/>
      <c r="AI56" s="866"/>
      <c r="AJ56" s="866"/>
      <c r="AK56" s="866"/>
      <c r="AL56" s="866"/>
      <c r="AM56" s="866"/>
      <c r="AN56" s="866"/>
      <c r="AO56" s="866"/>
      <c r="AP56" s="866"/>
      <c r="AQ56" s="866"/>
      <c r="AR56" s="866"/>
      <c r="AS56" s="866"/>
      <c r="AT56" s="866"/>
      <c r="AU56" s="866"/>
      <c r="AV56" s="866"/>
      <c r="AW56" s="866"/>
      <c r="AX56" s="866"/>
      <c r="AY56" s="866"/>
      <c r="AZ56" s="866"/>
      <c r="BA56" s="866"/>
      <c r="BB56" s="866"/>
      <c r="BC56" s="866"/>
      <c r="BD56" s="866"/>
      <c r="BE56" s="866"/>
      <c r="BF56" s="866"/>
      <c r="BG56" s="866"/>
      <c r="BH56" s="866"/>
      <c r="BI56" s="866"/>
      <c r="BJ56" s="866"/>
      <c r="BK56" s="866"/>
      <c r="BL56" s="866"/>
      <c r="BM56" s="866"/>
      <c r="BN56" s="866"/>
      <c r="BO56" s="866"/>
      <c r="BP56" s="866"/>
      <c r="BQ56" s="866"/>
      <c r="BR56" s="866"/>
      <c r="BS56" s="866"/>
      <c r="BT56" s="866"/>
      <c r="BU56" s="866"/>
      <c r="BV56" s="866"/>
      <c r="BW56" s="866"/>
      <c r="BX56" s="866"/>
      <c r="BY56" s="866"/>
      <c r="BZ56" s="866"/>
      <c r="CA56" s="866"/>
      <c r="CB56" s="866"/>
      <c r="CC56" s="866"/>
      <c r="CD56" s="866"/>
      <c r="CE56" s="866"/>
      <c r="CF56" s="866"/>
      <c r="CG56" s="866"/>
      <c r="CH56" s="866"/>
      <c r="CI56" s="866"/>
      <c r="CJ56" s="866"/>
      <c r="CK56" s="866"/>
      <c r="CL56" s="866"/>
      <c r="CM56" s="866"/>
      <c r="CN56" s="866"/>
      <c r="CO56" s="866"/>
      <c r="CP56" s="866"/>
      <c r="CQ56" s="866"/>
      <c r="CR56" s="866"/>
      <c r="CS56" s="866"/>
      <c r="CT56" s="866"/>
      <c r="CU56" s="866"/>
      <c r="CV56" s="866"/>
      <c r="CW56" s="866"/>
      <c r="CX56" s="866"/>
      <c r="CY56" s="866"/>
      <c r="CZ56" s="866"/>
      <c r="DA56" s="866"/>
      <c r="DB56" s="866"/>
      <c r="DC56" s="866"/>
      <c r="DD56" s="866"/>
      <c r="DE56" s="866"/>
      <c r="DF56" s="866"/>
      <c r="DG56" s="866"/>
      <c r="DH56" s="866"/>
      <c r="DI56" s="866"/>
      <c r="DJ56" s="866"/>
      <c r="DK56" s="866"/>
      <c r="DL56" s="866"/>
      <c r="DM56" s="866"/>
      <c r="DN56" s="866"/>
      <c r="DO56" s="866"/>
      <c r="DP56" s="866"/>
      <c r="DQ56" s="866"/>
      <c r="DR56" s="866"/>
      <c r="DS56" s="866"/>
      <c r="DT56" s="866"/>
      <c r="DU56" s="866"/>
      <c r="DV56" s="866"/>
      <c r="DW56" s="866"/>
      <c r="DX56" s="866"/>
      <c r="DY56" s="866"/>
      <c r="DZ56" s="866"/>
      <c r="EA56" s="866"/>
      <c r="EB56" s="866"/>
      <c r="EC56" s="866"/>
      <c r="ED56" s="866"/>
      <c r="EE56" s="866"/>
      <c r="EF56" s="866"/>
      <c r="EG56" s="866"/>
      <c r="EH56" s="866"/>
      <c r="EI56" s="866"/>
      <c r="EJ56" s="866"/>
      <c r="EK56" s="866"/>
      <c r="EL56" s="866"/>
      <c r="EM56" s="866"/>
      <c r="EN56" s="866"/>
      <c r="EO56" s="866"/>
      <c r="EP56" s="866"/>
      <c r="EQ56" s="866"/>
      <c r="ER56" s="866"/>
      <c r="ES56" s="866"/>
      <c r="ET56" s="866"/>
      <c r="EU56" s="866"/>
      <c r="EV56" s="866"/>
      <c r="EW56" s="866"/>
      <c r="EX56" s="866"/>
      <c r="EY56" s="866"/>
      <c r="EZ56" s="866"/>
      <c r="FA56" s="866"/>
      <c r="FB56" s="866"/>
      <c r="FC56" s="866"/>
      <c r="FD56" s="866"/>
      <c r="FE56" s="866"/>
      <c r="FF56" s="866"/>
      <c r="FG56" s="866"/>
      <c r="FH56" s="866"/>
      <c r="FI56" s="866"/>
      <c r="FJ56" s="866"/>
      <c r="FK56" s="866"/>
      <c r="FL56" s="866"/>
      <c r="FM56" s="866"/>
      <c r="FN56" s="866"/>
      <c r="FO56" s="866"/>
      <c r="FP56" s="866"/>
      <c r="FQ56" s="866"/>
      <c r="FR56" s="866"/>
      <c r="FS56" s="866"/>
      <c r="FT56" s="866"/>
      <c r="FU56" s="866"/>
      <c r="FV56" s="866"/>
      <c r="FW56" s="866"/>
      <c r="FX56" s="866"/>
      <c r="FY56" s="866"/>
      <c r="FZ56" s="866"/>
      <c r="GA56" s="866"/>
      <c r="GB56" s="866"/>
      <c r="GC56" s="866"/>
      <c r="GD56" s="866"/>
      <c r="GE56" s="866"/>
      <c r="GF56" s="866"/>
      <c r="GG56" s="866"/>
      <c r="GH56" s="866"/>
      <c r="GI56" s="866"/>
      <c r="GJ56" s="866"/>
      <c r="GK56" s="866"/>
      <c r="GL56" s="866"/>
      <c r="GM56" s="866"/>
      <c r="GN56" s="866"/>
      <c r="GO56" s="866"/>
      <c r="GP56" s="866"/>
      <c r="GQ56" s="866"/>
      <c r="GR56" s="866"/>
      <c r="GS56" s="866"/>
      <c r="GT56" s="866"/>
      <c r="GU56" s="866"/>
      <c r="GV56" s="866"/>
      <c r="GW56" s="866"/>
      <c r="GX56" s="866"/>
      <c r="GY56" s="866"/>
      <c r="GZ56" s="866"/>
      <c r="HA56" s="866"/>
      <c r="HB56" s="866"/>
      <c r="HC56" s="866"/>
      <c r="HD56" s="866"/>
      <c r="HE56" s="866"/>
      <c r="HF56" s="866"/>
      <c r="HG56" s="866"/>
      <c r="HH56" s="866"/>
      <c r="HI56" s="866"/>
      <c r="HJ56" s="866"/>
      <c r="HK56" s="866"/>
      <c r="HL56" s="866"/>
      <c r="HM56" s="866"/>
      <c r="HN56" s="866"/>
      <c r="HO56" s="866"/>
      <c r="HP56" s="866"/>
      <c r="HQ56" s="866"/>
      <c r="HR56" s="866"/>
      <c r="HS56" s="866"/>
      <c r="HT56" s="866"/>
      <c r="HU56" s="866"/>
      <c r="HV56" s="866"/>
      <c r="HW56" s="866"/>
      <c r="HX56" s="866"/>
      <c r="HY56" s="866"/>
      <c r="HZ56" s="866"/>
      <c r="IA56" s="866"/>
      <c r="IB56" s="866"/>
      <c r="IC56" s="866"/>
      <c r="ID56" s="866"/>
      <c r="IE56" s="866"/>
      <c r="IF56" s="866"/>
      <c r="IG56" s="866"/>
      <c r="IH56" s="866"/>
      <c r="II56" s="866"/>
      <c r="IJ56" s="866"/>
      <c r="IK56" s="866"/>
      <c r="IL56" s="866"/>
      <c r="IM56" s="866"/>
      <c r="IN56" s="866"/>
      <c r="IO56" s="866"/>
      <c r="IP56" s="866"/>
      <c r="IQ56" s="866"/>
      <c r="IR56" s="866"/>
      <c r="IS56" s="866"/>
      <c r="IT56" s="866"/>
      <c r="IU56" s="866"/>
      <c r="IV56" s="866"/>
    </row>
    <row r="57" spans="1:256" ht="18">
      <c r="A57" s="866"/>
      <c r="B57" s="866"/>
      <c r="C57" s="866"/>
      <c r="D57" s="866"/>
      <c r="E57" s="866"/>
      <c r="F57" s="866"/>
      <c r="G57" s="866"/>
      <c r="H57" s="866"/>
      <c r="I57" s="866"/>
      <c r="J57" s="866"/>
      <c r="K57" s="866"/>
      <c r="L57" s="866"/>
      <c r="M57" s="866"/>
      <c r="N57" s="866"/>
      <c r="O57" s="879"/>
      <c r="P57" s="879"/>
      <c r="Q57" s="866"/>
      <c r="R57" s="866"/>
      <c r="S57" s="866"/>
      <c r="T57" s="866"/>
      <c r="U57" s="866"/>
      <c r="V57" s="866"/>
      <c r="W57" s="866"/>
      <c r="X57" s="866"/>
      <c r="Y57" s="866"/>
      <c r="Z57" s="866"/>
      <c r="AA57" s="866"/>
      <c r="AB57" s="866"/>
      <c r="AC57" s="866"/>
      <c r="AD57" s="866"/>
      <c r="AE57" s="866"/>
      <c r="AF57" s="866"/>
      <c r="AG57" s="866"/>
      <c r="AH57" s="866"/>
      <c r="AI57" s="866"/>
      <c r="AJ57" s="866"/>
      <c r="AK57" s="866"/>
      <c r="AL57" s="866"/>
      <c r="AM57" s="866"/>
      <c r="AN57" s="866"/>
      <c r="AO57" s="866"/>
      <c r="AP57" s="866"/>
      <c r="AQ57" s="866"/>
      <c r="AR57" s="866"/>
      <c r="AS57" s="866"/>
      <c r="AT57" s="866"/>
      <c r="AU57" s="866"/>
      <c r="AV57" s="866"/>
      <c r="AW57" s="866"/>
      <c r="AX57" s="866"/>
      <c r="AY57" s="866"/>
      <c r="AZ57" s="866"/>
      <c r="BA57" s="866"/>
      <c r="BB57" s="866"/>
      <c r="BC57" s="866"/>
      <c r="BD57" s="866"/>
      <c r="BE57" s="866"/>
      <c r="BF57" s="866"/>
      <c r="BG57" s="866"/>
      <c r="BH57" s="866"/>
      <c r="BI57" s="866"/>
      <c r="BJ57" s="866"/>
      <c r="BK57" s="866"/>
      <c r="BL57" s="866"/>
      <c r="BM57" s="866"/>
      <c r="BN57" s="866"/>
      <c r="BO57" s="866"/>
      <c r="BP57" s="866"/>
      <c r="BQ57" s="866"/>
      <c r="BR57" s="866"/>
      <c r="BS57" s="866"/>
      <c r="BT57" s="866"/>
      <c r="BU57" s="866"/>
      <c r="BV57" s="866"/>
      <c r="BW57" s="866"/>
      <c r="BX57" s="866"/>
      <c r="BY57" s="866"/>
      <c r="BZ57" s="866"/>
      <c r="CA57" s="866"/>
      <c r="CB57" s="866"/>
      <c r="CC57" s="866"/>
      <c r="CD57" s="866"/>
      <c r="CE57" s="866"/>
      <c r="CF57" s="866"/>
      <c r="CG57" s="866"/>
      <c r="CH57" s="866"/>
      <c r="CI57" s="866"/>
      <c r="CJ57" s="866"/>
      <c r="CK57" s="866"/>
      <c r="CL57" s="866"/>
      <c r="CM57" s="866"/>
      <c r="CN57" s="866"/>
      <c r="CO57" s="866"/>
      <c r="CP57" s="866"/>
      <c r="CQ57" s="866"/>
      <c r="CR57" s="866"/>
      <c r="CS57" s="866"/>
      <c r="CT57" s="866"/>
      <c r="CU57" s="866"/>
      <c r="CV57" s="866"/>
      <c r="CW57" s="866"/>
      <c r="CX57" s="866"/>
      <c r="CY57" s="866"/>
      <c r="CZ57" s="866"/>
      <c r="DA57" s="866"/>
      <c r="DB57" s="866"/>
      <c r="DC57" s="866"/>
      <c r="DD57" s="866"/>
      <c r="DE57" s="866"/>
      <c r="DF57" s="866"/>
      <c r="DG57" s="866"/>
      <c r="DH57" s="866"/>
      <c r="DI57" s="866"/>
      <c r="DJ57" s="866"/>
      <c r="DK57" s="866"/>
      <c r="DL57" s="866"/>
      <c r="DM57" s="866"/>
      <c r="DN57" s="866"/>
      <c r="DO57" s="866"/>
      <c r="DP57" s="866"/>
      <c r="DQ57" s="866"/>
      <c r="DR57" s="866"/>
      <c r="DS57" s="866"/>
      <c r="DT57" s="866"/>
      <c r="DU57" s="866"/>
      <c r="DV57" s="866"/>
      <c r="DW57" s="866"/>
      <c r="DX57" s="866"/>
      <c r="DY57" s="866"/>
      <c r="DZ57" s="866"/>
      <c r="EA57" s="866"/>
      <c r="EB57" s="866"/>
      <c r="EC57" s="866"/>
      <c r="ED57" s="866"/>
      <c r="EE57" s="866"/>
      <c r="EF57" s="866"/>
      <c r="EG57" s="866"/>
      <c r="EH57" s="866"/>
      <c r="EI57" s="866"/>
      <c r="EJ57" s="866"/>
      <c r="EK57" s="866"/>
      <c r="EL57" s="866"/>
      <c r="EM57" s="866"/>
      <c r="EN57" s="866"/>
      <c r="EO57" s="866"/>
      <c r="EP57" s="866"/>
      <c r="EQ57" s="866"/>
      <c r="ER57" s="866"/>
      <c r="ES57" s="866"/>
      <c r="ET57" s="866"/>
      <c r="EU57" s="866"/>
      <c r="EV57" s="866"/>
      <c r="EW57" s="866"/>
      <c r="EX57" s="866"/>
      <c r="EY57" s="866"/>
      <c r="EZ57" s="866"/>
      <c r="FA57" s="866"/>
      <c r="FB57" s="866"/>
      <c r="FC57" s="866"/>
      <c r="FD57" s="866"/>
      <c r="FE57" s="866"/>
      <c r="FF57" s="866"/>
      <c r="FG57" s="866"/>
      <c r="FH57" s="866"/>
      <c r="FI57" s="866"/>
      <c r="FJ57" s="866"/>
      <c r="FK57" s="866"/>
      <c r="FL57" s="866"/>
      <c r="FM57" s="866"/>
      <c r="FN57" s="866"/>
      <c r="FO57" s="866"/>
      <c r="FP57" s="866"/>
      <c r="FQ57" s="866"/>
      <c r="FR57" s="866"/>
      <c r="FS57" s="866"/>
      <c r="FT57" s="866"/>
      <c r="FU57" s="866"/>
      <c r="FV57" s="866"/>
      <c r="FW57" s="866"/>
      <c r="FX57" s="866"/>
      <c r="FY57" s="866"/>
      <c r="FZ57" s="866"/>
      <c r="GA57" s="866"/>
      <c r="GB57" s="866"/>
      <c r="GC57" s="866"/>
      <c r="GD57" s="866"/>
      <c r="GE57" s="866"/>
      <c r="GF57" s="866"/>
      <c r="GG57" s="866"/>
      <c r="GH57" s="866"/>
      <c r="GI57" s="866"/>
      <c r="GJ57" s="866"/>
      <c r="GK57" s="866"/>
      <c r="GL57" s="866"/>
      <c r="GM57" s="866"/>
      <c r="GN57" s="866"/>
      <c r="GO57" s="866"/>
      <c r="GP57" s="866"/>
      <c r="GQ57" s="866"/>
      <c r="GR57" s="866"/>
      <c r="GS57" s="866"/>
      <c r="GT57" s="866"/>
      <c r="GU57" s="866"/>
      <c r="GV57" s="866"/>
      <c r="GW57" s="866"/>
      <c r="GX57" s="866"/>
      <c r="GY57" s="866"/>
      <c r="GZ57" s="866"/>
      <c r="HA57" s="866"/>
      <c r="HB57" s="866"/>
      <c r="HC57" s="866"/>
      <c r="HD57" s="866"/>
      <c r="HE57" s="866"/>
      <c r="HF57" s="866"/>
      <c r="HG57" s="866"/>
      <c r="HH57" s="866"/>
      <c r="HI57" s="866"/>
      <c r="HJ57" s="866"/>
      <c r="HK57" s="866"/>
      <c r="HL57" s="866"/>
      <c r="HM57" s="866"/>
      <c r="HN57" s="866"/>
      <c r="HO57" s="866"/>
      <c r="HP57" s="866"/>
      <c r="HQ57" s="866"/>
      <c r="HR57" s="866"/>
      <c r="HS57" s="866"/>
      <c r="HT57" s="866"/>
      <c r="HU57" s="866"/>
      <c r="HV57" s="866"/>
      <c r="HW57" s="866"/>
      <c r="HX57" s="866"/>
      <c r="HY57" s="866"/>
      <c r="HZ57" s="866"/>
      <c r="IA57" s="866"/>
      <c r="IB57" s="866"/>
      <c r="IC57" s="866"/>
      <c r="ID57" s="866"/>
      <c r="IE57" s="866"/>
      <c r="IF57" s="866"/>
      <c r="IG57" s="866"/>
      <c r="IH57" s="866"/>
      <c r="II57" s="866"/>
      <c r="IJ57" s="866"/>
      <c r="IK57" s="866"/>
      <c r="IL57" s="866"/>
      <c r="IM57" s="866"/>
      <c r="IN57" s="866"/>
      <c r="IO57" s="866"/>
      <c r="IP57" s="866"/>
      <c r="IQ57" s="866"/>
      <c r="IR57" s="866"/>
      <c r="IS57" s="866"/>
      <c r="IT57" s="866"/>
      <c r="IU57" s="866"/>
      <c r="IV57" s="866"/>
    </row>
    <row r="58" spans="1:256" ht="18">
      <c r="A58" s="866"/>
      <c r="B58" s="866"/>
      <c r="C58" s="866"/>
      <c r="D58" s="866"/>
      <c r="E58" s="866"/>
      <c r="F58" s="866"/>
      <c r="G58" s="866"/>
      <c r="H58" s="866"/>
      <c r="I58" s="866"/>
      <c r="J58" s="866"/>
      <c r="K58" s="866"/>
      <c r="L58" s="866"/>
      <c r="M58" s="866"/>
      <c r="N58" s="866"/>
      <c r="O58" s="879"/>
      <c r="P58" s="879"/>
      <c r="Q58" s="866"/>
      <c r="R58" s="866"/>
      <c r="S58" s="866"/>
      <c r="T58" s="866"/>
      <c r="U58" s="866"/>
      <c r="V58" s="866"/>
      <c r="W58" s="866"/>
      <c r="X58" s="866"/>
      <c r="Y58" s="866"/>
      <c r="Z58" s="866"/>
      <c r="AA58" s="866"/>
      <c r="AB58" s="866"/>
      <c r="AC58" s="866"/>
      <c r="AD58" s="866"/>
      <c r="AE58" s="866"/>
      <c r="AF58" s="866"/>
      <c r="AG58" s="866"/>
      <c r="AH58" s="866"/>
      <c r="AI58" s="866"/>
      <c r="AJ58" s="866"/>
      <c r="AK58" s="866"/>
      <c r="AL58" s="866"/>
      <c r="AM58" s="866"/>
      <c r="AN58" s="866"/>
      <c r="AO58" s="866"/>
      <c r="AP58" s="866"/>
      <c r="AQ58" s="866"/>
      <c r="AR58" s="866"/>
      <c r="AS58" s="866"/>
      <c r="AT58" s="866"/>
      <c r="AU58" s="866"/>
      <c r="AV58" s="866"/>
      <c r="AW58" s="866"/>
      <c r="AX58" s="866"/>
      <c r="AY58" s="866"/>
      <c r="AZ58" s="866"/>
      <c r="BA58" s="866"/>
      <c r="BB58" s="866"/>
      <c r="BC58" s="866"/>
      <c r="BD58" s="866"/>
      <c r="BE58" s="866"/>
      <c r="BF58" s="866"/>
      <c r="BG58" s="866"/>
      <c r="BH58" s="866"/>
      <c r="BI58" s="866"/>
      <c r="BJ58" s="866"/>
      <c r="BK58" s="866"/>
      <c r="BL58" s="866"/>
      <c r="BM58" s="866"/>
      <c r="BN58" s="866"/>
      <c r="BO58" s="866"/>
      <c r="BP58" s="866"/>
      <c r="BQ58" s="866"/>
      <c r="BR58" s="866"/>
      <c r="BS58" s="866"/>
      <c r="BT58" s="866"/>
      <c r="BU58" s="866"/>
      <c r="BV58" s="866"/>
      <c r="BW58" s="866"/>
      <c r="BX58" s="866"/>
      <c r="BY58" s="866"/>
      <c r="BZ58" s="866"/>
      <c r="CA58" s="866"/>
      <c r="CB58" s="866"/>
      <c r="CC58" s="866"/>
      <c r="CD58" s="866"/>
      <c r="CE58" s="866"/>
      <c r="CF58" s="866"/>
      <c r="CG58" s="866"/>
      <c r="CH58" s="866"/>
      <c r="CI58" s="866"/>
      <c r="CJ58" s="866"/>
      <c r="CK58" s="866"/>
      <c r="CL58" s="866"/>
      <c r="CM58" s="866"/>
      <c r="CN58" s="866"/>
      <c r="CO58" s="866"/>
      <c r="CP58" s="866"/>
      <c r="CQ58" s="866"/>
      <c r="CR58" s="866"/>
      <c r="CS58" s="866"/>
      <c r="CT58" s="866"/>
      <c r="CU58" s="866"/>
      <c r="CV58" s="866"/>
      <c r="CW58" s="866"/>
      <c r="CX58" s="866"/>
      <c r="CY58" s="866"/>
      <c r="CZ58" s="866"/>
      <c r="DA58" s="866"/>
      <c r="DB58" s="866"/>
      <c r="DC58" s="866"/>
      <c r="DD58" s="866"/>
      <c r="DE58" s="866"/>
      <c r="DF58" s="866"/>
      <c r="DG58" s="866"/>
      <c r="DH58" s="866"/>
      <c r="DI58" s="866"/>
      <c r="DJ58" s="866"/>
      <c r="DK58" s="866"/>
      <c r="DL58" s="866"/>
      <c r="DM58" s="866"/>
      <c r="DN58" s="866"/>
      <c r="DO58" s="866"/>
      <c r="DP58" s="866"/>
      <c r="DQ58" s="866"/>
      <c r="DR58" s="866"/>
      <c r="DS58" s="866"/>
      <c r="DT58" s="866"/>
      <c r="DU58" s="866"/>
      <c r="DV58" s="866"/>
      <c r="DW58" s="866"/>
      <c r="DX58" s="866"/>
      <c r="DY58" s="866"/>
      <c r="DZ58" s="866"/>
      <c r="EA58" s="866"/>
      <c r="EB58" s="866"/>
      <c r="EC58" s="866"/>
      <c r="ED58" s="866"/>
      <c r="EE58" s="866"/>
      <c r="EF58" s="866"/>
      <c r="EG58" s="866"/>
      <c r="EH58" s="866"/>
      <c r="EI58" s="866"/>
      <c r="EJ58" s="866"/>
      <c r="EK58" s="866"/>
      <c r="EL58" s="866"/>
      <c r="EM58" s="866"/>
      <c r="EN58" s="866"/>
      <c r="EO58" s="866"/>
      <c r="EP58" s="866"/>
      <c r="EQ58" s="866"/>
      <c r="ER58" s="866"/>
      <c r="ES58" s="866"/>
      <c r="ET58" s="866"/>
      <c r="EU58" s="866"/>
      <c r="EV58" s="866"/>
      <c r="EW58" s="866"/>
      <c r="EX58" s="866"/>
      <c r="EY58" s="866"/>
      <c r="EZ58" s="866"/>
      <c r="FA58" s="866"/>
      <c r="FB58" s="866"/>
      <c r="FC58" s="866"/>
      <c r="FD58" s="866"/>
      <c r="FE58" s="866"/>
      <c r="FF58" s="866"/>
      <c r="FG58" s="866"/>
      <c r="FH58" s="866"/>
      <c r="FI58" s="866"/>
      <c r="FJ58" s="866"/>
      <c r="FK58" s="866"/>
      <c r="FL58" s="866"/>
      <c r="FM58" s="866"/>
      <c r="FN58" s="866"/>
      <c r="FO58" s="866"/>
      <c r="FP58" s="866"/>
      <c r="FQ58" s="866"/>
      <c r="FR58" s="866"/>
      <c r="FS58" s="866"/>
      <c r="FT58" s="866"/>
      <c r="FU58" s="866"/>
      <c r="FV58" s="866"/>
      <c r="FW58" s="866"/>
      <c r="FX58" s="866"/>
      <c r="FY58" s="866"/>
      <c r="FZ58" s="866"/>
      <c r="GA58" s="866"/>
      <c r="GB58" s="866"/>
      <c r="GC58" s="866"/>
      <c r="GD58" s="866"/>
      <c r="GE58" s="866"/>
      <c r="GF58" s="866"/>
      <c r="GG58" s="866"/>
      <c r="GH58" s="866"/>
      <c r="GI58" s="866"/>
      <c r="GJ58" s="866"/>
      <c r="GK58" s="866"/>
      <c r="GL58" s="866"/>
      <c r="GM58" s="866"/>
      <c r="GN58" s="866"/>
      <c r="GO58" s="866"/>
      <c r="GP58" s="866"/>
      <c r="GQ58" s="866"/>
      <c r="GR58" s="866"/>
      <c r="GS58" s="866"/>
      <c r="GT58" s="866"/>
      <c r="GU58" s="866"/>
      <c r="GV58" s="866"/>
      <c r="GW58" s="866"/>
      <c r="GX58" s="866"/>
      <c r="GY58" s="866"/>
      <c r="GZ58" s="866"/>
      <c r="HA58" s="866"/>
      <c r="HB58" s="866"/>
      <c r="HC58" s="866"/>
      <c r="HD58" s="866"/>
      <c r="HE58" s="866"/>
      <c r="HF58" s="866"/>
      <c r="HG58" s="866"/>
      <c r="HH58" s="866"/>
      <c r="HI58" s="866"/>
      <c r="HJ58" s="866"/>
      <c r="HK58" s="866"/>
      <c r="HL58" s="866"/>
      <c r="HM58" s="866"/>
      <c r="HN58" s="866"/>
      <c r="HO58" s="866"/>
      <c r="HP58" s="866"/>
      <c r="HQ58" s="866"/>
      <c r="HR58" s="866"/>
      <c r="HS58" s="866"/>
      <c r="HT58" s="866"/>
      <c r="HU58" s="866"/>
      <c r="HV58" s="866"/>
      <c r="HW58" s="866"/>
      <c r="HX58" s="866"/>
      <c r="HY58" s="866"/>
      <c r="HZ58" s="866"/>
      <c r="IA58" s="866"/>
      <c r="IB58" s="866"/>
      <c r="IC58" s="866"/>
      <c r="ID58" s="866"/>
      <c r="IE58" s="866"/>
      <c r="IF58" s="866"/>
      <c r="IG58" s="866"/>
      <c r="IH58" s="866"/>
      <c r="II58" s="866"/>
      <c r="IJ58" s="866"/>
      <c r="IK58" s="866"/>
      <c r="IL58" s="866"/>
      <c r="IM58" s="866"/>
      <c r="IN58" s="866"/>
      <c r="IO58" s="866"/>
      <c r="IP58" s="866"/>
      <c r="IQ58" s="866"/>
      <c r="IR58" s="866"/>
      <c r="IS58" s="866"/>
      <c r="IT58" s="866"/>
      <c r="IU58" s="866"/>
      <c r="IV58" s="866"/>
    </row>
    <row r="59" spans="1:256" ht="18">
      <c r="A59" s="866"/>
      <c r="B59" s="866"/>
      <c r="C59" s="866"/>
      <c r="D59" s="866"/>
      <c r="E59" s="866"/>
      <c r="F59" s="866"/>
      <c r="G59" s="866"/>
      <c r="H59" s="866"/>
      <c r="I59" s="866"/>
      <c r="J59" s="866"/>
      <c r="K59" s="866"/>
      <c r="L59" s="866"/>
      <c r="M59" s="866"/>
      <c r="N59" s="866"/>
      <c r="O59" s="879"/>
      <c r="P59" s="879"/>
      <c r="Q59" s="866"/>
      <c r="R59" s="866"/>
      <c r="S59" s="866"/>
      <c r="T59" s="866"/>
      <c r="U59" s="866"/>
      <c r="V59" s="866"/>
      <c r="W59" s="866"/>
      <c r="X59" s="866"/>
      <c r="Y59" s="866"/>
      <c r="Z59" s="866"/>
      <c r="AA59" s="866"/>
      <c r="AB59" s="866"/>
      <c r="AC59" s="866"/>
      <c r="AD59" s="866"/>
      <c r="AE59" s="866"/>
      <c r="AF59" s="866"/>
      <c r="AG59" s="866"/>
      <c r="AH59" s="866"/>
      <c r="AI59" s="866"/>
      <c r="AJ59" s="866"/>
      <c r="AK59" s="866"/>
      <c r="AL59" s="866"/>
      <c r="AM59" s="866"/>
      <c r="AN59" s="866"/>
      <c r="AO59" s="866"/>
      <c r="AP59" s="866"/>
      <c r="AQ59" s="866"/>
      <c r="AR59" s="866"/>
      <c r="AS59" s="866"/>
      <c r="AT59" s="866"/>
      <c r="AU59" s="866"/>
      <c r="AV59" s="866"/>
      <c r="AW59" s="866"/>
      <c r="AX59" s="866"/>
      <c r="AY59" s="866"/>
      <c r="AZ59" s="866"/>
      <c r="BA59" s="866"/>
      <c r="BB59" s="866"/>
      <c r="BC59" s="866"/>
      <c r="BD59" s="866"/>
      <c r="BE59" s="866"/>
      <c r="BF59" s="866"/>
      <c r="BG59" s="866"/>
      <c r="BH59" s="866"/>
      <c r="BI59" s="866"/>
      <c r="BJ59" s="866"/>
      <c r="BK59" s="866"/>
      <c r="BL59" s="866"/>
      <c r="BM59" s="866"/>
      <c r="BN59" s="866"/>
      <c r="BO59" s="866"/>
      <c r="BP59" s="866"/>
      <c r="BQ59" s="866"/>
      <c r="BR59" s="866"/>
      <c r="BS59" s="866"/>
      <c r="BT59" s="866"/>
      <c r="BU59" s="866"/>
      <c r="BV59" s="866"/>
      <c r="BW59" s="866"/>
      <c r="BX59" s="866"/>
      <c r="BY59" s="866"/>
      <c r="BZ59" s="866"/>
      <c r="CA59" s="866"/>
      <c r="CB59" s="866"/>
      <c r="CC59" s="866"/>
      <c r="CD59" s="866"/>
      <c r="CE59" s="866"/>
      <c r="CF59" s="866"/>
      <c r="CG59" s="866"/>
      <c r="CH59" s="866"/>
      <c r="CI59" s="866"/>
      <c r="CJ59" s="866"/>
      <c r="CK59" s="866"/>
      <c r="CL59" s="866"/>
      <c r="CM59" s="866"/>
      <c r="CN59" s="866"/>
      <c r="CO59" s="866"/>
      <c r="CP59" s="866"/>
      <c r="CQ59" s="866"/>
      <c r="CR59" s="866"/>
      <c r="CS59" s="866"/>
      <c r="CT59" s="866"/>
      <c r="CU59" s="866"/>
      <c r="CV59" s="866"/>
      <c r="CW59" s="866"/>
      <c r="CX59" s="866"/>
      <c r="CY59" s="866"/>
      <c r="CZ59" s="866"/>
      <c r="DA59" s="866"/>
      <c r="DB59" s="866"/>
      <c r="DC59" s="866"/>
      <c r="DD59" s="866"/>
      <c r="DE59" s="866"/>
      <c r="DF59" s="866"/>
      <c r="DG59" s="866"/>
      <c r="DH59" s="866"/>
      <c r="DI59" s="866"/>
      <c r="DJ59" s="866"/>
      <c r="DK59" s="866"/>
      <c r="DL59" s="866"/>
      <c r="DM59" s="866"/>
      <c r="DN59" s="866"/>
      <c r="DO59" s="866"/>
      <c r="DP59" s="866"/>
      <c r="DQ59" s="866"/>
      <c r="DR59" s="866"/>
      <c r="DS59" s="866"/>
      <c r="DT59" s="866"/>
      <c r="DU59" s="866"/>
      <c r="DV59" s="866"/>
      <c r="DW59" s="866"/>
      <c r="DX59" s="866"/>
      <c r="DY59" s="866"/>
      <c r="DZ59" s="866"/>
      <c r="EA59" s="866"/>
      <c r="EB59" s="866"/>
      <c r="EC59" s="866"/>
      <c r="ED59" s="866"/>
      <c r="EE59" s="866"/>
      <c r="EF59" s="866"/>
      <c r="EG59" s="866"/>
      <c r="EH59" s="866"/>
      <c r="EI59" s="866"/>
      <c r="EJ59" s="866"/>
      <c r="EK59" s="866"/>
      <c r="EL59" s="866"/>
      <c r="EM59" s="866"/>
      <c r="EN59" s="866"/>
      <c r="EO59" s="866"/>
      <c r="EP59" s="866"/>
      <c r="EQ59" s="866"/>
      <c r="ER59" s="866"/>
      <c r="ES59" s="866"/>
      <c r="ET59" s="866"/>
      <c r="EU59" s="866"/>
      <c r="EV59" s="866"/>
      <c r="EW59" s="866"/>
      <c r="EX59" s="866"/>
      <c r="EY59" s="866"/>
      <c r="EZ59" s="866"/>
      <c r="FA59" s="866"/>
      <c r="FB59" s="866"/>
      <c r="FC59" s="866"/>
      <c r="FD59" s="866"/>
      <c r="FE59" s="866"/>
      <c r="FF59" s="866"/>
      <c r="FG59" s="866"/>
      <c r="FH59" s="866"/>
      <c r="FI59" s="866"/>
      <c r="FJ59" s="866"/>
      <c r="FK59" s="866"/>
      <c r="FL59" s="866"/>
      <c r="FM59" s="866"/>
      <c r="FN59" s="866"/>
      <c r="FO59" s="866"/>
      <c r="FP59" s="866"/>
      <c r="FQ59" s="866"/>
      <c r="FR59" s="866"/>
      <c r="FS59" s="866"/>
      <c r="FT59" s="866"/>
      <c r="FU59" s="866"/>
      <c r="FV59" s="866"/>
      <c r="FW59" s="866"/>
      <c r="FX59" s="866"/>
      <c r="FY59" s="866"/>
      <c r="FZ59" s="866"/>
      <c r="GA59" s="866"/>
      <c r="GB59" s="866"/>
      <c r="GC59" s="866"/>
      <c r="GD59" s="866"/>
      <c r="GE59" s="866"/>
      <c r="GF59" s="866"/>
      <c r="GG59" s="866"/>
      <c r="GH59" s="866"/>
      <c r="GI59" s="866"/>
      <c r="GJ59" s="866"/>
      <c r="GK59" s="866"/>
      <c r="GL59" s="866"/>
      <c r="GM59" s="866"/>
      <c r="GN59" s="866"/>
      <c r="GO59" s="866"/>
      <c r="GP59" s="866"/>
      <c r="GQ59" s="866"/>
      <c r="GR59" s="866"/>
      <c r="GS59" s="866"/>
      <c r="GT59" s="866"/>
      <c r="GU59" s="866"/>
      <c r="GV59" s="866"/>
      <c r="GW59" s="866"/>
      <c r="GX59" s="866"/>
      <c r="GY59" s="866"/>
      <c r="GZ59" s="866"/>
      <c r="HA59" s="866"/>
      <c r="HB59" s="866"/>
      <c r="HC59" s="866"/>
      <c r="HD59" s="866"/>
      <c r="HE59" s="866"/>
      <c r="HF59" s="866"/>
      <c r="HG59" s="866"/>
      <c r="HH59" s="866"/>
      <c r="HI59" s="866"/>
      <c r="HJ59" s="866"/>
      <c r="HK59" s="866"/>
      <c r="HL59" s="866"/>
      <c r="HM59" s="866"/>
      <c r="HN59" s="866"/>
      <c r="HO59" s="866"/>
      <c r="HP59" s="866"/>
      <c r="HQ59" s="866"/>
      <c r="HR59" s="866"/>
      <c r="HS59" s="866"/>
      <c r="HT59" s="866"/>
      <c r="HU59" s="866"/>
      <c r="HV59" s="866"/>
      <c r="HW59" s="866"/>
      <c r="HX59" s="866"/>
      <c r="HY59" s="866"/>
      <c r="HZ59" s="866"/>
      <c r="IA59" s="866"/>
      <c r="IB59" s="866"/>
      <c r="IC59" s="866"/>
      <c r="ID59" s="866"/>
      <c r="IE59" s="866"/>
      <c r="IF59" s="866"/>
      <c r="IG59" s="866"/>
      <c r="IH59" s="866"/>
      <c r="II59" s="866"/>
      <c r="IJ59" s="866"/>
      <c r="IK59" s="866"/>
      <c r="IL59" s="866"/>
      <c r="IM59" s="866"/>
      <c r="IN59" s="866"/>
      <c r="IO59" s="866"/>
      <c r="IP59" s="866"/>
      <c r="IQ59" s="866"/>
      <c r="IR59" s="866"/>
      <c r="IS59" s="866"/>
      <c r="IT59" s="866"/>
      <c r="IU59" s="866"/>
      <c r="IV59" s="866"/>
    </row>
    <row r="60" spans="1:256" ht="18">
      <c r="A60" s="866"/>
      <c r="B60" s="866"/>
      <c r="C60" s="866"/>
      <c r="D60" s="881"/>
      <c r="E60" s="866"/>
      <c r="F60" s="866"/>
      <c r="G60" s="866"/>
      <c r="H60" s="866"/>
      <c r="I60" s="866"/>
      <c r="J60" s="881"/>
      <c r="K60" s="866"/>
      <c r="L60" s="881"/>
      <c r="M60" s="866"/>
      <c r="N60" s="866"/>
      <c r="O60" s="879"/>
      <c r="P60" s="879"/>
      <c r="Q60" s="866"/>
      <c r="R60" s="866"/>
      <c r="S60" s="866"/>
      <c r="T60" s="866"/>
      <c r="U60" s="866"/>
      <c r="V60" s="866"/>
      <c r="W60" s="866"/>
      <c r="X60" s="866"/>
      <c r="Y60" s="866"/>
      <c r="Z60" s="866"/>
      <c r="AA60" s="866"/>
      <c r="AB60" s="866"/>
      <c r="AC60" s="866"/>
      <c r="AD60" s="866"/>
      <c r="AE60" s="866"/>
      <c r="AF60" s="866"/>
      <c r="AG60" s="866"/>
      <c r="AH60" s="866"/>
      <c r="AI60" s="866"/>
      <c r="AJ60" s="866"/>
      <c r="AK60" s="866"/>
      <c r="AL60" s="866"/>
      <c r="AM60" s="866"/>
      <c r="AN60" s="866"/>
      <c r="AO60" s="866"/>
      <c r="AP60" s="866"/>
      <c r="AQ60" s="866"/>
      <c r="AR60" s="866"/>
      <c r="AS60" s="866"/>
      <c r="AT60" s="866"/>
      <c r="AU60" s="866"/>
      <c r="AV60" s="866"/>
      <c r="AW60" s="866"/>
      <c r="AX60" s="866"/>
      <c r="AY60" s="866"/>
      <c r="AZ60" s="866"/>
      <c r="BA60" s="866"/>
      <c r="BB60" s="866"/>
      <c r="BC60" s="866"/>
      <c r="BD60" s="866"/>
      <c r="BE60" s="866"/>
      <c r="BF60" s="866"/>
      <c r="BG60" s="866"/>
      <c r="BH60" s="866"/>
      <c r="BI60" s="866"/>
      <c r="BJ60" s="866"/>
      <c r="BK60" s="866"/>
      <c r="BL60" s="866"/>
      <c r="BM60" s="866"/>
      <c r="BN60" s="866"/>
      <c r="BO60" s="866"/>
      <c r="BP60" s="866"/>
      <c r="BQ60" s="866"/>
      <c r="BR60" s="866"/>
      <c r="BS60" s="866"/>
      <c r="BT60" s="866"/>
      <c r="BU60" s="866"/>
      <c r="BV60" s="866"/>
      <c r="BW60" s="866"/>
      <c r="BX60" s="866"/>
      <c r="BY60" s="866"/>
      <c r="BZ60" s="866"/>
      <c r="CA60" s="866"/>
      <c r="CB60" s="866"/>
      <c r="CC60" s="866"/>
      <c r="CD60" s="866"/>
      <c r="CE60" s="866"/>
      <c r="CF60" s="866"/>
      <c r="CG60" s="866"/>
      <c r="CH60" s="866"/>
      <c r="CI60" s="866"/>
      <c r="CJ60" s="866"/>
      <c r="CK60" s="866"/>
      <c r="CL60" s="866"/>
      <c r="CM60" s="866"/>
      <c r="CN60" s="866"/>
      <c r="CO60" s="866"/>
      <c r="CP60" s="866"/>
      <c r="CQ60" s="866"/>
      <c r="CR60" s="866"/>
      <c r="CS60" s="866"/>
      <c r="CT60" s="866"/>
      <c r="CU60" s="866"/>
      <c r="CV60" s="866"/>
      <c r="CW60" s="866"/>
      <c r="CX60" s="866"/>
      <c r="CY60" s="866"/>
      <c r="CZ60" s="866"/>
      <c r="DA60" s="866"/>
      <c r="DB60" s="866"/>
      <c r="DC60" s="866"/>
      <c r="DD60" s="866"/>
      <c r="DE60" s="866"/>
      <c r="DF60" s="866"/>
      <c r="DG60" s="866"/>
      <c r="DH60" s="866"/>
      <c r="DI60" s="866"/>
      <c r="DJ60" s="866"/>
      <c r="DK60" s="866"/>
      <c r="DL60" s="866"/>
      <c r="DM60" s="866"/>
      <c r="DN60" s="866"/>
      <c r="DO60" s="866"/>
      <c r="DP60" s="866"/>
      <c r="DQ60" s="866"/>
      <c r="DR60" s="866"/>
      <c r="DS60" s="866"/>
      <c r="DT60" s="866"/>
      <c r="DU60" s="866"/>
      <c r="DV60" s="866"/>
      <c r="DW60" s="866"/>
      <c r="DX60" s="866"/>
      <c r="DY60" s="866"/>
      <c r="DZ60" s="866"/>
      <c r="EA60" s="866"/>
      <c r="EB60" s="866"/>
      <c r="EC60" s="866"/>
      <c r="ED60" s="866"/>
      <c r="EE60" s="866"/>
      <c r="EF60" s="866"/>
      <c r="EG60" s="866"/>
      <c r="EH60" s="866"/>
      <c r="EI60" s="866"/>
      <c r="EJ60" s="866"/>
      <c r="EK60" s="866"/>
      <c r="EL60" s="866"/>
      <c r="EM60" s="866"/>
      <c r="EN60" s="866"/>
      <c r="EO60" s="866"/>
      <c r="EP60" s="866"/>
      <c r="EQ60" s="866"/>
      <c r="ER60" s="866"/>
      <c r="ES60" s="866"/>
      <c r="ET60" s="866"/>
      <c r="EU60" s="866"/>
      <c r="EV60" s="866"/>
      <c r="EW60" s="866"/>
      <c r="EX60" s="866"/>
      <c r="EY60" s="866"/>
      <c r="EZ60" s="866"/>
      <c r="FA60" s="866"/>
      <c r="FB60" s="866"/>
      <c r="FC60" s="866"/>
      <c r="FD60" s="866"/>
      <c r="FE60" s="866"/>
      <c r="FF60" s="866"/>
      <c r="FG60" s="866"/>
      <c r="FH60" s="866"/>
      <c r="FI60" s="866"/>
      <c r="FJ60" s="866"/>
      <c r="FK60" s="866"/>
      <c r="FL60" s="866"/>
      <c r="FM60" s="866"/>
      <c r="FN60" s="866"/>
      <c r="FO60" s="866"/>
      <c r="FP60" s="866"/>
      <c r="FQ60" s="866"/>
      <c r="FR60" s="866"/>
      <c r="FS60" s="866"/>
      <c r="FT60" s="866"/>
      <c r="FU60" s="866"/>
      <c r="FV60" s="866"/>
      <c r="FW60" s="866"/>
      <c r="FX60" s="866"/>
      <c r="FY60" s="866"/>
      <c r="FZ60" s="866"/>
      <c r="GA60" s="866"/>
      <c r="GB60" s="866"/>
      <c r="GC60" s="866"/>
      <c r="GD60" s="866"/>
      <c r="GE60" s="866"/>
      <c r="GF60" s="866"/>
      <c r="GG60" s="866"/>
      <c r="GH60" s="866"/>
      <c r="GI60" s="866"/>
      <c r="GJ60" s="866"/>
      <c r="GK60" s="866"/>
      <c r="GL60" s="866"/>
      <c r="GM60" s="866"/>
      <c r="GN60" s="866"/>
      <c r="GO60" s="866"/>
      <c r="GP60" s="866"/>
      <c r="GQ60" s="866"/>
      <c r="GR60" s="866"/>
      <c r="GS60" s="866"/>
      <c r="GT60" s="866"/>
      <c r="GU60" s="866"/>
      <c r="GV60" s="866"/>
      <c r="GW60" s="866"/>
      <c r="GX60" s="866"/>
      <c r="GY60" s="866"/>
      <c r="GZ60" s="866"/>
      <c r="HA60" s="866"/>
      <c r="HB60" s="866"/>
      <c r="HC60" s="866"/>
      <c r="HD60" s="866"/>
      <c r="HE60" s="866"/>
      <c r="HF60" s="866"/>
      <c r="HG60" s="866"/>
      <c r="HH60" s="866"/>
      <c r="HI60" s="866"/>
      <c r="HJ60" s="866"/>
      <c r="HK60" s="866"/>
      <c r="HL60" s="866"/>
      <c r="HM60" s="866"/>
      <c r="HN60" s="866"/>
      <c r="HO60" s="866"/>
      <c r="HP60" s="866"/>
      <c r="HQ60" s="866"/>
      <c r="HR60" s="866"/>
      <c r="HS60" s="866"/>
      <c r="HT60" s="866"/>
      <c r="HU60" s="866"/>
      <c r="HV60" s="866"/>
      <c r="HW60" s="866"/>
      <c r="HX60" s="866"/>
      <c r="HY60" s="866"/>
      <c r="HZ60" s="866"/>
      <c r="IA60" s="866"/>
      <c r="IB60" s="866"/>
      <c r="IC60" s="866"/>
      <c r="ID60" s="866"/>
      <c r="IE60" s="866"/>
      <c r="IF60" s="866"/>
      <c r="IG60" s="866"/>
      <c r="IH60" s="866"/>
      <c r="II60" s="866"/>
      <c r="IJ60" s="866"/>
      <c r="IK60" s="866"/>
      <c r="IL60" s="866"/>
      <c r="IM60" s="866"/>
      <c r="IN60" s="866"/>
      <c r="IO60" s="866"/>
      <c r="IP60" s="866"/>
      <c r="IQ60" s="866"/>
      <c r="IR60" s="866"/>
      <c r="IS60" s="866"/>
      <c r="IT60" s="866"/>
      <c r="IU60" s="866"/>
      <c r="IV60" s="866"/>
    </row>
    <row r="61" spans="1:256" ht="18">
      <c r="A61" s="866"/>
      <c r="B61" s="866"/>
      <c r="C61" s="866"/>
      <c r="D61" s="881"/>
      <c r="E61" s="866"/>
      <c r="F61" s="866"/>
      <c r="G61" s="866"/>
      <c r="H61" s="866"/>
      <c r="I61" s="866"/>
      <c r="J61" s="881"/>
      <c r="K61" s="866"/>
      <c r="L61" s="881"/>
      <c r="M61" s="866"/>
      <c r="N61" s="866"/>
      <c r="O61" s="879"/>
      <c r="P61" s="879"/>
      <c r="Q61" s="866"/>
      <c r="R61" s="866"/>
      <c r="S61" s="866"/>
      <c r="T61" s="866"/>
      <c r="U61" s="866"/>
      <c r="V61" s="866"/>
      <c r="W61" s="866"/>
      <c r="X61" s="866"/>
      <c r="Y61" s="866"/>
      <c r="Z61" s="866"/>
      <c r="AA61" s="866"/>
      <c r="AB61" s="866"/>
      <c r="AC61" s="866"/>
      <c r="AD61" s="866"/>
      <c r="AE61" s="866"/>
      <c r="AF61" s="866"/>
      <c r="AG61" s="866"/>
      <c r="AH61" s="866"/>
      <c r="AI61" s="866"/>
      <c r="AJ61" s="866"/>
      <c r="AK61" s="866"/>
      <c r="AL61" s="866"/>
      <c r="AM61" s="866"/>
      <c r="AN61" s="866"/>
      <c r="AO61" s="866"/>
      <c r="AP61" s="866"/>
      <c r="AQ61" s="866"/>
      <c r="AR61" s="866"/>
      <c r="AS61" s="866"/>
      <c r="AT61" s="866"/>
      <c r="AU61" s="866"/>
      <c r="AV61" s="866"/>
      <c r="AW61" s="866"/>
      <c r="AX61" s="866"/>
      <c r="AY61" s="866"/>
      <c r="AZ61" s="866"/>
      <c r="BA61" s="866"/>
      <c r="BB61" s="866"/>
      <c r="BC61" s="866"/>
      <c r="BD61" s="866"/>
      <c r="BE61" s="866"/>
      <c r="BF61" s="866"/>
      <c r="BG61" s="866"/>
      <c r="BH61" s="866"/>
      <c r="BI61" s="866"/>
      <c r="BJ61" s="866"/>
      <c r="BK61" s="866"/>
      <c r="BL61" s="866"/>
      <c r="BM61" s="866"/>
      <c r="BN61" s="866"/>
      <c r="BO61" s="866"/>
      <c r="BP61" s="866"/>
      <c r="BQ61" s="866"/>
      <c r="BR61" s="866"/>
      <c r="BS61" s="866"/>
      <c r="BT61" s="866"/>
      <c r="BU61" s="866"/>
      <c r="BV61" s="866"/>
      <c r="BW61" s="866"/>
      <c r="BX61" s="866"/>
      <c r="BY61" s="866"/>
      <c r="BZ61" s="866"/>
      <c r="CA61" s="866"/>
      <c r="CB61" s="866"/>
      <c r="CC61" s="866"/>
      <c r="CD61" s="866"/>
      <c r="CE61" s="866"/>
      <c r="CF61" s="866"/>
      <c r="CG61" s="866"/>
      <c r="CH61" s="866"/>
      <c r="CI61" s="866"/>
      <c r="CJ61" s="866"/>
      <c r="CK61" s="866"/>
      <c r="CL61" s="866"/>
      <c r="CM61" s="866"/>
      <c r="CN61" s="866"/>
      <c r="CO61" s="866"/>
      <c r="CP61" s="866"/>
      <c r="CQ61" s="866"/>
      <c r="CR61" s="866"/>
      <c r="CS61" s="866"/>
      <c r="CT61" s="866"/>
      <c r="CU61" s="866"/>
      <c r="CV61" s="866"/>
      <c r="CW61" s="866"/>
      <c r="CX61" s="866"/>
      <c r="CY61" s="866"/>
      <c r="CZ61" s="866"/>
      <c r="DA61" s="866"/>
      <c r="DB61" s="866"/>
      <c r="DC61" s="866"/>
      <c r="DD61" s="866"/>
      <c r="DE61" s="866"/>
      <c r="DF61" s="866"/>
      <c r="DG61" s="866"/>
      <c r="DH61" s="866"/>
      <c r="DI61" s="866"/>
      <c r="DJ61" s="866"/>
      <c r="DK61" s="866"/>
      <c r="DL61" s="866"/>
      <c r="DM61" s="866"/>
      <c r="DN61" s="866"/>
      <c r="DO61" s="866"/>
      <c r="DP61" s="866"/>
      <c r="DQ61" s="866"/>
      <c r="DR61" s="866"/>
      <c r="DS61" s="866"/>
      <c r="DT61" s="866"/>
      <c r="DU61" s="866"/>
      <c r="DV61" s="866"/>
      <c r="DW61" s="866"/>
      <c r="DX61" s="866"/>
      <c r="DY61" s="866"/>
      <c r="DZ61" s="866"/>
      <c r="EA61" s="866"/>
      <c r="EB61" s="866"/>
      <c r="EC61" s="866"/>
      <c r="ED61" s="866"/>
      <c r="EE61" s="866"/>
      <c r="EF61" s="866"/>
      <c r="EG61" s="866"/>
      <c r="EH61" s="866"/>
      <c r="EI61" s="866"/>
      <c r="EJ61" s="866"/>
      <c r="EK61" s="866"/>
      <c r="EL61" s="866"/>
      <c r="EM61" s="866"/>
      <c r="EN61" s="866"/>
      <c r="EO61" s="866"/>
      <c r="EP61" s="866"/>
      <c r="EQ61" s="866"/>
      <c r="ER61" s="866"/>
      <c r="ES61" s="866"/>
      <c r="ET61" s="866"/>
      <c r="EU61" s="866"/>
      <c r="EV61" s="866"/>
      <c r="EW61" s="866"/>
      <c r="EX61" s="866"/>
      <c r="EY61" s="866"/>
      <c r="EZ61" s="866"/>
      <c r="FA61" s="866"/>
      <c r="FB61" s="866"/>
      <c r="FC61" s="866"/>
      <c r="FD61" s="866"/>
      <c r="FE61" s="866"/>
      <c r="FF61" s="866"/>
      <c r="FG61" s="866"/>
      <c r="FH61" s="866"/>
      <c r="FI61" s="866"/>
      <c r="FJ61" s="866"/>
      <c r="FK61" s="866"/>
      <c r="FL61" s="866"/>
      <c r="FM61" s="866"/>
      <c r="FN61" s="866"/>
      <c r="FO61" s="866"/>
      <c r="FP61" s="866"/>
      <c r="FQ61" s="866"/>
      <c r="FR61" s="866"/>
      <c r="FS61" s="866"/>
      <c r="FT61" s="866"/>
      <c r="FU61" s="866"/>
      <c r="FV61" s="866"/>
      <c r="FW61" s="866"/>
      <c r="FX61" s="866"/>
      <c r="FY61" s="866"/>
      <c r="FZ61" s="866"/>
      <c r="GA61" s="866"/>
      <c r="GB61" s="866"/>
      <c r="GC61" s="866"/>
      <c r="GD61" s="866"/>
      <c r="GE61" s="866"/>
      <c r="GF61" s="866"/>
      <c r="GG61" s="866"/>
      <c r="GH61" s="866"/>
      <c r="GI61" s="866"/>
      <c r="GJ61" s="866"/>
      <c r="GK61" s="866"/>
      <c r="GL61" s="866"/>
      <c r="GM61" s="866"/>
      <c r="GN61" s="866"/>
      <c r="GO61" s="866"/>
      <c r="GP61" s="866"/>
      <c r="GQ61" s="866"/>
      <c r="GR61" s="866"/>
      <c r="GS61" s="866"/>
      <c r="GT61" s="866"/>
      <c r="GU61" s="866"/>
      <c r="GV61" s="866"/>
      <c r="GW61" s="866"/>
      <c r="GX61" s="866"/>
      <c r="GY61" s="866"/>
      <c r="GZ61" s="866"/>
      <c r="HA61" s="866"/>
      <c r="HB61" s="866"/>
      <c r="HC61" s="866"/>
      <c r="HD61" s="866"/>
      <c r="HE61" s="866"/>
      <c r="HF61" s="866"/>
      <c r="HG61" s="866"/>
      <c r="HH61" s="866"/>
      <c r="HI61" s="866"/>
      <c r="HJ61" s="866"/>
      <c r="HK61" s="866"/>
      <c r="HL61" s="866"/>
      <c r="HM61" s="866"/>
      <c r="HN61" s="866"/>
      <c r="HO61" s="866"/>
      <c r="HP61" s="866"/>
      <c r="HQ61" s="866"/>
      <c r="HR61" s="866"/>
      <c r="HS61" s="866"/>
      <c r="HT61" s="866"/>
      <c r="HU61" s="866"/>
      <c r="HV61" s="866"/>
      <c r="HW61" s="866"/>
      <c r="HX61" s="866"/>
      <c r="HY61" s="866"/>
      <c r="HZ61" s="866"/>
      <c r="IA61" s="866"/>
      <c r="IB61" s="866"/>
      <c r="IC61" s="866"/>
      <c r="ID61" s="866"/>
      <c r="IE61" s="866"/>
      <c r="IF61" s="866"/>
      <c r="IG61" s="866"/>
      <c r="IH61" s="866"/>
      <c r="II61" s="866"/>
      <c r="IJ61" s="866"/>
      <c r="IK61" s="866"/>
      <c r="IL61" s="866"/>
      <c r="IM61" s="866"/>
      <c r="IN61" s="866"/>
      <c r="IO61" s="866"/>
      <c r="IP61" s="866"/>
      <c r="IQ61" s="866"/>
      <c r="IR61" s="866"/>
      <c r="IS61" s="866"/>
      <c r="IT61" s="866"/>
      <c r="IU61" s="866"/>
      <c r="IV61" s="866"/>
    </row>
    <row r="62" spans="1:256" ht="18">
      <c r="A62" s="882"/>
      <c r="B62" s="866"/>
      <c r="C62" s="866"/>
      <c r="D62" s="883"/>
      <c r="E62" s="871"/>
      <c r="F62" s="883"/>
      <c r="G62" s="871"/>
      <c r="H62" s="883"/>
      <c r="I62" s="871"/>
      <c r="J62" s="883"/>
      <c r="K62" s="871"/>
      <c r="L62" s="883"/>
      <c r="M62" s="866"/>
      <c r="N62" s="866"/>
      <c r="O62" s="879"/>
      <c r="P62" s="879"/>
      <c r="Q62" s="866"/>
      <c r="R62" s="866"/>
      <c r="S62" s="866"/>
      <c r="T62" s="866"/>
      <c r="U62" s="866"/>
      <c r="V62" s="866"/>
      <c r="W62" s="866"/>
      <c r="X62" s="866"/>
      <c r="Y62" s="866"/>
      <c r="Z62" s="866"/>
      <c r="AA62" s="866"/>
      <c r="AB62" s="866"/>
      <c r="AC62" s="866"/>
      <c r="AD62" s="866"/>
      <c r="AE62" s="866"/>
      <c r="AF62" s="866"/>
      <c r="AG62" s="866"/>
      <c r="AH62" s="866"/>
      <c r="AI62" s="866"/>
      <c r="AJ62" s="866"/>
      <c r="AK62" s="866"/>
      <c r="AL62" s="866"/>
      <c r="AM62" s="866"/>
      <c r="AN62" s="866"/>
      <c r="AO62" s="866"/>
      <c r="AP62" s="866"/>
      <c r="AQ62" s="866"/>
      <c r="AR62" s="866"/>
      <c r="AS62" s="866"/>
      <c r="AT62" s="866"/>
      <c r="AU62" s="866"/>
      <c r="AV62" s="866"/>
      <c r="AW62" s="866"/>
      <c r="AX62" s="866"/>
      <c r="AY62" s="866"/>
      <c r="AZ62" s="866"/>
      <c r="BA62" s="866"/>
      <c r="BB62" s="866"/>
      <c r="BC62" s="866"/>
      <c r="BD62" s="866"/>
      <c r="BE62" s="866"/>
      <c r="BF62" s="866"/>
      <c r="BG62" s="866"/>
      <c r="BH62" s="866"/>
      <c r="BI62" s="866"/>
      <c r="BJ62" s="866"/>
      <c r="BK62" s="866"/>
      <c r="BL62" s="866"/>
      <c r="BM62" s="866"/>
      <c r="BN62" s="866"/>
      <c r="BO62" s="866"/>
      <c r="BP62" s="866"/>
      <c r="BQ62" s="866"/>
      <c r="BR62" s="866"/>
      <c r="BS62" s="866"/>
      <c r="BT62" s="866"/>
      <c r="BU62" s="866"/>
      <c r="BV62" s="866"/>
      <c r="BW62" s="866"/>
      <c r="BX62" s="866"/>
      <c r="BY62" s="866"/>
      <c r="BZ62" s="866"/>
      <c r="CA62" s="866"/>
      <c r="CB62" s="866"/>
      <c r="CC62" s="866"/>
      <c r="CD62" s="866"/>
      <c r="CE62" s="866"/>
      <c r="CF62" s="866"/>
      <c r="CG62" s="866"/>
      <c r="CH62" s="866"/>
      <c r="CI62" s="866"/>
      <c r="CJ62" s="866"/>
      <c r="CK62" s="866"/>
      <c r="CL62" s="866"/>
      <c r="CM62" s="866"/>
      <c r="CN62" s="866"/>
      <c r="CO62" s="866"/>
      <c r="CP62" s="866"/>
      <c r="CQ62" s="866"/>
      <c r="CR62" s="866"/>
      <c r="CS62" s="866"/>
      <c r="CT62" s="866"/>
      <c r="CU62" s="866"/>
      <c r="CV62" s="866"/>
      <c r="CW62" s="866"/>
      <c r="CX62" s="866"/>
      <c r="CY62" s="866"/>
      <c r="CZ62" s="866"/>
      <c r="DA62" s="866"/>
      <c r="DB62" s="866"/>
      <c r="DC62" s="866"/>
      <c r="DD62" s="866"/>
      <c r="DE62" s="866"/>
      <c r="DF62" s="866"/>
      <c r="DG62" s="866"/>
      <c r="DH62" s="866"/>
      <c r="DI62" s="866"/>
      <c r="DJ62" s="866"/>
      <c r="DK62" s="866"/>
      <c r="DL62" s="866"/>
      <c r="DM62" s="866"/>
      <c r="DN62" s="866"/>
      <c r="DO62" s="866"/>
      <c r="DP62" s="866"/>
      <c r="DQ62" s="866"/>
      <c r="DR62" s="866"/>
      <c r="DS62" s="866"/>
      <c r="DT62" s="866"/>
      <c r="DU62" s="866"/>
      <c r="DV62" s="866"/>
      <c r="DW62" s="866"/>
      <c r="DX62" s="866"/>
      <c r="DY62" s="866"/>
      <c r="DZ62" s="866"/>
      <c r="EA62" s="866"/>
      <c r="EB62" s="866"/>
      <c r="EC62" s="866"/>
      <c r="ED62" s="866"/>
      <c r="EE62" s="866"/>
      <c r="EF62" s="866"/>
      <c r="EG62" s="866"/>
      <c r="EH62" s="866"/>
      <c r="EI62" s="866"/>
      <c r="EJ62" s="866"/>
      <c r="EK62" s="866"/>
      <c r="EL62" s="866"/>
      <c r="EM62" s="866"/>
      <c r="EN62" s="866"/>
      <c r="EO62" s="866"/>
      <c r="EP62" s="866"/>
      <c r="EQ62" s="866"/>
      <c r="ER62" s="866"/>
      <c r="ES62" s="866"/>
      <c r="ET62" s="866"/>
      <c r="EU62" s="866"/>
      <c r="EV62" s="866"/>
      <c r="EW62" s="866"/>
      <c r="EX62" s="866"/>
      <c r="EY62" s="866"/>
      <c r="EZ62" s="866"/>
      <c r="FA62" s="866"/>
      <c r="FB62" s="866"/>
      <c r="FC62" s="866"/>
      <c r="FD62" s="866"/>
      <c r="FE62" s="866"/>
      <c r="FF62" s="866"/>
      <c r="FG62" s="866"/>
      <c r="FH62" s="866"/>
      <c r="FI62" s="866"/>
      <c r="FJ62" s="866"/>
      <c r="FK62" s="866"/>
      <c r="FL62" s="866"/>
      <c r="FM62" s="866"/>
      <c r="FN62" s="866"/>
      <c r="FO62" s="866"/>
      <c r="FP62" s="866"/>
      <c r="FQ62" s="866"/>
      <c r="FR62" s="866"/>
      <c r="FS62" s="866"/>
      <c r="FT62" s="866"/>
      <c r="FU62" s="866"/>
      <c r="FV62" s="866"/>
      <c r="FW62" s="866"/>
      <c r="FX62" s="866"/>
      <c r="FY62" s="866"/>
      <c r="FZ62" s="866"/>
      <c r="GA62" s="866"/>
      <c r="GB62" s="866"/>
      <c r="GC62" s="866"/>
      <c r="GD62" s="866"/>
      <c r="GE62" s="866"/>
      <c r="GF62" s="866"/>
      <c r="GG62" s="866"/>
      <c r="GH62" s="866"/>
      <c r="GI62" s="866"/>
      <c r="GJ62" s="866"/>
      <c r="GK62" s="866"/>
      <c r="GL62" s="866"/>
      <c r="GM62" s="866"/>
      <c r="GN62" s="866"/>
      <c r="GO62" s="866"/>
      <c r="GP62" s="866"/>
      <c r="GQ62" s="866"/>
      <c r="GR62" s="866"/>
      <c r="GS62" s="866"/>
      <c r="GT62" s="866"/>
      <c r="GU62" s="866"/>
      <c r="GV62" s="866"/>
      <c r="GW62" s="866"/>
      <c r="GX62" s="866"/>
      <c r="GY62" s="866"/>
      <c r="GZ62" s="866"/>
      <c r="HA62" s="866"/>
      <c r="HB62" s="866"/>
      <c r="HC62" s="866"/>
      <c r="HD62" s="866"/>
      <c r="HE62" s="866"/>
      <c r="HF62" s="866"/>
      <c r="HG62" s="866"/>
      <c r="HH62" s="866"/>
      <c r="HI62" s="866"/>
      <c r="HJ62" s="866"/>
      <c r="HK62" s="866"/>
      <c r="HL62" s="866"/>
      <c r="HM62" s="866"/>
      <c r="HN62" s="866"/>
      <c r="HO62" s="866"/>
      <c r="HP62" s="866"/>
      <c r="HQ62" s="866"/>
      <c r="HR62" s="866"/>
      <c r="HS62" s="866"/>
      <c r="HT62" s="866"/>
      <c r="HU62" s="866"/>
      <c r="HV62" s="866"/>
      <c r="HW62" s="866"/>
      <c r="HX62" s="866"/>
      <c r="HY62" s="866"/>
      <c r="HZ62" s="866"/>
      <c r="IA62" s="866"/>
      <c r="IB62" s="866"/>
      <c r="IC62" s="866"/>
      <c r="ID62" s="866"/>
      <c r="IE62" s="866"/>
      <c r="IF62" s="866"/>
      <c r="IG62" s="866"/>
      <c r="IH62" s="866"/>
      <c r="II62" s="866"/>
      <c r="IJ62" s="866"/>
      <c r="IK62" s="866"/>
      <c r="IL62" s="866"/>
      <c r="IM62" s="866"/>
      <c r="IN62" s="866"/>
      <c r="IO62" s="866"/>
      <c r="IP62" s="866"/>
      <c r="IQ62" s="866"/>
      <c r="IR62" s="866"/>
      <c r="IS62" s="866"/>
      <c r="IT62" s="866"/>
      <c r="IU62" s="866"/>
      <c r="IV62" s="866"/>
    </row>
    <row r="63" spans="1:256" ht="18">
      <c r="A63" s="866"/>
      <c r="B63" s="866"/>
      <c r="C63" s="866"/>
      <c r="D63" s="871"/>
      <c r="E63" s="866"/>
      <c r="F63" s="871"/>
      <c r="G63" s="866"/>
      <c r="H63" s="871"/>
      <c r="I63" s="866"/>
      <c r="J63" s="871"/>
      <c r="K63" s="866"/>
      <c r="L63" s="871"/>
      <c r="M63" s="866"/>
      <c r="N63" s="866"/>
      <c r="O63" s="879"/>
      <c r="P63" s="879"/>
      <c r="Q63" s="866"/>
      <c r="R63" s="866"/>
      <c r="S63" s="866"/>
      <c r="T63" s="866"/>
      <c r="U63" s="866"/>
      <c r="V63" s="866"/>
      <c r="W63" s="866"/>
      <c r="X63" s="866"/>
      <c r="Y63" s="866"/>
      <c r="Z63" s="866"/>
      <c r="AA63" s="866"/>
      <c r="AB63" s="866"/>
      <c r="AC63" s="866"/>
      <c r="AD63" s="866"/>
      <c r="AE63" s="866"/>
      <c r="AF63" s="866"/>
      <c r="AG63" s="866"/>
      <c r="AH63" s="866"/>
      <c r="AI63" s="866"/>
      <c r="AJ63" s="866"/>
      <c r="AK63" s="866"/>
      <c r="AL63" s="866"/>
      <c r="AM63" s="866"/>
      <c r="AN63" s="866"/>
      <c r="AO63" s="866"/>
      <c r="AP63" s="866"/>
      <c r="AQ63" s="866"/>
      <c r="AR63" s="866"/>
      <c r="AS63" s="866"/>
      <c r="AT63" s="866"/>
      <c r="AU63" s="866"/>
      <c r="AV63" s="866"/>
      <c r="AW63" s="866"/>
      <c r="AX63" s="866"/>
      <c r="AY63" s="866"/>
      <c r="AZ63" s="866"/>
      <c r="BA63" s="866"/>
      <c r="BB63" s="866"/>
      <c r="BC63" s="866"/>
      <c r="BD63" s="866"/>
      <c r="BE63" s="866"/>
      <c r="BF63" s="866"/>
      <c r="BG63" s="866"/>
      <c r="BH63" s="866"/>
      <c r="BI63" s="866"/>
      <c r="BJ63" s="866"/>
      <c r="BK63" s="866"/>
      <c r="BL63" s="866"/>
      <c r="BM63" s="866"/>
      <c r="BN63" s="866"/>
      <c r="BO63" s="866"/>
      <c r="BP63" s="866"/>
      <c r="BQ63" s="866"/>
      <c r="BR63" s="866"/>
      <c r="BS63" s="866"/>
      <c r="BT63" s="866"/>
      <c r="BU63" s="866"/>
      <c r="BV63" s="866"/>
      <c r="BW63" s="866"/>
      <c r="BX63" s="866"/>
      <c r="BY63" s="866"/>
      <c r="BZ63" s="866"/>
      <c r="CA63" s="866"/>
      <c r="CB63" s="866"/>
      <c r="CC63" s="866"/>
      <c r="CD63" s="866"/>
      <c r="CE63" s="866"/>
      <c r="CF63" s="866"/>
      <c r="CG63" s="866"/>
      <c r="CH63" s="866"/>
      <c r="CI63" s="866"/>
      <c r="CJ63" s="866"/>
      <c r="CK63" s="866"/>
      <c r="CL63" s="866"/>
      <c r="CM63" s="866"/>
      <c r="CN63" s="866"/>
      <c r="CO63" s="866"/>
      <c r="CP63" s="866"/>
      <c r="CQ63" s="866"/>
      <c r="CR63" s="866"/>
      <c r="CS63" s="866"/>
      <c r="CT63" s="866"/>
      <c r="CU63" s="866"/>
      <c r="CV63" s="866"/>
      <c r="CW63" s="866"/>
      <c r="CX63" s="866"/>
      <c r="CY63" s="866"/>
      <c r="CZ63" s="866"/>
      <c r="DA63" s="866"/>
      <c r="DB63" s="866"/>
      <c r="DC63" s="866"/>
      <c r="DD63" s="866"/>
      <c r="DE63" s="866"/>
      <c r="DF63" s="866"/>
      <c r="DG63" s="866"/>
      <c r="DH63" s="866"/>
      <c r="DI63" s="866"/>
      <c r="DJ63" s="866"/>
      <c r="DK63" s="866"/>
      <c r="DL63" s="866"/>
      <c r="DM63" s="866"/>
      <c r="DN63" s="866"/>
      <c r="DO63" s="866"/>
      <c r="DP63" s="866"/>
      <c r="DQ63" s="866"/>
      <c r="DR63" s="866"/>
      <c r="DS63" s="866"/>
      <c r="DT63" s="866"/>
      <c r="DU63" s="866"/>
      <c r="DV63" s="866"/>
      <c r="DW63" s="866"/>
      <c r="DX63" s="866"/>
      <c r="DY63" s="866"/>
      <c r="DZ63" s="866"/>
      <c r="EA63" s="866"/>
      <c r="EB63" s="866"/>
      <c r="EC63" s="866"/>
      <c r="ED63" s="866"/>
      <c r="EE63" s="866"/>
      <c r="EF63" s="866"/>
      <c r="EG63" s="866"/>
      <c r="EH63" s="866"/>
      <c r="EI63" s="866"/>
      <c r="EJ63" s="866"/>
      <c r="EK63" s="866"/>
      <c r="EL63" s="866"/>
      <c r="EM63" s="866"/>
      <c r="EN63" s="866"/>
      <c r="EO63" s="866"/>
      <c r="EP63" s="866"/>
      <c r="EQ63" s="866"/>
      <c r="ER63" s="866"/>
      <c r="ES63" s="866"/>
      <c r="ET63" s="866"/>
      <c r="EU63" s="866"/>
      <c r="EV63" s="866"/>
      <c r="EW63" s="866"/>
      <c r="EX63" s="866"/>
      <c r="EY63" s="866"/>
      <c r="EZ63" s="866"/>
      <c r="FA63" s="866"/>
      <c r="FB63" s="866"/>
      <c r="FC63" s="866"/>
      <c r="FD63" s="866"/>
      <c r="FE63" s="866"/>
      <c r="FF63" s="866"/>
      <c r="FG63" s="866"/>
      <c r="FH63" s="866"/>
      <c r="FI63" s="866"/>
      <c r="FJ63" s="866"/>
      <c r="FK63" s="866"/>
      <c r="FL63" s="866"/>
      <c r="FM63" s="866"/>
      <c r="FN63" s="866"/>
      <c r="FO63" s="866"/>
      <c r="FP63" s="866"/>
      <c r="FQ63" s="866"/>
      <c r="FR63" s="866"/>
      <c r="FS63" s="866"/>
      <c r="FT63" s="866"/>
      <c r="FU63" s="866"/>
      <c r="FV63" s="866"/>
      <c r="FW63" s="866"/>
      <c r="FX63" s="866"/>
      <c r="FY63" s="866"/>
      <c r="FZ63" s="866"/>
      <c r="GA63" s="866"/>
      <c r="GB63" s="866"/>
      <c r="GC63" s="866"/>
      <c r="GD63" s="866"/>
      <c r="GE63" s="866"/>
      <c r="GF63" s="866"/>
      <c r="GG63" s="866"/>
      <c r="GH63" s="866"/>
      <c r="GI63" s="866"/>
      <c r="GJ63" s="866"/>
      <c r="GK63" s="866"/>
      <c r="GL63" s="866"/>
      <c r="GM63" s="866"/>
      <c r="GN63" s="866"/>
      <c r="GO63" s="866"/>
      <c r="GP63" s="866"/>
      <c r="GQ63" s="866"/>
      <c r="GR63" s="866"/>
      <c r="GS63" s="866"/>
      <c r="GT63" s="866"/>
      <c r="GU63" s="866"/>
      <c r="GV63" s="866"/>
      <c r="GW63" s="866"/>
      <c r="GX63" s="866"/>
      <c r="GY63" s="866"/>
      <c r="GZ63" s="866"/>
      <c r="HA63" s="866"/>
      <c r="HB63" s="866"/>
      <c r="HC63" s="866"/>
      <c r="HD63" s="866"/>
      <c r="HE63" s="866"/>
      <c r="HF63" s="866"/>
      <c r="HG63" s="866"/>
      <c r="HH63" s="866"/>
      <c r="HI63" s="866"/>
      <c r="HJ63" s="866"/>
      <c r="HK63" s="866"/>
      <c r="HL63" s="866"/>
      <c r="HM63" s="866"/>
      <c r="HN63" s="866"/>
      <c r="HO63" s="866"/>
      <c r="HP63" s="866"/>
      <c r="HQ63" s="866"/>
      <c r="HR63" s="866"/>
      <c r="HS63" s="866"/>
      <c r="HT63" s="866"/>
      <c r="HU63" s="866"/>
      <c r="HV63" s="866"/>
      <c r="HW63" s="866"/>
      <c r="HX63" s="866"/>
      <c r="HY63" s="866"/>
      <c r="HZ63" s="866"/>
      <c r="IA63" s="866"/>
      <c r="IB63" s="866"/>
      <c r="IC63" s="866"/>
      <c r="ID63" s="866"/>
      <c r="IE63" s="866"/>
      <c r="IF63" s="866"/>
      <c r="IG63" s="866"/>
      <c r="IH63" s="866"/>
      <c r="II63" s="866"/>
      <c r="IJ63" s="866"/>
      <c r="IK63" s="866"/>
      <c r="IL63" s="866"/>
      <c r="IM63" s="866"/>
      <c r="IN63" s="866"/>
      <c r="IO63" s="866"/>
      <c r="IP63" s="866"/>
      <c r="IQ63" s="866"/>
      <c r="IR63" s="866"/>
      <c r="IS63" s="866"/>
      <c r="IT63" s="866"/>
      <c r="IU63" s="866"/>
      <c r="IV63" s="866"/>
    </row>
    <row r="64" spans="1:256" ht="18">
      <c r="A64" s="869"/>
      <c r="B64" s="866"/>
      <c r="C64" s="866"/>
      <c r="D64" s="866"/>
      <c r="E64" s="866"/>
      <c r="F64" s="866"/>
      <c r="G64" s="866"/>
      <c r="H64" s="866"/>
      <c r="I64" s="866"/>
      <c r="J64" s="866"/>
      <c r="K64" s="866"/>
      <c r="L64" s="866"/>
      <c r="M64" s="866"/>
      <c r="N64" s="866"/>
      <c r="O64" s="879"/>
      <c r="P64" s="879"/>
      <c r="Q64" s="866"/>
      <c r="R64" s="866"/>
      <c r="S64" s="866"/>
      <c r="T64" s="866"/>
      <c r="U64" s="866"/>
      <c r="V64" s="866"/>
      <c r="W64" s="866"/>
      <c r="X64" s="866"/>
      <c r="Y64" s="866"/>
      <c r="Z64" s="866"/>
      <c r="AA64" s="866"/>
      <c r="AB64" s="866"/>
      <c r="AC64" s="866"/>
      <c r="AD64" s="866"/>
      <c r="AE64" s="866"/>
      <c r="AF64" s="866"/>
      <c r="AG64" s="866"/>
      <c r="AH64" s="866"/>
      <c r="AI64" s="866"/>
      <c r="AJ64" s="866"/>
      <c r="AK64" s="866"/>
      <c r="AL64" s="866"/>
      <c r="AM64" s="866"/>
      <c r="AN64" s="866"/>
      <c r="AO64" s="866"/>
      <c r="AP64" s="866"/>
      <c r="AQ64" s="866"/>
      <c r="AR64" s="866"/>
      <c r="AS64" s="866"/>
      <c r="AT64" s="866"/>
      <c r="AU64" s="866"/>
      <c r="AV64" s="866"/>
      <c r="AW64" s="866"/>
      <c r="AX64" s="866"/>
      <c r="AY64" s="866"/>
      <c r="AZ64" s="866"/>
      <c r="BA64" s="866"/>
      <c r="BB64" s="866"/>
      <c r="BC64" s="866"/>
      <c r="BD64" s="866"/>
      <c r="BE64" s="866"/>
      <c r="BF64" s="866"/>
      <c r="BG64" s="866"/>
      <c r="BH64" s="866"/>
      <c r="BI64" s="866"/>
      <c r="BJ64" s="866"/>
      <c r="BK64" s="866"/>
      <c r="BL64" s="866"/>
      <c r="BM64" s="866"/>
      <c r="BN64" s="866"/>
      <c r="BO64" s="866"/>
      <c r="BP64" s="866"/>
      <c r="BQ64" s="866"/>
      <c r="BR64" s="866"/>
      <c r="BS64" s="866"/>
      <c r="BT64" s="866"/>
      <c r="BU64" s="866"/>
      <c r="BV64" s="866"/>
      <c r="BW64" s="866"/>
      <c r="BX64" s="866"/>
      <c r="BY64" s="866"/>
      <c r="BZ64" s="866"/>
      <c r="CA64" s="866"/>
      <c r="CB64" s="866"/>
      <c r="CC64" s="866"/>
      <c r="CD64" s="866"/>
      <c r="CE64" s="866"/>
      <c r="CF64" s="866"/>
      <c r="CG64" s="866"/>
      <c r="CH64" s="866"/>
      <c r="CI64" s="866"/>
      <c r="CJ64" s="866"/>
      <c r="CK64" s="866"/>
      <c r="CL64" s="866"/>
      <c r="CM64" s="866"/>
      <c r="CN64" s="866"/>
      <c r="CO64" s="866"/>
      <c r="CP64" s="866"/>
      <c r="CQ64" s="866"/>
      <c r="CR64" s="866"/>
      <c r="CS64" s="866"/>
      <c r="CT64" s="866"/>
      <c r="CU64" s="866"/>
      <c r="CV64" s="866"/>
      <c r="CW64" s="866"/>
      <c r="CX64" s="866"/>
      <c r="CY64" s="866"/>
      <c r="CZ64" s="866"/>
      <c r="DA64" s="866"/>
      <c r="DB64" s="866"/>
      <c r="DC64" s="866"/>
      <c r="DD64" s="866"/>
      <c r="DE64" s="866"/>
      <c r="DF64" s="866"/>
      <c r="DG64" s="866"/>
      <c r="DH64" s="866"/>
      <c r="DI64" s="866"/>
      <c r="DJ64" s="866"/>
      <c r="DK64" s="866"/>
      <c r="DL64" s="866"/>
      <c r="DM64" s="866"/>
      <c r="DN64" s="866"/>
      <c r="DO64" s="866"/>
      <c r="DP64" s="866"/>
      <c r="DQ64" s="866"/>
      <c r="DR64" s="866"/>
      <c r="DS64" s="866"/>
      <c r="DT64" s="866"/>
      <c r="DU64" s="866"/>
      <c r="DV64" s="866"/>
      <c r="DW64" s="866"/>
      <c r="DX64" s="866"/>
      <c r="DY64" s="866"/>
      <c r="DZ64" s="866"/>
      <c r="EA64" s="866"/>
      <c r="EB64" s="866"/>
      <c r="EC64" s="866"/>
      <c r="ED64" s="866"/>
      <c r="EE64" s="866"/>
      <c r="EF64" s="866"/>
      <c r="EG64" s="866"/>
      <c r="EH64" s="866"/>
      <c r="EI64" s="866"/>
      <c r="EJ64" s="866"/>
      <c r="EK64" s="866"/>
      <c r="EL64" s="866"/>
      <c r="EM64" s="866"/>
      <c r="EN64" s="866"/>
      <c r="EO64" s="866"/>
      <c r="EP64" s="866"/>
      <c r="EQ64" s="866"/>
      <c r="ER64" s="866"/>
      <c r="ES64" s="866"/>
      <c r="ET64" s="866"/>
      <c r="EU64" s="866"/>
      <c r="EV64" s="866"/>
      <c r="EW64" s="866"/>
      <c r="EX64" s="866"/>
      <c r="EY64" s="866"/>
      <c r="EZ64" s="866"/>
      <c r="FA64" s="866"/>
      <c r="FB64" s="866"/>
      <c r="FC64" s="866"/>
      <c r="FD64" s="866"/>
      <c r="FE64" s="866"/>
      <c r="FF64" s="866"/>
      <c r="FG64" s="866"/>
      <c r="FH64" s="866"/>
      <c r="FI64" s="866"/>
      <c r="FJ64" s="866"/>
      <c r="FK64" s="866"/>
      <c r="FL64" s="866"/>
      <c r="FM64" s="866"/>
      <c r="FN64" s="866"/>
      <c r="FO64" s="866"/>
      <c r="FP64" s="866"/>
      <c r="FQ64" s="866"/>
      <c r="FR64" s="866"/>
      <c r="FS64" s="866"/>
      <c r="FT64" s="866"/>
      <c r="FU64" s="866"/>
      <c r="FV64" s="866"/>
      <c r="FW64" s="866"/>
      <c r="FX64" s="866"/>
      <c r="FY64" s="866"/>
      <c r="FZ64" s="866"/>
      <c r="GA64" s="866"/>
      <c r="GB64" s="866"/>
      <c r="GC64" s="866"/>
      <c r="GD64" s="866"/>
      <c r="GE64" s="866"/>
      <c r="GF64" s="866"/>
      <c r="GG64" s="866"/>
      <c r="GH64" s="866"/>
      <c r="GI64" s="866"/>
      <c r="GJ64" s="866"/>
      <c r="GK64" s="866"/>
      <c r="GL64" s="866"/>
      <c r="GM64" s="866"/>
      <c r="GN64" s="866"/>
      <c r="GO64" s="866"/>
      <c r="GP64" s="866"/>
      <c r="GQ64" s="866"/>
      <c r="GR64" s="866"/>
      <c r="GS64" s="866"/>
      <c r="GT64" s="866"/>
      <c r="GU64" s="866"/>
      <c r="GV64" s="866"/>
      <c r="GW64" s="866"/>
      <c r="GX64" s="866"/>
      <c r="GY64" s="866"/>
      <c r="GZ64" s="866"/>
      <c r="HA64" s="866"/>
      <c r="HB64" s="866"/>
      <c r="HC64" s="866"/>
      <c r="HD64" s="866"/>
      <c r="HE64" s="866"/>
      <c r="HF64" s="866"/>
      <c r="HG64" s="866"/>
      <c r="HH64" s="866"/>
      <c r="HI64" s="866"/>
      <c r="HJ64" s="866"/>
      <c r="HK64" s="866"/>
      <c r="HL64" s="866"/>
      <c r="HM64" s="866"/>
      <c r="HN64" s="866"/>
      <c r="HO64" s="866"/>
      <c r="HP64" s="866"/>
      <c r="HQ64" s="866"/>
      <c r="HR64" s="866"/>
      <c r="HS64" s="866"/>
      <c r="HT64" s="866"/>
      <c r="HU64" s="866"/>
      <c r="HV64" s="866"/>
      <c r="HW64" s="866"/>
      <c r="HX64" s="866"/>
      <c r="HY64" s="866"/>
      <c r="HZ64" s="866"/>
      <c r="IA64" s="866"/>
      <c r="IB64" s="866"/>
      <c r="IC64" s="866"/>
      <c r="ID64" s="866"/>
      <c r="IE64" s="866"/>
      <c r="IF64" s="866"/>
      <c r="IG64" s="866"/>
      <c r="IH64" s="866"/>
      <c r="II64" s="866"/>
      <c r="IJ64" s="866"/>
      <c r="IK64" s="866"/>
      <c r="IL64" s="866"/>
      <c r="IM64" s="866"/>
      <c r="IN64" s="866"/>
      <c r="IO64" s="866"/>
      <c r="IP64" s="866"/>
      <c r="IQ64" s="866"/>
      <c r="IR64" s="866"/>
      <c r="IS64" s="866"/>
      <c r="IT64" s="866"/>
      <c r="IU64" s="866"/>
      <c r="IV64" s="866"/>
    </row>
    <row r="65" spans="1:256" ht="18">
      <c r="A65" s="866"/>
      <c r="B65" s="866"/>
      <c r="C65" s="866"/>
      <c r="D65" s="866"/>
      <c r="E65" s="866"/>
      <c r="F65" s="866"/>
      <c r="G65" s="866"/>
      <c r="H65" s="866"/>
      <c r="I65" s="866"/>
      <c r="J65" s="866"/>
      <c r="K65" s="866"/>
      <c r="L65" s="866"/>
      <c r="M65" s="866"/>
      <c r="N65" s="866"/>
      <c r="O65" s="879"/>
      <c r="P65" s="879"/>
      <c r="Q65" s="866"/>
      <c r="R65" s="866"/>
      <c r="S65" s="866"/>
      <c r="T65" s="866"/>
      <c r="U65" s="866"/>
      <c r="V65" s="866"/>
      <c r="W65" s="866"/>
      <c r="X65" s="866"/>
      <c r="Y65" s="866"/>
      <c r="Z65" s="866"/>
      <c r="AA65" s="866"/>
      <c r="AB65" s="866"/>
      <c r="AC65" s="866"/>
      <c r="AD65" s="866"/>
      <c r="AE65" s="866"/>
      <c r="AF65" s="866"/>
      <c r="AG65" s="866"/>
      <c r="AH65" s="866"/>
      <c r="AI65" s="866"/>
      <c r="AJ65" s="866"/>
      <c r="AK65" s="866"/>
      <c r="AL65" s="866"/>
      <c r="AM65" s="866"/>
      <c r="AN65" s="866"/>
      <c r="AO65" s="866"/>
      <c r="AP65" s="866"/>
      <c r="AQ65" s="866"/>
      <c r="AR65" s="866"/>
      <c r="AS65" s="866"/>
      <c r="AT65" s="866"/>
      <c r="AU65" s="866"/>
      <c r="AV65" s="866"/>
      <c r="AW65" s="866"/>
      <c r="AX65" s="866"/>
      <c r="AY65" s="866"/>
      <c r="AZ65" s="866"/>
      <c r="BA65" s="866"/>
      <c r="BB65" s="866"/>
      <c r="BC65" s="866"/>
      <c r="BD65" s="866"/>
      <c r="BE65" s="866"/>
      <c r="BF65" s="866"/>
      <c r="BG65" s="866"/>
      <c r="BH65" s="866"/>
      <c r="BI65" s="866"/>
      <c r="BJ65" s="866"/>
      <c r="BK65" s="866"/>
      <c r="BL65" s="866"/>
      <c r="BM65" s="866"/>
      <c r="BN65" s="866"/>
      <c r="BO65" s="866"/>
      <c r="BP65" s="866"/>
      <c r="BQ65" s="866"/>
      <c r="BR65" s="866"/>
      <c r="BS65" s="866"/>
      <c r="BT65" s="866"/>
      <c r="BU65" s="866"/>
      <c r="BV65" s="866"/>
      <c r="BW65" s="866"/>
      <c r="BX65" s="866"/>
      <c r="BY65" s="866"/>
      <c r="BZ65" s="866"/>
      <c r="CA65" s="866"/>
      <c r="CB65" s="866"/>
      <c r="CC65" s="866"/>
      <c r="CD65" s="866"/>
      <c r="CE65" s="866"/>
      <c r="CF65" s="866"/>
      <c r="CG65" s="866"/>
      <c r="CH65" s="866"/>
      <c r="CI65" s="866"/>
      <c r="CJ65" s="866"/>
      <c r="CK65" s="866"/>
      <c r="CL65" s="866"/>
      <c r="CM65" s="866"/>
      <c r="CN65" s="866"/>
      <c r="CO65" s="866"/>
      <c r="CP65" s="866"/>
      <c r="CQ65" s="866"/>
      <c r="CR65" s="866"/>
      <c r="CS65" s="866"/>
      <c r="CT65" s="866"/>
      <c r="CU65" s="866"/>
      <c r="CV65" s="866"/>
      <c r="CW65" s="866"/>
      <c r="CX65" s="866"/>
      <c r="CY65" s="866"/>
      <c r="CZ65" s="866"/>
      <c r="DA65" s="866"/>
      <c r="DB65" s="866"/>
      <c r="DC65" s="866"/>
      <c r="DD65" s="866"/>
      <c r="DE65" s="866"/>
      <c r="DF65" s="866"/>
      <c r="DG65" s="866"/>
      <c r="DH65" s="866"/>
      <c r="DI65" s="866"/>
      <c r="DJ65" s="866"/>
      <c r="DK65" s="866"/>
      <c r="DL65" s="866"/>
      <c r="DM65" s="866"/>
      <c r="DN65" s="866"/>
      <c r="DO65" s="866"/>
      <c r="DP65" s="866"/>
      <c r="DQ65" s="866"/>
      <c r="DR65" s="866"/>
      <c r="DS65" s="866"/>
      <c r="DT65" s="866"/>
      <c r="DU65" s="866"/>
      <c r="DV65" s="866"/>
      <c r="DW65" s="866"/>
      <c r="DX65" s="866"/>
      <c r="DY65" s="866"/>
      <c r="DZ65" s="866"/>
      <c r="EA65" s="866"/>
      <c r="EB65" s="866"/>
      <c r="EC65" s="866"/>
      <c r="ED65" s="866"/>
      <c r="EE65" s="866"/>
      <c r="EF65" s="866"/>
      <c r="EG65" s="866"/>
      <c r="EH65" s="866"/>
      <c r="EI65" s="866"/>
      <c r="EJ65" s="866"/>
      <c r="EK65" s="866"/>
      <c r="EL65" s="866"/>
      <c r="EM65" s="866"/>
      <c r="EN65" s="866"/>
      <c r="EO65" s="866"/>
      <c r="EP65" s="866"/>
      <c r="EQ65" s="866"/>
      <c r="ER65" s="866"/>
      <c r="ES65" s="866"/>
      <c r="ET65" s="866"/>
      <c r="EU65" s="866"/>
      <c r="EV65" s="866"/>
      <c r="EW65" s="866"/>
      <c r="EX65" s="866"/>
      <c r="EY65" s="866"/>
      <c r="EZ65" s="866"/>
      <c r="FA65" s="866"/>
      <c r="FB65" s="866"/>
      <c r="FC65" s="866"/>
      <c r="FD65" s="866"/>
      <c r="FE65" s="866"/>
      <c r="FF65" s="866"/>
      <c r="FG65" s="866"/>
      <c r="FH65" s="866"/>
      <c r="FI65" s="866"/>
      <c r="FJ65" s="866"/>
      <c r="FK65" s="866"/>
      <c r="FL65" s="866"/>
      <c r="FM65" s="866"/>
      <c r="FN65" s="866"/>
      <c r="FO65" s="866"/>
      <c r="FP65" s="866"/>
      <c r="FQ65" s="866"/>
      <c r="FR65" s="866"/>
      <c r="FS65" s="866"/>
      <c r="FT65" s="866"/>
      <c r="FU65" s="866"/>
      <c r="FV65" s="866"/>
      <c r="FW65" s="866"/>
      <c r="FX65" s="866"/>
      <c r="FY65" s="866"/>
      <c r="FZ65" s="866"/>
      <c r="GA65" s="866"/>
      <c r="GB65" s="866"/>
      <c r="GC65" s="866"/>
      <c r="GD65" s="866"/>
      <c r="GE65" s="866"/>
      <c r="GF65" s="866"/>
      <c r="GG65" s="866"/>
      <c r="GH65" s="866"/>
      <c r="GI65" s="866"/>
      <c r="GJ65" s="866"/>
      <c r="GK65" s="866"/>
      <c r="GL65" s="866"/>
      <c r="GM65" s="866"/>
      <c r="GN65" s="866"/>
      <c r="GO65" s="866"/>
      <c r="GP65" s="866"/>
      <c r="GQ65" s="866"/>
      <c r="GR65" s="866"/>
      <c r="GS65" s="866"/>
      <c r="GT65" s="866"/>
      <c r="GU65" s="866"/>
      <c r="GV65" s="866"/>
      <c r="GW65" s="866"/>
      <c r="GX65" s="866"/>
      <c r="GY65" s="866"/>
      <c r="GZ65" s="866"/>
      <c r="HA65" s="866"/>
      <c r="HB65" s="866"/>
      <c r="HC65" s="866"/>
      <c r="HD65" s="866"/>
      <c r="HE65" s="866"/>
      <c r="HF65" s="866"/>
      <c r="HG65" s="866"/>
      <c r="HH65" s="866"/>
      <c r="HI65" s="866"/>
      <c r="HJ65" s="866"/>
      <c r="HK65" s="866"/>
      <c r="HL65" s="866"/>
      <c r="HM65" s="866"/>
      <c r="HN65" s="866"/>
      <c r="HO65" s="866"/>
      <c r="HP65" s="866"/>
      <c r="HQ65" s="866"/>
      <c r="HR65" s="866"/>
      <c r="HS65" s="866"/>
      <c r="HT65" s="866"/>
      <c r="HU65" s="866"/>
      <c r="HV65" s="866"/>
      <c r="HW65" s="866"/>
      <c r="HX65" s="866"/>
      <c r="HY65" s="866"/>
      <c r="HZ65" s="866"/>
      <c r="IA65" s="866"/>
      <c r="IB65" s="866"/>
      <c r="IC65" s="866"/>
      <c r="ID65" s="866"/>
      <c r="IE65" s="866"/>
      <c r="IF65" s="866"/>
      <c r="IG65" s="866"/>
      <c r="IH65" s="866"/>
      <c r="II65" s="866"/>
      <c r="IJ65" s="866"/>
      <c r="IK65" s="866"/>
      <c r="IL65" s="866"/>
      <c r="IM65" s="866"/>
      <c r="IN65" s="866"/>
      <c r="IO65" s="866"/>
      <c r="IP65" s="866"/>
      <c r="IQ65" s="866"/>
      <c r="IR65" s="866"/>
      <c r="IS65" s="866"/>
      <c r="IT65" s="866"/>
      <c r="IU65" s="866"/>
      <c r="IV65" s="866"/>
    </row>
    <row r="66" spans="1:256" ht="20.100000000000001" customHeight="1">
      <c r="A66" s="866"/>
      <c r="B66" s="866"/>
      <c r="C66" s="884"/>
      <c r="D66" s="885"/>
      <c r="E66" s="884"/>
      <c r="F66" s="886"/>
      <c r="G66" s="884"/>
      <c r="H66" s="887"/>
      <c r="I66" s="884"/>
      <c r="J66" s="888"/>
      <c r="K66" s="884"/>
      <c r="L66" s="885"/>
      <c r="M66" s="866"/>
      <c r="N66" s="866"/>
      <c r="O66" s="879"/>
      <c r="P66" s="879"/>
      <c r="Q66" s="866"/>
      <c r="R66" s="866"/>
      <c r="S66" s="866"/>
      <c r="T66" s="866"/>
      <c r="U66" s="866"/>
      <c r="V66" s="866"/>
      <c r="W66" s="866"/>
      <c r="X66" s="866"/>
      <c r="Y66" s="866"/>
      <c r="Z66" s="866"/>
      <c r="AA66" s="866"/>
      <c r="AB66" s="866"/>
      <c r="AC66" s="866"/>
      <c r="AD66" s="866"/>
      <c r="AE66" s="866"/>
      <c r="AF66" s="866"/>
      <c r="AG66" s="866"/>
      <c r="AH66" s="866"/>
      <c r="AI66" s="866"/>
      <c r="AJ66" s="866"/>
      <c r="AK66" s="866"/>
      <c r="AL66" s="866"/>
      <c r="AM66" s="866"/>
      <c r="AN66" s="866"/>
      <c r="AO66" s="866"/>
      <c r="AP66" s="866"/>
      <c r="AQ66" s="866"/>
      <c r="AR66" s="866"/>
      <c r="AS66" s="866"/>
      <c r="AT66" s="866"/>
      <c r="AU66" s="866"/>
      <c r="AV66" s="866"/>
      <c r="AW66" s="866"/>
      <c r="AX66" s="866"/>
      <c r="AY66" s="866"/>
      <c r="AZ66" s="866"/>
      <c r="BA66" s="866"/>
      <c r="BB66" s="866"/>
      <c r="BC66" s="866"/>
      <c r="BD66" s="866"/>
      <c r="BE66" s="866"/>
      <c r="BF66" s="866"/>
      <c r="BG66" s="866"/>
      <c r="BH66" s="866"/>
      <c r="BI66" s="866"/>
      <c r="BJ66" s="866"/>
      <c r="BK66" s="866"/>
      <c r="BL66" s="866"/>
      <c r="BM66" s="866"/>
      <c r="BN66" s="866"/>
      <c r="BO66" s="866"/>
      <c r="BP66" s="866"/>
      <c r="BQ66" s="866"/>
      <c r="BR66" s="866"/>
      <c r="BS66" s="866"/>
      <c r="BT66" s="866"/>
      <c r="BU66" s="866"/>
      <c r="BV66" s="866"/>
      <c r="BW66" s="866"/>
      <c r="BX66" s="866"/>
      <c r="BY66" s="866"/>
      <c r="BZ66" s="866"/>
      <c r="CA66" s="866"/>
      <c r="CB66" s="866"/>
      <c r="CC66" s="866"/>
      <c r="CD66" s="866"/>
      <c r="CE66" s="866"/>
      <c r="CF66" s="866"/>
      <c r="CG66" s="866"/>
      <c r="CH66" s="866"/>
      <c r="CI66" s="866"/>
      <c r="CJ66" s="866"/>
      <c r="CK66" s="866"/>
      <c r="CL66" s="866"/>
      <c r="CM66" s="866"/>
      <c r="CN66" s="866"/>
      <c r="CO66" s="866"/>
      <c r="CP66" s="866"/>
      <c r="CQ66" s="866"/>
      <c r="CR66" s="866"/>
      <c r="CS66" s="866"/>
      <c r="CT66" s="866"/>
      <c r="CU66" s="866"/>
      <c r="CV66" s="866"/>
      <c r="CW66" s="866"/>
      <c r="CX66" s="866"/>
      <c r="CY66" s="866"/>
      <c r="CZ66" s="866"/>
      <c r="DA66" s="866"/>
      <c r="DB66" s="866"/>
      <c r="DC66" s="866"/>
      <c r="DD66" s="866"/>
      <c r="DE66" s="866"/>
      <c r="DF66" s="866"/>
      <c r="DG66" s="866"/>
      <c r="DH66" s="866"/>
      <c r="DI66" s="866"/>
      <c r="DJ66" s="866"/>
      <c r="DK66" s="866"/>
      <c r="DL66" s="866"/>
      <c r="DM66" s="866"/>
      <c r="DN66" s="866"/>
      <c r="DO66" s="866"/>
      <c r="DP66" s="866"/>
      <c r="DQ66" s="866"/>
      <c r="DR66" s="866"/>
      <c r="DS66" s="866"/>
      <c r="DT66" s="866"/>
      <c r="DU66" s="866"/>
      <c r="DV66" s="866"/>
      <c r="DW66" s="866"/>
      <c r="DX66" s="866"/>
      <c r="DY66" s="866"/>
      <c r="DZ66" s="866"/>
      <c r="EA66" s="866"/>
      <c r="EB66" s="866"/>
      <c r="EC66" s="866"/>
      <c r="ED66" s="866"/>
      <c r="EE66" s="866"/>
      <c r="EF66" s="866"/>
      <c r="EG66" s="866"/>
      <c r="EH66" s="866"/>
      <c r="EI66" s="866"/>
      <c r="EJ66" s="866"/>
      <c r="EK66" s="866"/>
      <c r="EL66" s="866"/>
      <c r="EM66" s="866"/>
      <c r="EN66" s="866"/>
      <c r="EO66" s="866"/>
      <c r="EP66" s="866"/>
      <c r="EQ66" s="866"/>
      <c r="ER66" s="866"/>
      <c r="ES66" s="866"/>
      <c r="ET66" s="866"/>
      <c r="EU66" s="866"/>
      <c r="EV66" s="866"/>
      <c r="EW66" s="866"/>
      <c r="EX66" s="866"/>
      <c r="EY66" s="866"/>
      <c r="EZ66" s="866"/>
      <c r="FA66" s="866"/>
      <c r="FB66" s="866"/>
      <c r="FC66" s="866"/>
      <c r="FD66" s="866"/>
      <c r="FE66" s="866"/>
      <c r="FF66" s="866"/>
      <c r="FG66" s="866"/>
      <c r="FH66" s="866"/>
      <c r="FI66" s="866"/>
      <c r="FJ66" s="866"/>
      <c r="FK66" s="866"/>
      <c r="FL66" s="866"/>
      <c r="FM66" s="866"/>
      <c r="FN66" s="866"/>
      <c r="FO66" s="866"/>
      <c r="FP66" s="866"/>
      <c r="FQ66" s="866"/>
      <c r="FR66" s="866"/>
      <c r="FS66" s="866"/>
      <c r="FT66" s="866"/>
      <c r="FU66" s="866"/>
      <c r="FV66" s="866"/>
      <c r="FW66" s="866"/>
      <c r="FX66" s="866"/>
      <c r="FY66" s="866"/>
      <c r="FZ66" s="866"/>
      <c r="GA66" s="866"/>
      <c r="GB66" s="866"/>
      <c r="GC66" s="866"/>
      <c r="GD66" s="866"/>
      <c r="GE66" s="866"/>
      <c r="GF66" s="866"/>
      <c r="GG66" s="866"/>
      <c r="GH66" s="866"/>
      <c r="GI66" s="866"/>
      <c r="GJ66" s="866"/>
      <c r="GK66" s="866"/>
      <c r="GL66" s="866"/>
      <c r="GM66" s="866"/>
      <c r="GN66" s="866"/>
      <c r="GO66" s="866"/>
      <c r="GP66" s="866"/>
      <c r="GQ66" s="866"/>
      <c r="GR66" s="866"/>
      <c r="GS66" s="866"/>
      <c r="GT66" s="866"/>
      <c r="GU66" s="866"/>
      <c r="GV66" s="866"/>
      <c r="GW66" s="866"/>
      <c r="GX66" s="866"/>
      <c r="GY66" s="866"/>
      <c r="GZ66" s="866"/>
      <c r="HA66" s="866"/>
      <c r="HB66" s="866"/>
      <c r="HC66" s="866"/>
      <c r="HD66" s="866"/>
      <c r="HE66" s="866"/>
      <c r="HF66" s="866"/>
      <c r="HG66" s="866"/>
      <c r="HH66" s="866"/>
      <c r="HI66" s="866"/>
      <c r="HJ66" s="866"/>
      <c r="HK66" s="866"/>
      <c r="HL66" s="866"/>
      <c r="HM66" s="866"/>
      <c r="HN66" s="866"/>
      <c r="HO66" s="866"/>
      <c r="HP66" s="866"/>
      <c r="HQ66" s="866"/>
      <c r="HR66" s="866"/>
      <c r="HS66" s="866"/>
      <c r="HT66" s="866"/>
      <c r="HU66" s="866"/>
      <c r="HV66" s="866"/>
      <c r="HW66" s="866"/>
      <c r="HX66" s="866"/>
      <c r="HY66" s="866"/>
      <c r="HZ66" s="866"/>
      <c r="IA66" s="866"/>
      <c r="IB66" s="866"/>
      <c r="IC66" s="866"/>
      <c r="ID66" s="866"/>
      <c r="IE66" s="866"/>
      <c r="IF66" s="866"/>
      <c r="IG66" s="866"/>
      <c r="IH66" s="866"/>
      <c r="II66" s="866"/>
      <c r="IJ66" s="866"/>
      <c r="IK66" s="866"/>
      <c r="IL66" s="866"/>
      <c r="IM66" s="866"/>
      <c r="IN66" s="866"/>
      <c r="IO66" s="866"/>
      <c r="IP66" s="866"/>
      <c r="IQ66" s="866"/>
      <c r="IR66" s="866"/>
      <c r="IS66" s="866"/>
      <c r="IT66" s="866"/>
      <c r="IU66" s="866"/>
      <c r="IV66" s="866"/>
    </row>
    <row r="67" spans="1:256" ht="20.100000000000001" customHeight="1">
      <c r="A67" s="866"/>
      <c r="B67" s="866"/>
      <c r="C67" s="866"/>
      <c r="D67" s="885"/>
      <c r="E67" s="866"/>
      <c r="F67" s="866"/>
      <c r="G67" s="866"/>
      <c r="H67" s="887"/>
      <c r="I67" s="866"/>
      <c r="J67" s="888"/>
      <c r="K67" s="866"/>
      <c r="L67" s="885"/>
      <c r="M67" s="866"/>
      <c r="N67" s="866"/>
      <c r="O67" s="879"/>
      <c r="P67" s="879"/>
      <c r="Q67" s="866"/>
      <c r="R67" s="866"/>
      <c r="S67" s="866"/>
      <c r="T67" s="866"/>
      <c r="U67" s="866"/>
      <c r="V67" s="866"/>
      <c r="W67" s="866"/>
      <c r="X67" s="866"/>
      <c r="Y67" s="866"/>
      <c r="Z67" s="866"/>
      <c r="AA67" s="866"/>
      <c r="AB67" s="866"/>
      <c r="AC67" s="866"/>
      <c r="AD67" s="866"/>
      <c r="AE67" s="866"/>
      <c r="AF67" s="866"/>
      <c r="AG67" s="866"/>
      <c r="AH67" s="866"/>
      <c r="AI67" s="866"/>
      <c r="AJ67" s="866"/>
      <c r="AK67" s="866"/>
      <c r="AL67" s="866"/>
      <c r="AM67" s="866"/>
      <c r="AN67" s="866"/>
      <c r="AO67" s="866"/>
      <c r="AP67" s="866"/>
      <c r="AQ67" s="866"/>
      <c r="AR67" s="866"/>
      <c r="AS67" s="866"/>
      <c r="AT67" s="866"/>
      <c r="AU67" s="866"/>
      <c r="AV67" s="866"/>
      <c r="AW67" s="866"/>
      <c r="AX67" s="866"/>
      <c r="AY67" s="866"/>
      <c r="AZ67" s="866"/>
      <c r="BA67" s="866"/>
      <c r="BB67" s="866"/>
      <c r="BC67" s="866"/>
      <c r="BD67" s="866"/>
      <c r="BE67" s="866"/>
      <c r="BF67" s="866"/>
      <c r="BG67" s="866"/>
      <c r="BH67" s="866"/>
      <c r="BI67" s="866"/>
      <c r="BJ67" s="866"/>
      <c r="BK67" s="866"/>
      <c r="BL67" s="866"/>
      <c r="BM67" s="866"/>
      <c r="BN67" s="866"/>
      <c r="BO67" s="866"/>
      <c r="BP67" s="866"/>
      <c r="BQ67" s="866"/>
      <c r="BR67" s="866"/>
      <c r="BS67" s="866"/>
      <c r="BT67" s="866"/>
      <c r="BU67" s="866"/>
      <c r="BV67" s="866"/>
      <c r="BW67" s="866"/>
      <c r="BX67" s="866"/>
      <c r="BY67" s="866"/>
      <c r="BZ67" s="866"/>
      <c r="CA67" s="866"/>
      <c r="CB67" s="866"/>
      <c r="CC67" s="866"/>
      <c r="CD67" s="866"/>
      <c r="CE67" s="866"/>
      <c r="CF67" s="866"/>
      <c r="CG67" s="866"/>
      <c r="CH67" s="866"/>
      <c r="CI67" s="866"/>
      <c r="CJ67" s="866"/>
      <c r="CK67" s="866"/>
      <c r="CL67" s="866"/>
      <c r="CM67" s="866"/>
      <c r="CN67" s="866"/>
      <c r="CO67" s="866"/>
      <c r="CP67" s="866"/>
      <c r="CQ67" s="866"/>
      <c r="CR67" s="866"/>
      <c r="CS67" s="866"/>
      <c r="CT67" s="866"/>
      <c r="CU67" s="866"/>
      <c r="CV67" s="866"/>
      <c r="CW67" s="866"/>
      <c r="CX67" s="866"/>
      <c r="CY67" s="866"/>
      <c r="CZ67" s="866"/>
      <c r="DA67" s="866"/>
      <c r="DB67" s="866"/>
      <c r="DC67" s="866"/>
      <c r="DD67" s="866"/>
      <c r="DE67" s="866"/>
      <c r="DF67" s="866"/>
      <c r="DG67" s="866"/>
      <c r="DH67" s="866"/>
      <c r="DI67" s="866"/>
      <c r="DJ67" s="866"/>
      <c r="DK67" s="866"/>
      <c r="DL67" s="866"/>
      <c r="DM67" s="866"/>
      <c r="DN67" s="866"/>
      <c r="DO67" s="866"/>
      <c r="DP67" s="866"/>
      <c r="DQ67" s="866"/>
      <c r="DR67" s="866"/>
      <c r="DS67" s="866"/>
      <c r="DT67" s="866"/>
      <c r="DU67" s="866"/>
      <c r="DV67" s="866"/>
      <c r="DW67" s="866"/>
      <c r="DX67" s="866"/>
      <c r="DY67" s="866"/>
      <c r="DZ67" s="866"/>
      <c r="EA67" s="866"/>
      <c r="EB67" s="866"/>
      <c r="EC67" s="866"/>
      <c r="ED67" s="866"/>
      <c r="EE67" s="866"/>
      <c r="EF67" s="866"/>
      <c r="EG67" s="866"/>
      <c r="EH67" s="866"/>
      <c r="EI67" s="866"/>
      <c r="EJ67" s="866"/>
      <c r="EK67" s="866"/>
      <c r="EL67" s="866"/>
      <c r="EM67" s="866"/>
      <c r="EN67" s="866"/>
      <c r="EO67" s="866"/>
      <c r="EP67" s="866"/>
      <c r="EQ67" s="866"/>
      <c r="ER67" s="866"/>
      <c r="ES67" s="866"/>
      <c r="ET67" s="866"/>
      <c r="EU67" s="866"/>
      <c r="EV67" s="866"/>
      <c r="EW67" s="866"/>
      <c r="EX67" s="866"/>
      <c r="EY67" s="866"/>
      <c r="EZ67" s="866"/>
      <c r="FA67" s="866"/>
      <c r="FB67" s="866"/>
      <c r="FC67" s="866"/>
      <c r="FD67" s="866"/>
      <c r="FE67" s="866"/>
      <c r="FF67" s="866"/>
      <c r="FG67" s="866"/>
      <c r="FH67" s="866"/>
      <c r="FI67" s="866"/>
      <c r="FJ67" s="866"/>
      <c r="FK67" s="866"/>
      <c r="FL67" s="866"/>
      <c r="FM67" s="866"/>
      <c r="FN67" s="866"/>
      <c r="FO67" s="866"/>
      <c r="FP67" s="866"/>
      <c r="FQ67" s="866"/>
      <c r="FR67" s="866"/>
      <c r="FS67" s="866"/>
      <c r="FT67" s="866"/>
      <c r="FU67" s="866"/>
      <c r="FV67" s="866"/>
      <c r="FW67" s="866"/>
      <c r="FX67" s="866"/>
      <c r="FY67" s="866"/>
      <c r="FZ67" s="866"/>
      <c r="GA67" s="866"/>
      <c r="GB67" s="866"/>
      <c r="GC67" s="866"/>
      <c r="GD67" s="866"/>
      <c r="GE67" s="866"/>
      <c r="GF67" s="866"/>
      <c r="GG67" s="866"/>
      <c r="GH67" s="866"/>
      <c r="GI67" s="866"/>
      <c r="GJ67" s="866"/>
      <c r="GK67" s="866"/>
      <c r="GL67" s="866"/>
      <c r="GM67" s="866"/>
      <c r="GN67" s="866"/>
      <c r="GO67" s="866"/>
      <c r="GP67" s="866"/>
      <c r="GQ67" s="866"/>
      <c r="GR67" s="866"/>
      <c r="GS67" s="866"/>
      <c r="GT67" s="866"/>
      <c r="GU67" s="866"/>
      <c r="GV67" s="866"/>
      <c r="GW67" s="866"/>
      <c r="GX67" s="866"/>
      <c r="GY67" s="866"/>
      <c r="GZ67" s="866"/>
      <c r="HA67" s="866"/>
      <c r="HB67" s="866"/>
      <c r="HC67" s="866"/>
      <c r="HD67" s="866"/>
      <c r="HE67" s="866"/>
      <c r="HF67" s="866"/>
      <c r="HG67" s="866"/>
      <c r="HH67" s="866"/>
      <c r="HI67" s="866"/>
      <c r="HJ67" s="866"/>
      <c r="HK67" s="866"/>
      <c r="HL67" s="866"/>
      <c r="HM67" s="866"/>
      <c r="HN67" s="866"/>
      <c r="HO67" s="866"/>
      <c r="HP67" s="866"/>
      <c r="HQ67" s="866"/>
      <c r="HR67" s="866"/>
      <c r="HS67" s="866"/>
      <c r="HT67" s="866"/>
      <c r="HU67" s="866"/>
      <c r="HV67" s="866"/>
      <c r="HW67" s="866"/>
      <c r="HX67" s="866"/>
      <c r="HY67" s="866"/>
      <c r="HZ67" s="866"/>
      <c r="IA67" s="866"/>
      <c r="IB67" s="866"/>
      <c r="IC67" s="866"/>
      <c r="ID67" s="866"/>
      <c r="IE67" s="866"/>
      <c r="IF67" s="866"/>
      <c r="IG67" s="866"/>
      <c r="IH67" s="866"/>
      <c r="II67" s="866"/>
      <c r="IJ67" s="866"/>
      <c r="IK67" s="866"/>
      <c r="IL67" s="866"/>
      <c r="IM67" s="866"/>
      <c r="IN67" s="866"/>
      <c r="IO67" s="866"/>
      <c r="IP67" s="866"/>
      <c r="IQ67" s="866"/>
      <c r="IR67" s="866"/>
      <c r="IS67" s="866"/>
      <c r="IT67" s="866"/>
      <c r="IU67" s="866"/>
      <c r="IV67" s="866"/>
    </row>
    <row r="68" spans="1:256" ht="20.100000000000001" customHeight="1">
      <c r="A68" s="866"/>
      <c r="B68" s="866"/>
      <c r="C68" s="866"/>
      <c r="D68" s="885"/>
      <c r="E68" s="866"/>
      <c r="F68" s="866"/>
      <c r="G68" s="866"/>
      <c r="H68" s="889"/>
      <c r="I68" s="866"/>
      <c r="J68" s="888"/>
      <c r="K68" s="866"/>
      <c r="L68" s="885"/>
      <c r="M68" s="866"/>
      <c r="N68" s="866"/>
      <c r="O68" s="866"/>
      <c r="P68" s="866"/>
      <c r="Q68" s="866"/>
      <c r="R68" s="866"/>
      <c r="S68" s="866"/>
      <c r="T68" s="866"/>
      <c r="U68" s="866"/>
      <c r="V68" s="866"/>
      <c r="W68" s="866"/>
      <c r="X68" s="866"/>
      <c r="Y68" s="866"/>
      <c r="Z68" s="866"/>
      <c r="AA68" s="866"/>
      <c r="AB68" s="866"/>
      <c r="AC68" s="866"/>
      <c r="AD68" s="866"/>
      <c r="AE68" s="866"/>
      <c r="AF68" s="866"/>
      <c r="AG68" s="866"/>
      <c r="AH68" s="866"/>
      <c r="AI68" s="866"/>
      <c r="AJ68" s="866"/>
      <c r="AK68" s="866"/>
      <c r="AL68" s="866"/>
      <c r="AM68" s="866"/>
      <c r="AN68" s="866"/>
      <c r="AO68" s="866"/>
      <c r="AP68" s="866"/>
      <c r="AQ68" s="866"/>
      <c r="AR68" s="866"/>
      <c r="AS68" s="866"/>
      <c r="AT68" s="866"/>
      <c r="AU68" s="866"/>
      <c r="AV68" s="866"/>
      <c r="AW68" s="866"/>
      <c r="AX68" s="866"/>
      <c r="AY68" s="866"/>
      <c r="AZ68" s="866"/>
      <c r="BA68" s="866"/>
      <c r="BB68" s="866"/>
      <c r="BC68" s="866"/>
      <c r="BD68" s="866"/>
      <c r="BE68" s="866"/>
      <c r="BF68" s="866"/>
      <c r="BG68" s="866"/>
      <c r="BH68" s="866"/>
      <c r="BI68" s="866"/>
      <c r="BJ68" s="866"/>
      <c r="BK68" s="866"/>
      <c r="BL68" s="866"/>
      <c r="BM68" s="866"/>
      <c r="BN68" s="866"/>
      <c r="BO68" s="866"/>
      <c r="BP68" s="866"/>
      <c r="BQ68" s="866"/>
      <c r="BR68" s="866"/>
      <c r="BS68" s="866"/>
      <c r="BT68" s="866"/>
      <c r="BU68" s="866"/>
      <c r="BV68" s="866"/>
      <c r="BW68" s="866"/>
      <c r="BX68" s="866"/>
      <c r="BY68" s="866"/>
      <c r="BZ68" s="866"/>
      <c r="CA68" s="866"/>
      <c r="CB68" s="866"/>
      <c r="CC68" s="866"/>
      <c r="CD68" s="866"/>
      <c r="CE68" s="866"/>
      <c r="CF68" s="866"/>
      <c r="CG68" s="866"/>
      <c r="CH68" s="866"/>
      <c r="CI68" s="866"/>
      <c r="CJ68" s="866"/>
      <c r="CK68" s="866"/>
      <c r="CL68" s="866"/>
      <c r="CM68" s="866"/>
      <c r="CN68" s="866"/>
      <c r="CO68" s="866"/>
      <c r="CP68" s="866"/>
      <c r="CQ68" s="866"/>
      <c r="CR68" s="866"/>
      <c r="CS68" s="866"/>
      <c r="CT68" s="866"/>
      <c r="CU68" s="866"/>
      <c r="CV68" s="866"/>
      <c r="CW68" s="866"/>
      <c r="CX68" s="866"/>
      <c r="CY68" s="866"/>
      <c r="CZ68" s="866"/>
      <c r="DA68" s="866"/>
      <c r="DB68" s="866"/>
      <c r="DC68" s="866"/>
      <c r="DD68" s="866"/>
      <c r="DE68" s="866"/>
      <c r="DF68" s="866"/>
      <c r="DG68" s="866"/>
      <c r="DH68" s="866"/>
      <c r="DI68" s="866"/>
      <c r="DJ68" s="866"/>
      <c r="DK68" s="866"/>
      <c r="DL68" s="866"/>
      <c r="DM68" s="866"/>
      <c r="DN68" s="866"/>
      <c r="DO68" s="866"/>
      <c r="DP68" s="866"/>
      <c r="DQ68" s="866"/>
      <c r="DR68" s="866"/>
      <c r="DS68" s="866"/>
      <c r="DT68" s="866"/>
      <c r="DU68" s="866"/>
      <c r="DV68" s="866"/>
      <c r="DW68" s="866"/>
      <c r="DX68" s="866"/>
      <c r="DY68" s="866"/>
      <c r="DZ68" s="866"/>
      <c r="EA68" s="866"/>
      <c r="EB68" s="866"/>
      <c r="EC68" s="866"/>
      <c r="ED68" s="866"/>
      <c r="EE68" s="866"/>
      <c r="EF68" s="866"/>
      <c r="EG68" s="866"/>
      <c r="EH68" s="866"/>
      <c r="EI68" s="866"/>
      <c r="EJ68" s="866"/>
      <c r="EK68" s="866"/>
      <c r="EL68" s="866"/>
      <c r="EM68" s="866"/>
      <c r="EN68" s="866"/>
      <c r="EO68" s="866"/>
      <c r="EP68" s="866"/>
      <c r="EQ68" s="866"/>
      <c r="ER68" s="866"/>
      <c r="ES68" s="866"/>
      <c r="ET68" s="866"/>
      <c r="EU68" s="866"/>
      <c r="EV68" s="866"/>
      <c r="EW68" s="866"/>
      <c r="EX68" s="866"/>
      <c r="EY68" s="866"/>
      <c r="EZ68" s="866"/>
      <c r="FA68" s="866"/>
      <c r="FB68" s="866"/>
      <c r="FC68" s="866"/>
      <c r="FD68" s="866"/>
      <c r="FE68" s="866"/>
      <c r="FF68" s="866"/>
      <c r="FG68" s="866"/>
      <c r="FH68" s="866"/>
      <c r="FI68" s="866"/>
      <c r="FJ68" s="866"/>
      <c r="FK68" s="866"/>
      <c r="FL68" s="866"/>
      <c r="FM68" s="866"/>
      <c r="FN68" s="866"/>
      <c r="FO68" s="866"/>
      <c r="FP68" s="866"/>
      <c r="FQ68" s="866"/>
      <c r="FR68" s="866"/>
      <c r="FS68" s="866"/>
      <c r="FT68" s="866"/>
      <c r="FU68" s="866"/>
      <c r="FV68" s="866"/>
      <c r="FW68" s="866"/>
      <c r="FX68" s="866"/>
      <c r="FY68" s="866"/>
      <c r="FZ68" s="866"/>
      <c r="GA68" s="866"/>
      <c r="GB68" s="866"/>
      <c r="GC68" s="866"/>
      <c r="GD68" s="866"/>
      <c r="GE68" s="866"/>
      <c r="GF68" s="866"/>
      <c r="GG68" s="866"/>
      <c r="GH68" s="866"/>
      <c r="GI68" s="866"/>
      <c r="GJ68" s="866"/>
      <c r="GK68" s="866"/>
      <c r="GL68" s="866"/>
      <c r="GM68" s="866"/>
      <c r="GN68" s="866"/>
      <c r="GO68" s="866"/>
      <c r="GP68" s="866"/>
      <c r="GQ68" s="866"/>
      <c r="GR68" s="866"/>
      <c r="GS68" s="866"/>
      <c r="GT68" s="866"/>
      <c r="GU68" s="866"/>
      <c r="GV68" s="866"/>
      <c r="GW68" s="866"/>
      <c r="GX68" s="866"/>
      <c r="GY68" s="866"/>
      <c r="GZ68" s="866"/>
      <c r="HA68" s="866"/>
      <c r="HB68" s="866"/>
      <c r="HC68" s="866"/>
      <c r="HD68" s="866"/>
      <c r="HE68" s="866"/>
      <c r="HF68" s="866"/>
      <c r="HG68" s="866"/>
      <c r="HH68" s="866"/>
      <c r="HI68" s="866"/>
      <c r="HJ68" s="866"/>
      <c r="HK68" s="866"/>
      <c r="HL68" s="866"/>
      <c r="HM68" s="866"/>
      <c r="HN68" s="866"/>
      <c r="HO68" s="866"/>
      <c r="HP68" s="866"/>
      <c r="HQ68" s="866"/>
      <c r="HR68" s="866"/>
      <c r="HS68" s="866"/>
      <c r="HT68" s="866"/>
      <c r="HU68" s="866"/>
      <c r="HV68" s="866"/>
      <c r="HW68" s="866"/>
      <c r="HX68" s="866"/>
      <c r="HY68" s="866"/>
      <c r="HZ68" s="866"/>
      <c r="IA68" s="866"/>
      <c r="IB68" s="866"/>
      <c r="IC68" s="866"/>
      <c r="ID68" s="866"/>
      <c r="IE68" s="866"/>
      <c r="IF68" s="866"/>
      <c r="IG68" s="866"/>
      <c r="IH68" s="866"/>
      <c r="II68" s="866"/>
      <c r="IJ68" s="866"/>
      <c r="IK68" s="866"/>
      <c r="IL68" s="866"/>
      <c r="IM68" s="866"/>
      <c r="IN68" s="866"/>
      <c r="IO68" s="866"/>
      <c r="IP68" s="866"/>
      <c r="IQ68" s="866"/>
      <c r="IR68" s="866"/>
      <c r="IS68" s="866"/>
      <c r="IT68" s="866"/>
      <c r="IU68" s="866"/>
      <c r="IV68" s="866"/>
    </row>
    <row r="69" spans="1:256" ht="20.100000000000001" customHeight="1">
      <c r="A69" s="866"/>
      <c r="B69" s="866"/>
      <c r="C69" s="866"/>
      <c r="D69" s="885"/>
      <c r="E69" s="866"/>
      <c r="F69" s="866"/>
      <c r="G69" s="866"/>
      <c r="H69" s="887"/>
      <c r="I69" s="866"/>
      <c r="J69" s="888"/>
      <c r="K69" s="866"/>
      <c r="L69" s="885"/>
      <c r="M69" s="866"/>
      <c r="N69" s="866"/>
      <c r="O69" s="879"/>
      <c r="P69" s="879"/>
      <c r="Q69" s="866"/>
      <c r="R69" s="866"/>
      <c r="S69" s="866"/>
      <c r="T69" s="866"/>
      <c r="U69" s="866"/>
      <c r="V69" s="866"/>
      <c r="W69" s="866"/>
      <c r="X69" s="866"/>
      <c r="Y69" s="866"/>
      <c r="Z69" s="866"/>
      <c r="AA69" s="866"/>
      <c r="AB69" s="866"/>
      <c r="AC69" s="866"/>
      <c r="AD69" s="866"/>
      <c r="AE69" s="866"/>
      <c r="AF69" s="866"/>
      <c r="AG69" s="866"/>
      <c r="AH69" s="866"/>
      <c r="AI69" s="866"/>
      <c r="AJ69" s="866"/>
      <c r="AK69" s="866"/>
      <c r="AL69" s="866"/>
      <c r="AM69" s="866"/>
      <c r="AN69" s="866"/>
      <c r="AO69" s="866"/>
      <c r="AP69" s="866"/>
      <c r="AQ69" s="866"/>
      <c r="AR69" s="866"/>
      <c r="AS69" s="866"/>
      <c r="AT69" s="866"/>
      <c r="AU69" s="866"/>
      <c r="AV69" s="866"/>
      <c r="AW69" s="866"/>
      <c r="AX69" s="866"/>
      <c r="AY69" s="866"/>
      <c r="AZ69" s="866"/>
      <c r="BA69" s="866"/>
      <c r="BB69" s="866"/>
      <c r="BC69" s="866"/>
      <c r="BD69" s="866"/>
      <c r="BE69" s="866"/>
      <c r="BF69" s="866"/>
      <c r="BG69" s="866"/>
      <c r="BH69" s="866"/>
      <c r="BI69" s="866"/>
      <c r="BJ69" s="866"/>
      <c r="BK69" s="866"/>
      <c r="BL69" s="866"/>
      <c r="BM69" s="866"/>
      <c r="BN69" s="866"/>
      <c r="BO69" s="866"/>
      <c r="BP69" s="866"/>
      <c r="BQ69" s="866"/>
      <c r="BR69" s="866"/>
      <c r="BS69" s="866"/>
      <c r="BT69" s="866"/>
      <c r="BU69" s="866"/>
      <c r="BV69" s="866"/>
      <c r="BW69" s="866"/>
      <c r="BX69" s="866"/>
      <c r="BY69" s="866"/>
      <c r="BZ69" s="866"/>
      <c r="CA69" s="866"/>
      <c r="CB69" s="866"/>
      <c r="CC69" s="866"/>
      <c r="CD69" s="866"/>
      <c r="CE69" s="866"/>
      <c r="CF69" s="866"/>
      <c r="CG69" s="866"/>
      <c r="CH69" s="866"/>
      <c r="CI69" s="866"/>
      <c r="CJ69" s="866"/>
      <c r="CK69" s="866"/>
      <c r="CL69" s="866"/>
      <c r="CM69" s="866"/>
      <c r="CN69" s="866"/>
      <c r="CO69" s="866"/>
      <c r="CP69" s="866"/>
      <c r="CQ69" s="866"/>
      <c r="CR69" s="866"/>
      <c r="CS69" s="866"/>
      <c r="CT69" s="866"/>
      <c r="CU69" s="866"/>
      <c r="CV69" s="866"/>
      <c r="CW69" s="866"/>
      <c r="CX69" s="866"/>
      <c r="CY69" s="866"/>
      <c r="CZ69" s="866"/>
      <c r="DA69" s="866"/>
      <c r="DB69" s="866"/>
      <c r="DC69" s="866"/>
      <c r="DD69" s="866"/>
      <c r="DE69" s="866"/>
      <c r="DF69" s="866"/>
      <c r="DG69" s="866"/>
      <c r="DH69" s="866"/>
      <c r="DI69" s="866"/>
      <c r="DJ69" s="866"/>
      <c r="DK69" s="866"/>
      <c r="DL69" s="866"/>
      <c r="DM69" s="866"/>
      <c r="DN69" s="866"/>
      <c r="DO69" s="866"/>
      <c r="DP69" s="866"/>
      <c r="DQ69" s="866"/>
      <c r="DR69" s="866"/>
      <c r="DS69" s="866"/>
      <c r="DT69" s="866"/>
      <c r="DU69" s="866"/>
      <c r="DV69" s="866"/>
      <c r="DW69" s="866"/>
      <c r="DX69" s="866"/>
      <c r="DY69" s="866"/>
      <c r="DZ69" s="866"/>
      <c r="EA69" s="866"/>
      <c r="EB69" s="866"/>
      <c r="EC69" s="866"/>
      <c r="ED69" s="866"/>
      <c r="EE69" s="866"/>
      <c r="EF69" s="866"/>
      <c r="EG69" s="866"/>
      <c r="EH69" s="866"/>
      <c r="EI69" s="866"/>
      <c r="EJ69" s="866"/>
      <c r="EK69" s="866"/>
      <c r="EL69" s="866"/>
      <c r="EM69" s="866"/>
      <c r="EN69" s="866"/>
      <c r="EO69" s="866"/>
      <c r="EP69" s="866"/>
      <c r="EQ69" s="866"/>
      <c r="ER69" s="866"/>
      <c r="ES69" s="866"/>
      <c r="ET69" s="866"/>
      <c r="EU69" s="866"/>
      <c r="EV69" s="866"/>
      <c r="EW69" s="866"/>
      <c r="EX69" s="866"/>
      <c r="EY69" s="866"/>
      <c r="EZ69" s="866"/>
      <c r="FA69" s="866"/>
      <c r="FB69" s="866"/>
      <c r="FC69" s="866"/>
      <c r="FD69" s="866"/>
      <c r="FE69" s="866"/>
      <c r="FF69" s="866"/>
      <c r="FG69" s="866"/>
      <c r="FH69" s="866"/>
      <c r="FI69" s="866"/>
      <c r="FJ69" s="866"/>
      <c r="FK69" s="866"/>
      <c r="FL69" s="866"/>
      <c r="FM69" s="866"/>
      <c r="FN69" s="866"/>
      <c r="FO69" s="866"/>
      <c r="FP69" s="866"/>
      <c r="FQ69" s="866"/>
      <c r="FR69" s="866"/>
      <c r="FS69" s="866"/>
      <c r="FT69" s="866"/>
      <c r="FU69" s="866"/>
      <c r="FV69" s="866"/>
      <c r="FW69" s="866"/>
      <c r="FX69" s="866"/>
      <c r="FY69" s="866"/>
      <c r="FZ69" s="866"/>
      <c r="GA69" s="866"/>
      <c r="GB69" s="866"/>
      <c r="GC69" s="866"/>
      <c r="GD69" s="866"/>
      <c r="GE69" s="866"/>
      <c r="GF69" s="866"/>
      <c r="GG69" s="866"/>
      <c r="GH69" s="866"/>
      <c r="GI69" s="866"/>
      <c r="GJ69" s="866"/>
      <c r="GK69" s="866"/>
      <c r="GL69" s="866"/>
      <c r="GM69" s="866"/>
      <c r="GN69" s="866"/>
      <c r="GO69" s="866"/>
      <c r="GP69" s="866"/>
      <c r="GQ69" s="866"/>
      <c r="GR69" s="866"/>
      <c r="GS69" s="866"/>
      <c r="GT69" s="866"/>
      <c r="GU69" s="866"/>
      <c r="GV69" s="866"/>
      <c r="GW69" s="866"/>
      <c r="GX69" s="866"/>
      <c r="GY69" s="866"/>
      <c r="GZ69" s="866"/>
      <c r="HA69" s="866"/>
      <c r="HB69" s="866"/>
      <c r="HC69" s="866"/>
      <c r="HD69" s="866"/>
      <c r="HE69" s="866"/>
      <c r="HF69" s="866"/>
      <c r="HG69" s="866"/>
      <c r="HH69" s="866"/>
      <c r="HI69" s="866"/>
      <c r="HJ69" s="866"/>
      <c r="HK69" s="866"/>
      <c r="HL69" s="866"/>
      <c r="HM69" s="866"/>
      <c r="HN69" s="866"/>
      <c r="HO69" s="866"/>
      <c r="HP69" s="866"/>
      <c r="HQ69" s="866"/>
      <c r="HR69" s="866"/>
      <c r="HS69" s="866"/>
      <c r="HT69" s="866"/>
      <c r="HU69" s="866"/>
      <c r="HV69" s="866"/>
      <c r="HW69" s="866"/>
      <c r="HX69" s="866"/>
      <c r="HY69" s="866"/>
      <c r="HZ69" s="866"/>
      <c r="IA69" s="866"/>
      <c r="IB69" s="866"/>
      <c r="IC69" s="866"/>
      <c r="ID69" s="866"/>
      <c r="IE69" s="866"/>
      <c r="IF69" s="866"/>
      <c r="IG69" s="866"/>
      <c r="IH69" s="866"/>
      <c r="II69" s="866"/>
      <c r="IJ69" s="866"/>
      <c r="IK69" s="866"/>
      <c r="IL69" s="866"/>
      <c r="IM69" s="866"/>
      <c r="IN69" s="866"/>
      <c r="IO69" s="866"/>
      <c r="IP69" s="866"/>
      <c r="IQ69" s="866"/>
      <c r="IR69" s="866"/>
      <c r="IS69" s="866"/>
      <c r="IT69" s="866"/>
      <c r="IU69" s="866"/>
      <c r="IV69" s="866"/>
    </row>
    <row r="70" spans="1:256" ht="20.100000000000001" customHeight="1">
      <c r="A70" s="866"/>
      <c r="B70" s="866"/>
      <c r="C70" s="866"/>
      <c r="D70" s="885"/>
      <c r="E70" s="866"/>
      <c r="F70" s="866"/>
      <c r="G70" s="866"/>
      <c r="H70" s="887"/>
      <c r="I70" s="866"/>
      <c r="J70" s="888"/>
      <c r="K70" s="866"/>
      <c r="L70" s="885"/>
      <c r="M70" s="866"/>
      <c r="N70" s="866"/>
      <c r="O70" s="866"/>
      <c r="P70" s="866"/>
      <c r="Q70" s="866"/>
      <c r="R70" s="866"/>
      <c r="S70" s="866"/>
      <c r="T70" s="866"/>
      <c r="U70" s="866"/>
      <c r="V70" s="866"/>
      <c r="W70" s="866"/>
      <c r="X70" s="866"/>
      <c r="Y70" s="866"/>
      <c r="Z70" s="866"/>
      <c r="AA70" s="866"/>
      <c r="AB70" s="866"/>
      <c r="AC70" s="866"/>
      <c r="AD70" s="866"/>
      <c r="AE70" s="866"/>
      <c r="AF70" s="866"/>
      <c r="AG70" s="866"/>
      <c r="AH70" s="866"/>
      <c r="AI70" s="866"/>
      <c r="AJ70" s="866"/>
      <c r="AK70" s="866"/>
      <c r="AL70" s="866"/>
      <c r="AM70" s="866"/>
      <c r="AN70" s="866"/>
      <c r="AO70" s="866"/>
      <c r="AP70" s="866"/>
      <c r="AQ70" s="866"/>
      <c r="AR70" s="866"/>
      <c r="AS70" s="866"/>
      <c r="AT70" s="866"/>
      <c r="AU70" s="866"/>
      <c r="AV70" s="866"/>
      <c r="AW70" s="866"/>
      <c r="AX70" s="866"/>
      <c r="AY70" s="866"/>
      <c r="AZ70" s="866"/>
      <c r="BA70" s="866"/>
      <c r="BB70" s="866"/>
      <c r="BC70" s="866"/>
      <c r="BD70" s="866"/>
      <c r="BE70" s="866"/>
      <c r="BF70" s="866"/>
      <c r="BG70" s="866"/>
      <c r="BH70" s="866"/>
      <c r="BI70" s="866"/>
      <c r="BJ70" s="866"/>
      <c r="BK70" s="866"/>
      <c r="BL70" s="866"/>
      <c r="BM70" s="866"/>
      <c r="BN70" s="866"/>
      <c r="BO70" s="866"/>
      <c r="BP70" s="866"/>
      <c r="BQ70" s="866"/>
      <c r="BR70" s="866"/>
      <c r="BS70" s="866"/>
      <c r="BT70" s="866"/>
      <c r="BU70" s="866"/>
      <c r="BV70" s="866"/>
      <c r="BW70" s="866"/>
      <c r="BX70" s="866"/>
      <c r="BY70" s="866"/>
      <c r="BZ70" s="866"/>
      <c r="CA70" s="866"/>
      <c r="CB70" s="866"/>
      <c r="CC70" s="866"/>
      <c r="CD70" s="866"/>
      <c r="CE70" s="866"/>
      <c r="CF70" s="866"/>
      <c r="CG70" s="866"/>
      <c r="CH70" s="866"/>
      <c r="CI70" s="866"/>
      <c r="CJ70" s="866"/>
      <c r="CK70" s="866"/>
      <c r="CL70" s="866"/>
      <c r="CM70" s="866"/>
      <c r="CN70" s="866"/>
      <c r="CO70" s="866"/>
      <c r="CP70" s="866"/>
      <c r="CQ70" s="866"/>
      <c r="CR70" s="866"/>
      <c r="CS70" s="866"/>
      <c r="CT70" s="866"/>
      <c r="CU70" s="866"/>
      <c r="CV70" s="866"/>
      <c r="CW70" s="866"/>
      <c r="CX70" s="866"/>
      <c r="CY70" s="866"/>
      <c r="CZ70" s="866"/>
      <c r="DA70" s="866"/>
      <c r="DB70" s="866"/>
      <c r="DC70" s="866"/>
      <c r="DD70" s="866"/>
      <c r="DE70" s="866"/>
      <c r="DF70" s="866"/>
      <c r="DG70" s="866"/>
      <c r="DH70" s="866"/>
      <c r="DI70" s="866"/>
      <c r="DJ70" s="866"/>
      <c r="DK70" s="866"/>
      <c r="DL70" s="866"/>
      <c r="DM70" s="866"/>
      <c r="DN70" s="866"/>
      <c r="DO70" s="866"/>
      <c r="DP70" s="866"/>
      <c r="DQ70" s="866"/>
      <c r="DR70" s="866"/>
      <c r="DS70" s="866"/>
      <c r="DT70" s="866"/>
      <c r="DU70" s="866"/>
      <c r="DV70" s="866"/>
      <c r="DW70" s="866"/>
      <c r="DX70" s="866"/>
      <c r="DY70" s="866"/>
      <c r="DZ70" s="866"/>
      <c r="EA70" s="866"/>
      <c r="EB70" s="866"/>
      <c r="EC70" s="866"/>
      <c r="ED70" s="866"/>
      <c r="EE70" s="866"/>
      <c r="EF70" s="866"/>
      <c r="EG70" s="866"/>
      <c r="EH70" s="866"/>
      <c r="EI70" s="866"/>
      <c r="EJ70" s="866"/>
      <c r="EK70" s="866"/>
      <c r="EL70" s="866"/>
      <c r="EM70" s="866"/>
      <c r="EN70" s="866"/>
      <c r="EO70" s="866"/>
      <c r="EP70" s="866"/>
      <c r="EQ70" s="866"/>
      <c r="ER70" s="866"/>
      <c r="ES70" s="866"/>
      <c r="ET70" s="866"/>
      <c r="EU70" s="866"/>
      <c r="EV70" s="866"/>
      <c r="EW70" s="866"/>
      <c r="EX70" s="866"/>
      <c r="EY70" s="866"/>
      <c r="EZ70" s="866"/>
      <c r="FA70" s="866"/>
      <c r="FB70" s="866"/>
      <c r="FC70" s="866"/>
      <c r="FD70" s="866"/>
      <c r="FE70" s="866"/>
      <c r="FF70" s="866"/>
      <c r="FG70" s="866"/>
      <c r="FH70" s="866"/>
      <c r="FI70" s="866"/>
      <c r="FJ70" s="866"/>
      <c r="FK70" s="866"/>
      <c r="FL70" s="866"/>
      <c r="FM70" s="866"/>
      <c r="FN70" s="866"/>
      <c r="FO70" s="866"/>
      <c r="FP70" s="866"/>
      <c r="FQ70" s="866"/>
      <c r="FR70" s="866"/>
      <c r="FS70" s="866"/>
      <c r="FT70" s="866"/>
      <c r="FU70" s="866"/>
      <c r="FV70" s="866"/>
      <c r="FW70" s="866"/>
      <c r="FX70" s="866"/>
      <c r="FY70" s="866"/>
      <c r="FZ70" s="866"/>
      <c r="GA70" s="866"/>
      <c r="GB70" s="866"/>
      <c r="GC70" s="866"/>
      <c r="GD70" s="866"/>
      <c r="GE70" s="866"/>
      <c r="GF70" s="866"/>
      <c r="GG70" s="866"/>
      <c r="GH70" s="866"/>
      <c r="GI70" s="866"/>
      <c r="GJ70" s="866"/>
      <c r="GK70" s="866"/>
      <c r="GL70" s="866"/>
      <c r="GM70" s="866"/>
      <c r="GN70" s="866"/>
      <c r="GO70" s="866"/>
      <c r="GP70" s="866"/>
      <c r="GQ70" s="866"/>
      <c r="GR70" s="866"/>
      <c r="GS70" s="866"/>
      <c r="GT70" s="866"/>
      <c r="GU70" s="866"/>
      <c r="GV70" s="866"/>
      <c r="GW70" s="866"/>
      <c r="GX70" s="866"/>
      <c r="GY70" s="866"/>
      <c r="GZ70" s="866"/>
      <c r="HA70" s="866"/>
      <c r="HB70" s="866"/>
      <c r="HC70" s="866"/>
      <c r="HD70" s="866"/>
      <c r="HE70" s="866"/>
      <c r="HF70" s="866"/>
      <c r="HG70" s="866"/>
      <c r="HH70" s="866"/>
      <c r="HI70" s="866"/>
      <c r="HJ70" s="866"/>
      <c r="HK70" s="866"/>
      <c r="HL70" s="866"/>
      <c r="HM70" s="866"/>
      <c r="HN70" s="866"/>
      <c r="HO70" s="866"/>
      <c r="HP70" s="866"/>
      <c r="HQ70" s="866"/>
      <c r="HR70" s="866"/>
      <c r="HS70" s="866"/>
      <c r="HT70" s="866"/>
      <c r="HU70" s="866"/>
      <c r="HV70" s="866"/>
      <c r="HW70" s="866"/>
      <c r="HX70" s="866"/>
      <c r="HY70" s="866"/>
      <c r="HZ70" s="866"/>
      <c r="IA70" s="866"/>
      <c r="IB70" s="866"/>
      <c r="IC70" s="866"/>
      <c r="ID70" s="866"/>
      <c r="IE70" s="866"/>
      <c r="IF70" s="866"/>
      <c r="IG70" s="866"/>
      <c r="IH70" s="866"/>
      <c r="II70" s="866"/>
      <c r="IJ70" s="866"/>
      <c r="IK70" s="866"/>
      <c r="IL70" s="866"/>
      <c r="IM70" s="866"/>
      <c r="IN70" s="866"/>
      <c r="IO70" s="866"/>
      <c r="IP70" s="866"/>
      <c r="IQ70" s="866"/>
      <c r="IR70" s="866"/>
      <c r="IS70" s="866"/>
      <c r="IT70" s="866"/>
      <c r="IU70" s="866"/>
      <c r="IV70" s="866"/>
    </row>
    <row r="71" spans="1:256" ht="20.100000000000001" customHeight="1">
      <c r="A71" s="866"/>
      <c r="B71" s="866"/>
      <c r="C71" s="866"/>
      <c r="D71" s="885"/>
      <c r="E71" s="866"/>
      <c r="F71" s="866"/>
      <c r="G71" s="866"/>
      <c r="H71" s="890"/>
      <c r="I71" s="866"/>
      <c r="J71" s="888"/>
      <c r="K71" s="866"/>
      <c r="L71" s="885"/>
      <c r="M71" s="866"/>
      <c r="N71" s="866"/>
      <c r="O71" s="879"/>
      <c r="P71" s="879"/>
      <c r="Q71" s="866"/>
      <c r="R71" s="866"/>
      <c r="S71" s="866"/>
      <c r="T71" s="866"/>
      <c r="U71" s="866"/>
      <c r="V71" s="866"/>
      <c r="W71" s="866"/>
      <c r="X71" s="866"/>
      <c r="Y71" s="866"/>
      <c r="Z71" s="866"/>
      <c r="AA71" s="866"/>
      <c r="AB71" s="866"/>
      <c r="AC71" s="866"/>
      <c r="AD71" s="866"/>
      <c r="AE71" s="866"/>
      <c r="AF71" s="866"/>
      <c r="AG71" s="866"/>
      <c r="AH71" s="866"/>
      <c r="AI71" s="866"/>
      <c r="AJ71" s="866"/>
      <c r="AK71" s="866"/>
      <c r="AL71" s="866"/>
      <c r="AM71" s="866"/>
      <c r="AN71" s="866"/>
      <c r="AO71" s="866"/>
      <c r="AP71" s="866"/>
      <c r="AQ71" s="866"/>
      <c r="AR71" s="866"/>
      <c r="AS71" s="866"/>
      <c r="AT71" s="866"/>
      <c r="AU71" s="866"/>
      <c r="AV71" s="866"/>
      <c r="AW71" s="866"/>
      <c r="AX71" s="866"/>
      <c r="AY71" s="866"/>
      <c r="AZ71" s="866"/>
      <c r="BA71" s="866"/>
      <c r="BB71" s="866"/>
      <c r="BC71" s="866"/>
      <c r="BD71" s="866"/>
      <c r="BE71" s="866"/>
      <c r="BF71" s="866"/>
      <c r="BG71" s="866"/>
      <c r="BH71" s="866"/>
      <c r="BI71" s="866"/>
      <c r="BJ71" s="866"/>
      <c r="BK71" s="866"/>
      <c r="BL71" s="866"/>
      <c r="BM71" s="866"/>
      <c r="BN71" s="866"/>
      <c r="BO71" s="866"/>
      <c r="BP71" s="866"/>
      <c r="BQ71" s="866"/>
      <c r="BR71" s="866"/>
      <c r="BS71" s="866"/>
      <c r="BT71" s="866"/>
      <c r="BU71" s="866"/>
      <c r="BV71" s="866"/>
      <c r="BW71" s="866"/>
      <c r="BX71" s="866"/>
      <c r="BY71" s="866"/>
      <c r="BZ71" s="866"/>
      <c r="CA71" s="866"/>
      <c r="CB71" s="866"/>
      <c r="CC71" s="866"/>
      <c r="CD71" s="866"/>
      <c r="CE71" s="866"/>
      <c r="CF71" s="866"/>
      <c r="CG71" s="866"/>
      <c r="CH71" s="866"/>
      <c r="CI71" s="866"/>
      <c r="CJ71" s="866"/>
      <c r="CK71" s="866"/>
      <c r="CL71" s="866"/>
      <c r="CM71" s="866"/>
      <c r="CN71" s="866"/>
      <c r="CO71" s="866"/>
      <c r="CP71" s="866"/>
      <c r="CQ71" s="866"/>
      <c r="CR71" s="866"/>
      <c r="CS71" s="866"/>
      <c r="CT71" s="866"/>
      <c r="CU71" s="866"/>
      <c r="CV71" s="866"/>
      <c r="CW71" s="866"/>
      <c r="CX71" s="866"/>
      <c r="CY71" s="866"/>
      <c r="CZ71" s="866"/>
      <c r="DA71" s="866"/>
      <c r="DB71" s="866"/>
      <c r="DC71" s="866"/>
      <c r="DD71" s="866"/>
      <c r="DE71" s="866"/>
      <c r="DF71" s="866"/>
      <c r="DG71" s="866"/>
      <c r="DH71" s="866"/>
      <c r="DI71" s="866"/>
      <c r="DJ71" s="866"/>
      <c r="DK71" s="866"/>
      <c r="DL71" s="866"/>
      <c r="DM71" s="866"/>
      <c r="DN71" s="866"/>
      <c r="DO71" s="866"/>
      <c r="DP71" s="866"/>
      <c r="DQ71" s="866"/>
      <c r="DR71" s="866"/>
      <c r="DS71" s="866"/>
      <c r="DT71" s="866"/>
      <c r="DU71" s="866"/>
      <c r="DV71" s="866"/>
      <c r="DW71" s="866"/>
      <c r="DX71" s="866"/>
      <c r="DY71" s="866"/>
      <c r="DZ71" s="866"/>
      <c r="EA71" s="866"/>
      <c r="EB71" s="866"/>
      <c r="EC71" s="866"/>
      <c r="ED71" s="866"/>
      <c r="EE71" s="866"/>
      <c r="EF71" s="866"/>
      <c r="EG71" s="866"/>
      <c r="EH71" s="866"/>
      <c r="EI71" s="866"/>
      <c r="EJ71" s="866"/>
      <c r="EK71" s="866"/>
      <c r="EL71" s="866"/>
      <c r="EM71" s="866"/>
      <c r="EN71" s="866"/>
      <c r="EO71" s="866"/>
      <c r="EP71" s="866"/>
      <c r="EQ71" s="866"/>
      <c r="ER71" s="866"/>
      <c r="ES71" s="866"/>
      <c r="ET71" s="866"/>
      <c r="EU71" s="866"/>
      <c r="EV71" s="866"/>
      <c r="EW71" s="866"/>
      <c r="EX71" s="866"/>
      <c r="EY71" s="866"/>
      <c r="EZ71" s="866"/>
      <c r="FA71" s="866"/>
      <c r="FB71" s="866"/>
      <c r="FC71" s="866"/>
      <c r="FD71" s="866"/>
      <c r="FE71" s="866"/>
      <c r="FF71" s="866"/>
      <c r="FG71" s="866"/>
      <c r="FH71" s="866"/>
      <c r="FI71" s="866"/>
      <c r="FJ71" s="866"/>
      <c r="FK71" s="866"/>
      <c r="FL71" s="866"/>
      <c r="FM71" s="866"/>
      <c r="FN71" s="866"/>
      <c r="FO71" s="866"/>
      <c r="FP71" s="866"/>
      <c r="FQ71" s="866"/>
      <c r="FR71" s="866"/>
      <c r="FS71" s="866"/>
      <c r="FT71" s="866"/>
      <c r="FU71" s="866"/>
      <c r="FV71" s="866"/>
      <c r="FW71" s="866"/>
      <c r="FX71" s="866"/>
      <c r="FY71" s="866"/>
      <c r="FZ71" s="866"/>
      <c r="GA71" s="866"/>
      <c r="GB71" s="866"/>
      <c r="GC71" s="866"/>
      <c r="GD71" s="866"/>
      <c r="GE71" s="866"/>
      <c r="GF71" s="866"/>
      <c r="GG71" s="866"/>
      <c r="GH71" s="866"/>
      <c r="GI71" s="866"/>
      <c r="GJ71" s="866"/>
      <c r="GK71" s="866"/>
      <c r="GL71" s="866"/>
      <c r="GM71" s="866"/>
      <c r="GN71" s="866"/>
      <c r="GO71" s="866"/>
      <c r="GP71" s="866"/>
      <c r="GQ71" s="866"/>
      <c r="GR71" s="866"/>
      <c r="GS71" s="866"/>
      <c r="GT71" s="866"/>
      <c r="GU71" s="866"/>
      <c r="GV71" s="866"/>
      <c r="GW71" s="866"/>
      <c r="GX71" s="866"/>
      <c r="GY71" s="866"/>
      <c r="GZ71" s="866"/>
      <c r="HA71" s="866"/>
      <c r="HB71" s="866"/>
      <c r="HC71" s="866"/>
      <c r="HD71" s="866"/>
      <c r="HE71" s="866"/>
      <c r="HF71" s="866"/>
      <c r="HG71" s="866"/>
      <c r="HH71" s="866"/>
      <c r="HI71" s="866"/>
      <c r="HJ71" s="866"/>
      <c r="HK71" s="866"/>
      <c r="HL71" s="866"/>
      <c r="HM71" s="866"/>
      <c r="HN71" s="866"/>
      <c r="HO71" s="866"/>
      <c r="HP71" s="866"/>
      <c r="HQ71" s="866"/>
      <c r="HR71" s="866"/>
      <c r="HS71" s="866"/>
      <c r="HT71" s="866"/>
      <c r="HU71" s="866"/>
      <c r="HV71" s="866"/>
      <c r="HW71" s="866"/>
      <c r="HX71" s="866"/>
      <c r="HY71" s="866"/>
      <c r="HZ71" s="866"/>
      <c r="IA71" s="866"/>
      <c r="IB71" s="866"/>
      <c r="IC71" s="866"/>
      <c r="ID71" s="866"/>
      <c r="IE71" s="866"/>
      <c r="IF71" s="866"/>
      <c r="IG71" s="866"/>
      <c r="IH71" s="866"/>
      <c r="II71" s="866"/>
      <c r="IJ71" s="866"/>
      <c r="IK71" s="866"/>
      <c r="IL71" s="866"/>
      <c r="IM71" s="866"/>
      <c r="IN71" s="866"/>
      <c r="IO71" s="866"/>
      <c r="IP71" s="866"/>
      <c r="IQ71" s="866"/>
      <c r="IR71" s="866"/>
      <c r="IS71" s="866"/>
      <c r="IT71" s="866"/>
      <c r="IU71" s="866"/>
      <c r="IV71" s="866"/>
    </row>
    <row r="72" spans="1:256" ht="18">
      <c r="A72" s="1357"/>
      <c r="B72" s="866"/>
      <c r="C72" s="866"/>
      <c r="D72" s="866"/>
      <c r="E72" s="866"/>
      <c r="F72" s="866"/>
      <c r="G72" s="866"/>
      <c r="H72" s="866"/>
      <c r="I72" s="866"/>
      <c r="J72" s="866"/>
      <c r="K72" s="866"/>
      <c r="L72" s="866"/>
      <c r="M72" s="866"/>
      <c r="N72" s="866"/>
      <c r="O72" s="866"/>
      <c r="P72" s="866"/>
      <c r="Q72" s="866"/>
      <c r="R72" s="866"/>
      <c r="S72" s="866"/>
      <c r="T72" s="866"/>
      <c r="U72" s="866"/>
      <c r="V72" s="866"/>
      <c r="W72" s="866"/>
      <c r="X72" s="866"/>
      <c r="Y72" s="866"/>
      <c r="Z72" s="866"/>
      <c r="AA72" s="866"/>
      <c r="AB72" s="866"/>
      <c r="AC72" s="866"/>
      <c r="AD72" s="866"/>
      <c r="AE72" s="866"/>
      <c r="AF72" s="866"/>
      <c r="AG72" s="866"/>
      <c r="AH72" s="866"/>
      <c r="AI72" s="866"/>
      <c r="AJ72" s="866"/>
      <c r="AK72" s="866"/>
      <c r="AL72" s="866"/>
      <c r="AM72" s="866"/>
      <c r="AN72" s="866"/>
      <c r="AO72" s="866"/>
      <c r="AP72" s="866"/>
      <c r="AQ72" s="866"/>
      <c r="AR72" s="866"/>
      <c r="AS72" s="866"/>
      <c r="AT72" s="866"/>
      <c r="AU72" s="866"/>
      <c r="AV72" s="866"/>
      <c r="AW72" s="866"/>
      <c r="AX72" s="866"/>
      <c r="AY72" s="866"/>
      <c r="AZ72" s="866"/>
      <c r="BA72" s="866"/>
      <c r="BB72" s="866"/>
      <c r="BC72" s="866"/>
      <c r="BD72" s="866"/>
      <c r="BE72" s="866"/>
      <c r="BF72" s="866"/>
      <c r="BG72" s="866"/>
      <c r="BH72" s="866"/>
      <c r="BI72" s="866"/>
      <c r="BJ72" s="866"/>
      <c r="BK72" s="866"/>
      <c r="BL72" s="866"/>
      <c r="BM72" s="866"/>
      <c r="BN72" s="866"/>
      <c r="BO72" s="866"/>
      <c r="BP72" s="866"/>
      <c r="BQ72" s="866"/>
      <c r="BR72" s="866"/>
      <c r="BS72" s="866"/>
      <c r="BT72" s="866"/>
      <c r="BU72" s="866"/>
      <c r="BV72" s="866"/>
      <c r="BW72" s="866"/>
      <c r="BX72" s="866"/>
      <c r="BY72" s="866"/>
      <c r="BZ72" s="866"/>
      <c r="CA72" s="866"/>
      <c r="CB72" s="866"/>
      <c r="CC72" s="866"/>
      <c r="CD72" s="866"/>
      <c r="CE72" s="866"/>
      <c r="CF72" s="866"/>
      <c r="CG72" s="866"/>
      <c r="CH72" s="866"/>
      <c r="CI72" s="866"/>
      <c r="CJ72" s="866"/>
      <c r="CK72" s="866"/>
      <c r="CL72" s="866"/>
      <c r="CM72" s="866"/>
      <c r="CN72" s="866"/>
      <c r="CO72" s="866"/>
      <c r="CP72" s="866"/>
      <c r="CQ72" s="866"/>
      <c r="CR72" s="866"/>
      <c r="CS72" s="866"/>
      <c r="CT72" s="866"/>
      <c r="CU72" s="866"/>
      <c r="CV72" s="866"/>
      <c r="CW72" s="866"/>
      <c r="CX72" s="866"/>
      <c r="CY72" s="866"/>
      <c r="CZ72" s="866"/>
      <c r="DA72" s="866"/>
      <c r="DB72" s="866"/>
      <c r="DC72" s="866"/>
      <c r="DD72" s="866"/>
      <c r="DE72" s="866"/>
      <c r="DF72" s="866"/>
      <c r="DG72" s="866"/>
      <c r="DH72" s="866"/>
      <c r="DI72" s="866"/>
      <c r="DJ72" s="866"/>
      <c r="DK72" s="866"/>
      <c r="DL72" s="866"/>
      <c r="DM72" s="866"/>
      <c r="DN72" s="866"/>
      <c r="DO72" s="866"/>
      <c r="DP72" s="866"/>
      <c r="DQ72" s="866"/>
      <c r="DR72" s="866"/>
      <c r="DS72" s="866"/>
      <c r="DT72" s="866"/>
      <c r="DU72" s="866"/>
      <c r="DV72" s="866"/>
      <c r="DW72" s="866"/>
      <c r="DX72" s="866"/>
      <c r="DY72" s="866"/>
      <c r="DZ72" s="866"/>
      <c r="EA72" s="866"/>
      <c r="EB72" s="866"/>
      <c r="EC72" s="866"/>
      <c r="ED72" s="866"/>
      <c r="EE72" s="866"/>
      <c r="EF72" s="866"/>
      <c r="EG72" s="866"/>
      <c r="EH72" s="866"/>
      <c r="EI72" s="866"/>
      <c r="EJ72" s="866"/>
      <c r="EK72" s="866"/>
      <c r="EL72" s="866"/>
      <c r="EM72" s="866"/>
      <c r="EN72" s="866"/>
      <c r="EO72" s="866"/>
      <c r="EP72" s="866"/>
      <c r="EQ72" s="866"/>
      <c r="ER72" s="866"/>
      <c r="ES72" s="866"/>
      <c r="ET72" s="866"/>
      <c r="EU72" s="866"/>
      <c r="EV72" s="866"/>
      <c r="EW72" s="866"/>
      <c r="EX72" s="866"/>
      <c r="EY72" s="866"/>
      <c r="EZ72" s="866"/>
      <c r="FA72" s="866"/>
      <c r="FB72" s="866"/>
      <c r="FC72" s="866"/>
      <c r="FD72" s="866"/>
      <c r="FE72" s="866"/>
      <c r="FF72" s="866"/>
      <c r="FG72" s="866"/>
      <c r="FH72" s="866"/>
      <c r="FI72" s="866"/>
      <c r="FJ72" s="866"/>
      <c r="FK72" s="866"/>
      <c r="FL72" s="866"/>
      <c r="FM72" s="866"/>
      <c r="FN72" s="866"/>
      <c r="FO72" s="866"/>
      <c r="FP72" s="866"/>
      <c r="FQ72" s="866"/>
      <c r="FR72" s="866"/>
      <c r="FS72" s="866"/>
      <c r="FT72" s="866"/>
      <c r="FU72" s="866"/>
      <c r="FV72" s="866"/>
      <c r="FW72" s="866"/>
      <c r="FX72" s="866"/>
      <c r="FY72" s="866"/>
      <c r="FZ72" s="866"/>
      <c r="GA72" s="866"/>
      <c r="GB72" s="866"/>
      <c r="GC72" s="866"/>
      <c r="GD72" s="866"/>
      <c r="GE72" s="866"/>
      <c r="GF72" s="866"/>
      <c r="GG72" s="866"/>
      <c r="GH72" s="866"/>
      <c r="GI72" s="866"/>
      <c r="GJ72" s="866"/>
      <c r="GK72" s="866"/>
      <c r="GL72" s="866"/>
      <c r="GM72" s="866"/>
      <c r="GN72" s="866"/>
      <c r="GO72" s="866"/>
      <c r="GP72" s="866"/>
      <c r="GQ72" s="866"/>
      <c r="GR72" s="866"/>
      <c r="GS72" s="866"/>
      <c r="GT72" s="866"/>
      <c r="GU72" s="866"/>
      <c r="GV72" s="866"/>
      <c r="GW72" s="866"/>
      <c r="GX72" s="866"/>
      <c r="GY72" s="866"/>
      <c r="GZ72" s="866"/>
      <c r="HA72" s="866"/>
      <c r="HB72" s="866"/>
      <c r="HC72" s="866"/>
      <c r="HD72" s="866"/>
      <c r="HE72" s="866"/>
      <c r="HF72" s="866"/>
      <c r="HG72" s="866"/>
      <c r="HH72" s="866"/>
      <c r="HI72" s="866"/>
      <c r="HJ72" s="866"/>
      <c r="HK72" s="866"/>
      <c r="HL72" s="866"/>
      <c r="HM72" s="866"/>
      <c r="HN72" s="866"/>
      <c r="HO72" s="866"/>
      <c r="HP72" s="866"/>
      <c r="HQ72" s="866"/>
      <c r="HR72" s="866"/>
      <c r="HS72" s="866"/>
      <c r="HT72" s="866"/>
      <c r="HU72" s="866"/>
      <c r="HV72" s="866"/>
      <c r="HW72" s="866"/>
      <c r="HX72" s="866"/>
      <c r="HY72" s="866"/>
      <c r="HZ72" s="866"/>
      <c r="IA72" s="866"/>
      <c r="IB72" s="866"/>
      <c r="IC72" s="866"/>
      <c r="ID72" s="866"/>
      <c r="IE72" s="866"/>
      <c r="IF72" s="866"/>
      <c r="IG72" s="866"/>
      <c r="IH72" s="866"/>
      <c r="II72" s="866"/>
      <c r="IJ72" s="866"/>
      <c r="IK72" s="866"/>
      <c r="IL72" s="866"/>
      <c r="IM72" s="866"/>
      <c r="IN72" s="866"/>
      <c r="IO72" s="866"/>
      <c r="IP72" s="866"/>
      <c r="IQ72" s="866"/>
      <c r="IR72" s="866"/>
      <c r="IS72" s="866"/>
      <c r="IT72" s="866"/>
      <c r="IU72" s="866"/>
      <c r="IV72" s="866"/>
    </row>
    <row r="73" spans="1:256" ht="18">
      <c r="A73" s="891"/>
      <c r="B73" s="866"/>
      <c r="C73" s="866"/>
      <c r="D73" s="866"/>
      <c r="E73" s="866"/>
      <c r="F73" s="866"/>
      <c r="G73" s="866"/>
      <c r="H73" s="866"/>
      <c r="I73" s="866"/>
      <c r="J73" s="866"/>
      <c r="K73" s="866"/>
      <c r="L73" s="866"/>
      <c r="M73" s="866"/>
      <c r="N73" s="866"/>
      <c r="O73" s="866"/>
      <c r="P73" s="866"/>
      <c r="Q73" s="866"/>
      <c r="R73" s="866"/>
      <c r="S73" s="866"/>
      <c r="T73" s="866"/>
      <c r="U73" s="866"/>
      <c r="V73" s="866"/>
      <c r="W73" s="866"/>
      <c r="X73" s="866"/>
      <c r="Y73" s="866"/>
      <c r="Z73" s="866"/>
      <c r="AA73" s="866"/>
      <c r="AB73" s="866"/>
      <c r="AC73" s="866"/>
      <c r="AD73" s="866"/>
      <c r="AE73" s="866"/>
      <c r="AF73" s="866"/>
      <c r="AG73" s="866"/>
      <c r="AH73" s="866"/>
      <c r="AI73" s="866"/>
      <c r="AJ73" s="866"/>
      <c r="AK73" s="866"/>
      <c r="AL73" s="866"/>
      <c r="AM73" s="866"/>
      <c r="AN73" s="866"/>
      <c r="AO73" s="866"/>
      <c r="AP73" s="866"/>
      <c r="AQ73" s="866"/>
      <c r="AR73" s="866"/>
      <c r="AS73" s="866"/>
      <c r="AT73" s="866"/>
      <c r="AU73" s="866"/>
      <c r="AV73" s="866"/>
      <c r="AW73" s="866"/>
      <c r="AX73" s="866"/>
      <c r="AY73" s="866"/>
      <c r="AZ73" s="866"/>
      <c r="BA73" s="866"/>
      <c r="BB73" s="866"/>
      <c r="BC73" s="866"/>
      <c r="BD73" s="866"/>
      <c r="BE73" s="866"/>
      <c r="BF73" s="866"/>
      <c r="BG73" s="866"/>
      <c r="BH73" s="866"/>
      <c r="BI73" s="866"/>
      <c r="BJ73" s="866"/>
      <c r="BK73" s="866"/>
      <c r="BL73" s="866"/>
      <c r="BM73" s="866"/>
      <c r="BN73" s="866"/>
      <c r="BO73" s="866"/>
      <c r="BP73" s="866"/>
      <c r="BQ73" s="866"/>
      <c r="BR73" s="866"/>
      <c r="BS73" s="866"/>
      <c r="BT73" s="866"/>
      <c r="BU73" s="866"/>
      <c r="BV73" s="866"/>
      <c r="BW73" s="866"/>
      <c r="BX73" s="866"/>
      <c r="BY73" s="866"/>
      <c r="BZ73" s="866"/>
      <c r="CA73" s="866"/>
      <c r="CB73" s="866"/>
      <c r="CC73" s="866"/>
      <c r="CD73" s="866"/>
      <c r="CE73" s="866"/>
      <c r="CF73" s="866"/>
      <c r="CG73" s="866"/>
      <c r="CH73" s="866"/>
      <c r="CI73" s="866"/>
      <c r="CJ73" s="866"/>
      <c r="CK73" s="866"/>
      <c r="CL73" s="866"/>
      <c r="CM73" s="866"/>
      <c r="CN73" s="866"/>
      <c r="CO73" s="866"/>
      <c r="CP73" s="866"/>
      <c r="CQ73" s="866"/>
      <c r="CR73" s="866"/>
      <c r="CS73" s="866"/>
      <c r="CT73" s="866"/>
      <c r="CU73" s="866"/>
      <c r="CV73" s="866"/>
      <c r="CW73" s="866"/>
      <c r="CX73" s="866"/>
      <c r="CY73" s="866"/>
      <c r="CZ73" s="866"/>
      <c r="DA73" s="866"/>
      <c r="DB73" s="866"/>
      <c r="DC73" s="866"/>
      <c r="DD73" s="866"/>
      <c r="DE73" s="866"/>
      <c r="DF73" s="866"/>
      <c r="DG73" s="866"/>
      <c r="DH73" s="866"/>
      <c r="DI73" s="866"/>
      <c r="DJ73" s="866"/>
      <c r="DK73" s="866"/>
      <c r="DL73" s="866"/>
      <c r="DM73" s="866"/>
      <c r="DN73" s="866"/>
      <c r="DO73" s="866"/>
      <c r="DP73" s="866"/>
      <c r="DQ73" s="866"/>
      <c r="DR73" s="866"/>
      <c r="DS73" s="866"/>
      <c r="DT73" s="866"/>
      <c r="DU73" s="866"/>
      <c r="DV73" s="866"/>
      <c r="DW73" s="866"/>
      <c r="DX73" s="866"/>
      <c r="DY73" s="866"/>
      <c r="DZ73" s="866"/>
      <c r="EA73" s="866"/>
      <c r="EB73" s="866"/>
      <c r="EC73" s="866"/>
      <c r="ED73" s="866"/>
      <c r="EE73" s="866"/>
      <c r="EF73" s="866"/>
      <c r="EG73" s="866"/>
      <c r="EH73" s="866"/>
      <c r="EI73" s="866"/>
      <c r="EJ73" s="866"/>
      <c r="EK73" s="866"/>
      <c r="EL73" s="866"/>
      <c r="EM73" s="866"/>
      <c r="EN73" s="866"/>
      <c r="EO73" s="866"/>
      <c r="EP73" s="866"/>
      <c r="EQ73" s="866"/>
      <c r="ER73" s="866"/>
      <c r="ES73" s="866"/>
      <c r="ET73" s="866"/>
      <c r="EU73" s="866"/>
      <c r="EV73" s="866"/>
      <c r="EW73" s="866"/>
      <c r="EX73" s="866"/>
      <c r="EY73" s="866"/>
      <c r="EZ73" s="866"/>
      <c r="FA73" s="866"/>
      <c r="FB73" s="866"/>
      <c r="FC73" s="866"/>
      <c r="FD73" s="866"/>
      <c r="FE73" s="866"/>
      <c r="FF73" s="866"/>
      <c r="FG73" s="866"/>
      <c r="FH73" s="866"/>
      <c r="FI73" s="866"/>
      <c r="FJ73" s="866"/>
      <c r="FK73" s="866"/>
      <c r="FL73" s="866"/>
      <c r="FM73" s="866"/>
      <c r="FN73" s="866"/>
      <c r="FO73" s="866"/>
      <c r="FP73" s="866"/>
      <c r="FQ73" s="866"/>
      <c r="FR73" s="866"/>
      <c r="FS73" s="866"/>
      <c r="FT73" s="866"/>
      <c r="FU73" s="866"/>
      <c r="FV73" s="866"/>
      <c r="FW73" s="866"/>
      <c r="FX73" s="866"/>
      <c r="FY73" s="866"/>
      <c r="FZ73" s="866"/>
      <c r="GA73" s="866"/>
      <c r="GB73" s="866"/>
      <c r="GC73" s="866"/>
      <c r="GD73" s="866"/>
      <c r="GE73" s="866"/>
      <c r="GF73" s="866"/>
      <c r="GG73" s="866"/>
      <c r="GH73" s="866"/>
      <c r="GI73" s="866"/>
      <c r="GJ73" s="866"/>
      <c r="GK73" s="866"/>
      <c r="GL73" s="866"/>
      <c r="GM73" s="866"/>
      <c r="GN73" s="866"/>
      <c r="GO73" s="866"/>
      <c r="GP73" s="866"/>
      <c r="GQ73" s="866"/>
      <c r="GR73" s="866"/>
      <c r="GS73" s="866"/>
      <c r="GT73" s="866"/>
      <c r="GU73" s="866"/>
      <c r="GV73" s="866"/>
      <c r="GW73" s="866"/>
      <c r="GX73" s="866"/>
      <c r="GY73" s="866"/>
      <c r="GZ73" s="866"/>
      <c r="HA73" s="866"/>
      <c r="HB73" s="866"/>
      <c r="HC73" s="866"/>
      <c r="HD73" s="866"/>
      <c r="HE73" s="866"/>
      <c r="HF73" s="866"/>
      <c r="HG73" s="866"/>
      <c r="HH73" s="866"/>
      <c r="HI73" s="866"/>
      <c r="HJ73" s="866"/>
      <c r="HK73" s="866"/>
      <c r="HL73" s="866"/>
      <c r="HM73" s="866"/>
      <c r="HN73" s="866"/>
      <c r="HO73" s="866"/>
      <c r="HP73" s="866"/>
      <c r="HQ73" s="866"/>
      <c r="HR73" s="866"/>
      <c r="HS73" s="866"/>
      <c r="HT73" s="866"/>
      <c r="HU73" s="866"/>
      <c r="HV73" s="866"/>
      <c r="HW73" s="866"/>
      <c r="HX73" s="866"/>
      <c r="HY73" s="866"/>
      <c r="HZ73" s="866"/>
      <c r="IA73" s="866"/>
      <c r="IB73" s="866"/>
      <c r="IC73" s="866"/>
      <c r="ID73" s="866"/>
      <c r="IE73" s="866"/>
      <c r="IF73" s="866"/>
      <c r="IG73" s="866"/>
      <c r="IH73" s="866"/>
      <c r="II73" s="866"/>
      <c r="IJ73" s="866"/>
      <c r="IK73" s="866"/>
      <c r="IL73" s="866"/>
      <c r="IM73" s="866"/>
      <c r="IN73" s="866"/>
      <c r="IO73" s="866"/>
      <c r="IP73" s="866"/>
      <c r="IQ73" s="866"/>
      <c r="IR73" s="866"/>
      <c r="IS73" s="866"/>
      <c r="IT73" s="866"/>
      <c r="IU73" s="866"/>
      <c r="IV73" s="866"/>
    </row>
    <row r="74" spans="1:256" ht="18">
      <c r="A74" s="866"/>
      <c r="B74" s="866"/>
      <c r="C74" s="866"/>
      <c r="D74" s="866"/>
      <c r="E74" s="866"/>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6"/>
      <c r="AK74" s="866"/>
      <c r="AL74" s="866"/>
      <c r="AM74" s="866"/>
      <c r="AN74" s="866"/>
      <c r="AO74" s="866"/>
      <c r="AP74" s="866"/>
      <c r="AQ74" s="866"/>
      <c r="AR74" s="866"/>
      <c r="AS74" s="866"/>
      <c r="AT74" s="866"/>
      <c r="AU74" s="866"/>
      <c r="AV74" s="866"/>
      <c r="AW74" s="866"/>
      <c r="AX74" s="866"/>
      <c r="AY74" s="866"/>
      <c r="AZ74" s="866"/>
      <c r="BA74" s="866"/>
      <c r="BB74" s="866"/>
      <c r="BC74" s="866"/>
      <c r="BD74" s="866"/>
      <c r="BE74" s="866"/>
      <c r="BF74" s="866"/>
      <c r="BG74" s="866"/>
      <c r="BH74" s="866"/>
      <c r="BI74" s="866"/>
      <c r="BJ74" s="866"/>
      <c r="BK74" s="866"/>
      <c r="BL74" s="866"/>
      <c r="BM74" s="866"/>
      <c r="BN74" s="866"/>
      <c r="BO74" s="866"/>
      <c r="BP74" s="866"/>
      <c r="BQ74" s="866"/>
      <c r="BR74" s="866"/>
      <c r="BS74" s="866"/>
      <c r="BT74" s="866"/>
      <c r="BU74" s="866"/>
      <c r="BV74" s="866"/>
      <c r="BW74" s="866"/>
      <c r="BX74" s="866"/>
      <c r="BY74" s="866"/>
      <c r="BZ74" s="866"/>
      <c r="CA74" s="866"/>
      <c r="CB74" s="866"/>
      <c r="CC74" s="866"/>
      <c r="CD74" s="866"/>
      <c r="CE74" s="866"/>
      <c r="CF74" s="866"/>
      <c r="CG74" s="866"/>
      <c r="CH74" s="866"/>
      <c r="CI74" s="866"/>
      <c r="CJ74" s="866"/>
      <c r="CK74" s="866"/>
      <c r="CL74" s="866"/>
      <c r="CM74" s="866"/>
      <c r="CN74" s="866"/>
      <c r="CO74" s="866"/>
      <c r="CP74" s="866"/>
      <c r="CQ74" s="866"/>
      <c r="CR74" s="866"/>
      <c r="CS74" s="866"/>
      <c r="CT74" s="866"/>
      <c r="CU74" s="866"/>
      <c r="CV74" s="866"/>
      <c r="CW74" s="866"/>
      <c r="CX74" s="866"/>
      <c r="CY74" s="866"/>
      <c r="CZ74" s="866"/>
      <c r="DA74" s="866"/>
      <c r="DB74" s="866"/>
      <c r="DC74" s="866"/>
      <c r="DD74" s="866"/>
      <c r="DE74" s="866"/>
      <c r="DF74" s="866"/>
      <c r="DG74" s="866"/>
      <c r="DH74" s="866"/>
      <c r="DI74" s="866"/>
      <c r="DJ74" s="866"/>
      <c r="DK74" s="866"/>
      <c r="DL74" s="866"/>
      <c r="DM74" s="866"/>
      <c r="DN74" s="866"/>
      <c r="DO74" s="866"/>
      <c r="DP74" s="866"/>
      <c r="DQ74" s="866"/>
      <c r="DR74" s="866"/>
      <c r="DS74" s="866"/>
      <c r="DT74" s="866"/>
      <c r="DU74" s="866"/>
      <c r="DV74" s="866"/>
      <c r="DW74" s="866"/>
      <c r="DX74" s="866"/>
      <c r="DY74" s="866"/>
      <c r="DZ74" s="866"/>
      <c r="EA74" s="866"/>
      <c r="EB74" s="866"/>
      <c r="EC74" s="866"/>
      <c r="ED74" s="866"/>
      <c r="EE74" s="866"/>
      <c r="EF74" s="866"/>
      <c r="EG74" s="866"/>
      <c r="EH74" s="866"/>
      <c r="EI74" s="866"/>
      <c r="EJ74" s="866"/>
      <c r="EK74" s="866"/>
      <c r="EL74" s="866"/>
      <c r="EM74" s="866"/>
      <c r="EN74" s="866"/>
      <c r="EO74" s="866"/>
      <c r="EP74" s="866"/>
      <c r="EQ74" s="866"/>
      <c r="ER74" s="866"/>
      <c r="ES74" s="866"/>
      <c r="ET74" s="866"/>
      <c r="EU74" s="866"/>
      <c r="EV74" s="866"/>
      <c r="EW74" s="866"/>
      <c r="EX74" s="866"/>
      <c r="EY74" s="866"/>
      <c r="EZ74" s="866"/>
      <c r="FA74" s="866"/>
      <c r="FB74" s="866"/>
      <c r="FC74" s="866"/>
      <c r="FD74" s="866"/>
      <c r="FE74" s="866"/>
      <c r="FF74" s="866"/>
      <c r="FG74" s="866"/>
      <c r="FH74" s="866"/>
      <c r="FI74" s="866"/>
      <c r="FJ74" s="866"/>
      <c r="FK74" s="866"/>
      <c r="FL74" s="866"/>
      <c r="FM74" s="866"/>
      <c r="FN74" s="866"/>
      <c r="FO74" s="866"/>
      <c r="FP74" s="866"/>
      <c r="FQ74" s="866"/>
      <c r="FR74" s="866"/>
      <c r="FS74" s="866"/>
      <c r="FT74" s="866"/>
      <c r="FU74" s="866"/>
      <c r="FV74" s="866"/>
      <c r="FW74" s="866"/>
      <c r="FX74" s="866"/>
      <c r="FY74" s="866"/>
      <c r="FZ74" s="866"/>
      <c r="GA74" s="866"/>
      <c r="GB74" s="866"/>
      <c r="GC74" s="866"/>
      <c r="GD74" s="866"/>
      <c r="GE74" s="866"/>
      <c r="GF74" s="866"/>
      <c r="GG74" s="866"/>
      <c r="GH74" s="866"/>
      <c r="GI74" s="866"/>
      <c r="GJ74" s="866"/>
      <c r="GK74" s="866"/>
      <c r="GL74" s="866"/>
      <c r="GM74" s="866"/>
      <c r="GN74" s="866"/>
      <c r="GO74" s="866"/>
      <c r="GP74" s="866"/>
      <c r="GQ74" s="866"/>
      <c r="GR74" s="866"/>
      <c r="GS74" s="866"/>
      <c r="GT74" s="866"/>
      <c r="GU74" s="866"/>
      <c r="GV74" s="866"/>
      <c r="GW74" s="866"/>
      <c r="GX74" s="866"/>
      <c r="GY74" s="866"/>
      <c r="GZ74" s="866"/>
      <c r="HA74" s="866"/>
      <c r="HB74" s="866"/>
      <c r="HC74" s="866"/>
      <c r="HD74" s="866"/>
      <c r="HE74" s="866"/>
      <c r="HF74" s="866"/>
      <c r="HG74" s="866"/>
      <c r="HH74" s="866"/>
      <c r="HI74" s="866"/>
      <c r="HJ74" s="866"/>
      <c r="HK74" s="866"/>
      <c r="HL74" s="866"/>
      <c r="HM74" s="866"/>
      <c r="HN74" s="866"/>
      <c r="HO74" s="866"/>
      <c r="HP74" s="866"/>
      <c r="HQ74" s="866"/>
      <c r="HR74" s="866"/>
      <c r="HS74" s="866"/>
      <c r="HT74" s="866"/>
      <c r="HU74" s="866"/>
      <c r="HV74" s="866"/>
      <c r="HW74" s="866"/>
      <c r="HX74" s="866"/>
      <c r="HY74" s="866"/>
      <c r="HZ74" s="866"/>
      <c r="IA74" s="866"/>
      <c r="IB74" s="866"/>
      <c r="IC74" s="866"/>
      <c r="ID74" s="866"/>
      <c r="IE74" s="866"/>
      <c r="IF74" s="866"/>
      <c r="IG74" s="866"/>
      <c r="IH74" s="866"/>
      <c r="II74" s="866"/>
      <c r="IJ74" s="866"/>
      <c r="IK74" s="866"/>
      <c r="IL74" s="866"/>
      <c r="IM74" s="866"/>
      <c r="IN74" s="866"/>
      <c r="IO74" s="866"/>
      <c r="IP74" s="866"/>
      <c r="IQ74" s="866"/>
      <c r="IR74" s="866"/>
      <c r="IS74" s="866"/>
      <c r="IT74" s="866"/>
      <c r="IU74" s="866"/>
      <c r="IV74" s="866"/>
    </row>
    <row r="75" spans="1:256" ht="18">
      <c r="A75" s="866"/>
      <c r="B75" s="866"/>
      <c r="C75" s="866"/>
      <c r="D75" s="866"/>
      <c r="E75" s="866"/>
      <c r="F75" s="866"/>
      <c r="G75" s="866"/>
      <c r="H75" s="866"/>
      <c r="I75" s="866"/>
      <c r="J75" s="866"/>
      <c r="K75" s="866"/>
      <c r="L75" s="866"/>
      <c r="M75" s="866"/>
      <c r="N75" s="866"/>
      <c r="O75" s="866"/>
      <c r="P75" s="866"/>
      <c r="Q75" s="866"/>
      <c r="R75" s="866"/>
      <c r="S75" s="866"/>
      <c r="T75" s="866"/>
      <c r="U75" s="866"/>
      <c r="V75" s="866"/>
      <c r="W75" s="866"/>
      <c r="X75" s="866"/>
      <c r="Y75" s="866"/>
      <c r="Z75" s="866"/>
      <c r="AA75" s="866"/>
      <c r="AB75" s="866"/>
      <c r="AC75" s="866"/>
      <c r="AD75" s="866"/>
      <c r="AE75" s="866"/>
      <c r="AF75" s="866"/>
      <c r="AG75" s="866"/>
      <c r="AH75" s="866"/>
      <c r="AI75" s="866"/>
      <c r="AJ75" s="866"/>
      <c r="AK75" s="866"/>
      <c r="AL75" s="866"/>
      <c r="AM75" s="866"/>
      <c r="AN75" s="866"/>
      <c r="AO75" s="866"/>
      <c r="AP75" s="866"/>
      <c r="AQ75" s="866"/>
      <c r="AR75" s="866"/>
      <c r="AS75" s="866"/>
      <c r="AT75" s="866"/>
      <c r="AU75" s="866"/>
      <c r="AV75" s="866"/>
      <c r="AW75" s="866"/>
      <c r="AX75" s="866"/>
      <c r="AY75" s="866"/>
      <c r="AZ75" s="866"/>
      <c r="BA75" s="866"/>
      <c r="BB75" s="866"/>
      <c r="BC75" s="866"/>
      <c r="BD75" s="866"/>
      <c r="BE75" s="866"/>
      <c r="BF75" s="866"/>
      <c r="BG75" s="866"/>
      <c r="BH75" s="866"/>
      <c r="BI75" s="866"/>
      <c r="BJ75" s="866"/>
      <c r="BK75" s="866"/>
      <c r="BL75" s="866"/>
      <c r="BM75" s="866"/>
      <c r="BN75" s="866"/>
      <c r="BO75" s="866"/>
      <c r="BP75" s="866"/>
      <c r="BQ75" s="866"/>
      <c r="BR75" s="866"/>
      <c r="BS75" s="866"/>
      <c r="BT75" s="866"/>
      <c r="BU75" s="866"/>
      <c r="BV75" s="866"/>
      <c r="BW75" s="866"/>
      <c r="BX75" s="866"/>
      <c r="BY75" s="866"/>
      <c r="BZ75" s="866"/>
      <c r="CA75" s="866"/>
      <c r="CB75" s="866"/>
      <c r="CC75" s="866"/>
      <c r="CD75" s="866"/>
      <c r="CE75" s="866"/>
      <c r="CF75" s="866"/>
      <c r="CG75" s="866"/>
      <c r="CH75" s="866"/>
      <c r="CI75" s="866"/>
      <c r="CJ75" s="866"/>
      <c r="CK75" s="866"/>
      <c r="CL75" s="866"/>
      <c r="CM75" s="866"/>
      <c r="CN75" s="866"/>
      <c r="CO75" s="866"/>
      <c r="CP75" s="866"/>
      <c r="CQ75" s="866"/>
      <c r="CR75" s="866"/>
      <c r="CS75" s="866"/>
      <c r="CT75" s="866"/>
      <c r="CU75" s="866"/>
      <c r="CV75" s="866"/>
      <c r="CW75" s="866"/>
      <c r="CX75" s="866"/>
      <c r="CY75" s="866"/>
      <c r="CZ75" s="866"/>
      <c r="DA75" s="866"/>
      <c r="DB75" s="866"/>
      <c r="DC75" s="866"/>
      <c r="DD75" s="866"/>
      <c r="DE75" s="866"/>
      <c r="DF75" s="866"/>
      <c r="DG75" s="866"/>
      <c r="DH75" s="866"/>
      <c r="DI75" s="866"/>
      <c r="DJ75" s="866"/>
      <c r="DK75" s="866"/>
      <c r="DL75" s="866"/>
      <c r="DM75" s="866"/>
      <c r="DN75" s="866"/>
      <c r="DO75" s="866"/>
      <c r="DP75" s="866"/>
      <c r="DQ75" s="866"/>
      <c r="DR75" s="866"/>
      <c r="DS75" s="866"/>
      <c r="DT75" s="866"/>
      <c r="DU75" s="866"/>
      <c r="DV75" s="866"/>
      <c r="DW75" s="866"/>
      <c r="DX75" s="866"/>
      <c r="DY75" s="866"/>
      <c r="DZ75" s="866"/>
      <c r="EA75" s="866"/>
      <c r="EB75" s="866"/>
      <c r="EC75" s="866"/>
      <c r="ED75" s="866"/>
      <c r="EE75" s="866"/>
      <c r="EF75" s="866"/>
      <c r="EG75" s="866"/>
      <c r="EH75" s="866"/>
      <c r="EI75" s="866"/>
      <c r="EJ75" s="866"/>
      <c r="EK75" s="866"/>
      <c r="EL75" s="866"/>
      <c r="EM75" s="866"/>
      <c r="EN75" s="866"/>
      <c r="EO75" s="866"/>
      <c r="EP75" s="866"/>
      <c r="EQ75" s="866"/>
      <c r="ER75" s="866"/>
      <c r="ES75" s="866"/>
      <c r="ET75" s="866"/>
      <c r="EU75" s="866"/>
      <c r="EV75" s="866"/>
      <c r="EW75" s="866"/>
      <c r="EX75" s="866"/>
      <c r="EY75" s="866"/>
      <c r="EZ75" s="866"/>
      <c r="FA75" s="866"/>
      <c r="FB75" s="866"/>
      <c r="FC75" s="866"/>
      <c r="FD75" s="866"/>
      <c r="FE75" s="866"/>
      <c r="FF75" s="866"/>
      <c r="FG75" s="866"/>
      <c r="FH75" s="866"/>
      <c r="FI75" s="866"/>
      <c r="FJ75" s="866"/>
      <c r="FK75" s="866"/>
      <c r="FL75" s="866"/>
      <c r="FM75" s="866"/>
      <c r="FN75" s="866"/>
      <c r="FO75" s="866"/>
      <c r="FP75" s="866"/>
      <c r="FQ75" s="866"/>
      <c r="FR75" s="866"/>
      <c r="FS75" s="866"/>
      <c r="FT75" s="866"/>
      <c r="FU75" s="866"/>
      <c r="FV75" s="866"/>
      <c r="FW75" s="866"/>
      <c r="FX75" s="866"/>
      <c r="FY75" s="866"/>
      <c r="FZ75" s="866"/>
      <c r="GA75" s="866"/>
      <c r="GB75" s="866"/>
      <c r="GC75" s="866"/>
      <c r="GD75" s="866"/>
      <c r="GE75" s="866"/>
      <c r="GF75" s="866"/>
      <c r="GG75" s="866"/>
      <c r="GH75" s="866"/>
      <c r="GI75" s="866"/>
      <c r="GJ75" s="866"/>
      <c r="GK75" s="866"/>
      <c r="GL75" s="866"/>
      <c r="GM75" s="866"/>
      <c r="GN75" s="866"/>
      <c r="GO75" s="866"/>
      <c r="GP75" s="866"/>
      <c r="GQ75" s="866"/>
      <c r="GR75" s="866"/>
      <c r="GS75" s="866"/>
      <c r="GT75" s="866"/>
      <c r="GU75" s="866"/>
      <c r="GV75" s="866"/>
      <c r="GW75" s="866"/>
      <c r="GX75" s="866"/>
      <c r="GY75" s="866"/>
      <c r="GZ75" s="866"/>
      <c r="HA75" s="866"/>
      <c r="HB75" s="866"/>
      <c r="HC75" s="866"/>
      <c r="HD75" s="866"/>
      <c r="HE75" s="866"/>
      <c r="HF75" s="866"/>
      <c r="HG75" s="866"/>
      <c r="HH75" s="866"/>
      <c r="HI75" s="866"/>
      <c r="HJ75" s="866"/>
      <c r="HK75" s="866"/>
      <c r="HL75" s="866"/>
      <c r="HM75" s="866"/>
      <c r="HN75" s="866"/>
      <c r="HO75" s="866"/>
      <c r="HP75" s="866"/>
      <c r="HQ75" s="866"/>
      <c r="HR75" s="866"/>
      <c r="HS75" s="866"/>
      <c r="HT75" s="866"/>
      <c r="HU75" s="866"/>
      <c r="HV75" s="866"/>
      <c r="HW75" s="866"/>
      <c r="HX75" s="866"/>
      <c r="HY75" s="866"/>
      <c r="HZ75" s="866"/>
      <c r="IA75" s="866"/>
      <c r="IB75" s="866"/>
      <c r="IC75" s="866"/>
      <c r="ID75" s="866"/>
      <c r="IE75" s="866"/>
      <c r="IF75" s="866"/>
      <c r="IG75" s="866"/>
      <c r="IH75" s="866"/>
      <c r="II75" s="866"/>
      <c r="IJ75" s="866"/>
      <c r="IK75" s="866"/>
      <c r="IL75" s="866"/>
      <c r="IM75" s="866"/>
      <c r="IN75" s="866"/>
      <c r="IO75" s="866"/>
      <c r="IP75" s="866"/>
      <c r="IQ75" s="866"/>
      <c r="IR75" s="866"/>
      <c r="IS75" s="866"/>
      <c r="IT75" s="866"/>
      <c r="IU75" s="866"/>
      <c r="IV75" s="866"/>
    </row>
    <row r="76" spans="1:256" ht="18">
      <c r="A76" s="866"/>
      <c r="B76" s="866"/>
      <c r="C76" s="866"/>
      <c r="D76" s="866"/>
      <c r="E76" s="866"/>
      <c r="F76" s="866"/>
      <c r="G76" s="866"/>
      <c r="H76" s="866"/>
      <c r="I76" s="866"/>
      <c r="J76" s="866"/>
      <c r="K76" s="866"/>
      <c r="L76" s="866"/>
      <c r="M76" s="866"/>
      <c r="N76" s="866"/>
      <c r="O76" s="866"/>
      <c r="P76" s="866"/>
      <c r="Q76" s="866"/>
      <c r="R76" s="866"/>
      <c r="S76" s="866"/>
      <c r="T76" s="866"/>
      <c r="U76" s="866"/>
      <c r="V76" s="866"/>
      <c r="W76" s="866"/>
      <c r="X76" s="866"/>
      <c r="Y76" s="866"/>
      <c r="Z76" s="866"/>
      <c r="AA76" s="866"/>
      <c r="AB76" s="866"/>
      <c r="AC76" s="866"/>
      <c r="AD76" s="866"/>
      <c r="AE76" s="866"/>
      <c r="AF76" s="866"/>
      <c r="AG76" s="866"/>
      <c r="AH76" s="866"/>
      <c r="AI76" s="866"/>
      <c r="AJ76" s="866"/>
      <c r="AK76" s="866"/>
      <c r="AL76" s="866"/>
      <c r="AM76" s="866"/>
      <c r="AN76" s="866"/>
      <c r="AO76" s="866"/>
      <c r="AP76" s="866"/>
      <c r="AQ76" s="866"/>
      <c r="AR76" s="866"/>
      <c r="AS76" s="866"/>
      <c r="AT76" s="866"/>
      <c r="AU76" s="866"/>
      <c r="AV76" s="866"/>
      <c r="AW76" s="866"/>
      <c r="AX76" s="866"/>
      <c r="AY76" s="866"/>
      <c r="AZ76" s="866"/>
      <c r="BA76" s="866"/>
      <c r="BB76" s="866"/>
      <c r="BC76" s="866"/>
      <c r="BD76" s="866"/>
      <c r="BE76" s="866"/>
      <c r="BF76" s="866"/>
      <c r="BG76" s="866"/>
      <c r="BH76" s="866"/>
      <c r="BI76" s="866"/>
      <c r="BJ76" s="866"/>
      <c r="BK76" s="866"/>
      <c r="BL76" s="866"/>
      <c r="BM76" s="866"/>
      <c r="BN76" s="866"/>
      <c r="BO76" s="866"/>
      <c r="BP76" s="866"/>
      <c r="BQ76" s="866"/>
      <c r="BR76" s="866"/>
      <c r="BS76" s="866"/>
      <c r="BT76" s="866"/>
      <c r="BU76" s="866"/>
      <c r="BV76" s="866"/>
      <c r="BW76" s="866"/>
      <c r="BX76" s="866"/>
      <c r="BY76" s="866"/>
      <c r="BZ76" s="866"/>
      <c r="CA76" s="866"/>
      <c r="CB76" s="866"/>
      <c r="CC76" s="866"/>
      <c r="CD76" s="866"/>
      <c r="CE76" s="866"/>
      <c r="CF76" s="866"/>
      <c r="CG76" s="866"/>
      <c r="CH76" s="866"/>
      <c r="CI76" s="866"/>
      <c r="CJ76" s="866"/>
      <c r="CK76" s="866"/>
      <c r="CL76" s="866"/>
      <c r="CM76" s="866"/>
      <c r="CN76" s="866"/>
      <c r="CO76" s="866"/>
      <c r="CP76" s="866"/>
      <c r="CQ76" s="866"/>
      <c r="CR76" s="866"/>
      <c r="CS76" s="866"/>
      <c r="CT76" s="866"/>
      <c r="CU76" s="866"/>
      <c r="CV76" s="866"/>
      <c r="CW76" s="866"/>
      <c r="CX76" s="866"/>
      <c r="CY76" s="866"/>
      <c r="CZ76" s="866"/>
      <c r="DA76" s="866"/>
      <c r="DB76" s="866"/>
      <c r="DC76" s="866"/>
      <c r="DD76" s="866"/>
      <c r="DE76" s="866"/>
      <c r="DF76" s="866"/>
      <c r="DG76" s="866"/>
      <c r="DH76" s="866"/>
      <c r="DI76" s="866"/>
      <c r="DJ76" s="866"/>
      <c r="DK76" s="866"/>
      <c r="DL76" s="866"/>
      <c r="DM76" s="866"/>
      <c r="DN76" s="866"/>
      <c r="DO76" s="866"/>
      <c r="DP76" s="866"/>
      <c r="DQ76" s="866"/>
      <c r="DR76" s="866"/>
      <c r="DS76" s="866"/>
      <c r="DT76" s="866"/>
      <c r="DU76" s="866"/>
      <c r="DV76" s="866"/>
      <c r="DW76" s="866"/>
      <c r="DX76" s="866"/>
      <c r="DY76" s="866"/>
      <c r="DZ76" s="866"/>
      <c r="EA76" s="866"/>
      <c r="EB76" s="866"/>
      <c r="EC76" s="866"/>
      <c r="ED76" s="866"/>
      <c r="EE76" s="866"/>
      <c r="EF76" s="866"/>
      <c r="EG76" s="866"/>
      <c r="EH76" s="866"/>
      <c r="EI76" s="866"/>
      <c r="EJ76" s="866"/>
      <c r="EK76" s="866"/>
      <c r="EL76" s="866"/>
      <c r="EM76" s="866"/>
      <c r="EN76" s="866"/>
      <c r="EO76" s="866"/>
      <c r="EP76" s="866"/>
      <c r="EQ76" s="866"/>
      <c r="ER76" s="866"/>
      <c r="ES76" s="866"/>
      <c r="ET76" s="866"/>
      <c r="EU76" s="866"/>
      <c r="EV76" s="866"/>
      <c r="EW76" s="866"/>
      <c r="EX76" s="866"/>
      <c r="EY76" s="866"/>
      <c r="EZ76" s="866"/>
      <c r="FA76" s="866"/>
      <c r="FB76" s="866"/>
      <c r="FC76" s="866"/>
      <c r="FD76" s="866"/>
      <c r="FE76" s="866"/>
      <c r="FF76" s="866"/>
      <c r="FG76" s="866"/>
      <c r="FH76" s="866"/>
      <c r="FI76" s="866"/>
      <c r="FJ76" s="866"/>
      <c r="FK76" s="866"/>
      <c r="FL76" s="866"/>
      <c r="FM76" s="866"/>
      <c r="FN76" s="866"/>
      <c r="FO76" s="866"/>
      <c r="FP76" s="866"/>
      <c r="FQ76" s="866"/>
      <c r="FR76" s="866"/>
      <c r="FS76" s="866"/>
      <c r="FT76" s="866"/>
      <c r="FU76" s="866"/>
      <c r="FV76" s="866"/>
      <c r="FW76" s="866"/>
      <c r="FX76" s="866"/>
      <c r="FY76" s="866"/>
      <c r="FZ76" s="866"/>
      <c r="GA76" s="866"/>
      <c r="GB76" s="866"/>
      <c r="GC76" s="866"/>
      <c r="GD76" s="866"/>
      <c r="GE76" s="866"/>
      <c r="GF76" s="866"/>
      <c r="GG76" s="866"/>
      <c r="GH76" s="866"/>
      <c r="GI76" s="866"/>
      <c r="GJ76" s="866"/>
      <c r="GK76" s="866"/>
      <c r="GL76" s="866"/>
      <c r="GM76" s="866"/>
      <c r="GN76" s="866"/>
      <c r="GO76" s="866"/>
      <c r="GP76" s="866"/>
      <c r="GQ76" s="866"/>
      <c r="GR76" s="866"/>
      <c r="GS76" s="866"/>
      <c r="GT76" s="866"/>
      <c r="GU76" s="866"/>
      <c r="GV76" s="866"/>
      <c r="GW76" s="866"/>
      <c r="GX76" s="866"/>
      <c r="GY76" s="866"/>
      <c r="GZ76" s="866"/>
      <c r="HA76" s="866"/>
      <c r="HB76" s="866"/>
      <c r="HC76" s="866"/>
      <c r="HD76" s="866"/>
      <c r="HE76" s="866"/>
      <c r="HF76" s="866"/>
      <c r="HG76" s="866"/>
      <c r="HH76" s="866"/>
      <c r="HI76" s="866"/>
      <c r="HJ76" s="866"/>
      <c r="HK76" s="866"/>
      <c r="HL76" s="866"/>
      <c r="HM76" s="866"/>
      <c r="HN76" s="866"/>
      <c r="HO76" s="866"/>
      <c r="HP76" s="866"/>
      <c r="HQ76" s="866"/>
      <c r="HR76" s="866"/>
      <c r="HS76" s="866"/>
      <c r="HT76" s="866"/>
      <c r="HU76" s="866"/>
      <c r="HV76" s="866"/>
      <c r="HW76" s="866"/>
      <c r="HX76" s="866"/>
      <c r="HY76" s="866"/>
      <c r="HZ76" s="866"/>
      <c r="IA76" s="866"/>
      <c r="IB76" s="866"/>
      <c r="IC76" s="866"/>
      <c r="ID76" s="866"/>
      <c r="IE76" s="866"/>
      <c r="IF76" s="866"/>
      <c r="IG76" s="866"/>
      <c r="IH76" s="866"/>
      <c r="II76" s="866"/>
      <c r="IJ76" s="866"/>
      <c r="IK76" s="866"/>
      <c r="IL76" s="866"/>
      <c r="IM76" s="866"/>
      <c r="IN76" s="866"/>
      <c r="IO76" s="866"/>
      <c r="IP76" s="866"/>
      <c r="IQ76" s="866"/>
      <c r="IR76" s="866"/>
      <c r="IS76" s="866"/>
      <c r="IT76" s="866"/>
      <c r="IU76" s="866"/>
      <c r="IV76" s="866"/>
    </row>
    <row r="77" spans="1:256" ht="18">
      <c r="A77" s="866"/>
      <c r="B77" s="866"/>
      <c r="C77" s="866"/>
      <c r="D77" s="866"/>
      <c r="E77" s="866"/>
      <c r="F77" s="866"/>
      <c r="G77" s="866"/>
      <c r="H77" s="866"/>
      <c r="I77" s="866"/>
      <c r="J77" s="866"/>
      <c r="K77" s="866"/>
      <c r="L77" s="866"/>
      <c r="M77" s="866"/>
      <c r="N77" s="866"/>
      <c r="O77" s="866"/>
      <c r="P77" s="866"/>
      <c r="Q77" s="866"/>
      <c r="R77" s="866"/>
      <c r="S77" s="866"/>
      <c r="T77" s="866"/>
      <c r="U77" s="866"/>
      <c r="V77" s="866"/>
      <c r="W77" s="866"/>
      <c r="X77" s="866"/>
      <c r="Y77" s="866"/>
      <c r="Z77" s="866"/>
      <c r="AA77" s="866"/>
      <c r="AB77" s="866"/>
      <c r="AC77" s="866"/>
      <c r="AD77" s="866"/>
      <c r="AE77" s="866"/>
      <c r="AF77" s="866"/>
      <c r="AG77" s="866"/>
      <c r="AH77" s="866"/>
      <c r="AI77" s="866"/>
      <c r="AJ77" s="866"/>
      <c r="AK77" s="866"/>
      <c r="AL77" s="866"/>
      <c r="AM77" s="866"/>
      <c r="AN77" s="866"/>
      <c r="AO77" s="866"/>
      <c r="AP77" s="866"/>
      <c r="AQ77" s="866"/>
      <c r="AR77" s="866"/>
      <c r="AS77" s="866"/>
      <c r="AT77" s="866"/>
      <c r="AU77" s="866"/>
      <c r="AV77" s="866"/>
      <c r="AW77" s="866"/>
      <c r="AX77" s="866"/>
      <c r="AY77" s="866"/>
      <c r="AZ77" s="866"/>
      <c r="BA77" s="866"/>
      <c r="BB77" s="866"/>
      <c r="BC77" s="866"/>
      <c r="BD77" s="866"/>
      <c r="BE77" s="866"/>
      <c r="BF77" s="866"/>
      <c r="BG77" s="866"/>
      <c r="BH77" s="866"/>
      <c r="BI77" s="866"/>
      <c r="BJ77" s="866"/>
      <c r="BK77" s="866"/>
      <c r="BL77" s="866"/>
      <c r="BM77" s="866"/>
      <c r="BN77" s="866"/>
      <c r="BO77" s="866"/>
      <c r="BP77" s="866"/>
      <c r="BQ77" s="866"/>
      <c r="BR77" s="866"/>
      <c r="BS77" s="866"/>
      <c r="BT77" s="866"/>
      <c r="BU77" s="866"/>
      <c r="BV77" s="866"/>
      <c r="BW77" s="866"/>
      <c r="BX77" s="866"/>
      <c r="BY77" s="866"/>
      <c r="BZ77" s="866"/>
      <c r="CA77" s="866"/>
      <c r="CB77" s="866"/>
      <c r="CC77" s="866"/>
      <c r="CD77" s="866"/>
      <c r="CE77" s="866"/>
      <c r="CF77" s="866"/>
      <c r="CG77" s="866"/>
      <c r="CH77" s="866"/>
      <c r="CI77" s="866"/>
      <c r="CJ77" s="866"/>
      <c r="CK77" s="866"/>
      <c r="CL77" s="866"/>
      <c r="CM77" s="866"/>
      <c r="CN77" s="866"/>
      <c r="CO77" s="866"/>
      <c r="CP77" s="866"/>
      <c r="CQ77" s="866"/>
      <c r="CR77" s="866"/>
      <c r="CS77" s="866"/>
      <c r="CT77" s="866"/>
      <c r="CU77" s="866"/>
      <c r="CV77" s="866"/>
      <c r="CW77" s="866"/>
      <c r="CX77" s="866"/>
      <c r="CY77" s="866"/>
      <c r="CZ77" s="866"/>
      <c r="DA77" s="866"/>
      <c r="DB77" s="866"/>
      <c r="DC77" s="866"/>
      <c r="DD77" s="866"/>
      <c r="DE77" s="866"/>
      <c r="DF77" s="866"/>
      <c r="DG77" s="866"/>
      <c r="DH77" s="866"/>
      <c r="DI77" s="866"/>
      <c r="DJ77" s="866"/>
      <c r="DK77" s="866"/>
      <c r="DL77" s="866"/>
      <c r="DM77" s="866"/>
      <c r="DN77" s="866"/>
      <c r="DO77" s="866"/>
      <c r="DP77" s="866"/>
      <c r="DQ77" s="866"/>
      <c r="DR77" s="866"/>
      <c r="DS77" s="866"/>
      <c r="DT77" s="866"/>
      <c r="DU77" s="866"/>
      <c r="DV77" s="866"/>
      <c r="DW77" s="866"/>
      <c r="DX77" s="866"/>
      <c r="DY77" s="866"/>
      <c r="DZ77" s="866"/>
      <c r="EA77" s="866"/>
      <c r="EB77" s="866"/>
      <c r="EC77" s="866"/>
      <c r="ED77" s="866"/>
      <c r="EE77" s="866"/>
      <c r="EF77" s="866"/>
      <c r="EG77" s="866"/>
      <c r="EH77" s="866"/>
      <c r="EI77" s="866"/>
      <c r="EJ77" s="866"/>
      <c r="EK77" s="866"/>
      <c r="EL77" s="866"/>
      <c r="EM77" s="866"/>
      <c r="EN77" s="866"/>
      <c r="EO77" s="866"/>
      <c r="EP77" s="866"/>
      <c r="EQ77" s="866"/>
      <c r="ER77" s="866"/>
      <c r="ES77" s="866"/>
      <c r="ET77" s="866"/>
      <c r="EU77" s="866"/>
      <c r="EV77" s="866"/>
      <c r="EW77" s="866"/>
      <c r="EX77" s="866"/>
      <c r="EY77" s="866"/>
      <c r="EZ77" s="866"/>
      <c r="FA77" s="866"/>
      <c r="FB77" s="866"/>
      <c r="FC77" s="866"/>
      <c r="FD77" s="866"/>
      <c r="FE77" s="866"/>
      <c r="FF77" s="866"/>
      <c r="FG77" s="866"/>
      <c r="FH77" s="866"/>
      <c r="FI77" s="866"/>
      <c r="FJ77" s="866"/>
      <c r="FK77" s="866"/>
      <c r="FL77" s="866"/>
      <c r="FM77" s="866"/>
      <c r="FN77" s="866"/>
      <c r="FO77" s="866"/>
      <c r="FP77" s="866"/>
      <c r="FQ77" s="866"/>
      <c r="FR77" s="866"/>
      <c r="FS77" s="866"/>
      <c r="FT77" s="866"/>
      <c r="FU77" s="866"/>
      <c r="FV77" s="866"/>
      <c r="FW77" s="866"/>
      <c r="FX77" s="866"/>
      <c r="FY77" s="866"/>
      <c r="FZ77" s="866"/>
      <c r="GA77" s="866"/>
      <c r="GB77" s="866"/>
      <c r="GC77" s="866"/>
      <c r="GD77" s="866"/>
      <c r="GE77" s="866"/>
      <c r="GF77" s="866"/>
      <c r="GG77" s="866"/>
      <c r="GH77" s="866"/>
      <c r="GI77" s="866"/>
      <c r="GJ77" s="866"/>
      <c r="GK77" s="866"/>
      <c r="GL77" s="866"/>
      <c r="GM77" s="866"/>
      <c r="GN77" s="866"/>
      <c r="GO77" s="866"/>
      <c r="GP77" s="866"/>
      <c r="GQ77" s="866"/>
      <c r="GR77" s="866"/>
      <c r="GS77" s="866"/>
      <c r="GT77" s="866"/>
      <c r="GU77" s="866"/>
      <c r="GV77" s="866"/>
      <c r="GW77" s="866"/>
      <c r="GX77" s="866"/>
      <c r="GY77" s="866"/>
      <c r="GZ77" s="866"/>
      <c r="HA77" s="866"/>
      <c r="HB77" s="866"/>
      <c r="HC77" s="866"/>
      <c r="HD77" s="866"/>
      <c r="HE77" s="866"/>
      <c r="HF77" s="866"/>
      <c r="HG77" s="866"/>
      <c r="HH77" s="866"/>
      <c r="HI77" s="866"/>
      <c r="HJ77" s="866"/>
      <c r="HK77" s="866"/>
      <c r="HL77" s="866"/>
      <c r="HM77" s="866"/>
      <c r="HN77" s="866"/>
      <c r="HO77" s="866"/>
      <c r="HP77" s="866"/>
      <c r="HQ77" s="866"/>
      <c r="HR77" s="866"/>
      <c r="HS77" s="866"/>
      <c r="HT77" s="866"/>
      <c r="HU77" s="866"/>
      <c r="HV77" s="866"/>
      <c r="HW77" s="866"/>
      <c r="HX77" s="866"/>
      <c r="HY77" s="866"/>
      <c r="HZ77" s="866"/>
      <c r="IA77" s="866"/>
      <c r="IB77" s="866"/>
      <c r="IC77" s="866"/>
      <c r="ID77" s="866"/>
      <c r="IE77" s="866"/>
      <c r="IF77" s="866"/>
      <c r="IG77" s="866"/>
      <c r="IH77" s="866"/>
      <c r="II77" s="866"/>
      <c r="IJ77" s="866"/>
      <c r="IK77" s="866"/>
      <c r="IL77" s="866"/>
      <c r="IM77" s="866"/>
      <c r="IN77" s="866"/>
      <c r="IO77" s="866"/>
      <c r="IP77" s="866"/>
      <c r="IQ77" s="866"/>
      <c r="IR77" s="866"/>
      <c r="IS77" s="866"/>
      <c r="IT77" s="866"/>
      <c r="IU77" s="866"/>
      <c r="IV77" s="866"/>
    </row>
    <row r="78" spans="1:256" ht="18">
      <c r="A78" s="866"/>
      <c r="B78" s="866"/>
      <c r="C78" s="866"/>
      <c r="D78" s="866"/>
      <c r="E78" s="866"/>
      <c r="F78" s="866"/>
      <c r="G78" s="866"/>
      <c r="H78" s="866"/>
      <c r="I78" s="866"/>
      <c r="J78" s="866"/>
      <c r="K78" s="866"/>
      <c r="L78" s="866"/>
      <c r="M78" s="866"/>
      <c r="N78" s="866"/>
      <c r="O78" s="866"/>
      <c r="P78" s="866"/>
      <c r="Q78" s="866"/>
      <c r="R78" s="866"/>
      <c r="S78" s="866"/>
      <c r="T78" s="866"/>
      <c r="U78" s="866"/>
      <c r="V78" s="866"/>
      <c r="W78" s="866"/>
      <c r="X78" s="866"/>
      <c r="Y78" s="866"/>
      <c r="Z78" s="866"/>
      <c r="AA78" s="866"/>
      <c r="AB78" s="866"/>
      <c r="AC78" s="866"/>
      <c r="AD78" s="866"/>
      <c r="AE78" s="866"/>
      <c r="AF78" s="866"/>
      <c r="AG78" s="866"/>
      <c r="AH78" s="866"/>
      <c r="AI78" s="866"/>
      <c r="AJ78" s="866"/>
      <c r="AK78" s="866"/>
      <c r="AL78" s="866"/>
      <c r="AM78" s="866"/>
      <c r="AN78" s="866"/>
      <c r="AO78" s="866"/>
      <c r="AP78" s="866"/>
      <c r="AQ78" s="866"/>
      <c r="AR78" s="866"/>
      <c r="AS78" s="866"/>
      <c r="AT78" s="866"/>
      <c r="AU78" s="866"/>
      <c r="AV78" s="866"/>
      <c r="AW78" s="866"/>
      <c r="AX78" s="866"/>
      <c r="AY78" s="866"/>
      <c r="AZ78" s="866"/>
      <c r="BA78" s="866"/>
      <c r="BB78" s="866"/>
      <c r="BC78" s="866"/>
      <c r="BD78" s="866"/>
      <c r="BE78" s="866"/>
      <c r="BF78" s="866"/>
      <c r="BG78" s="866"/>
      <c r="BH78" s="866"/>
      <c r="BI78" s="866"/>
      <c r="BJ78" s="866"/>
      <c r="BK78" s="866"/>
      <c r="BL78" s="866"/>
      <c r="BM78" s="866"/>
      <c r="BN78" s="866"/>
      <c r="BO78" s="866"/>
      <c r="BP78" s="866"/>
      <c r="BQ78" s="866"/>
      <c r="BR78" s="866"/>
      <c r="BS78" s="866"/>
      <c r="BT78" s="866"/>
      <c r="BU78" s="866"/>
      <c r="BV78" s="866"/>
      <c r="BW78" s="866"/>
      <c r="BX78" s="866"/>
      <c r="BY78" s="866"/>
      <c r="BZ78" s="866"/>
      <c r="CA78" s="866"/>
      <c r="CB78" s="866"/>
      <c r="CC78" s="866"/>
      <c r="CD78" s="866"/>
      <c r="CE78" s="866"/>
      <c r="CF78" s="866"/>
      <c r="CG78" s="866"/>
      <c r="CH78" s="866"/>
      <c r="CI78" s="866"/>
      <c r="CJ78" s="866"/>
      <c r="CK78" s="866"/>
      <c r="CL78" s="866"/>
      <c r="CM78" s="866"/>
      <c r="CN78" s="866"/>
      <c r="CO78" s="866"/>
      <c r="CP78" s="866"/>
      <c r="CQ78" s="866"/>
      <c r="CR78" s="866"/>
      <c r="CS78" s="866"/>
      <c r="CT78" s="866"/>
      <c r="CU78" s="866"/>
      <c r="CV78" s="866"/>
      <c r="CW78" s="866"/>
      <c r="CX78" s="866"/>
      <c r="CY78" s="866"/>
      <c r="CZ78" s="866"/>
      <c r="DA78" s="866"/>
      <c r="DB78" s="866"/>
      <c r="DC78" s="866"/>
      <c r="DD78" s="866"/>
      <c r="DE78" s="866"/>
      <c r="DF78" s="866"/>
      <c r="DG78" s="866"/>
      <c r="DH78" s="866"/>
      <c r="DI78" s="866"/>
      <c r="DJ78" s="866"/>
      <c r="DK78" s="866"/>
      <c r="DL78" s="866"/>
      <c r="DM78" s="866"/>
      <c r="DN78" s="866"/>
      <c r="DO78" s="866"/>
      <c r="DP78" s="866"/>
      <c r="DQ78" s="866"/>
      <c r="DR78" s="866"/>
      <c r="DS78" s="866"/>
      <c r="DT78" s="866"/>
      <c r="DU78" s="866"/>
      <c r="DV78" s="866"/>
      <c r="DW78" s="866"/>
      <c r="DX78" s="866"/>
      <c r="DY78" s="866"/>
      <c r="DZ78" s="866"/>
      <c r="EA78" s="866"/>
      <c r="EB78" s="866"/>
      <c r="EC78" s="866"/>
      <c r="ED78" s="866"/>
      <c r="EE78" s="866"/>
      <c r="EF78" s="866"/>
      <c r="EG78" s="866"/>
      <c r="EH78" s="866"/>
      <c r="EI78" s="866"/>
      <c r="EJ78" s="866"/>
      <c r="EK78" s="866"/>
      <c r="EL78" s="866"/>
      <c r="EM78" s="866"/>
      <c r="EN78" s="866"/>
      <c r="EO78" s="866"/>
      <c r="EP78" s="866"/>
      <c r="EQ78" s="866"/>
      <c r="ER78" s="866"/>
      <c r="ES78" s="866"/>
      <c r="ET78" s="866"/>
      <c r="EU78" s="866"/>
      <c r="EV78" s="866"/>
      <c r="EW78" s="866"/>
      <c r="EX78" s="866"/>
      <c r="EY78" s="866"/>
      <c r="EZ78" s="866"/>
      <c r="FA78" s="866"/>
      <c r="FB78" s="866"/>
      <c r="FC78" s="866"/>
      <c r="FD78" s="866"/>
      <c r="FE78" s="866"/>
      <c r="FF78" s="866"/>
      <c r="FG78" s="866"/>
      <c r="FH78" s="866"/>
      <c r="FI78" s="866"/>
      <c r="FJ78" s="866"/>
      <c r="FK78" s="866"/>
      <c r="FL78" s="866"/>
      <c r="FM78" s="866"/>
      <c r="FN78" s="866"/>
      <c r="FO78" s="866"/>
      <c r="FP78" s="866"/>
      <c r="FQ78" s="866"/>
      <c r="FR78" s="866"/>
      <c r="FS78" s="866"/>
      <c r="FT78" s="866"/>
      <c r="FU78" s="866"/>
      <c r="FV78" s="866"/>
      <c r="FW78" s="866"/>
      <c r="FX78" s="866"/>
      <c r="FY78" s="866"/>
      <c r="FZ78" s="866"/>
      <c r="GA78" s="866"/>
      <c r="GB78" s="866"/>
      <c r="GC78" s="866"/>
      <c r="GD78" s="866"/>
      <c r="GE78" s="866"/>
      <c r="GF78" s="866"/>
      <c r="GG78" s="866"/>
      <c r="GH78" s="866"/>
      <c r="GI78" s="866"/>
      <c r="GJ78" s="866"/>
      <c r="GK78" s="866"/>
      <c r="GL78" s="866"/>
      <c r="GM78" s="866"/>
      <c r="GN78" s="866"/>
      <c r="GO78" s="866"/>
      <c r="GP78" s="866"/>
      <c r="GQ78" s="866"/>
      <c r="GR78" s="866"/>
      <c r="GS78" s="866"/>
      <c r="GT78" s="866"/>
      <c r="GU78" s="866"/>
      <c r="GV78" s="866"/>
      <c r="GW78" s="866"/>
      <c r="GX78" s="866"/>
      <c r="GY78" s="866"/>
      <c r="GZ78" s="866"/>
      <c r="HA78" s="866"/>
      <c r="HB78" s="866"/>
      <c r="HC78" s="866"/>
      <c r="HD78" s="866"/>
      <c r="HE78" s="866"/>
      <c r="HF78" s="866"/>
      <c r="HG78" s="866"/>
      <c r="HH78" s="866"/>
      <c r="HI78" s="866"/>
      <c r="HJ78" s="866"/>
      <c r="HK78" s="866"/>
      <c r="HL78" s="866"/>
      <c r="HM78" s="866"/>
      <c r="HN78" s="866"/>
      <c r="HO78" s="866"/>
      <c r="HP78" s="866"/>
      <c r="HQ78" s="866"/>
      <c r="HR78" s="866"/>
      <c r="HS78" s="866"/>
      <c r="HT78" s="866"/>
      <c r="HU78" s="866"/>
      <c r="HV78" s="866"/>
      <c r="HW78" s="866"/>
      <c r="HX78" s="866"/>
      <c r="HY78" s="866"/>
      <c r="HZ78" s="866"/>
      <c r="IA78" s="866"/>
      <c r="IB78" s="866"/>
      <c r="IC78" s="866"/>
      <c r="ID78" s="866"/>
      <c r="IE78" s="866"/>
      <c r="IF78" s="866"/>
      <c r="IG78" s="866"/>
      <c r="IH78" s="866"/>
      <c r="II78" s="866"/>
      <c r="IJ78" s="866"/>
      <c r="IK78" s="866"/>
      <c r="IL78" s="866"/>
      <c r="IM78" s="866"/>
      <c r="IN78" s="866"/>
      <c r="IO78" s="866"/>
      <c r="IP78" s="866"/>
      <c r="IQ78" s="866"/>
      <c r="IR78" s="866"/>
      <c r="IS78" s="866"/>
      <c r="IT78" s="866"/>
      <c r="IU78" s="866"/>
      <c r="IV78" s="866"/>
    </row>
    <row r="79" spans="1:256" ht="18">
      <c r="A79" s="1357"/>
      <c r="B79" s="866"/>
      <c r="C79" s="866"/>
      <c r="D79" s="866"/>
      <c r="E79" s="866"/>
      <c r="F79" s="866"/>
      <c r="G79" s="866"/>
      <c r="H79" s="866"/>
      <c r="I79" s="866"/>
      <c r="J79" s="866"/>
      <c r="K79" s="866"/>
      <c r="L79" s="866"/>
      <c r="M79" s="866"/>
      <c r="N79" s="866"/>
      <c r="O79" s="866"/>
      <c r="P79" s="866"/>
      <c r="Q79" s="866"/>
      <c r="R79" s="866"/>
      <c r="S79" s="866"/>
      <c r="T79" s="866"/>
      <c r="U79" s="866"/>
      <c r="V79" s="866"/>
      <c r="W79" s="866"/>
      <c r="X79" s="866"/>
      <c r="Y79" s="866"/>
      <c r="Z79" s="866"/>
      <c r="AA79" s="866"/>
      <c r="AB79" s="866"/>
      <c r="AC79" s="866"/>
      <c r="AD79" s="866"/>
      <c r="AE79" s="866"/>
      <c r="AF79" s="866"/>
      <c r="AG79" s="866"/>
      <c r="AH79" s="866"/>
      <c r="AI79" s="866"/>
      <c r="AJ79" s="866"/>
      <c r="AK79" s="866"/>
      <c r="AL79" s="866"/>
      <c r="AM79" s="866"/>
      <c r="AN79" s="866"/>
      <c r="AO79" s="866"/>
      <c r="AP79" s="866"/>
      <c r="AQ79" s="866"/>
      <c r="AR79" s="866"/>
      <c r="AS79" s="866"/>
      <c r="AT79" s="866"/>
      <c r="AU79" s="866"/>
      <c r="AV79" s="866"/>
      <c r="AW79" s="866"/>
      <c r="AX79" s="866"/>
      <c r="AY79" s="866"/>
      <c r="AZ79" s="866"/>
      <c r="BA79" s="866"/>
      <c r="BB79" s="866"/>
      <c r="BC79" s="866"/>
      <c r="BD79" s="866"/>
      <c r="BE79" s="866"/>
      <c r="BF79" s="866"/>
      <c r="BG79" s="866"/>
      <c r="BH79" s="866"/>
      <c r="BI79" s="866"/>
      <c r="BJ79" s="866"/>
      <c r="BK79" s="866"/>
      <c r="BL79" s="866"/>
      <c r="BM79" s="866"/>
      <c r="BN79" s="866"/>
      <c r="BO79" s="866"/>
      <c r="BP79" s="866"/>
      <c r="BQ79" s="866"/>
      <c r="BR79" s="866"/>
      <c r="BS79" s="866"/>
      <c r="BT79" s="866"/>
      <c r="BU79" s="866"/>
      <c r="BV79" s="866"/>
      <c r="BW79" s="866"/>
      <c r="BX79" s="866"/>
      <c r="BY79" s="866"/>
      <c r="BZ79" s="866"/>
      <c r="CA79" s="866"/>
      <c r="CB79" s="866"/>
      <c r="CC79" s="866"/>
      <c r="CD79" s="866"/>
      <c r="CE79" s="866"/>
      <c r="CF79" s="866"/>
      <c r="CG79" s="866"/>
      <c r="CH79" s="866"/>
      <c r="CI79" s="866"/>
      <c r="CJ79" s="866"/>
      <c r="CK79" s="866"/>
      <c r="CL79" s="866"/>
      <c r="CM79" s="866"/>
      <c r="CN79" s="866"/>
      <c r="CO79" s="866"/>
      <c r="CP79" s="866"/>
      <c r="CQ79" s="866"/>
      <c r="CR79" s="866"/>
      <c r="CS79" s="866"/>
      <c r="CT79" s="866"/>
      <c r="CU79" s="866"/>
      <c r="CV79" s="866"/>
      <c r="CW79" s="866"/>
      <c r="CX79" s="866"/>
      <c r="CY79" s="866"/>
      <c r="CZ79" s="866"/>
      <c r="DA79" s="866"/>
      <c r="DB79" s="866"/>
      <c r="DC79" s="866"/>
      <c r="DD79" s="866"/>
      <c r="DE79" s="866"/>
      <c r="DF79" s="866"/>
      <c r="DG79" s="866"/>
      <c r="DH79" s="866"/>
      <c r="DI79" s="866"/>
      <c r="DJ79" s="866"/>
      <c r="DK79" s="866"/>
      <c r="DL79" s="866"/>
      <c r="DM79" s="866"/>
      <c r="DN79" s="866"/>
      <c r="DO79" s="866"/>
      <c r="DP79" s="866"/>
      <c r="DQ79" s="866"/>
      <c r="DR79" s="866"/>
      <c r="DS79" s="866"/>
      <c r="DT79" s="866"/>
      <c r="DU79" s="866"/>
      <c r="DV79" s="866"/>
      <c r="DW79" s="866"/>
      <c r="DX79" s="866"/>
      <c r="DY79" s="866"/>
      <c r="DZ79" s="866"/>
      <c r="EA79" s="866"/>
      <c r="EB79" s="866"/>
      <c r="EC79" s="866"/>
      <c r="ED79" s="866"/>
      <c r="EE79" s="866"/>
      <c r="EF79" s="866"/>
      <c r="EG79" s="866"/>
      <c r="EH79" s="866"/>
      <c r="EI79" s="866"/>
      <c r="EJ79" s="866"/>
      <c r="EK79" s="866"/>
      <c r="EL79" s="866"/>
      <c r="EM79" s="866"/>
      <c r="EN79" s="866"/>
      <c r="EO79" s="866"/>
      <c r="EP79" s="866"/>
      <c r="EQ79" s="866"/>
      <c r="ER79" s="866"/>
      <c r="ES79" s="866"/>
      <c r="ET79" s="866"/>
      <c r="EU79" s="866"/>
      <c r="EV79" s="866"/>
      <c r="EW79" s="866"/>
      <c r="EX79" s="866"/>
      <c r="EY79" s="866"/>
      <c r="EZ79" s="866"/>
      <c r="FA79" s="866"/>
      <c r="FB79" s="866"/>
      <c r="FC79" s="866"/>
      <c r="FD79" s="866"/>
      <c r="FE79" s="866"/>
      <c r="FF79" s="866"/>
      <c r="FG79" s="866"/>
      <c r="FH79" s="866"/>
      <c r="FI79" s="866"/>
      <c r="FJ79" s="866"/>
      <c r="FK79" s="866"/>
      <c r="FL79" s="866"/>
      <c r="FM79" s="866"/>
      <c r="FN79" s="866"/>
      <c r="FO79" s="866"/>
      <c r="FP79" s="866"/>
      <c r="FQ79" s="866"/>
      <c r="FR79" s="866"/>
      <c r="FS79" s="866"/>
      <c r="FT79" s="866"/>
      <c r="FU79" s="866"/>
      <c r="FV79" s="866"/>
      <c r="FW79" s="866"/>
      <c r="FX79" s="866"/>
      <c r="FY79" s="866"/>
      <c r="FZ79" s="866"/>
      <c r="GA79" s="866"/>
      <c r="GB79" s="866"/>
      <c r="GC79" s="866"/>
      <c r="GD79" s="866"/>
      <c r="GE79" s="866"/>
      <c r="GF79" s="866"/>
      <c r="GG79" s="866"/>
      <c r="GH79" s="866"/>
      <c r="GI79" s="866"/>
      <c r="GJ79" s="866"/>
      <c r="GK79" s="866"/>
      <c r="GL79" s="866"/>
      <c r="GM79" s="866"/>
      <c r="GN79" s="866"/>
      <c r="GO79" s="866"/>
      <c r="GP79" s="866"/>
      <c r="GQ79" s="866"/>
      <c r="GR79" s="866"/>
      <c r="GS79" s="866"/>
      <c r="GT79" s="866"/>
      <c r="GU79" s="866"/>
      <c r="GV79" s="866"/>
      <c r="GW79" s="866"/>
      <c r="GX79" s="866"/>
      <c r="GY79" s="866"/>
      <c r="GZ79" s="866"/>
      <c r="HA79" s="866"/>
      <c r="HB79" s="866"/>
      <c r="HC79" s="866"/>
      <c r="HD79" s="866"/>
      <c r="HE79" s="866"/>
      <c r="HF79" s="866"/>
      <c r="HG79" s="866"/>
      <c r="HH79" s="866"/>
      <c r="HI79" s="866"/>
      <c r="HJ79" s="866"/>
      <c r="HK79" s="866"/>
      <c r="HL79" s="866"/>
      <c r="HM79" s="866"/>
      <c r="HN79" s="866"/>
      <c r="HO79" s="866"/>
      <c r="HP79" s="866"/>
      <c r="HQ79" s="866"/>
      <c r="HR79" s="866"/>
      <c r="HS79" s="866"/>
      <c r="HT79" s="866"/>
      <c r="HU79" s="866"/>
      <c r="HV79" s="866"/>
      <c r="HW79" s="866"/>
      <c r="HX79" s="866"/>
      <c r="HY79" s="866"/>
      <c r="HZ79" s="866"/>
      <c r="IA79" s="866"/>
      <c r="IB79" s="866"/>
      <c r="IC79" s="866"/>
      <c r="ID79" s="866"/>
      <c r="IE79" s="866"/>
      <c r="IF79" s="866"/>
      <c r="IG79" s="866"/>
      <c r="IH79" s="866"/>
      <c r="II79" s="866"/>
      <c r="IJ79" s="866"/>
      <c r="IK79" s="866"/>
      <c r="IL79" s="866"/>
      <c r="IM79" s="866"/>
      <c r="IN79" s="866"/>
      <c r="IO79" s="866"/>
      <c r="IP79" s="866"/>
      <c r="IQ79" s="866"/>
      <c r="IR79" s="866"/>
      <c r="IS79" s="866"/>
      <c r="IT79" s="866"/>
      <c r="IU79" s="866"/>
      <c r="IV79" s="866"/>
    </row>
    <row r="80" spans="1:256" s="866" customFormat="1" ht="18"/>
    <row r="81" spans="1:256" ht="18">
      <c r="A81" s="866"/>
      <c r="B81" s="866"/>
      <c r="C81" s="866"/>
      <c r="D81" s="866"/>
      <c r="E81" s="866"/>
      <c r="F81" s="866"/>
      <c r="G81" s="866"/>
      <c r="H81" s="866"/>
      <c r="I81" s="866"/>
      <c r="J81" s="866"/>
      <c r="K81" s="866"/>
      <c r="L81" s="866"/>
      <c r="M81" s="866"/>
      <c r="N81" s="866"/>
      <c r="O81" s="866"/>
      <c r="P81" s="866"/>
      <c r="Q81" s="866"/>
      <c r="R81" s="866"/>
      <c r="S81" s="866"/>
      <c r="T81" s="866"/>
      <c r="U81" s="866"/>
      <c r="V81" s="866"/>
      <c r="W81" s="866"/>
      <c r="X81" s="866"/>
      <c r="Y81" s="866"/>
      <c r="Z81" s="866"/>
      <c r="AA81" s="866"/>
      <c r="AB81" s="866"/>
      <c r="AC81" s="866"/>
      <c r="AD81" s="866"/>
      <c r="AE81" s="866"/>
      <c r="AF81" s="866"/>
      <c r="AG81" s="866"/>
      <c r="AH81" s="866"/>
      <c r="AI81" s="866"/>
      <c r="AJ81" s="866"/>
      <c r="AK81" s="866"/>
      <c r="AL81" s="866"/>
      <c r="AM81" s="866"/>
      <c r="AN81" s="866"/>
      <c r="AO81" s="866"/>
      <c r="AP81" s="866"/>
      <c r="AQ81" s="866"/>
      <c r="AR81" s="866"/>
      <c r="AS81" s="866"/>
      <c r="AT81" s="866"/>
      <c r="AU81" s="866"/>
      <c r="AV81" s="866"/>
      <c r="AW81" s="866"/>
      <c r="AX81" s="866"/>
      <c r="AY81" s="866"/>
      <c r="AZ81" s="866"/>
      <c r="BA81" s="866"/>
      <c r="BB81" s="866"/>
      <c r="BC81" s="866"/>
      <c r="BD81" s="866"/>
      <c r="BE81" s="866"/>
      <c r="BF81" s="866"/>
      <c r="BG81" s="866"/>
      <c r="BH81" s="866"/>
      <c r="BI81" s="866"/>
      <c r="BJ81" s="866"/>
      <c r="BK81" s="866"/>
      <c r="BL81" s="866"/>
      <c r="BM81" s="866"/>
      <c r="BN81" s="866"/>
      <c r="BO81" s="866"/>
      <c r="BP81" s="866"/>
      <c r="BQ81" s="866"/>
      <c r="BR81" s="866"/>
      <c r="BS81" s="866"/>
      <c r="BT81" s="866"/>
      <c r="BU81" s="866"/>
      <c r="BV81" s="866"/>
      <c r="BW81" s="866"/>
      <c r="BX81" s="866"/>
      <c r="BY81" s="866"/>
      <c r="BZ81" s="866"/>
      <c r="CA81" s="866"/>
      <c r="CB81" s="866"/>
      <c r="CC81" s="866"/>
      <c r="CD81" s="866"/>
      <c r="CE81" s="866"/>
      <c r="CF81" s="866"/>
      <c r="CG81" s="866"/>
      <c r="CH81" s="866"/>
      <c r="CI81" s="866"/>
      <c r="CJ81" s="866"/>
      <c r="CK81" s="866"/>
      <c r="CL81" s="866"/>
      <c r="CM81" s="866"/>
      <c r="CN81" s="866"/>
      <c r="CO81" s="866"/>
      <c r="CP81" s="866"/>
      <c r="CQ81" s="866"/>
      <c r="CR81" s="866"/>
      <c r="CS81" s="866"/>
      <c r="CT81" s="866"/>
      <c r="CU81" s="866"/>
      <c r="CV81" s="866"/>
      <c r="CW81" s="866"/>
      <c r="CX81" s="866"/>
      <c r="CY81" s="866"/>
      <c r="CZ81" s="866"/>
      <c r="DA81" s="866"/>
      <c r="DB81" s="866"/>
      <c r="DC81" s="866"/>
      <c r="DD81" s="866"/>
      <c r="DE81" s="866"/>
      <c r="DF81" s="866"/>
      <c r="DG81" s="866"/>
      <c r="DH81" s="866"/>
      <c r="DI81" s="866"/>
      <c r="DJ81" s="866"/>
      <c r="DK81" s="866"/>
      <c r="DL81" s="866"/>
      <c r="DM81" s="866"/>
      <c r="DN81" s="866"/>
      <c r="DO81" s="866"/>
      <c r="DP81" s="866"/>
      <c r="DQ81" s="866"/>
      <c r="DR81" s="866"/>
      <c r="DS81" s="866"/>
      <c r="DT81" s="866"/>
      <c r="DU81" s="866"/>
      <c r="DV81" s="866"/>
      <c r="DW81" s="866"/>
      <c r="DX81" s="866"/>
      <c r="DY81" s="866"/>
      <c r="DZ81" s="866"/>
      <c r="EA81" s="866"/>
      <c r="EB81" s="866"/>
      <c r="EC81" s="866"/>
      <c r="ED81" s="866"/>
      <c r="EE81" s="866"/>
      <c r="EF81" s="866"/>
      <c r="EG81" s="866"/>
      <c r="EH81" s="866"/>
      <c r="EI81" s="866"/>
      <c r="EJ81" s="866"/>
      <c r="EK81" s="866"/>
      <c r="EL81" s="866"/>
      <c r="EM81" s="866"/>
      <c r="EN81" s="866"/>
      <c r="EO81" s="866"/>
      <c r="EP81" s="866"/>
      <c r="EQ81" s="866"/>
      <c r="ER81" s="866"/>
      <c r="ES81" s="866"/>
      <c r="ET81" s="866"/>
      <c r="EU81" s="866"/>
      <c r="EV81" s="866"/>
      <c r="EW81" s="866"/>
      <c r="EX81" s="866"/>
      <c r="EY81" s="866"/>
      <c r="EZ81" s="866"/>
      <c r="FA81" s="866"/>
      <c r="FB81" s="866"/>
      <c r="FC81" s="866"/>
      <c r="FD81" s="866"/>
      <c r="FE81" s="866"/>
      <c r="FF81" s="866"/>
      <c r="FG81" s="866"/>
      <c r="FH81" s="866"/>
      <c r="FI81" s="866"/>
      <c r="FJ81" s="866"/>
      <c r="FK81" s="866"/>
      <c r="FL81" s="866"/>
      <c r="FM81" s="866"/>
      <c r="FN81" s="866"/>
      <c r="FO81" s="866"/>
      <c r="FP81" s="866"/>
      <c r="FQ81" s="866"/>
      <c r="FR81" s="866"/>
      <c r="FS81" s="866"/>
      <c r="FT81" s="866"/>
      <c r="FU81" s="866"/>
      <c r="FV81" s="866"/>
      <c r="FW81" s="866"/>
      <c r="FX81" s="866"/>
      <c r="FY81" s="866"/>
      <c r="FZ81" s="866"/>
      <c r="GA81" s="866"/>
      <c r="GB81" s="866"/>
      <c r="GC81" s="866"/>
      <c r="GD81" s="866"/>
      <c r="GE81" s="866"/>
      <c r="GF81" s="866"/>
      <c r="GG81" s="866"/>
      <c r="GH81" s="866"/>
      <c r="GI81" s="866"/>
      <c r="GJ81" s="866"/>
      <c r="GK81" s="866"/>
      <c r="GL81" s="866"/>
      <c r="GM81" s="866"/>
      <c r="GN81" s="866"/>
      <c r="GO81" s="866"/>
      <c r="GP81" s="866"/>
      <c r="GQ81" s="866"/>
      <c r="GR81" s="866"/>
      <c r="GS81" s="866"/>
      <c r="GT81" s="866"/>
      <c r="GU81" s="866"/>
      <c r="GV81" s="866"/>
      <c r="GW81" s="866"/>
      <c r="GX81" s="866"/>
      <c r="GY81" s="866"/>
      <c r="GZ81" s="866"/>
      <c r="HA81" s="866"/>
      <c r="HB81" s="866"/>
      <c r="HC81" s="866"/>
      <c r="HD81" s="866"/>
      <c r="HE81" s="866"/>
      <c r="HF81" s="866"/>
      <c r="HG81" s="866"/>
      <c r="HH81" s="866"/>
      <c r="HI81" s="866"/>
      <c r="HJ81" s="866"/>
      <c r="HK81" s="866"/>
      <c r="HL81" s="866"/>
      <c r="HM81" s="866"/>
      <c r="HN81" s="866"/>
      <c r="HO81" s="866"/>
      <c r="HP81" s="866"/>
      <c r="HQ81" s="866"/>
      <c r="HR81" s="866"/>
      <c r="HS81" s="866"/>
      <c r="HT81" s="866"/>
      <c r="HU81" s="866"/>
      <c r="HV81" s="866"/>
      <c r="HW81" s="866"/>
      <c r="HX81" s="866"/>
      <c r="HY81" s="866"/>
      <c r="HZ81" s="866"/>
      <c r="IA81" s="866"/>
      <c r="IB81" s="866"/>
      <c r="IC81" s="866"/>
      <c r="ID81" s="866"/>
      <c r="IE81" s="866"/>
      <c r="IF81" s="866"/>
      <c r="IG81" s="866"/>
      <c r="IH81" s="866"/>
      <c r="II81" s="866"/>
      <c r="IJ81" s="866"/>
      <c r="IK81" s="866"/>
      <c r="IL81" s="866"/>
      <c r="IM81" s="866"/>
      <c r="IN81" s="866"/>
      <c r="IO81" s="866"/>
      <c r="IP81" s="866"/>
      <c r="IQ81" s="866"/>
      <c r="IR81" s="866"/>
      <c r="IS81" s="866"/>
      <c r="IT81" s="866"/>
      <c r="IU81" s="866"/>
      <c r="IV81" s="866"/>
    </row>
    <row r="82" spans="1:256" s="866" customFormat="1" ht="18"/>
    <row r="83" spans="1:256" s="866" customFormat="1" ht="18"/>
    <row r="84" spans="1:256" s="866" customFormat="1" ht="18"/>
    <row r="85" spans="1:256" ht="18">
      <c r="A85" s="866"/>
      <c r="B85" s="866"/>
      <c r="C85" s="866"/>
      <c r="D85" s="866"/>
      <c r="E85" s="866"/>
      <c r="F85" s="866"/>
      <c r="G85" s="866"/>
      <c r="H85" s="866"/>
      <c r="I85" s="866"/>
      <c r="J85" s="866"/>
      <c r="K85" s="866"/>
      <c r="L85" s="866"/>
      <c r="M85" s="866"/>
      <c r="N85" s="866"/>
      <c r="O85" s="866"/>
      <c r="P85" s="866"/>
      <c r="Q85" s="866"/>
      <c r="R85" s="866"/>
      <c r="S85" s="866"/>
      <c r="T85" s="866"/>
      <c r="U85" s="866"/>
      <c r="V85" s="866"/>
      <c r="W85" s="866"/>
      <c r="X85" s="866"/>
      <c r="Y85" s="866"/>
      <c r="Z85" s="866"/>
      <c r="AA85" s="866"/>
      <c r="AB85" s="866"/>
      <c r="AC85" s="866"/>
      <c r="AD85" s="866"/>
      <c r="AE85" s="866"/>
      <c r="AF85" s="866"/>
      <c r="AG85" s="866"/>
      <c r="AH85" s="866"/>
      <c r="AI85" s="866"/>
      <c r="AJ85" s="866"/>
      <c r="AK85" s="866"/>
      <c r="AL85" s="866"/>
      <c r="AM85" s="866"/>
      <c r="AN85" s="866"/>
      <c r="AO85" s="866"/>
      <c r="AP85" s="866"/>
      <c r="AQ85" s="866"/>
      <c r="AR85" s="866"/>
      <c r="AS85" s="866"/>
      <c r="AT85" s="866"/>
      <c r="AU85" s="866"/>
      <c r="AV85" s="866"/>
      <c r="AW85" s="866"/>
      <c r="AX85" s="866"/>
      <c r="AY85" s="866"/>
      <c r="AZ85" s="866"/>
      <c r="BA85" s="866"/>
      <c r="BB85" s="866"/>
      <c r="BC85" s="866"/>
      <c r="BD85" s="866"/>
      <c r="BE85" s="866"/>
      <c r="BF85" s="866"/>
      <c r="BG85" s="866"/>
      <c r="BH85" s="866"/>
      <c r="BI85" s="866"/>
      <c r="BJ85" s="866"/>
      <c r="BK85" s="866"/>
      <c r="BL85" s="866"/>
      <c r="BM85" s="866"/>
      <c r="BN85" s="866"/>
      <c r="BO85" s="866"/>
      <c r="BP85" s="866"/>
      <c r="BQ85" s="866"/>
      <c r="BR85" s="866"/>
      <c r="BS85" s="866"/>
      <c r="BT85" s="866"/>
      <c r="BU85" s="866"/>
      <c r="BV85" s="866"/>
      <c r="BW85" s="866"/>
      <c r="BX85" s="866"/>
      <c r="BY85" s="866"/>
      <c r="BZ85" s="866"/>
      <c r="CA85" s="866"/>
      <c r="CB85" s="866"/>
      <c r="CC85" s="866"/>
      <c r="CD85" s="866"/>
      <c r="CE85" s="866"/>
      <c r="CF85" s="866"/>
      <c r="CG85" s="866"/>
      <c r="CH85" s="866"/>
      <c r="CI85" s="866"/>
      <c r="CJ85" s="866"/>
      <c r="CK85" s="866"/>
      <c r="CL85" s="866"/>
      <c r="CM85" s="866"/>
      <c r="CN85" s="866"/>
      <c r="CO85" s="866"/>
      <c r="CP85" s="866"/>
      <c r="CQ85" s="866"/>
      <c r="CR85" s="866"/>
      <c r="CS85" s="866"/>
      <c r="CT85" s="866"/>
      <c r="CU85" s="866"/>
      <c r="CV85" s="866"/>
      <c r="CW85" s="866"/>
      <c r="CX85" s="866"/>
      <c r="CY85" s="866"/>
      <c r="CZ85" s="866"/>
      <c r="DA85" s="866"/>
      <c r="DB85" s="866"/>
      <c r="DC85" s="866"/>
      <c r="DD85" s="866"/>
      <c r="DE85" s="866"/>
      <c r="DF85" s="866"/>
      <c r="DG85" s="866"/>
      <c r="DH85" s="866"/>
      <c r="DI85" s="866"/>
      <c r="DJ85" s="866"/>
      <c r="DK85" s="866"/>
      <c r="DL85" s="866"/>
      <c r="DM85" s="866"/>
      <c r="DN85" s="866"/>
      <c r="DO85" s="866"/>
      <c r="DP85" s="866"/>
      <c r="DQ85" s="866"/>
      <c r="DR85" s="866"/>
      <c r="DS85" s="866"/>
      <c r="DT85" s="866"/>
      <c r="DU85" s="866"/>
      <c r="DV85" s="866"/>
      <c r="DW85" s="866"/>
      <c r="DX85" s="866"/>
      <c r="DY85" s="866"/>
      <c r="DZ85" s="866"/>
      <c r="EA85" s="866"/>
      <c r="EB85" s="866"/>
      <c r="EC85" s="866"/>
      <c r="ED85" s="866"/>
      <c r="EE85" s="866"/>
      <c r="EF85" s="866"/>
      <c r="EG85" s="866"/>
      <c r="EH85" s="866"/>
      <c r="EI85" s="866"/>
      <c r="EJ85" s="866"/>
      <c r="EK85" s="866"/>
      <c r="EL85" s="866"/>
      <c r="EM85" s="866"/>
      <c r="EN85" s="866"/>
      <c r="EO85" s="866"/>
      <c r="EP85" s="866"/>
      <c r="EQ85" s="866"/>
      <c r="ER85" s="866"/>
      <c r="ES85" s="866"/>
      <c r="ET85" s="866"/>
      <c r="EU85" s="866"/>
      <c r="EV85" s="866"/>
      <c r="EW85" s="866"/>
      <c r="EX85" s="866"/>
      <c r="EY85" s="866"/>
      <c r="EZ85" s="866"/>
      <c r="FA85" s="866"/>
      <c r="FB85" s="866"/>
      <c r="FC85" s="866"/>
      <c r="FD85" s="866"/>
      <c r="FE85" s="866"/>
      <c r="FF85" s="866"/>
      <c r="FG85" s="866"/>
      <c r="FH85" s="866"/>
      <c r="FI85" s="866"/>
      <c r="FJ85" s="866"/>
      <c r="FK85" s="866"/>
      <c r="FL85" s="866"/>
      <c r="FM85" s="866"/>
      <c r="FN85" s="866"/>
      <c r="FO85" s="866"/>
      <c r="FP85" s="866"/>
      <c r="FQ85" s="866"/>
      <c r="FR85" s="866"/>
      <c r="FS85" s="866"/>
      <c r="FT85" s="866"/>
      <c r="FU85" s="866"/>
      <c r="FV85" s="866"/>
      <c r="FW85" s="866"/>
      <c r="FX85" s="866"/>
      <c r="FY85" s="866"/>
      <c r="FZ85" s="866"/>
      <c r="GA85" s="866"/>
      <c r="GB85" s="866"/>
      <c r="GC85" s="866"/>
      <c r="GD85" s="866"/>
      <c r="GE85" s="866"/>
      <c r="GF85" s="866"/>
      <c r="GG85" s="866"/>
      <c r="GH85" s="866"/>
      <c r="GI85" s="866"/>
      <c r="GJ85" s="866"/>
      <c r="GK85" s="866"/>
      <c r="GL85" s="866"/>
      <c r="GM85" s="866"/>
      <c r="GN85" s="866"/>
      <c r="GO85" s="866"/>
      <c r="GP85" s="866"/>
      <c r="GQ85" s="866"/>
      <c r="GR85" s="866"/>
      <c r="GS85" s="866"/>
      <c r="GT85" s="866"/>
      <c r="GU85" s="866"/>
      <c r="GV85" s="866"/>
      <c r="GW85" s="866"/>
      <c r="GX85" s="866"/>
      <c r="GY85" s="866"/>
      <c r="GZ85" s="866"/>
      <c r="HA85" s="866"/>
      <c r="HB85" s="866"/>
      <c r="HC85" s="866"/>
      <c r="HD85" s="866"/>
      <c r="HE85" s="866"/>
      <c r="HF85" s="866"/>
      <c r="HG85" s="866"/>
      <c r="HH85" s="866"/>
      <c r="HI85" s="866"/>
      <c r="HJ85" s="866"/>
      <c r="HK85" s="866"/>
      <c r="HL85" s="866"/>
      <c r="HM85" s="866"/>
      <c r="HN85" s="866"/>
      <c r="HO85" s="866"/>
      <c r="HP85" s="866"/>
      <c r="HQ85" s="866"/>
      <c r="HR85" s="866"/>
      <c r="HS85" s="866"/>
      <c r="HT85" s="866"/>
      <c r="HU85" s="866"/>
      <c r="HV85" s="866"/>
      <c r="HW85" s="866"/>
      <c r="HX85" s="866"/>
      <c r="HY85" s="866"/>
      <c r="HZ85" s="866"/>
      <c r="IA85" s="866"/>
      <c r="IB85" s="866"/>
      <c r="IC85" s="866"/>
      <c r="ID85" s="866"/>
      <c r="IE85" s="866"/>
      <c r="IF85" s="866"/>
      <c r="IG85" s="866"/>
      <c r="IH85" s="866"/>
      <c r="II85" s="866"/>
      <c r="IJ85" s="866"/>
      <c r="IK85" s="866"/>
      <c r="IL85" s="866"/>
      <c r="IM85" s="866"/>
      <c r="IN85" s="866"/>
      <c r="IO85" s="866"/>
      <c r="IP85" s="866"/>
      <c r="IQ85" s="866"/>
      <c r="IR85" s="866"/>
      <c r="IS85" s="866"/>
      <c r="IT85" s="866"/>
      <c r="IU85" s="866"/>
      <c r="IV85" s="866"/>
    </row>
    <row r="86" spans="1:256" s="866" customFormat="1" ht="18"/>
    <row r="87" spans="1:256" s="866" customFormat="1" ht="18"/>
    <row r="88" spans="1:256" s="866" customFormat="1" ht="18"/>
    <row r="89" spans="1:256" s="866" customFormat="1" ht="18"/>
    <row r="90" spans="1:256" s="866" customFormat="1" ht="18"/>
    <row r="91" spans="1:256" s="866" customFormat="1" ht="18"/>
    <row r="92" spans="1:256" s="866" customFormat="1" ht="18"/>
    <row r="93" spans="1:256" s="866" customFormat="1" ht="18"/>
    <row r="94" spans="1:256" s="866" customFormat="1" ht="18"/>
    <row r="95" spans="1:256" s="866" customFormat="1" ht="18"/>
    <row r="96" spans="1:256" s="866" customFormat="1" ht="18"/>
    <row r="97" s="866" customFormat="1" ht="18"/>
    <row r="98" s="866" customFormat="1" ht="18"/>
    <row r="99" s="866" customFormat="1" ht="18"/>
    <row r="100" s="866" customFormat="1" ht="18"/>
    <row r="101" s="866" customFormat="1" ht="18"/>
    <row r="102" s="866" customFormat="1" ht="18"/>
    <row r="103" s="866" customFormat="1" ht="18"/>
    <row r="104" s="866" customFormat="1" ht="18"/>
    <row r="105" s="866" customFormat="1" ht="18"/>
    <row r="106" s="866" customFormat="1" ht="18"/>
    <row r="107" s="866" customFormat="1" ht="18"/>
    <row r="108" s="866" customFormat="1" ht="18"/>
    <row r="109" s="866" customFormat="1" ht="18"/>
    <row r="110" s="866" customFormat="1" ht="18"/>
    <row r="111" s="866" customFormat="1" ht="18"/>
    <row r="112" s="866" customFormat="1" ht="18"/>
    <row r="113" s="866" customFormat="1" ht="18"/>
    <row r="114" s="866" customFormat="1" ht="18"/>
    <row r="115" s="866" customFormat="1" ht="18"/>
    <row r="116" s="866" customFormat="1" ht="18"/>
    <row r="117" s="866" customFormat="1" ht="18"/>
    <row r="118" s="866" customFormat="1" ht="18"/>
    <row r="119" s="866" customFormat="1" ht="18"/>
    <row r="120" s="866" customFormat="1" ht="18"/>
    <row r="121" s="866" customFormat="1" ht="18"/>
    <row r="122" s="866" customFormat="1" ht="18"/>
    <row r="123" s="866" customFormat="1" ht="18"/>
    <row r="124" s="866" customFormat="1" ht="18"/>
    <row r="125" s="866" customFormat="1" ht="18"/>
    <row r="126" s="866" customFormat="1" ht="18"/>
    <row r="127" s="866" customFormat="1" ht="18"/>
    <row r="128" s="866" customFormat="1" ht="18"/>
    <row r="129" s="866" customFormat="1" ht="18"/>
    <row r="130" s="866" customFormat="1" ht="18"/>
    <row r="131" s="866" customFormat="1" ht="18"/>
    <row r="132" s="866" customFormat="1" ht="18"/>
    <row r="133" s="866" customFormat="1" ht="18"/>
    <row r="134" s="866" customFormat="1" ht="18"/>
    <row r="135" s="866" customFormat="1" ht="18"/>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3"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2"/>
  <sheetViews>
    <sheetView showGridLines="0" zoomScale="70" zoomScaleNormal="80" workbookViewId="0"/>
  </sheetViews>
  <sheetFormatPr defaultColWidth="8.88671875" defaultRowHeight="12.75"/>
  <cols>
    <col min="1" max="1" width="53.5546875" style="893" customWidth="1"/>
    <col min="2" max="2" width="1.88671875" style="893" customWidth="1"/>
    <col min="3" max="3" width="2.6640625" style="893" customWidth="1"/>
    <col min="4" max="4" width="20.21875" style="893" customWidth="1"/>
    <col min="5" max="5" width="7.88671875" style="893" customWidth="1"/>
    <col min="6" max="6" width="18.6640625" style="893" customWidth="1"/>
    <col min="7" max="7" width="7.77734375" style="893" customWidth="1"/>
    <col min="8" max="8" width="18.6640625" style="893" customWidth="1"/>
    <col min="9" max="9" width="7.6640625" style="893" customWidth="1"/>
    <col min="10" max="10" width="21.88671875" style="893" customWidth="1"/>
    <col min="11" max="11" width="10.6640625" style="893" customWidth="1"/>
    <col min="12" max="16384" width="8.88671875" style="893"/>
  </cols>
  <sheetData>
    <row r="1" spans="1:10" ht="15">
      <c r="A1" s="1159" t="s">
        <v>1090</v>
      </c>
    </row>
    <row r="2" spans="1:10" ht="15">
      <c r="A2" s="1652"/>
    </row>
    <row r="3" spans="1:10" ht="18">
      <c r="A3" s="849" t="s">
        <v>0</v>
      </c>
      <c r="B3" s="854"/>
      <c r="C3" s="854"/>
      <c r="D3" s="854"/>
      <c r="E3" s="854"/>
      <c r="F3" s="854"/>
      <c r="G3" s="849"/>
      <c r="H3" s="849"/>
      <c r="I3" s="849"/>
      <c r="J3" s="892" t="s">
        <v>398</v>
      </c>
    </row>
    <row r="4" spans="1:10" ht="18">
      <c r="A4" s="849" t="s">
        <v>399</v>
      </c>
      <c r="B4" s="854"/>
      <c r="C4" s="849"/>
      <c r="D4" s="854"/>
      <c r="E4" s="854"/>
      <c r="F4" s="854"/>
      <c r="G4" s="849"/>
      <c r="H4" s="849"/>
      <c r="I4" s="849"/>
      <c r="J4" s="849"/>
    </row>
    <row r="5" spans="1:10" ht="18">
      <c r="A5" s="849" t="s">
        <v>400</v>
      </c>
      <c r="B5" s="854"/>
      <c r="C5" s="849"/>
      <c r="D5" s="854"/>
      <c r="E5" s="854"/>
      <c r="F5" s="854"/>
      <c r="G5" s="849"/>
      <c r="H5" s="849"/>
      <c r="I5" s="849"/>
      <c r="J5" s="849"/>
    </row>
    <row r="6" spans="1:10" ht="18">
      <c r="A6" s="894" t="s">
        <v>1564</v>
      </c>
      <c r="B6" s="854"/>
      <c r="C6" s="849"/>
      <c r="D6" s="854"/>
      <c r="E6" s="854"/>
      <c r="F6" s="854"/>
      <c r="G6" s="849"/>
      <c r="H6" s="849"/>
      <c r="I6" s="849"/>
      <c r="J6" s="849"/>
    </row>
    <row r="7" spans="1:10" ht="18">
      <c r="A7" s="849" t="s">
        <v>979</v>
      </c>
      <c r="B7" s="854"/>
      <c r="C7" s="849"/>
      <c r="D7" s="854"/>
      <c r="E7" s="854"/>
      <c r="F7" s="854"/>
      <c r="G7" s="849"/>
      <c r="H7" s="849"/>
      <c r="I7" s="849"/>
      <c r="J7" s="849"/>
    </row>
    <row r="8" spans="1:10" ht="18">
      <c r="A8" s="849"/>
      <c r="B8" s="854"/>
      <c r="C8" s="849"/>
      <c r="D8" s="854"/>
      <c r="E8" s="854"/>
      <c r="F8" s="854"/>
      <c r="G8" s="849"/>
      <c r="H8" s="849"/>
      <c r="I8" s="849"/>
      <c r="J8" s="849"/>
    </row>
    <row r="9" spans="1:10" ht="18">
      <c r="A9" s="849"/>
      <c r="B9" s="849"/>
      <c r="C9" s="849"/>
      <c r="D9" s="849"/>
      <c r="E9" s="849"/>
      <c r="F9" s="849"/>
      <c r="G9" s="849"/>
      <c r="H9" s="849"/>
      <c r="I9" s="849"/>
      <c r="J9" s="849"/>
    </row>
    <row r="10" spans="1:10" ht="18">
      <c r="A10" s="849"/>
      <c r="B10" s="849"/>
      <c r="C10" s="849"/>
      <c r="D10" s="895"/>
      <c r="E10" s="849"/>
      <c r="F10" s="849"/>
      <c r="G10" s="849"/>
      <c r="H10" s="849"/>
      <c r="I10" s="849"/>
      <c r="J10" s="895"/>
    </row>
    <row r="11" spans="1:10" ht="18">
      <c r="A11" s="849"/>
      <c r="B11" s="849"/>
      <c r="C11" s="849"/>
      <c r="D11" s="895" t="s">
        <v>241</v>
      </c>
      <c r="E11" s="849"/>
      <c r="F11" s="849"/>
      <c r="G11" s="849"/>
      <c r="H11" s="849"/>
      <c r="I11" s="849"/>
      <c r="J11" s="895" t="s">
        <v>241</v>
      </c>
    </row>
    <row r="12" spans="1:10" ht="18">
      <c r="A12" s="896" t="s">
        <v>367</v>
      </c>
      <c r="B12" s="849"/>
      <c r="C12" s="849"/>
      <c r="D12" s="1771" t="s">
        <v>1565</v>
      </c>
      <c r="E12" s="849"/>
      <c r="F12" s="895" t="s">
        <v>243</v>
      </c>
      <c r="G12" s="849"/>
      <c r="H12" s="895" t="s">
        <v>244</v>
      </c>
      <c r="I12" s="849"/>
      <c r="J12" s="1769" t="s">
        <v>1563</v>
      </c>
    </row>
    <row r="13" spans="1:10" ht="18">
      <c r="A13" s="896"/>
      <c r="B13" s="849"/>
      <c r="C13" s="849"/>
      <c r="D13" s="897"/>
      <c r="E13" s="849"/>
      <c r="F13" s="897"/>
      <c r="G13" s="849"/>
      <c r="H13" s="898" t="s">
        <v>240</v>
      </c>
      <c r="I13" s="849"/>
      <c r="J13" s="897"/>
    </row>
    <row r="14" spans="1:10" ht="18">
      <c r="A14" s="899" t="s">
        <v>401</v>
      </c>
      <c r="B14" s="849"/>
      <c r="C14" s="849"/>
      <c r="D14" s="849"/>
      <c r="E14" s="849"/>
      <c r="F14" s="900"/>
      <c r="G14" s="849"/>
      <c r="H14" s="849"/>
      <c r="I14" s="849"/>
      <c r="J14" s="849"/>
    </row>
    <row r="15" spans="1:10" ht="24.95" customHeight="1">
      <c r="A15" s="854" t="s">
        <v>402</v>
      </c>
      <c r="B15" s="849"/>
      <c r="C15" s="854"/>
      <c r="D15" s="901">
        <v>2.726</v>
      </c>
      <c r="E15" s="901"/>
      <c r="F15" s="836">
        <v>1E-3</v>
      </c>
      <c r="G15" s="836"/>
      <c r="H15" s="836">
        <v>0</v>
      </c>
      <c r="I15" s="901"/>
      <c r="J15" s="901">
        <f>ROUND(D15+F15-H15,3)</f>
        <v>2.7269999999999999</v>
      </c>
    </row>
    <row r="16" spans="1:10" ht="24.95" customHeight="1">
      <c r="A16" s="902" t="s">
        <v>403</v>
      </c>
      <c r="B16" s="854"/>
      <c r="C16" s="854"/>
      <c r="D16" s="1306">
        <v>1826.482</v>
      </c>
      <c r="E16" s="903"/>
      <c r="F16" s="843">
        <v>7499.9579999999996</v>
      </c>
      <c r="G16" s="839"/>
      <c r="H16" s="843">
        <v>7290.5159999999996</v>
      </c>
      <c r="I16" s="839"/>
      <c r="J16" s="838">
        <f>ROUND(D16+F16-H16,3)</f>
        <v>2035.924</v>
      </c>
    </row>
    <row r="17" spans="1:14" ht="24.95" customHeight="1">
      <c r="A17" s="854" t="s">
        <v>404</v>
      </c>
      <c r="B17" s="854"/>
      <c r="C17" s="854"/>
      <c r="D17" s="840">
        <v>0</v>
      </c>
      <c r="E17" s="903"/>
      <c r="F17" s="3392">
        <v>238.52799999999999</v>
      </c>
      <c r="G17" s="839"/>
      <c r="H17" s="3392">
        <v>238.52799999999999</v>
      </c>
      <c r="I17" s="903"/>
      <c r="J17" s="1306">
        <f>ROUND(D17+F17-H17,3)</f>
        <v>0</v>
      </c>
    </row>
    <row r="18" spans="1:14" ht="24.95" customHeight="1" thickBot="1">
      <c r="A18" s="904" t="s">
        <v>405</v>
      </c>
      <c r="B18" s="854"/>
      <c r="C18" s="854"/>
      <c r="D18" s="905">
        <f>ROUND(SUM(D15:D17),3)</f>
        <v>1829.2080000000001</v>
      </c>
      <c r="E18" s="906"/>
      <c r="F18" s="3035">
        <f>ROUND(SUM(F15:F17),3)</f>
        <v>7738.4870000000001</v>
      </c>
      <c r="G18" s="906"/>
      <c r="H18" s="3035">
        <f>ROUND(SUM(H15:H17),3)</f>
        <v>7529.0439999999999</v>
      </c>
      <c r="I18" s="906"/>
      <c r="J18" s="905">
        <f>ROUND(SUM(J15:J17),3)</f>
        <v>2038.6510000000001</v>
      </c>
      <c r="K18" s="907"/>
      <c r="L18" s="907"/>
      <c r="M18" s="907"/>
      <c r="N18" s="907"/>
    </row>
    <row r="19" spans="1:14" ht="18.75" thickTop="1">
      <c r="A19" s="854"/>
      <c r="B19" s="854"/>
      <c r="C19" s="854"/>
      <c r="D19" s="908"/>
      <c r="E19" s="854"/>
      <c r="F19" s="908"/>
      <c r="G19" s="854"/>
      <c r="H19" s="908"/>
      <c r="I19" s="854"/>
      <c r="J19" s="908"/>
    </row>
    <row r="20" spans="1:14" ht="18">
      <c r="A20" s="854"/>
      <c r="B20" s="854"/>
      <c r="C20" s="854"/>
      <c r="D20" s="908"/>
      <c r="E20" s="854"/>
      <c r="F20" s="908"/>
      <c r="G20" s="854"/>
      <c r="H20" s="908"/>
      <c r="I20" s="854"/>
      <c r="J20" s="908"/>
    </row>
    <row r="21" spans="1:14" ht="18">
      <c r="A21" s="854"/>
      <c r="B21" s="854"/>
      <c r="C21" s="854"/>
      <c r="D21" s="908"/>
      <c r="E21" s="854"/>
      <c r="F21" s="908"/>
      <c r="G21" s="854"/>
      <c r="H21" s="908"/>
      <c r="I21" s="854"/>
      <c r="J21" s="908"/>
    </row>
    <row r="22" spans="1:14" ht="18.75" customHeight="1">
      <c r="A22" s="3294" t="s">
        <v>406</v>
      </c>
      <c r="B22" s="854"/>
      <c r="C22" s="854"/>
      <c r="D22" s="854"/>
      <c r="E22" s="854"/>
      <c r="F22" s="854" t="s">
        <v>15</v>
      </c>
      <c r="G22" s="854"/>
      <c r="H22" s="854"/>
      <c r="I22" s="854"/>
      <c r="J22" s="854"/>
    </row>
    <row r="23" spans="1:14" ht="6" customHeight="1"/>
    <row r="24" spans="1:14" ht="56.25" customHeight="1">
      <c r="A24" s="3522" t="s">
        <v>1102</v>
      </c>
      <c r="B24" s="3523"/>
      <c r="C24" s="3523"/>
      <c r="D24" s="3523"/>
      <c r="E24" s="3523"/>
      <c r="F24" s="3523"/>
      <c r="G24" s="3523"/>
      <c r="H24" s="3523"/>
      <c r="I24" s="3523"/>
      <c r="J24" s="3523"/>
    </row>
    <row r="25" spans="1:14" ht="32.25" customHeight="1">
      <c r="A25" s="3524" t="s">
        <v>1588</v>
      </c>
      <c r="B25" s="3525"/>
      <c r="C25" s="3525"/>
      <c r="D25" s="3525"/>
      <c r="E25" s="3525"/>
      <c r="F25" s="3525"/>
      <c r="G25" s="3525"/>
      <c r="H25" s="3525"/>
      <c r="I25" s="3525"/>
      <c r="J25" s="3525"/>
    </row>
    <row r="26" spans="1:14" ht="18.75" customHeight="1">
      <c r="A26" s="3526"/>
      <c r="B26" s="3527"/>
      <c r="C26" s="3527"/>
      <c r="D26" s="3527"/>
      <c r="E26" s="3527"/>
      <c r="F26" s="3527"/>
      <c r="G26" s="3527"/>
      <c r="H26" s="3527"/>
      <c r="I26" s="3527"/>
      <c r="J26" s="3527"/>
    </row>
    <row r="27" spans="1:14" ht="18" customHeight="1">
      <c r="A27" s="909"/>
      <c r="B27" s="910"/>
      <c r="C27" s="910"/>
      <c r="D27" s="910"/>
      <c r="E27" s="910"/>
      <c r="F27" s="910"/>
      <c r="G27" s="910"/>
      <c r="H27" s="910"/>
      <c r="I27" s="910"/>
      <c r="J27" s="910"/>
    </row>
    <row r="28" spans="1:14" ht="20.25" customHeight="1">
      <c r="A28" s="3528"/>
      <c r="B28" s="3527"/>
      <c r="C28" s="3527"/>
      <c r="D28" s="3527"/>
      <c r="E28" s="3527"/>
      <c r="F28" s="3527"/>
      <c r="G28" s="3527"/>
      <c r="H28" s="3527"/>
      <c r="I28" s="3527"/>
      <c r="J28" s="3527"/>
    </row>
    <row r="29" spans="1:14" ht="20.25" customHeight="1">
      <c r="A29" s="911"/>
      <c r="B29" s="910"/>
      <c r="C29" s="910"/>
      <c r="D29" s="910"/>
      <c r="E29" s="910"/>
      <c r="F29" s="910"/>
      <c r="G29" s="910"/>
      <c r="H29" s="910"/>
      <c r="I29" s="910"/>
      <c r="J29" s="910"/>
    </row>
    <row r="30" spans="1:14" ht="20.25" customHeight="1">
      <c r="A30" s="911"/>
      <c r="B30" s="910"/>
      <c r="C30" s="910"/>
      <c r="D30" s="910"/>
      <c r="E30" s="910"/>
      <c r="F30" s="910"/>
      <c r="G30" s="910"/>
      <c r="H30" s="910"/>
      <c r="I30" s="910"/>
      <c r="J30" s="910"/>
    </row>
    <row r="31" spans="1:14" ht="20.25" customHeight="1">
      <c r="A31" s="911"/>
      <c r="B31" s="910"/>
      <c r="C31" s="910"/>
      <c r="D31" s="910"/>
      <c r="E31" s="910"/>
      <c r="F31" s="910"/>
      <c r="G31" s="910"/>
      <c r="H31" s="910"/>
      <c r="I31" s="910"/>
      <c r="J31" s="910"/>
    </row>
    <row r="32" spans="1:14" ht="20.25" customHeight="1">
      <c r="A32" s="911"/>
      <c r="B32" s="910"/>
      <c r="C32" s="910"/>
      <c r="D32" s="910"/>
      <c r="E32" s="910"/>
      <c r="F32" s="910"/>
      <c r="G32" s="910"/>
      <c r="H32" s="910"/>
      <c r="I32" s="910"/>
      <c r="J32" s="910"/>
    </row>
    <row r="33" spans="1:10" ht="20.25" customHeight="1">
      <c r="A33" s="911"/>
      <c r="B33" s="910"/>
      <c r="C33" s="910"/>
      <c r="D33" s="910"/>
      <c r="E33" s="910"/>
      <c r="F33" s="910"/>
      <c r="G33" s="910"/>
      <c r="H33" s="910"/>
      <c r="I33" s="910"/>
      <c r="J33" s="910"/>
    </row>
    <row r="34" spans="1:10" ht="20.25" customHeight="1">
      <c r="A34" s="911"/>
      <c r="B34" s="910"/>
      <c r="C34" s="910"/>
      <c r="D34" s="910"/>
      <c r="E34" s="910"/>
      <c r="F34" s="910"/>
      <c r="G34" s="910"/>
      <c r="H34" s="910"/>
      <c r="I34" s="910"/>
      <c r="J34" s="910"/>
    </row>
    <row r="35" spans="1:10" ht="20.25" customHeight="1">
      <c r="A35" s="911"/>
      <c r="B35" s="910"/>
      <c r="C35" s="910"/>
      <c r="D35" s="910"/>
      <c r="E35" s="910"/>
      <c r="F35" s="910"/>
      <c r="G35" s="910"/>
      <c r="H35" s="910"/>
      <c r="I35" s="910"/>
      <c r="J35" s="910"/>
    </row>
    <row r="36" spans="1:10" ht="20.25" customHeight="1">
      <c r="A36" s="911"/>
      <c r="B36" s="910"/>
      <c r="C36" s="910"/>
      <c r="D36" s="910"/>
      <c r="E36" s="910"/>
      <c r="F36" s="910"/>
      <c r="G36" s="910"/>
      <c r="H36" s="910"/>
      <c r="I36" s="910"/>
      <c r="J36" s="910"/>
    </row>
    <row r="37" spans="1:10" ht="20.25" customHeight="1">
      <c r="A37" s="911"/>
      <c r="B37" s="910"/>
      <c r="C37" s="910"/>
      <c r="D37" s="910"/>
      <c r="E37" s="910"/>
      <c r="F37" s="910"/>
      <c r="G37" s="910"/>
      <c r="H37" s="910"/>
      <c r="I37" s="910"/>
      <c r="J37" s="910"/>
    </row>
    <row r="38" spans="1:10" ht="20.25" customHeight="1">
      <c r="A38" s="911"/>
      <c r="B38" s="910"/>
      <c r="C38" s="910"/>
      <c r="D38" s="910"/>
      <c r="E38" s="910"/>
      <c r="F38" s="910"/>
      <c r="G38" s="910"/>
      <c r="H38" s="910"/>
      <c r="I38" s="910"/>
      <c r="J38" s="910"/>
    </row>
    <row r="39" spans="1:10" ht="20.25" customHeight="1">
      <c r="A39" s="911"/>
      <c r="B39" s="910"/>
      <c r="C39" s="910"/>
      <c r="D39" s="910"/>
      <c r="E39" s="910"/>
      <c r="F39" s="910"/>
      <c r="G39" s="910"/>
      <c r="H39" s="910"/>
      <c r="I39" s="910"/>
      <c r="J39" s="910"/>
    </row>
    <row r="40" spans="1:10" ht="20.25" customHeight="1">
      <c r="A40" s="911"/>
      <c r="B40" s="910"/>
      <c r="C40" s="910"/>
      <c r="D40" s="910"/>
      <c r="E40" s="910"/>
      <c r="F40" s="910"/>
      <c r="G40" s="910"/>
      <c r="H40" s="910"/>
      <c r="I40" s="910"/>
      <c r="J40" s="910"/>
    </row>
    <row r="41" spans="1:10" ht="21" customHeight="1"/>
    <row r="42" spans="1:10" ht="21" customHeight="1">
      <c r="A42" s="911"/>
      <c r="B42" s="910"/>
      <c r="C42" s="910"/>
      <c r="D42" s="910"/>
      <c r="E42" s="910"/>
      <c r="F42" s="910"/>
      <c r="G42" s="910"/>
      <c r="H42" s="910"/>
      <c r="I42" s="910"/>
      <c r="J42" s="910"/>
    </row>
    <row r="43" spans="1:10" ht="18" customHeight="1">
      <c r="A43" s="912"/>
      <c r="B43" s="913"/>
      <c r="C43" s="914"/>
      <c r="D43" s="915"/>
      <c r="E43" s="914"/>
      <c r="F43" s="915"/>
      <c r="G43" s="914"/>
      <c r="H43" s="915"/>
      <c r="I43" s="916"/>
    </row>
    <row r="44" spans="1:10" ht="18" customHeight="1">
      <c r="A44" s="917"/>
      <c r="B44" s="913"/>
      <c r="C44" s="913"/>
      <c r="D44" s="915"/>
      <c r="E44" s="913"/>
      <c r="F44" s="918"/>
      <c r="G44" s="915"/>
      <c r="H44" s="915"/>
      <c r="I44" s="916"/>
    </row>
    <row r="45" spans="1:10" ht="18" customHeight="1">
      <c r="A45" s="917"/>
      <c r="B45" s="913"/>
      <c r="C45" s="913"/>
      <c r="D45" s="915"/>
      <c r="E45" s="913"/>
      <c r="F45" s="918"/>
      <c r="G45" s="915"/>
      <c r="H45" s="915"/>
      <c r="I45" s="916"/>
    </row>
    <row r="46" spans="1:10" ht="18" customHeight="1">
      <c r="A46" s="917"/>
      <c r="B46" s="913"/>
      <c r="C46" s="913"/>
      <c r="D46" s="915"/>
      <c r="E46" s="913"/>
      <c r="F46" s="918"/>
      <c r="G46" s="915"/>
      <c r="H46" s="915"/>
      <c r="I46" s="916"/>
    </row>
    <row r="47" spans="1:10" ht="18" customHeight="1">
      <c r="A47" s="917"/>
      <c r="B47" s="913"/>
      <c r="C47" s="913"/>
      <c r="D47" s="915"/>
      <c r="E47" s="913"/>
      <c r="F47" s="915"/>
      <c r="G47" s="915"/>
      <c r="H47" s="919"/>
      <c r="I47" s="916"/>
    </row>
    <row r="48" spans="1:10" ht="18" customHeight="1">
      <c r="A48" s="920"/>
      <c r="B48" s="913"/>
      <c r="C48" s="913"/>
      <c r="D48" s="915"/>
      <c r="E48" s="913"/>
      <c r="F48" s="915"/>
      <c r="G48" s="915"/>
      <c r="H48" s="915"/>
      <c r="I48" s="916"/>
    </row>
    <row r="49" spans="1:9" ht="18" customHeight="1">
      <c r="A49" s="921"/>
      <c r="B49" s="913"/>
      <c r="C49" s="913"/>
      <c r="D49" s="915"/>
      <c r="E49" s="913"/>
      <c r="F49" s="919"/>
      <c r="G49" s="915"/>
      <c r="H49" s="915"/>
      <c r="I49" s="916"/>
    </row>
    <row r="50" spans="1:9" ht="18" customHeight="1">
      <c r="A50" s="917"/>
      <c r="B50" s="913"/>
      <c r="C50" s="913"/>
      <c r="D50" s="915"/>
      <c r="E50" s="913"/>
      <c r="F50" s="918"/>
      <c r="G50" s="915"/>
      <c r="H50" s="915"/>
      <c r="I50" s="916"/>
    </row>
    <row r="51" spans="1:9" ht="18" customHeight="1">
      <c r="A51" s="917"/>
      <c r="B51" s="913"/>
      <c r="C51" s="913"/>
      <c r="D51" s="915"/>
      <c r="E51" s="913"/>
      <c r="F51" s="922"/>
      <c r="G51" s="915"/>
      <c r="H51" s="919"/>
      <c r="I51" s="916"/>
    </row>
    <row r="52" spans="1:9" ht="18" customHeight="1">
      <c r="A52" s="920"/>
      <c r="B52" s="913"/>
      <c r="C52" s="914"/>
      <c r="D52" s="923"/>
      <c r="E52" s="914"/>
      <c r="G52" s="914"/>
      <c r="H52" s="923"/>
      <c r="I52" s="916"/>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4:J24"/>
    <mergeCell ref="A25:J25"/>
    <mergeCell ref="A26:J26"/>
    <mergeCell ref="A28:J28"/>
  </mergeCells>
  <pageMargins left="0.5" right="0.5" top="1" bottom="0.5" header="0" footer="0.25"/>
  <pageSetup scale="67" firstPageNumber="44"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3"/>
  <sheetViews>
    <sheetView showGridLines="0" zoomScale="80" zoomScaleNormal="80" workbookViewId="0"/>
  </sheetViews>
  <sheetFormatPr defaultColWidth="8.88671875" defaultRowHeight="12.75"/>
  <cols>
    <col min="1" max="1" width="40.21875" style="1127" customWidth="1"/>
    <col min="2" max="2" width="2.109375" style="1127" customWidth="1"/>
    <col min="3" max="3" width="18.33203125" style="1127" bestFit="1" customWidth="1"/>
    <col min="4" max="4" width="2.109375" style="1127" customWidth="1"/>
    <col min="5" max="5" width="16.44140625" style="1127" customWidth="1"/>
    <col min="6" max="6" width="2.109375" style="1127" customWidth="1"/>
    <col min="7" max="7" width="17.109375" style="1127" bestFit="1" customWidth="1"/>
    <col min="8" max="8" width="2.109375" style="1127" customWidth="1"/>
    <col min="9" max="9" width="15.5546875" style="1128" customWidth="1"/>
    <col min="10" max="10" width="2.109375" style="1127" customWidth="1"/>
    <col min="11" max="11" width="16.44140625" style="1128" bestFit="1" customWidth="1"/>
    <col min="12" max="12" width="2.109375" style="1127" customWidth="1"/>
    <col min="13" max="13" width="18.33203125" style="1564" bestFit="1" customWidth="1"/>
    <col min="14" max="14" width="1.88671875" style="1127" customWidth="1"/>
    <col min="15" max="15" width="1.33203125" style="1127" customWidth="1"/>
    <col min="16" max="16" width="2" style="1127" customWidth="1"/>
    <col min="17" max="17" width="16" style="1127" bestFit="1" customWidth="1"/>
    <col min="18" max="18" width="2.109375" style="1127" customWidth="1"/>
    <col min="19" max="19" width="16.44140625" style="1127" bestFit="1" customWidth="1"/>
    <col min="20" max="20" width="11.77734375" style="1127" customWidth="1"/>
    <col min="21" max="21" width="12.44140625" style="1127" customWidth="1"/>
    <col min="22" max="22" width="8" style="1127" bestFit="1" customWidth="1"/>
    <col min="23" max="16384" width="8.88671875" style="1127"/>
  </cols>
  <sheetData>
    <row r="1" spans="1:23" ht="15">
      <c r="A1" s="1159" t="s">
        <v>1090</v>
      </c>
    </row>
    <row r="2" spans="1:23" ht="15">
      <c r="A2" s="3118"/>
    </row>
    <row r="3" spans="1:23" ht="18">
      <c r="A3" s="1126" t="s">
        <v>0</v>
      </c>
      <c r="S3" s="1126" t="s">
        <v>407</v>
      </c>
    </row>
    <row r="4" spans="1:23" ht="18">
      <c r="A4" s="1126" t="s">
        <v>190</v>
      </c>
      <c r="J4" s="1127" t="s">
        <v>15</v>
      </c>
    </row>
    <row r="5" spans="1:23" ht="18">
      <c r="A5" s="1126" t="s">
        <v>408</v>
      </c>
    </row>
    <row r="6" spans="1:23" ht="18">
      <c r="A6" s="3119" t="s">
        <v>1411</v>
      </c>
    </row>
    <row r="9" spans="1:23">
      <c r="C9" s="2907"/>
      <c r="D9" s="2911"/>
      <c r="E9" s="3154"/>
      <c r="F9" s="3117" t="s">
        <v>1350</v>
      </c>
      <c r="G9" s="3117"/>
      <c r="H9" s="2912"/>
      <c r="I9" s="2913" t="s">
        <v>1110</v>
      </c>
      <c r="J9" s="2914"/>
      <c r="K9" s="2914"/>
      <c r="L9" s="2907"/>
      <c r="M9" s="2907"/>
      <c r="N9" s="2907"/>
      <c r="O9" s="2915"/>
      <c r="P9" s="2907"/>
      <c r="Q9" s="2916" t="s">
        <v>1046</v>
      </c>
      <c r="R9" s="2916"/>
      <c r="S9" s="2916"/>
    </row>
    <row r="10" spans="1:23">
      <c r="C10" s="2917" t="s">
        <v>125</v>
      </c>
      <c r="D10" s="2907"/>
      <c r="E10" s="2907"/>
      <c r="F10" s="2909" t="s">
        <v>15</v>
      </c>
      <c r="G10" s="2909" t="s">
        <v>15</v>
      </c>
      <c r="H10" s="2907"/>
      <c r="I10" s="2910" t="s">
        <v>15</v>
      </c>
      <c r="J10" s="2909" t="s">
        <v>15</v>
      </c>
      <c r="K10" s="2910" t="s">
        <v>15</v>
      </c>
      <c r="L10" s="2907"/>
      <c r="M10" s="2918" t="s">
        <v>125</v>
      </c>
      <c r="N10" s="2907"/>
      <c r="O10" s="2919"/>
      <c r="P10" s="2907"/>
      <c r="Q10" s="2909" t="s">
        <v>15</v>
      </c>
      <c r="R10" s="2909" t="s">
        <v>15</v>
      </c>
      <c r="S10" s="2909" t="s">
        <v>15</v>
      </c>
    </row>
    <row r="11" spans="1:23">
      <c r="C11" s="2917" t="s">
        <v>409</v>
      </c>
      <c r="D11" s="2907"/>
      <c r="E11" s="2917" t="s">
        <v>7</v>
      </c>
      <c r="F11" s="2907"/>
      <c r="G11" s="2920" t="s">
        <v>1562</v>
      </c>
      <c r="H11" s="2907"/>
      <c r="I11" s="2917" t="s">
        <v>410</v>
      </c>
      <c r="J11" s="2909" t="s">
        <v>15</v>
      </c>
      <c r="K11" s="2917" t="str">
        <f>G11</f>
        <v>10 MONTHS ENDED</v>
      </c>
      <c r="L11" s="2907"/>
      <c r="M11" s="2918" t="s">
        <v>409</v>
      </c>
      <c r="N11" s="2907"/>
      <c r="O11" s="2919"/>
      <c r="P11" s="2907"/>
      <c r="Q11" s="2917" t="s">
        <v>410</v>
      </c>
      <c r="R11" s="2909" t="s">
        <v>15</v>
      </c>
      <c r="S11" s="2917" t="str">
        <f>K11</f>
        <v>10 MONTHS ENDED</v>
      </c>
    </row>
    <row r="12" spans="1:23">
      <c r="A12" s="3120" t="s">
        <v>411</v>
      </c>
      <c r="C12" s="2921" t="s">
        <v>1412</v>
      </c>
      <c r="D12" s="2907"/>
      <c r="E12" s="2913" t="s">
        <v>137</v>
      </c>
      <c r="F12" s="2907"/>
      <c r="G12" s="3121" t="s">
        <v>1563</v>
      </c>
      <c r="H12" s="2907"/>
      <c r="I12" s="2913" t="str">
        <f>E12</f>
        <v>JANUARY</v>
      </c>
      <c r="J12" s="2907"/>
      <c r="K12" s="2908" t="str">
        <f>G12</f>
        <v>JANUARY 31, 2017</v>
      </c>
      <c r="L12" s="2907"/>
      <c r="M12" s="2908" t="str">
        <f>K12</f>
        <v>JANUARY 31, 2017</v>
      </c>
      <c r="N12" s="2907"/>
      <c r="O12" s="2919"/>
      <c r="P12" s="2907"/>
      <c r="Q12" s="2913" t="str">
        <f>E12</f>
        <v>JANUARY</v>
      </c>
      <c r="R12" s="2907"/>
      <c r="S12" s="2908" t="str">
        <f>M12</f>
        <v>JANUARY 31, 2017</v>
      </c>
    </row>
    <row r="13" spans="1:23">
      <c r="K13" s="3027"/>
      <c r="O13" s="3122"/>
    </row>
    <row r="14" spans="1:23">
      <c r="A14" s="1129" t="s">
        <v>412</v>
      </c>
      <c r="K14" s="3027"/>
      <c r="O14" s="3122"/>
      <c r="Q14" s="1128"/>
    </row>
    <row r="15" spans="1:23" ht="12" customHeight="1">
      <c r="A15" s="1129"/>
      <c r="K15" s="3027"/>
      <c r="M15" s="1564" t="s">
        <v>15</v>
      </c>
      <c r="O15" s="3122"/>
      <c r="Q15" s="1128"/>
    </row>
    <row r="16" spans="1:23">
      <c r="A16" s="1127" t="s">
        <v>1111</v>
      </c>
      <c r="B16" s="1128"/>
      <c r="C16" s="3024">
        <v>106955627.05</v>
      </c>
      <c r="D16" s="1128"/>
      <c r="E16" s="3024">
        <v>0</v>
      </c>
      <c r="F16" s="3025"/>
      <c r="G16" s="3024">
        <v>0</v>
      </c>
      <c r="H16" s="1128"/>
      <c r="I16" s="3024">
        <v>0</v>
      </c>
      <c r="J16" s="1128"/>
      <c r="K16" s="3024">
        <v>39577627.630000003</v>
      </c>
      <c r="L16" s="1128"/>
      <c r="M16" s="3026">
        <f>ROUND(SUM(C16)-SUM(K16)+SUM(G16),2)</f>
        <v>67377999.420000002</v>
      </c>
      <c r="N16" s="1142"/>
      <c r="O16" s="3123"/>
      <c r="P16" s="1128"/>
      <c r="Q16" s="3359">
        <v>0</v>
      </c>
      <c r="R16" s="3360"/>
      <c r="S16" s="3359">
        <v>3644904.68</v>
      </c>
      <c r="T16" s="3359"/>
      <c r="U16" s="1496"/>
      <c r="V16" s="1497"/>
      <c r="W16" s="1366"/>
    </row>
    <row r="17" spans="1:23">
      <c r="C17" s="1364"/>
      <c r="D17" s="1142"/>
      <c r="E17" s="1132"/>
      <c r="F17" s="3025"/>
      <c r="G17" s="3025"/>
      <c r="H17" s="1142"/>
      <c r="I17" s="1565"/>
      <c r="J17" s="1142"/>
      <c r="K17" s="3027"/>
      <c r="L17" s="1142"/>
      <c r="M17" s="1565"/>
      <c r="N17" s="1142"/>
      <c r="O17" s="3123"/>
      <c r="P17" s="1142"/>
      <c r="Q17" s="3361"/>
      <c r="R17" s="3362"/>
      <c r="S17" s="3361"/>
      <c r="T17" s="3361"/>
      <c r="U17" s="1133"/>
      <c r="V17" s="1365"/>
      <c r="W17" s="1366"/>
    </row>
    <row r="18" spans="1:23">
      <c r="A18" s="1127" t="s">
        <v>413</v>
      </c>
      <c r="C18" s="1364"/>
      <c r="D18" s="1142"/>
      <c r="E18" s="3028"/>
      <c r="F18" s="3025"/>
      <c r="G18" s="3025"/>
      <c r="H18" s="1142"/>
      <c r="I18" s="1565"/>
      <c r="J18" s="1128"/>
      <c r="K18" s="3027"/>
      <c r="L18" s="1142"/>
      <c r="M18" s="1565"/>
      <c r="N18" s="1142"/>
      <c r="O18" s="3123"/>
      <c r="P18" s="1142"/>
      <c r="Q18" s="3361"/>
      <c r="R18" s="3362"/>
      <c r="S18" s="3361"/>
      <c r="T18" s="3361"/>
      <c r="U18" s="1365"/>
      <c r="V18" s="1365"/>
      <c r="W18" s="1131"/>
    </row>
    <row r="19" spans="1:23" ht="12" customHeight="1">
      <c r="A19" s="1127" t="s">
        <v>1112</v>
      </c>
      <c r="C19" s="3029">
        <v>3010952.09</v>
      </c>
      <c r="D19" s="1142"/>
      <c r="E19" s="2922">
        <v>0</v>
      </c>
      <c r="F19" s="3025"/>
      <c r="G19" s="2922">
        <v>0</v>
      </c>
      <c r="H19" s="1142"/>
      <c r="I19" s="2922">
        <v>0</v>
      </c>
      <c r="J19" s="1128"/>
      <c r="K19" s="1134">
        <v>173397.53999999998</v>
      </c>
      <c r="L19" s="1128" t="s">
        <v>15</v>
      </c>
      <c r="M19" s="3029">
        <f t="shared" ref="M19:M23" si="0">ROUND(SUM(C19)-SUM(K19)+SUM(G19),2)</f>
        <v>2837554.55</v>
      </c>
      <c r="N19" s="1142"/>
      <c r="O19" s="3123"/>
      <c r="P19" s="1142" t="s">
        <v>15</v>
      </c>
      <c r="Q19" s="3363">
        <v>0</v>
      </c>
      <c r="R19" s="3364"/>
      <c r="S19" s="3363">
        <v>79546.78</v>
      </c>
      <c r="T19" s="3363"/>
      <c r="U19" s="1496"/>
      <c r="V19" s="1365"/>
      <c r="W19" s="1366"/>
    </row>
    <row r="20" spans="1:23">
      <c r="A20" s="1127" t="s">
        <v>414</v>
      </c>
      <c r="C20" s="3029">
        <v>0</v>
      </c>
      <c r="D20" s="1142"/>
      <c r="E20" s="2922">
        <v>0</v>
      </c>
      <c r="F20" s="3025"/>
      <c r="G20" s="2922">
        <v>0</v>
      </c>
      <c r="H20" s="1142"/>
      <c r="I20" s="2922">
        <v>0</v>
      </c>
      <c r="J20" s="1138"/>
      <c r="K20" s="1134">
        <v>0</v>
      </c>
      <c r="L20" s="1142"/>
      <c r="M20" s="3029">
        <f t="shared" si="0"/>
        <v>0</v>
      </c>
      <c r="N20" s="1142"/>
      <c r="O20" s="3123"/>
      <c r="P20" s="1142"/>
      <c r="Q20" s="3363">
        <v>0</v>
      </c>
      <c r="R20" s="3365"/>
      <c r="S20" s="3363">
        <v>0</v>
      </c>
      <c r="T20" s="3363"/>
      <c r="U20" s="1496"/>
      <c r="V20" s="1365"/>
      <c r="W20" s="1366"/>
    </row>
    <row r="21" spans="1:23">
      <c r="A21" s="1127" t="s">
        <v>415</v>
      </c>
      <c r="C21" s="3029">
        <v>402544044.61000001</v>
      </c>
      <c r="D21" s="1142"/>
      <c r="E21" s="2922">
        <v>0</v>
      </c>
      <c r="F21" s="3025"/>
      <c r="G21" s="2922">
        <v>0</v>
      </c>
      <c r="H21" s="1142"/>
      <c r="I21" s="2922">
        <v>0</v>
      </c>
      <c r="J21" s="1128"/>
      <c r="K21" s="1134">
        <v>11841257.610000001</v>
      </c>
      <c r="L21" s="1142"/>
      <c r="M21" s="3029">
        <f t="shared" si="0"/>
        <v>390702787</v>
      </c>
      <c r="N21" s="1142"/>
      <c r="O21" s="3123"/>
      <c r="P21" s="1142"/>
      <c r="Q21" s="3363">
        <v>33431.699999999997</v>
      </c>
      <c r="R21" s="3365"/>
      <c r="S21" s="3363">
        <v>10040010.499999998</v>
      </c>
      <c r="T21" s="3363"/>
      <c r="U21" s="1496"/>
      <c r="V21" s="1365"/>
      <c r="W21" s="1366"/>
    </row>
    <row r="22" spans="1:23">
      <c r="A22" s="1127" t="s">
        <v>416</v>
      </c>
      <c r="C22" s="3029">
        <v>37125908.420000002</v>
      </c>
      <c r="D22" s="1142"/>
      <c r="E22" s="2922">
        <v>0</v>
      </c>
      <c r="F22" s="3025"/>
      <c r="G22" s="2922">
        <v>0</v>
      </c>
      <c r="H22" s="1142"/>
      <c r="I22" s="2922">
        <v>0</v>
      </c>
      <c r="J22" s="1142"/>
      <c r="K22" s="1134">
        <v>1750727.22</v>
      </c>
      <c r="L22" s="1142"/>
      <c r="M22" s="3029">
        <f t="shared" si="0"/>
        <v>35375181.200000003</v>
      </c>
      <c r="N22" s="1142"/>
      <c r="O22" s="3123"/>
      <c r="P22" s="1142"/>
      <c r="Q22" s="3363">
        <v>13483.9</v>
      </c>
      <c r="R22" s="3365"/>
      <c r="S22" s="3363">
        <v>700597.08</v>
      </c>
      <c r="T22" s="3363"/>
      <c r="U22" s="1496"/>
      <c r="V22" s="1365"/>
      <c r="W22" s="1366"/>
    </row>
    <row r="23" spans="1:23">
      <c r="A23" s="1127" t="s">
        <v>1113</v>
      </c>
      <c r="C23" s="3029">
        <v>79264390.549999997</v>
      </c>
      <c r="D23" s="1142"/>
      <c r="E23" s="2922">
        <v>0</v>
      </c>
      <c r="F23" s="3025"/>
      <c r="G23" s="2922">
        <v>0</v>
      </c>
      <c r="H23" s="1142"/>
      <c r="I23" s="2922">
        <v>0</v>
      </c>
      <c r="J23" s="1138"/>
      <c r="K23" s="1134">
        <v>1124219.03</v>
      </c>
      <c r="L23" s="1142"/>
      <c r="M23" s="3029">
        <f t="shared" si="0"/>
        <v>78140171.519999996</v>
      </c>
      <c r="N23" s="1142"/>
      <c r="O23" s="3123"/>
      <c r="P23" s="1142"/>
      <c r="Q23" s="3363">
        <v>1932.37</v>
      </c>
      <c r="R23" s="3365"/>
      <c r="S23" s="3363">
        <v>1922486.76</v>
      </c>
      <c r="T23" s="3363"/>
      <c r="U23" s="1496"/>
      <c r="V23" s="1365"/>
      <c r="W23" s="1366"/>
    </row>
    <row r="24" spans="1:23">
      <c r="C24" s="1565"/>
      <c r="D24" s="1142"/>
      <c r="E24" s="2923"/>
      <c r="F24" s="3025"/>
      <c r="G24" s="3025"/>
      <c r="H24" s="1142"/>
      <c r="I24" s="1565"/>
      <c r="J24" s="1142"/>
      <c r="K24" s="3027"/>
      <c r="L24" s="1142"/>
      <c r="M24" s="1565"/>
      <c r="N24" s="1142"/>
      <c r="O24" s="3123"/>
      <c r="P24" s="1142"/>
      <c r="Q24" s="3363"/>
      <c r="R24" s="3363"/>
      <c r="S24" s="3363"/>
      <c r="T24" s="3363"/>
      <c r="U24" s="1133"/>
      <c r="V24" s="1365"/>
      <c r="W24" s="1366"/>
    </row>
    <row r="25" spans="1:23">
      <c r="A25" s="1127" t="s">
        <v>995</v>
      </c>
      <c r="C25" s="1565"/>
      <c r="D25" s="1142"/>
      <c r="E25" s="2923"/>
      <c r="F25" s="3025"/>
      <c r="G25" s="3025"/>
      <c r="H25" s="1142"/>
      <c r="I25" s="1565"/>
      <c r="J25" s="1142"/>
      <c r="K25" s="3027"/>
      <c r="L25" s="1142"/>
      <c r="M25" s="1565"/>
      <c r="N25" s="1142"/>
      <c r="O25" s="3123"/>
      <c r="P25" s="1142"/>
      <c r="Q25" s="3363"/>
      <c r="R25" s="3363"/>
      <c r="S25" s="3363"/>
      <c r="T25" s="3363"/>
      <c r="U25" s="1365"/>
      <c r="V25" s="1365"/>
      <c r="W25" s="1131"/>
    </row>
    <row r="26" spans="1:23">
      <c r="A26" s="1127" t="s">
        <v>1135</v>
      </c>
      <c r="C26" s="3029">
        <v>2574158.7599999998</v>
      </c>
      <c r="D26" s="1142"/>
      <c r="E26" s="2922">
        <v>0</v>
      </c>
      <c r="F26" s="3025"/>
      <c r="G26" s="2922">
        <v>0</v>
      </c>
      <c r="H26" s="1142"/>
      <c r="I26" s="2922">
        <v>0</v>
      </c>
      <c r="J26" s="1128"/>
      <c r="K26" s="1134">
        <v>641630.73</v>
      </c>
      <c r="L26" s="1142"/>
      <c r="M26" s="3029">
        <f>ROUND(SUM(C26)-SUM(K26)+SUM(G26),2)</f>
        <v>1932528.03</v>
      </c>
      <c r="N26" s="1142"/>
      <c r="O26" s="3123"/>
      <c r="P26" s="1142"/>
      <c r="Q26" s="3365">
        <v>0</v>
      </c>
      <c r="R26" s="3365"/>
      <c r="S26" s="3363">
        <v>91446.21</v>
      </c>
      <c r="T26" s="3365"/>
      <c r="U26" s="1133"/>
      <c r="V26" s="1365"/>
      <c r="W26" s="1366"/>
    </row>
    <row r="27" spans="1:23">
      <c r="C27" s="1565"/>
      <c r="D27" s="1142"/>
      <c r="E27" s="2923"/>
      <c r="F27" s="3025"/>
      <c r="G27" s="3025"/>
      <c r="H27" s="1142"/>
      <c r="I27" s="1565"/>
      <c r="J27" s="1142"/>
      <c r="K27" s="3027"/>
      <c r="L27" s="1142"/>
      <c r="M27" s="1565"/>
      <c r="N27" s="1142"/>
      <c r="O27" s="3123"/>
      <c r="P27" s="1142"/>
      <c r="Q27" s="3363"/>
      <c r="R27" s="3363"/>
      <c r="S27" s="3363"/>
      <c r="T27" s="3363"/>
      <c r="U27" s="1133"/>
      <c r="V27" s="1365"/>
      <c r="W27" s="1366"/>
    </row>
    <row r="28" spans="1:23">
      <c r="A28" s="1127" t="s">
        <v>1407</v>
      </c>
      <c r="C28" s="1565"/>
      <c r="D28" s="1142"/>
      <c r="E28" s="2923"/>
      <c r="F28" s="3025"/>
      <c r="G28" s="3025"/>
      <c r="H28" s="1142"/>
      <c r="I28" s="1565"/>
      <c r="J28" s="1142"/>
      <c r="K28" s="3027"/>
      <c r="L28" s="1142"/>
      <c r="M28" s="1565"/>
      <c r="N28" s="1142"/>
      <c r="O28" s="3123"/>
      <c r="P28" s="1142"/>
      <c r="Q28" s="3363"/>
      <c r="R28" s="3363"/>
      <c r="S28" s="3363"/>
      <c r="T28" s="3363"/>
      <c r="U28" s="1365"/>
      <c r="V28" s="1365"/>
    </row>
    <row r="29" spans="1:23">
      <c r="A29" s="1127" t="s">
        <v>417</v>
      </c>
      <c r="C29" s="3029">
        <v>494853.29</v>
      </c>
      <c r="D29" s="1142"/>
      <c r="E29" s="2922">
        <v>0</v>
      </c>
      <c r="F29" s="3025"/>
      <c r="G29" s="2922">
        <v>0</v>
      </c>
      <c r="H29" s="1142"/>
      <c r="I29" s="2922">
        <v>0</v>
      </c>
      <c r="J29" s="1128"/>
      <c r="K29" s="3029">
        <v>160000</v>
      </c>
      <c r="L29" s="1142"/>
      <c r="M29" s="3029">
        <f t="shared" ref="M29:M31" si="1">ROUND(SUM(C29)-SUM(K29)+SUM(G29),2)</f>
        <v>334853.28999999998</v>
      </c>
      <c r="N29" s="1142"/>
      <c r="O29" s="3123"/>
      <c r="P29" s="1142"/>
      <c r="Q29" s="3365">
        <v>0</v>
      </c>
      <c r="R29" s="3365"/>
      <c r="S29" s="3363">
        <v>20265.14</v>
      </c>
      <c r="T29" s="3365"/>
      <c r="U29" s="1496"/>
      <c r="V29" s="1365"/>
      <c r="W29" s="1366"/>
    </row>
    <row r="30" spans="1:23">
      <c r="A30" s="1127" t="s">
        <v>1114</v>
      </c>
      <c r="C30" s="3029">
        <v>6671868.1799999997</v>
      </c>
      <c r="D30" s="1142"/>
      <c r="E30" s="2922">
        <v>0</v>
      </c>
      <c r="F30" s="3025"/>
      <c r="G30" s="2922">
        <v>0</v>
      </c>
      <c r="H30" s="1142"/>
      <c r="I30" s="2922">
        <v>0</v>
      </c>
      <c r="J30" s="1128"/>
      <c r="K30" s="3029">
        <v>2330465.9900000002</v>
      </c>
      <c r="L30" s="1142"/>
      <c r="M30" s="3029">
        <f t="shared" si="1"/>
        <v>4341402.1900000004</v>
      </c>
      <c r="N30" s="1142"/>
      <c r="O30" s="3123"/>
      <c r="P30" s="1142"/>
      <c r="Q30" s="3365">
        <v>0</v>
      </c>
      <c r="R30" s="3365"/>
      <c r="S30" s="3363">
        <v>185791.27</v>
      </c>
      <c r="T30" s="3365"/>
      <c r="U30" s="1496"/>
      <c r="V30" s="1365"/>
      <c r="W30" s="1366"/>
    </row>
    <row r="31" spans="1:23">
      <c r="A31" s="1127" t="s">
        <v>418</v>
      </c>
      <c r="C31" s="3029">
        <v>29701680.75</v>
      </c>
      <c r="D31" s="1142"/>
      <c r="E31" s="2922">
        <v>0</v>
      </c>
      <c r="F31" s="3025"/>
      <c r="G31" s="2922">
        <v>0</v>
      </c>
      <c r="H31" s="1142"/>
      <c r="I31" s="1565">
        <v>0</v>
      </c>
      <c r="J31" s="1128"/>
      <c r="K31" s="3029">
        <v>7787062.7999999998</v>
      </c>
      <c r="L31" s="1142"/>
      <c r="M31" s="3029">
        <f t="shared" si="1"/>
        <v>21914617.949999999</v>
      </c>
      <c r="N31" s="1142"/>
      <c r="O31" s="3123"/>
      <c r="P31" s="1142"/>
      <c r="Q31" s="3365">
        <v>0</v>
      </c>
      <c r="R31" s="3365"/>
      <c r="S31" s="3363">
        <v>800338.23</v>
      </c>
      <c r="T31" s="3365"/>
      <c r="U31" s="1496"/>
      <c r="V31" s="1365"/>
      <c r="W31" s="1366"/>
    </row>
    <row r="32" spans="1:23">
      <c r="C32" s="1565"/>
      <c r="D32" s="1142"/>
      <c r="E32" s="2923"/>
      <c r="F32" s="3025"/>
      <c r="G32" s="3025"/>
      <c r="H32" s="1142"/>
      <c r="I32" s="1565"/>
      <c r="J32" s="1142"/>
      <c r="K32" s="3027"/>
      <c r="L32" s="1142"/>
      <c r="M32" s="1565"/>
      <c r="N32" s="1142"/>
      <c r="O32" s="3123"/>
      <c r="P32" s="1142"/>
      <c r="Q32" s="3363"/>
      <c r="R32" s="3363"/>
      <c r="S32" s="3363"/>
      <c r="T32" s="3363"/>
      <c r="U32" s="1133"/>
      <c r="V32" s="1365"/>
      <c r="W32" s="1366"/>
    </row>
    <row r="33" spans="1:24">
      <c r="A33" s="1127" t="s">
        <v>419</v>
      </c>
      <c r="C33" s="1565"/>
      <c r="D33" s="1142"/>
      <c r="E33" s="2923"/>
      <c r="F33" s="3025"/>
      <c r="G33" s="3025"/>
      <c r="H33" s="1142"/>
      <c r="I33" s="1565"/>
      <c r="J33" s="1142"/>
      <c r="K33" s="3027"/>
      <c r="L33" s="1142"/>
      <c r="M33" s="1565"/>
      <c r="N33" s="1142"/>
      <c r="O33" s="3123"/>
      <c r="P33" s="1142"/>
      <c r="Q33" s="3363"/>
      <c r="R33" s="3363"/>
      <c r="S33" s="3363"/>
      <c r="T33" s="3363"/>
      <c r="U33" s="1365"/>
      <c r="V33" s="1365"/>
      <c r="W33" s="1131"/>
    </row>
    <row r="34" spans="1:24">
      <c r="A34" s="1127" t="s">
        <v>1408</v>
      </c>
      <c r="C34" s="3029">
        <v>15489192.93</v>
      </c>
      <c r="D34" s="1142"/>
      <c r="E34" s="2922">
        <v>0</v>
      </c>
      <c r="F34" s="3025"/>
      <c r="G34" s="2922">
        <v>0</v>
      </c>
      <c r="H34" s="1142"/>
      <c r="I34" s="2922">
        <v>0</v>
      </c>
      <c r="J34" s="1128"/>
      <c r="K34" s="3029">
        <v>2349417.3800000004</v>
      </c>
      <c r="L34" s="1142"/>
      <c r="M34" s="3029">
        <f t="shared" ref="M34:M35" si="2">ROUND(SUM(C34)-SUM(K34)+SUM(G34),2)</f>
        <v>13139775.550000001</v>
      </c>
      <c r="N34" s="1142"/>
      <c r="O34" s="3123"/>
      <c r="P34" s="1142"/>
      <c r="Q34" s="3365">
        <v>2874.52</v>
      </c>
      <c r="R34" s="3365"/>
      <c r="S34" s="3363">
        <v>402317.01999999996</v>
      </c>
      <c r="T34" s="3365"/>
      <c r="U34" s="1496"/>
      <c r="V34" s="1365"/>
      <c r="W34" s="1366"/>
    </row>
    <row r="35" spans="1:24" ht="14.25">
      <c r="A35" s="1127" t="s">
        <v>420</v>
      </c>
      <c r="C35" s="3029">
        <v>179135421.94</v>
      </c>
      <c r="D35" s="1142"/>
      <c r="E35" s="2922">
        <v>0</v>
      </c>
      <c r="F35" s="3025"/>
      <c r="G35" s="2922">
        <v>0</v>
      </c>
      <c r="H35" s="1142"/>
      <c r="I35" s="2922">
        <v>0</v>
      </c>
      <c r="J35" s="1128"/>
      <c r="K35" s="3029">
        <v>6897886.3899999997</v>
      </c>
      <c r="L35" s="1142"/>
      <c r="M35" s="3029">
        <f t="shared" si="2"/>
        <v>172237535.55000001</v>
      </c>
      <c r="N35" s="1142"/>
      <c r="O35" s="3123"/>
      <c r="P35" s="1142"/>
      <c r="Q35" s="3365">
        <v>9800.76</v>
      </c>
      <c r="R35" s="3366"/>
      <c r="S35" s="3363">
        <v>5382247.3899999997</v>
      </c>
      <c r="T35" s="3365"/>
      <c r="U35" s="1496"/>
      <c r="V35" s="1365"/>
      <c r="W35" s="1366"/>
      <c r="X35" s="1131"/>
    </row>
    <row r="36" spans="1:24">
      <c r="C36" s="1565"/>
      <c r="D36" s="1142"/>
      <c r="E36" s="2923"/>
      <c r="F36" s="3025"/>
      <c r="G36" s="3025"/>
      <c r="H36" s="1142"/>
      <c r="I36" s="1565"/>
      <c r="J36" s="1142"/>
      <c r="K36" s="3027"/>
      <c r="L36" s="1142"/>
      <c r="M36" s="1565"/>
      <c r="N36" s="1142"/>
      <c r="O36" s="3123"/>
      <c r="P36" s="1142"/>
      <c r="Q36" s="3363"/>
      <c r="R36" s="3363"/>
      <c r="S36" s="3363"/>
      <c r="T36" s="3363"/>
      <c r="U36" s="1133"/>
      <c r="V36" s="1365"/>
      <c r="W36" s="1366"/>
    </row>
    <row r="37" spans="1:24">
      <c r="A37" s="1127" t="s">
        <v>421</v>
      </c>
      <c r="C37" s="1565"/>
      <c r="D37" s="1142"/>
      <c r="E37" s="2923"/>
      <c r="F37" s="3030"/>
      <c r="G37" s="3030"/>
      <c r="H37" s="1142"/>
      <c r="I37" s="3029"/>
      <c r="J37" s="1142"/>
      <c r="K37" s="3027"/>
      <c r="L37" s="1142"/>
      <c r="M37" s="1565"/>
      <c r="N37" s="1142"/>
      <c r="O37" s="3123"/>
      <c r="P37" s="1142"/>
      <c r="Q37" s="3365"/>
      <c r="R37" s="3363"/>
      <c r="S37" s="3365"/>
      <c r="T37" s="3365"/>
      <c r="U37" s="1133"/>
      <c r="V37" s="1365"/>
      <c r="W37" s="1131"/>
    </row>
    <row r="38" spans="1:24">
      <c r="A38" s="1127" t="s">
        <v>422</v>
      </c>
      <c r="C38" s="3029">
        <v>16120000</v>
      </c>
      <c r="D38" s="1142"/>
      <c r="E38" s="2922">
        <v>0</v>
      </c>
      <c r="F38" s="3025"/>
      <c r="G38" s="2922">
        <v>0</v>
      </c>
      <c r="H38" s="1142"/>
      <c r="I38" s="2922">
        <v>0</v>
      </c>
      <c r="J38" s="1132"/>
      <c r="K38" s="3029">
        <v>2880000</v>
      </c>
      <c r="L38" s="1142"/>
      <c r="M38" s="3029">
        <f t="shared" ref="M38:M39" si="3">ROUND(SUM(C38)-SUM(K38)+SUM(G38),2)</f>
        <v>13240000</v>
      </c>
      <c r="N38" s="1142"/>
      <c r="O38" s="3123"/>
      <c r="P38" s="1142"/>
      <c r="Q38" s="3367">
        <v>0</v>
      </c>
      <c r="R38" s="3365"/>
      <c r="S38" s="3363">
        <v>468800</v>
      </c>
      <c r="T38" s="3367"/>
      <c r="U38" s="3124"/>
      <c r="V38" s="1365"/>
      <c r="W38" s="1366"/>
    </row>
    <row r="39" spans="1:24">
      <c r="A39" s="1127" t="s">
        <v>1115</v>
      </c>
      <c r="C39" s="3029">
        <v>13975000</v>
      </c>
      <c r="D39" s="1142"/>
      <c r="E39" s="2922">
        <v>0</v>
      </c>
      <c r="F39" s="3025"/>
      <c r="G39" s="2922">
        <v>0</v>
      </c>
      <c r="H39" s="1142"/>
      <c r="I39" s="1565">
        <v>0</v>
      </c>
      <c r="J39" s="1367"/>
      <c r="K39" s="3029">
        <v>3455000</v>
      </c>
      <c r="L39" s="1142"/>
      <c r="M39" s="3029">
        <f t="shared" si="3"/>
        <v>10520000</v>
      </c>
      <c r="N39" s="1142"/>
      <c r="O39" s="3123"/>
      <c r="P39" s="1142"/>
      <c r="Q39" s="3368">
        <v>0</v>
      </c>
      <c r="R39" s="3363"/>
      <c r="S39" s="3363">
        <v>233745</v>
      </c>
      <c r="T39" s="3368"/>
      <c r="U39" s="3124"/>
      <c r="V39" s="1365"/>
      <c r="W39" s="1366"/>
    </row>
    <row r="40" spans="1:24">
      <c r="C40" s="1565"/>
      <c r="D40" s="1142"/>
      <c r="E40" s="2922"/>
      <c r="F40" s="3025"/>
      <c r="G40" s="3025"/>
      <c r="H40" s="1142"/>
      <c r="I40" s="2922"/>
      <c r="J40" s="1132"/>
      <c r="K40" s="3029"/>
      <c r="L40" s="1142"/>
      <c r="M40" s="1565"/>
      <c r="N40" s="1142"/>
      <c r="O40" s="3123"/>
      <c r="P40" s="1142"/>
      <c r="Q40" s="3367"/>
      <c r="R40" s="3365"/>
      <c r="S40" s="3367"/>
      <c r="T40" s="3367"/>
      <c r="U40" s="1133"/>
      <c r="V40" s="1365"/>
      <c r="W40" s="1366"/>
    </row>
    <row r="41" spans="1:24">
      <c r="A41" s="1127" t="s">
        <v>1116</v>
      </c>
      <c r="C41" s="3029">
        <v>6351.45</v>
      </c>
      <c r="D41" s="1142"/>
      <c r="E41" s="2922">
        <v>0</v>
      </c>
      <c r="F41" s="3025"/>
      <c r="G41" s="2922">
        <v>0</v>
      </c>
      <c r="H41" s="1142"/>
      <c r="I41" s="3029">
        <v>0</v>
      </c>
      <c r="J41" s="1142"/>
      <c r="K41" s="3029">
        <v>0</v>
      </c>
      <c r="L41" s="1142"/>
      <c r="M41" s="3029">
        <f>ROUND(SUM(C41)-SUM(K41)+SUM(G41),2)</f>
        <v>6351.45</v>
      </c>
      <c r="N41" s="1142"/>
      <c r="O41" s="3123"/>
      <c r="P41" s="1142"/>
      <c r="Q41" s="3368">
        <v>0</v>
      </c>
      <c r="R41" s="3363"/>
      <c r="S41" s="3363">
        <v>127.03</v>
      </c>
      <c r="T41" s="3368"/>
      <c r="U41" s="1496"/>
      <c r="V41" s="1365"/>
      <c r="W41" s="1366"/>
    </row>
    <row r="42" spans="1:24" ht="15">
      <c r="C42" s="3029"/>
      <c r="D42" s="1142"/>
      <c r="E42" s="2923"/>
      <c r="F42" s="3030"/>
      <c r="G42" s="3030"/>
      <c r="H42" s="1142"/>
      <c r="I42" s="2922"/>
      <c r="J42" s="1128"/>
      <c r="K42" s="3029"/>
      <c r="L42" s="1142"/>
      <c r="M42" s="1565"/>
      <c r="N42" s="1142"/>
      <c r="O42" s="3123"/>
      <c r="P42" s="1142"/>
      <c r="Q42" s="3367"/>
      <c r="R42" s="3369"/>
      <c r="S42" s="3367"/>
      <c r="T42" s="3367"/>
      <c r="U42" s="1133"/>
      <c r="V42" s="1365"/>
      <c r="W42" s="1366"/>
    </row>
    <row r="43" spans="1:24" ht="15">
      <c r="A43" s="1127" t="s">
        <v>423</v>
      </c>
      <c r="C43" s="3029">
        <v>31246366.399999999</v>
      </c>
      <c r="D43" s="1142"/>
      <c r="E43" s="2922">
        <v>0</v>
      </c>
      <c r="F43" s="3025"/>
      <c r="G43" s="2922">
        <v>0</v>
      </c>
      <c r="H43" s="1142"/>
      <c r="I43" s="3029">
        <v>0</v>
      </c>
      <c r="J43" s="1142"/>
      <c r="K43" s="3027">
        <v>4883329.6100000003</v>
      </c>
      <c r="L43" s="1142"/>
      <c r="M43" s="3029">
        <f>ROUND(SUM(C43)-SUM(K43)+SUM(G43),2)</f>
        <v>26363036.789999999</v>
      </c>
      <c r="N43" s="1142"/>
      <c r="O43" s="3123"/>
      <c r="P43" s="1142"/>
      <c r="Q43" s="3367">
        <v>0</v>
      </c>
      <c r="R43" s="3370"/>
      <c r="S43" s="3363">
        <v>943472.73</v>
      </c>
      <c r="T43" s="3367"/>
      <c r="U43" s="1496"/>
      <c r="V43" s="1365"/>
      <c r="W43" s="1366"/>
    </row>
    <row r="44" spans="1:24" ht="15">
      <c r="C44" s="3029"/>
      <c r="D44" s="1142"/>
      <c r="E44" s="2923"/>
      <c r="F44" s="3030"/>
      <c r="G44" s="3030"/>
      <c r="H44" s="1142"/>
      <c r="I44" s="2922"/>
      <c r="J44" s="1128"/>
      <c r="K44" s="3029"/>
      <c r="L44" s="1142"/>
      <c r="M44" s="1565"/>
      <c r="N44" s="1142"/>
      <c r="O44" s="3123"/>
      <c r="P44" s="1142"/>
      <c r="Q44" s="3367"/>
      <c r="R44" s="3369"/>
      <c r="S44" s="3367"/>
      <c r="T44" s="3367"/>
      <c r="U44" s="1133"/>
      <c r="V44" s="1365"/>
      <c r="W44" s="1366"/>
    </row>
    <row r="45" spans="1:24" ht="15">
      <c r="A45" s="1127" t="s">
        <v>424</v>
      </c>
      <c r="C45" s="3029">
        <v>297438.64</v>
      </c>
      <c r="D45" s="1142"/>
      <c r="E45" s="2922">
        <v>0</v>
      </c>
      <c r="F45" s="3025"/>
      <c r="G45" s="2922">
        <v>0</v>
      </c>
      <c r="H45" s="1142"/>
      <c r="I45" s="1565">
        <v>0</v>
      </c>
      <c r="J45" s="1142"/>
      <c r="K45" s="3027">
        <v>297438.64</v>
      </c>
      <c r="L45" s="1142"/>
      <c r="M45" s="3029">
        <f>ROUND(SUM(C45)-SUM(K45)+SUM(G45),2)</f>
        <v>0</v>
      </c>
      <c r="N45" s="1142"/>
      <c r="O45" s="3123"/>
      <c r="P45" s="1142"/>
      <c r="Q45" s="3367">
        <v>0</v>
      </c>
      <c r="R45" s="3370"/>
      <c r="S45" s="3363">
        <v>7867.25</v>
      </c>
      <c r="T45" s="3367"/>
      <c r="U45" s="1496"/>
      <c r="V45" s="1365"/>
      <c r="W45" s="1366"/>
    </row>
    <row r="46" spans="1:24" ht="15">
      <c r="C46" s="3029"/>
      <c r="D46" s="1142"/>
      <c r="E46" s="2923"/>
      <c r="F46" s="3025"/>
      <c r="G46" s="3025"/>
      <c r="H46" s="1142"/>
      <c r="L46" s="1142"/>
      <c r="M46" s="1565"/>
      <c r="N46" s="1142"/>
      <c r="O46" s="3123"/>
      <c r="P46" s="1142"/>
      <c r="Q46" s="3371"/>
      <c r="R46" s="3370"/>
      <c r="S46" s="3371"/>
      <c r="T46" s="3371"/>
      <c r="U46" s="1133"/>
      <c r="V46" s="1365"/>
      <c r="W46" s="1366"/>
    </row>
    <row r="47" spans="1:24" ht="15">
      <c r="A47" s="1127" t="s">
        <v>425</v>
      </c>
      <c r="C47" s="3031"/>
      <c r="D47" s="1142"/>
      <c r="E47" s="2923"/>
      <c r="F47" s="3030"/>
      <c r="G47" s="3030"/>
      <c r="H47" s="1142"/>
      <c r="I47" s="3029"/>
      <c r="J47" s="1367"/>
      <c r="K47" s="3027"/>
      <c r="L47" s="1142"/>
      <c r="M47" s="1565"/>
      <c r="N47" s="1142"/>
      <c r="O47" s="3123"/>
      <c r="P47" s="1142"/>
      <c r="Q47" s="3367"/>
      <c r="R47" s="3370"/>
      <c r="S47" s="3367"/>
      <c r="T47" s="3367"/>
      <c r="U47" s="1133"/>
      <c r="V47" s="1365"/>
      <c r="W47" s="1366"/>
    </row>
    <row r="48" spans="1:24" ht="15">
      <c r="A48" s="1127" t="s">
        <v>426</v>
      </c>
      <c r="C48" s="3031">
        <v>802029290.37</v>
      </c>
      <c r="D48" s="1142"/>
      <c r="E48" s="2922">
        <v>0</v>
      </c>
      <c r="F48" s="3025"/>
      <c r="G48" s="2922">
        <v>0</v>
      </c>
      <c r="H48" s="1142"/>
      <c r="I48" s="2922">
        <v>0</v>
      </c>
      <c r="J48" s="1138"/>
      <c r="K48" s="3029">
        <v>5068000.04</v>
      </c>
      <c r="L48" s="1142"/>
      <c r="M48" s="3029">
        <f t="shared" ref="M48:M53" si="4">ROUND(SUM(C48)-SUM(K48)+SUM(G48),2)</f>
        <v>796961290.33000004</v>
      </c>
      <c r="N48" s="1142"/>
      <c r="O48" s="3123"/>
      <c r="P48" s="1142"/>
      <c r="Q48" s="3367">
        <v>0</v>
      </c>
      <c r="R48" s="3370"/>
      <c r="S48" s="3363">
        <v>19730025.779999997</v>
      </c>
      <c r="T48" s="3367"/>
      <c r="U48" s="1133"/>
      <c r="V48" s="1365"/>
      <c r="W48" s="1366"/>
    </row>
    <row r="49" spans="1:23" ht="15">
      <c r="A49" s="1127" t="s">
        <v>427</v>
      </c>
      <c r="C49" s="3031">
        <v>15019108.039999999</v>
      </c>
      <c r="D49" s="3032"/>
      <c r="E49" s="2922">
        <v>0</v>
      </c>
      <c r="F49" s="3025"/>
      <c r="G49" s="2922">
        <v>0</v>
      </c>
      <c r="H49" s="1142"/>
      <c r="I49" s="2922">
        <v>0</v>
      </c>
      <c r="J49" s="1138"/>
      <c r="K49" s="3029">
        <v>417240.38</v>
      </c>
      <c r="L49" s="1142"/>
      <c r="M49" s="3029">
        <f t="shared" si="4"/>
        <v>14601867.66</v>
      </c>
      <c r="N49" s="1142"/>
      <c r="O49" s="3123"/>
      <c r="P49" s="1142"/>
      <c r="Q49" s="3367">
        <v>0</v>
      </c>
      <c r="R49" s="3370"/>
      <c r="S49" s="3363">
        <v>422898.61</v>
      </c>
      <c r="T49" s="3367"/>
      <c r="U49" s="1133"/>
      <c r="V49" s="1365"/>
      <c r="W49" s="1366"/>
    </row>
    <row r="50" spans="1:23" ht="15">
      <c r="A50" s="1127" t="s">
        <v>428</v>
      </c>
      <c r="C50" s="3031">
        <v>48703092.5</v>
      </c>
      <c r="D50" s="3032"/>
      <c r="E50" s="2922">
        <v>0</v>
      </c>
      <c r="F50" s="3025"/>
      <c r="G50" s="2922">
        <v>0</v>
      </c>
      <c r="H50" s="1142"/>
      <c r="I50" s="2922">
        <v>0</v>
      </c>
      <c r="J50" s="1138"/>
      <c r="K50" s="1565">
        <v>0</v>
      </c>
      <c r="L50" s="1142"/>
      <c r="M50" s="3029">
        <f t="shared" si="4"/>
        <v>48703092.5</v>
      </c>
      <c r="N50" s="1142"/>
      <c r="O50" s="3123"/>
      <c r="P50" s="1142"/>
      <c r="Q50" s="3367">
        <v>0</v>
      </c>
      <c r="R50" s="3370"/>
      <c r="S50" s="3363">
        <v>1049387.8400000001</v>
      </c>
      <c r="T50" s="3367"/>
      <c r="U50" s="1133"/>
      <c r="V50" s="1365"/>
      <c r="W50" s="1366"/>
    </row>
    <row r="51" spans="1:23" ht="15">
      <c r="A51" s="1127" t="s">
        <v>429</v>
      </c>
      <c r="C51" s="3031">
        <v>79651413.069999993</v>
      </c>
      <c r="D51" s="1142"/>
      <c r="E51" s="2922">
        <v>0</v>
      </c>
      <c r="F51" s="3025"/>
      <c r="G51" s="2922">
        <v>0</v>
      </c>
      <c r="H51" s="1142"/>
      <c r="I51" s="2922">
        <v>0</v>
      </c>
      <c r="J51" s="1138"/>
      <c r="K51" s="1565">
        <v>0</v>
      </c>
      <c r="L51" s="1142"/>
      <c r="M51" s="3029">
        <f t="shared" si="4"/>
        <v>79651413.069999993</v>
      </c>
      <c r="N51" s="1142"/>
      <c r="O51" s="3123"/>
      <c r="P51" s="1142"/>
      <c r="Q51" s="3367">
        <v>0</v>
      </c>
      <c r="R51" s="3369"/>
      <c r="S51" s="3363">
        <v>1822052.37</v>
      </c>
      <c r="T51" s="3367"/>
      <c r="U51" s="1133"/>
      <c r="V51" s="1365"/>
      <c r="W51" s="1366"/>
    </row>
    <row r="52" spans="1:23">
      <c r="A52" s="1127" t="s">
        <v>430</v>
      </c>
      <c r="C52" s="3031">
        <v>6268331.0800000001</v>
      </c>
      <c r="D52" s="1142"/>
      <c r="E52" s="2922">
        <v>0</v>
      </c>
      <c r="F52" s="3025"/>
      <c r="G52" s="2922">
        <v>0</v>
      </c>
      <c r="H52" s="1142"/>
      <c r="I52" s="2922">
        <v>0</v>
      </c>
      <c r="J52" s="1138"/>
      <c r="K52" s="1134">
        <v>0</v>
      </c>
      <c r="L52" s="1142"/>
      <c r="M52" s="3029">
        <f t="shared" si="4"/>
        <v>6268331.0800000001</v>
      </c>
      <c r="N52" s="1142"/>
      <c r="O52" s="3123"/>
      <c r="P52" s="1142"/>
      <c r="Q52" s="3363">
        <v>0</v>
      </c>
      <c r="R52" s="3363"/>
      <c r="S52" s="3363">
        <v>141704.35</v>
      </c>
      <c r="T52" s="3363"/>
      <c r="U52" s="1133"/>
      <c r="V52" s="1365"/>
      <c r="W52" s="1366"/>
    </row>
    <row r="53" spans="1:23">
      <c r="A53" s="1127" t="s">
        <v>996</v>
      </c>
      <c r="C53" s="3029">
        <v>838086893.13</v>
      </c>
      <c r="D53" s="1142"/>
      <c r="E53" s="2922">
        <v>0</v>
      </c>
      <c r="F53" s="3025"/>
      <c r="G53" s="2922">
        <v>0</v>
      </c>
      <c r="H53" s="1142"/>
      <c r="I53" s="2922">
        <v>0</v>
      </c>
      <c r="J53" s="1132"/>
      <c r="K53" s="3029">
        <v>5697957.5</v>
      </c>
      <c r="L53" s="1142"/>
      <c r="M53" s="3029">
        <f t="shared" si="4"/>
        <v>832388935.63</v>
      </c>
      <c r="N53" s="1142"/>
      <c r="O53" s="3123"/>
      <c r="P53" s="1142"/>
      <c r="Q53" s="3372">
        <v>0</v>
      </c>
      <c r="R53" s="3372"/>
      <c r="S53" s="3363">
        <v>21709267.16</v>
      </c>
      <c r="T53" s="3372"/>
      <c r="U53" s="1133"/>
      <c r="V53" s="1365"/>
      <c r="W53" s="1366"/>
    </row>
    <row r="54" spans="1:23">
      <c r="C54" s="3029"/>
      <c r="D54" s="1142"/>
      <c r="E54" s="2923"/>
      <c r="F54" s="3025"/>
      <c r="G54" s="3025"/>
      <c r="H54" s="1142"/>
      <c r="I54" s="1565"/>
      <c r="J54" s="1142"/>
      <c r="K54" s="3027"/>
      <c r="L54" s="1142"/>
      <c r="M54" s="3029"/>
      <c r="N54" s="1142"/>
      <c r="O54" s="3123"/>
      <c r="P54" s="1142"/>
      <c r="Q54" s="3371"/>
      <c r="R54" s="3371"/>
      <c r="S54" s="3371"/>
      <c r="T54" s="3371"/>
      <c r="U54" s="1365"/>
      <c r="V54" s="1365"/>
      <c r="W54" s="1366"/>
    </row>
    <row r="55" spans="1:23">
      <c r="A55" s="1127" t="s">
        <v>997</v>
      </c>
      <c r="C55" s="3029"/>
      <c r="D55" s="1142"/>
      <c r="E55" s="2923"/>
      <c r="F55" s="3030"/>
      <c r="G55" s="3030"/>
      <c r="H55" s="1142"/>
      <c r="I55" s="3029"/>
      <c r="J55" s="1367"/>
      <c r="K55" s="3027"/>
      <c r="L55" s="1142"/>
      <c r="M55" s="3029"/>
      <c r="N55" s="1142"/>
      <c r="O55" s="3123"/>
      <c r="P55" s="1142"/>
      <c r="Q55" s="3365"/>
      <c r="R55" s="3363"/>
      <c r="S55" s="3365"/>
      <c r="T55" s="3365"/>
      <c r="U55" s="1133"/>
      <c r="V55" s="1365"/>
      <c r="W55" s="1131"/>
    </row>
    <row r="56" spans="1:23" ht="15">
      <c r="A56" s="1127" t="s">
        <v>1117</v>
      </c>
      <c r="C56" s="3029">
        <v>1427346.08</v>
      </c>
      <c r="D56" s="1142"/>
      <c r="E56" s="2922">
        <v>0</v>
      </c>
      <c r="F56" s="3025"/>
      <c r="G56" s="2922">
        <v>0</v>
      </c>
      <c r="H56" s="1142"/>
      <c r="I56" s="2922">
        <v>0</v>
      </c>
      <c r="J56" s="1132"/>
      <c r="K56" s="3029">
        <v>13669.06</v>
      </c>
      <c r="L56" s="1142"/>
      <c r="M56" s="3029">
        <f t="shared" ref="M56:M57" si="5">ROUND(SUM(C56)-SUM(K56)+SUM(G56),2)</f>
        <v>1413677.02</v>
      </c>
      <c r="N56" s="1142"/>
      <c r="O56" s="3123"/>
      <c r="P56" s="1142"/>
      <c r="Q56" s="3367">
        <v>0</v>
      </c>
      <c r="R56" s="3369"/>
      <c r="S56" s="3363">
        <v>35658.86</v>
      </c>
      <c r="T56" s="3367"/>
      <c r="U56" s="1496"/>
      <c r="V56" s="1365"/>
      <c r="W56" s="1366"/>
    </row>
    <row r="57" spans="1:23" ht="15">
      <c r="A57" s="1127" t="s">
        <v>1077</v>
      </c>
      <c r="C57" s="3029">
        <v>5775985.3799999999</v>
      </c>
      <c r="D57" s="1142"/>
      <c r="E57" s="2922">
        <v>0</v>
      </c>
      <c r="F57" s="3025"/>
      <c r="G57" s="2922">
        <v>0</v>
      </c>
      <c r="H57" s="1142"/>
      <c r="I57" s="2922">
        <v>0</v>
      </c>
      <c r="J57" s="1128"/>
      <c r="K57" s="3029">
        <v>1304038.1100000001</v>
      </c>
      <c r="L57" s="1142"/>
      <c r="M57" s="3029">
        <f t="shared" si="5"/>
        <v>4471947.2699999996</v>
      </c>
      <c r="N57" s="1142"/>
      <c r="O57" s="3123"/>
      <c r="P57" s="1142"/>
      <c r="Q57" s="3368">
        <v>0</v>
      </c>
      <c r="R57" s="3370"/>
      <c r="S57" s="3363">
        <v>214607.77</v>
      </c>
      <c r="T57" s="3368"/>
      <c r="U57" s="1496"/>
      <c r="V57" s="1365"/>
      <c r="W57" s="1366"/>
    </row>
    <row r="58" spans="1:23" ht="13.5" customHeight="1">
      <c r="C58" s="3029"/>
      <c r="D58" s="1142"/>
      <c r="E58" s="2922"/>
      <c r="F58" s="3025"/>
      <c r="G58" s="3025"/>
      <c r="H58" s="1142"/>
      <c r="I58" s="1565"/>
      <c r="J58" s="1142"/>
      <c r="K58" s="3027"/>
      <c r="L58" s="1142"/>
      <c r="M58" s="1565"/>
      <c r="N58" s="1142"/>
      <c r="O58" s="3123"/>
      <c r="P58" s="1142"/>
      <c r="Q58" s="3371"/>
      <c r="R58" s="3371"/>
      <c r="S58" s="3371"/>
      <c r="T58" s="3371"/>
      <c r="U58" s="1365"/>
      <c r="V58" s="1365"/>
      <c r="W58" s="1366"/>
    </row>
    <row r="59" spans="1:23" ht="15">
      <c r="A59" s="1127" t="s">
        <v>431</v>
      </c>
      <c r="C59" s="3029"/>
      <c r="D59" s="1142"/>
      <c r="E59" s="2923"/>
      <c r="F59" s="3025"/>
      <c r="G59" s="3025"/>
      <c r="H59" s="1142"/>
      <c r="I59" s="1565"/>
      <c r="J59" s="1142"/>
      <c r="K59" s="3027"/>
      <c r="L59" s="1142"/>
      <c r="M59" s="1565"/>
      <c r="N59" s="1142"/>
      <c r="O59" s="3123"/>
      <c r="P59" s="1142"/>
      <c r="Q59" s="3368"/>
      <c r="R59" s="3370"/>
      <c r="S59" s="3368"/>
      <c r="T59" s="3368"/>
      <c r="U59" s="1133"/>
      <c r="V59" s="1365"/>
      <c r="W59" s="1131"/>
    </row>
    <row r="60" spans="1:23" ht="15">
      <c r="A60" s="1127" t="s">
        <v>428</v>
      </c>
      <c r="C60" s="3029">
        <v>5846614.9800000004</v>
      </c>
      <c r="D60" s="1142"/>
      <c r="E60" s="2922">
        <v>0</v>
      </c>
      <c r="F60" s="3025"/>
      <c r="G60" s="2922">
        <v>0</v>
      </c>
      <c r="H60" s="1142"/>
      <c r="I60" s="2922">
        <v>0</v>
      </c>
      <c r="J60" s="1128"/>
      <c r="K60" s="3029">
        <v>1455964.57</v>
      </c>
      <c r="L60" s="1142"/>
      <c r="M60" s="3029">
        <f t="shared" ref="M60" si="6">ROUND(SUM(C60)-SUM(K60)+SUM(G60),2)</f>
        <v>4390650.41</v>
      </c>
      <c r="N60" s="1142"/>
      <c r="O60" s="3123"/>
      <c r="P60" s="1142"/>
      <c r="Q60" s="3367">
        <v>0</v>
      </c>
      <c r="R60" s="3369"/>
      <c r="S60" s="3363">
        <v>190364.77000000002</v>
      </c>
      <c r="T60" s="3367"/>
      <c r="U60" s="1496"/>
      <c r="V60" s="1365"/>
      <c r="W60" s="1366"/>
    </row>
    <row r="61" spans="1:23">
      <c r="A61" s="1127" t="s">
        <v>432</v>
      </c>
      <c r="C61" s="3029">
        <v>38669.769999999997</v>
      </c>
      <c r="D61" s="1142"/>
      <c r="E61" s="2922">
        <v>0</v>
      </c>
      <c r="F61" s="3025"/>
      <c r="G61" s="2922">
        <v>0</v>
      </c>
      <c r="H61" s="1142"/>
      <c r="I61" s="2922">
        <v>0</v>
      </c>
      <c r="J61" s="1128"/>
      <c r="K61" s="3029">
        <v>38669.769999999997</v>
      </c>
      <c r="L61" s="1142"/>
      <c r="M61" s="3029">
        <f>ROUND(SUM(C61)-SUM(K61)+SUM(G61),2)</f>
        <v>0</v>
      </c>
      <c r="N61" s="1142"/>
      <c r="O61" s="3123"/>
      <c r="P61" s="1142"/>
      <c r="Q61" s="3373">
        <v>0</v>
      </c>
      <c r="R61" s="3363"/>
      <c r="S61" s="3363">
        <v>996.4</v>
      </c>
      <c r="T61" s="3373"/>
      <c r="U61" s="3125"/>
      <c r="V61" s="1365"/>
      <c r="W61" s="1366"/>
    </row>
    <row r="62" spans="1:23">
      <c r="B62" s="1142"/>
      <c r="C62" s="3126"/>
      <c r="D62" s="1142"/>
      <c r="E62" s="2922"/>
      <c r="F62" s="3032"/>
      <c r="G62" s="3127"/>
      <c r="H62" s="1142"/>
      <c r="I62" s="3128"/>
      <c r="J62" s="1142"/>
      <c r="K62" s="3129"/>
      <c r="L62" s="1142"/>
      <c r="M62" s="3130"/>
      <c r="N62" s="1142"/>
      <c r="O62" s="3123"/>
      <c r="P62" s="1142"/>
      <c r="Q62" s="3128"/>
      <c r="R62" s="1142"/>
      <c r="S62" s="3128"/>
      <c r="T62" s="1137"/>
    </row>
    <row r="63" spans="1:23" ht="15" customHeight="1" thickBot="1">
      <c r="A63" s="1129" t="s">
        <v>433</v>
      </c>
      <c r="B63" s="3131"/>
      <c r="C63" s="3132">
        <f>ROUND(SUM(C16:C61),2)</f>
        <v>2727459999.46</v>
      </c>
      <c r="D63" s="3131"/>
      <c r="E63" s="3132">
        <f>ROUND(SUM(E16:E62),2)</f>
        <v>0</v>
      </c>
      <c r="F63" s="1128"/>
      <c r="G63" s="3132">
        <f>ROUND(SUM(G16:G61),2)</f>
        <v>0</v>
      </c>
      <c r="H63" s="3131"/>
      <c r="I63" s="3132">
        <f>ROUND(SUM(I16:I61),2)</f>
        <v>0</v>
      </c>
      <c r="J63" s="3131"/>
      <c r="K63" s="3132">
        <f>ROUND(SUM(K16:K61),2)</f>
        <v>100145000</v>
      </c>
      <c r="L63" s="3131"/>
      <c r="M63" s="3132">
        <f>ROUND(SUM(M16:M61),2)</f>
        <v>2627314999.46</v>
      </c>
      <c r="N63" s="3133"/>
      <c r="O63" s="3134"/>
      <c r="P63" s="3131"/>
      <c r="Q63" s="3132">
        <f>ROUND(SUM(Q16:Q61),2)</f>
        <v>61523.25</v>
      </c>
      <c r="R63" s="3131"/>
      <c r="S63" s="3132">
        <f>ROUND(SUM(S16:S61),2)</f>
        <v>70240926.980000004</v>
      </c>
      <c r="T63" s="3135"/>
      <c r="U63" s="3136"/>
      <c r="V63" s="1499"/>
      <c r="W63" s="1499"/>
    </row>
    <row r="64" spans="1:23" ht="15" customHeight="1" thickTop="1">
      <c r="A64" s="3137"/>
      <c r="B64" s="3138"/>
      <c r="C64" s="3135"/>
      <c r="D64" s="3138"/>
      <c r="E64" s="3139"/>
      <c r="F64" s="3140"/>
      <c r="G64" s="3139"/>
      <c r="H64" s="3138"/>
      <c r="I64" s="3135"/>
      <c r="J64" s="3138"/>
      <c r="K64" s="3141"/>
      <c r="L64" s="3138"/>
      <c r="M64" s="1724"/>
      <c r="N64" s="1129"/>
      <c r="O64" s="1129"/>
      <c r="P64" s="3138"/>
      <c r="Q64" s="3141"/>
      <c r="R64" s="3138"/>
      <c r="S64" s="3135"/>
      <c r="U64" s="1500"/>
      <c r="V64" s="1500"/>
      <c r="W64" s="1500"/>
    </row>
    <row r="65" spans="1:20">
      <c r="A65" s="3142"/>
      <c r="B65" s="1137"/>
      <c r="C65" s="1137"/>
      <c r="D65" s="1501"/>
      <c r="E65" s="1137"/>
      <c r="F65" s="1501"/>
      <c r="H65" s="1142"/>
      <c r="I65" s="1127"/>
      <c r="J65" s="1142"/>
      <c r="K65" s="1127"/>
      <c r="L65" s="1142"/>
      <c r="N65" s="1137"/>
      <c r="P65" s="1367"/>
    </row>
    <row r="66" spans="1:20">
      <c r="A66" s="1367"/>
      <c r="C66" s="1137"/>
      <c r="D66" s="1502"/>
      <c r="E66" s="1501"/>
      <c r="F66" s="1502"/>
      <c r="G66" s="1137"/>
      <c r="H66" s="1365"/>
      <c r="I66" s="1142"/>
      <c r="J66" s="1365"/>
      <c r="K66" s="1142"/>
      <c r="L66" s="1366"/>
      <c r="O66" s="1137"/>
      <c r="P66" s="1366"/>
      <c r="R66" s="1131"/>
    </row>
    <row r="67" spans="1:20">
      <c r="A67" s="1143"/>
      <c r="E67" s="3143"/>
      <c r="G67" s="1141"/>
      <c r="I67" s="1133"/>
      <c r="K67" s="1133"/>
      <c r="Q67" s="1131"/>
      <c r="S67" s="1131"/>
      <c r="T67" s="1130"/>
    </row>
    <row r="68" spans="1:20">
      <c r="E68" s="1142"/>
      <c r="G68" s="1142"/>
      <c r="M68" s="1565"/>
      <c r="O68" s="1137"/>
      <c r="Q68" s="1367"/>
    </row>
    <row r="69" spans="1:20">
      <c r="C69" s="1131"/>
      <c r="E69" s="1132"/>
      <c r="G69" s="1132"/>
      <c r="I69" s="1133"/>
      <c r="K69" s="1133"/>
      <c r="M69" s="1134"/>
      <c r="O69" s="1137"/>
      <c r="Q69" s="1138"/>
      <c r="S69" s="1131"/>
    </row>
    <row r="70" spans="1:20">
      <c r="C70" s="1131"/>
      <c r="E70" s="1132"/>
      <c r="G70" s="1366"/>
      <c r="I70" s="1133"/>
      <c r="K70" s="1133"/>
      <c r="M70" s="1725"/>
      <c r="O70" s="1137"/>
      <c r="Q70" s="1366"/>
      <c r="S70" s="1131"/>
    </row>
    <row r="71" spans="1:20">
      <c r="C71" s="1131"/>
      <c r="E71" s="1132"/>
      <c r="G71" s="1364"/>
      <c r="I71" s="1133"/>
      <c r="K71" s="1133"/>
      <c r="M71" s="1565"/>
      <c r="O71" s="1137"/>
      <c r="Q71" s="1498"/>
      <c r="S71" s="1131"/>
    </row>
    <row r="72" spans="1:20">
      <c r="C72" s="1131"/>
      <c r="E72" s="1132"/>
      <c r="G72" s="1132"/>
      <c r="I72" s="1133"/>
      <c r="K72" s="1133"/>
      <c r="M72" s="1134"/>
      <c r="O72" s="1137"/>
      <c r="Q72" s="1138"/>
      <c r="S72" s="1131"/>
      <c r="T72" s="1130"/>
    </row>
    <row r="73" spans="1:20">
      <c r="C73" s="1131"/>
      <c r="E73" s="1132"/>
      <c r="G73" s="1132"/>
      <c r="I73" s="1133"/>
      <c r="K73" s="1133"/>
      <c r="M73" s="1134"/>
      <c r="O73" s="1137"/>
      <c r="Q73" s="1138"/>
      <c r="S73" s="1131"/>
    </row>
    <row r="74" spans="1:20">
      <c r="C74" s="1131"/>
      <c r="E74" s="1132"/>
      <c r="G74" s="1366"/>
      <c r="I74" s="1133"/>
      <c r="K74" s="1133"/>
      <c r="M74" s="1725"/>
      <c r="O74" s="1137"/>
      <c r="Q74" s="1366"/>
      <c r="S74" s="1131"/>
    </row>
    <row r="75" spans="1:20">
      <c r="C75" s="1131"/>
      <c r="E75" s="1132"/>
      <c r="G75" s="1364"/>
      <c r="I75" s="1133"/>
      <c r="K75" s="1133"/>
      <c r="M75" s="1565"/>
      <c r="O75" s="1137"/>
      <c r="Q75" s="1498"/>
      <c r="S75" s="1131"/>
    </row>
    <row r="76" spans="1:20">
      <c r="B76" s="1137"/>
      <c r="C76" s="1503"/>
      <c r="D76" s="1137"/>
      <c r="E76" s="1504"/>
      <c r="F76" s="1137"/>
      <c r="G76" s="1504"/>
      <c r="H76" s="1137"/>
      <c r="I76" s="1505"/>
      <c r="J76" s="1137"/>
      <c r="K76" s="1505"/>
      <c r="L76" s="1137"/>
      <c r="M76" s="1726"/>
      <c r="N76" s="1137"/>
      <c r="O76" s="1137"/>
      <c r="P76" s="1137"/>
      <c r="Q76" s="1506"/>
      <c r="R76" s="1137"/>
      <c r="S76" s="1503"/>
    </row>
    <row r="77" spans="1:20">
      <c r="A77" s="1137"/>
      <c r="B77" s="1137"/>
      <c r="C77" s="1136"/>
      <c r="D77" s="1135"/>
      <c r="E77" s="1507"/>
      <c r="F77" s="1135"/>
      <c r="G77" s="1507"/>
      <c r="H77" s="1135"/>
      <c r="I77" s="1139"/>
      <c r="J77" s="1135"/>
      <c r="K77" s="1139"/>
      <c r="L77" s="1135"/>
      <c r="M77" s="1727"/>
      <c r="N77" s="1135"/>
      <c r="O77" s="1135"/>
      <c r="P77" s="1135"/>
      <c r="Q77" s="1507"/>
      <c r="R77" s="1135"/>
      <c r="S77" s="1136"/>
    </row>
    <row r="78" spans="1:20">
      <c r="A78" s="1135"/>
      <c r="C78" s="1500"/>
      <c r="D78" s="1129"/>
      <c r="E78" s="1500"/>
      <c r="F78" s="1129"/>
      <c r="G78" s="1500"/>
      <c r="H78" s="1129"/>
      <c r="I78" s="1496"/>
      <c r="J78" s="1129"/>
      <c r="K78" s="1496"/>
      <c r="L78" s="1129"/>
      <c r="M78" s="1724"/>
      <c r="N78" s="1129"/>
      <c r="O78" s="1129"/>
      <c r="P78" s="1129"/>
      <c r="Q78" s="1500"/>
      <c r="R78" s="1129"/>
      <c r="S78" s="1500"/>
    </row>
    <row r="79" spans="1:20">
      <c r="A79" s="1129"/>
    </row>
    <row r="80" spans="1:20">
      <c r="C80" s="1367"/>
    </row>
    <row r="81" spans="3:13">
      <c r="C81" s="1143"/>
      <c r="E81" s="1501"/>
      <c r="F81" s="1137"/>
      <c r="G81" s="1501"/>
      <c r="H81" s="1137"/>
      <c r="I81" s="1140"/>
      <c r="J81" s="1137"/>
      <c r="K81" s="1140"/>
      <c r="L81" s="1137"/>
      <c r="M81" s="1728"/>
    </row>
    <row r="82" spans="3:13">
      <c r="E82" s="3032"/>
      <c r="G82" s="1368"/>
    </row>
    <row r="83" spans="3:13">
      <c r="E83" s="3144"/>
      <c r="G83" s="1141"/>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5" firstPageNumber="45"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65"/>
  <sheetViews>
    <sheetView showGridLines="0" zoomScale="70" zoomScaleNormal="80" workbookViewId="0"/>
  </sheetViews>
  <sheetFormatPr defaultColWidth="8.88671875" defaultRowHeight="12.75"/>
  <cols>
    <col min="1" max="1" width="3.109375" style="3145" customWidth="1"/>
    <col min="2" max="2" width="43.88671875" style="3145" customWidth="1"/>
    <col min="3" max="3" width="2.109375" style="3145" customWidth="1"/>
    <col min="4" max="4" width="13.77734375" style="3145" customWidth="1"/>
    <col min="5" max="5" width="2.109375" style="3145" customWidth="1"/>
    <col min="6" max="6" width="24" style="3145" bestFit="1" customWidth="1"/>
    <col min="7" max="7" width="2.109375" style="3145" customWidth="1"/>
    <col min="8" max="8" width="20.33203125" style="3145" customWidth="1"/>
    <col min="9" max="9" width="2.109375" style="3145" customWidth="1"/>
    <col min="10" max="10" width="17.88671875" style="3145" bestFit="1" customWidth="1"/>
    <col min="11" max="11" width="2.109375" style="3145" customWidth="1"/>
    <col min="12" max="12" width="17.88671875" style="3145" bestFit="1" customWidth="1"/>
    <col min="13" max="13" width="2.109375" style="3145" customWidth="1"/>
    <col min="14" max="14" width="19.88671875" style="3145" bestFit="1" customWidth="1"/>
    <col min="15" max="15" width="2.109375" style="3145" customWidth="1"/>
    <col min="16" max="16" width="18.44140625" style="3145" bestFit="1" customWidth="1"/>
    <col min="17" max="17" width="2.109375" style="3145" customWidth="1"/>
    <col min="18" max="18" width="19.6640625" style="3145" customWidth="1"/>
    <col min="19" max="19" width="2.109375" style="3145" customWidth="1"/>
    <col min="20" max="20" width="19.88671875" style="3145" bestFit="1" customWidth="1"/>
    <col min="21" max="21" width="2.109375" style="3145" customWidth="1"/>
    <col min="22" max="22" width="20.88671875" style="3145" bestFit="1" customWidth="1"/>
    <col min="23" max="23" width="17.109375" style="3145" customWidth="1"/>
    <col min="24" max="24" width="18.5546875" style="3145" customWidth="1"/>
    <col min="25" max="25" width="35.33203125" style="3145" bestFit="1" customWidth="1"/>
    <col min="26" max="16384" width="8.88671875" style="3145"/>
  </cols>
  <sheetData>
    <row r="1" spans="1:23" ht="15">
      <c r="B1" s="1159" t="s">
        <v>1090</v>
      </c>
    </row>
    <row r="2" spans="1:23" ht="16.5">
      <c r="B2" s="1369"/>
      <c r="C2" s="1369"/>
      <c r="D2" s="1369"/>
      <c r="E2" s="1369"/>
      <c r="F2" s="1369"/>
      <c r="G2" s="1369"/>
      <c r="H2" s="1369"/>
      <c r="I2" s="1369"/>
      <c r="J2" s="1369"/>
      <c r="K2" s="1369"/>
      <c r="L2" s="1369"/>
      <c r="M2" s="1369"/>
      <c r="N2" s="1369"/>
      <c r="O2" s="1369"/>
      <c r="P2" s="1369"/>
      <c r="Q2" s="1369"/>
      <c r="R2" s="1369"/>
      <c r="S2" s="1369"/>
      <c r="T2" s="1369"/>
      <c r="U2" s="1369"/>
      <c r="V2" s="1369"/>
      <c r="W2" s="1390"/>
    </row>
    <row r="3" spans="1:23" ht="18">
      <c r="A3" s="3146"/>
      <c r="B3" s="1126" t="s">
        <v>0</v>
      </c>
      <c r="C3" s="1370"/>
      <c r="D3" s="1370"/>
      <c r="E3" s="1370"/>
      <c r="F3" s="1369"/>
      <c r="G3" s="1369"/>
      <c r="H3" s="1369"/>
      <c r="I3" s="1369"/>
      <c r="J3" s="1369"/>
      <c r="K3" s="1369"/>
      <c r="L3" s="1369"/>
      <c r="M3" s="1369"/>
      <c r="N3" s="1369"/>
      <c r="O3" s="1369"/>
      <c r="P3" s="1369"/>
      <c r="Q3" s="1369"/>
      <c r="R3" s="1369"/>
      <c r="S3" s="1369"/>
      <c r="T3" s="1369"/>
      <c r="U3" s="1369"/>
      <c r="V3" s="1573" t="s">
        <v>434</v>
      </c>
      <c r="W3" s="1391"/>
    </row>
    <row r="4" spans="1:23" ht="18">
      <c r="A4" s="3146"/>
      <c r="B4" s="1126" t="s">
        <v>435</v>
      </c>
      <c r="C4" s="1370"/>
      <c r="D4" s="1370"/>
      <c r="E4" s="1370"/>
      <c r="F4" s="1369"/>
      <c r="G4" s="1369"/>
      <c r="H4" s="1369"/>
      <c r="I4" s="1369"/>
      <c r="J4" s="1369"/>
      <c r="K4" s="1369"/>
      <c r="L4" s="1369"/>
      <c r="M4" s="1369"/>
      <c r="N4" s="1369"/>
      <c r="O4" s="1369"/>
      <c r="P4" s="1369"/>
      <c r="Q4" s="1369"/>
      <c r="R4" s="1369"/>
      <c r="S4" s="1369"/>
      <c r="T4" s="1369"/>
      <c r="U4" s="1369"/>
      <c r="V4" s="1508"/>
      <c r="W4" s="1390"/>
    </row>
    <row r="5" spans="1:23" ht="18">
      <c r="A5" s="3146"/>
      <c r="B5" s="1126" t="s">
        <v>436</v>
      </c>
      <c r="C5" s="1370"/>
      <c r="D5" s="1370"/>
      <c r="E5" s="1370"/>
      <c r="F5" s="1369"/>
      <c r="G5" s="1369"/>
      <c r="H5" s="1369"/>
      <c r="I5" s="1369"/>
      <c r="J5" s="1369"/>
      <c r="K5" s="1369"/>
      <c r="L5" s="1369"/>
      <c r="M5" s="1369"/>
      <c r="N5" s="1369"/>
      <c r="O5" s="1369"/>
      <c r="P5" s="1369"/>
      <c r="Q5" s="1369"/>
      <c r="R5" s="1369"/>
      <c r="S5" s="1369"/>
      <c r="T5" s="1369"/>
      <c r="U5" s="1369"/>
      <c r="V5" s="1369"/>
      <c r="W5" s="1390"/>
    </row>
    <row r="6" spans="1:23" ht="18">
      <c r="A6" s="3146"/>
      <c r="B6" s="1570" t="s">
        <v>1560</v>
      </c>
      <c r="C6" s="1509"/>
      <c r="D6" s="1370"/>
      <c r="E6" s="1370"/>
      <c r="F6" s="1369"/>
      <c r="G6" s="1369"/>
      <c r="H6" s="1369"/>
      <c r="I6" s="1369"/>
      <c r="J6" s="1369"/>
      <c r="K6" s="1369"/>
      <c r="L6" s="1369"/>
      <c r="M6" s="1369"/>
      <c r="N6" s="1369"/>
      <c r="O6" s="1369"/>
      <c r="P6" s="1369"/>
      <c r="Q6" s="1369"/>
      <c r="R6" s="1369"/>
      <c r="S6" s="1369"/>
      <c r="T6" s="1369"/>
      <c r="U6" s="1369"/>
      <c r="V6" s="1369"/>
      <c r="W6" s="1390"/>
    </row>
    <row r="7" spans="1:23" ht="16.5">
      <c r="A7" s="3146"/>
      <c r="B7" s="1371"/>
      <c r="C7" s="1371"/>
      <c r="D7" s="1370"/>
      <c r="E7" s="1370"/>
      <c r="F7" s="1369"/>
      <c r="G7" s="1369"/>
      <c r="H7" s="1369"/>
      <c r="I7" s="1369"/>
      <c r="J7" s="1369"/>
      <c r="K7" s="1369"/>
      <c r="L7" s="1369"/>
      <c r="M7" s="1369"/>
      <c r="N7" s="1369"/>
      <c r="O7" s="1369"/>
      <c r="P7" s="1369"/>
      <c r="Q7" s="1369"/>
      <c r="R7" s="1369"/>
      <c r="S7" s="1369"/>
      <c r="T7" s="1369"/>
      <c r="U7" s="1369"/>
      <c r="V7" s="1369"/>
      <c r="W7" s="1390"/>
    </row>
    <row r="8" spans="1:23" ht="5.25" customHeight="1">
      <c r="B8" s="1510"/>
      <c r="C8" s="1510"/>
      <c r="D8" s="1369"/>
      <c r="E8" s="1369"/>
      <c r="F8" s="1369"/>
      <c r="G8" s="1369"/>
      <c r="H8" s="1369"/>
      <c r="I8" s="1369"/>
      <c r="J8" s="1369"/>
      <c r="K8" s="1369"/>
      <c r="L8" s="1369"/>
      <c r="M8" s="1369"/>
      <c r="N8" s="1369"/>
      <c r="O8" s="1369"/>
      <c r="P8" s="1369"/>
      <c r="Q8" s="1369"/>
      <c r="R8" s="1369"/>
      <c r="S8" s="1369"/>
      <c r="T8" s="1369"/>
      <c r="U8" s="1369"/>
      <c r="V8" s="1369"/>
      <c r="W8" s="1390"/>
    </row>
    <row r="9" spans="1:23" ht="16.5">
      <c r="B9" s="1369"/>
      <c r="C9" s="1369"/>
      <c r="E9" s="1511"/>
      <c r="F9" s="1511"/>
      <c r="G9" s="1511"/>
      <c r="H9" s="1511"/>
      <c r="I9" s="1511"/>
      <c r="J9" s="1511" t="s">
        <v>437</v>
      </c>
      <c r="K9" s="1511"/>
      <c r="L9" s="1511"/>
      <c r="M9" s="1511"/>
      <c r="N9" s="1511"/>
      <c r="O9" s="1511"/>
      <c r="P9" s="1511"/>
      <c r="Q9" s="1511"/>
      <c r="R9" s="1369"/>
      <c r="S9" s="1369"/>
      <c r="T9" s="1369"/>
      <c r="U9" s="1369"/>
      <c r="V9" s="1369"/>
      <c r="W9" s="1390"/>
    </row>
    <row r="10" spans="1:23" ht="16.5">
      <c r="B10" s="1369"/>
      <c r="C10" s="1369"/>
      <c r="D10" s="1511" t="s">
        <v>125</v>
      </c>
      <c r="E10" s="1372"/>
      <c r="F10" s="1372" t="s">
        <v>107</v>
      </c>
      <c r="G10" s="1372"/>
      <c r="H10" s="1372" t="s">
        <v>439</v>
      </c>
      <c r="I10" s="1372"/>
      <c r="J10" s="1372" t="s">
        <v>440</v>
      </c>
      <c r="K10" s="1372"/>
      <c r="L10" s="1372" t="s">
        <v>441</v>
      </c>
      <c r="M10" s="1372"/>
      <c r="N10" s="1372" t="s">
        <v>10</v>
      </c>
      <c r="O10" s="1372"/>
      <c r="P10" s="1372" t="s">
        <v>998</v>
      </c>
      <c r="Q10" s="1372"/>
      <c r="R10" s="1369"/>
      <c r="S10" s="1369"/>
      <c r="T10" s="1369"/>
      <c r="U10" s="1369"/>
      <c r="V10" s="1369"/>
      <c r="W10" s="1390"/>
    </row>
    <row r="11" spans="1:23" ht="16.5">
      <c r="B11" s="1369"/>
      <c r="C11" s="1369"/>
      <c r="D11" s="1372" t="s">
        <v>438</v>
      </c>
      <c r="E11" s="1372"/>
      <c r="F11" s="1372" t="s">
        <v>125</v>
      </c>
      <c r="G11" s="1372"/>
      <c r="H11" s="1372" t="s">
        <v>443</v>
      </c>
      <c r="I11" s="1372"/>
      <c r="J11" s="1372" t="s">
        <v>444</v>
      </c>
      <c r="K11" s="1372"/>
      <c r="L11" s="1372" t="s">
        <v>445</v>
      </c>
      <c r="M11" s="1372"/>
      <c r="N11" s="1373" t="s">
        <v>446</v>
      </c>
      <c r="O11" s="1372"/>
      <c r="P11" s="1372" t="s">
        <v>999</v>
      </c>
      <c r="Q11" s="1372"/>
      <c r="R11" s="1512" t="s">
        <v>447</v>
      </c>
      <c r="S11" s="1512"/>
      <c r="T11" s="1512"/>
      <c r="U11" s="1512"/>
      <c r="V11" s="1369"/>
      <c r="W11" s="1390"/>
    </row>
    <row r="12" spans="1:23" ht="16.5">
      <c r="B12" s="1369"/>
      <c r="C12" s="1369"/>
      <c r="D12" s="1372" t="s">
        <v>442</v>
      </c>
      <c r="E12" s="1372"/>
      <c r="F12" s="1372" t="s">
        <v>11</v>
      </c>
      <c r="G12" s="1372"/>
      <c r="H12" s="1372" t="s">
        <v>448</v>
      </c>
      <c r="I12" s="1372"/>
      <c r="J12" s="1372" t="s">
        <v>449</v>
      </c>
      <c r="K12" s="1372"/>
      <c r="L12" s="1372" t="s">
        <v>450</v>
      </c>
      <c r="M12" s="1372"/>
      <c r="N12" s="1373" t="s">
        <v>449</v>
      </c>
      <c r="O12" s="1373"/>
      <c r="P12" s="1372" t="s">
        <v>449</v>
      </c>
      <c r="Q12" s="1372"/>
      <c r="R12" s="1375" t="s">
        <v>1561</v>
      </c>
      <c r="S12" s="1375"/>
      <c r="T12" s="1375"/>
      <c r="U12" s="1374"/>
      <c r="V12" s="1511" t="s">
        <v>1000</v>
      </c>
      <c r="W12" s="1392"/>
    </row>
    <row r="13" spans="1:23" ht="16.5">
      <c r="A13" s="3147"/>
      <c r="B13" s="1376" t="s">
        <v>458</v>
      </c>
      <c r="C13" s="1381"/>
      <c r="D13" s="1377" t="s">
        <v>451</v>
      </c>
      <c r="E13" s="1392"/>
      <c r="F13" s="1377" t="s">
        <v>452</v>
      </c>
      <c r="G13" s="1392"/>
      <c r="H13" s="1378" t="s">
        <v>453</v>
      </c>
      <c r="I13" s="1392"/>
      <c r="J13" s="1378" t="s">
        <v>454</v>
      </c>
      <c r="K13" s="1392"/>
      <c r="L13" s="1378" t="s">
        <v>455</v>
      </c>
      <c r="M13" s="1392"/>
      <c r="N13" s="1379" t="s">
        <v>456</v>
      </c>
      <c r="O13" s="1392"/>
      <c r="P13" s="1379" t="s">
        <v>1001</v>
      </c>
      <c r="Q13" s="1392"/>
      <c r="R13" s="3148">
        <v>2017</v>
      </c>
      <c r="S13" s="3148"/>
      <c r="T13" s="3148">
        <v>2016</v>
      </c>
      <c r="U13" s="1392"/>
      <c r="V13" s="1380" t="s">
        <v>457</v>
      </c>
      <c r="W13" s="1392"/>
    </row>
    <row r="14" spans="1:23" ht="16.5">
      <c r="B14" s="1381" t="s">
        <v>459</v>
      </c>
      <c r="C14" s="1381"/>
      <c r="D14" s="1513"/>
      <c r="E14" s="1513"/>
      <c r="F14" s="1514"/>
      <c r="G14" s="1514"/>
      <c r="H14" s="1515"/>
      <c r="I14" s="1515"/>
      <c r="J14" s="1515"/>
      <c r="K14" s="1515"/>
      <c r="L14" s="1515"/>
      <c r="M14" s="1515"/>
      <c r="N14" s="1513"/>
      <c r="O14" s="1513"/>
      <c r="P14" s="1513"/>
      <c r="Q14" s="1513"/>
      <c r="R14" s="1515"/>
      <c r="S14" s="1515"/>
      <c r="T14" s="1516"/>
      <c r="U14" s="1516"/>
      <c r="V14" s="1517"/>
      <c r="W14" s="1390"/>
    </row>
    <row r="15" spans="1:23" ht="15" customHeight="1">
      <c r="A15" s="3149"/>
      <c r="B15" s="1510" t="s">
        <v>460</v>
      </c>
      <c r="C15" s="1510"/>
      <c r="D15" s="1393">
        <v>0</v>
      </c>
      <c r="E15" s="1393"/>
      <c r="F15" s="1393">
        <v>161996462</v>
      </c>
      <c r="G15" s="1382"/>
      <c r="H15" s="1393">
        <v>0</v>
      </c>
      <c r="I15" s="1382"/>
      <c r="J15" s="1393">
        <v>0</v>
      </c>
      <c r="K15" s="1382"/>
      <c r="L15" s="1393">
        <v>0</v>
      </c>
      <c r="M15" s="1382"/>
      <c r="N15" s="1393">
        <v>0</v>
      </c>
      <c r="O15" s="1382"/>
      <c r="P15" s="1393">
        <v>0</v>
      </c>
      <c r="Q15" s="1382"/>
      <c r="R15" s="1393">
        <f>ROUND(SUM(D15:Q15),0)</f>
        <v>161996462</v>
      </c>
      <c r="S15" s="1393"/>
      <c r="T15" s="2763">
        <v>219529219</v>
      </c>
      <c r="U15" s="1382"/>
      <c r="V15" s="1518">
        <f>ROUND(R15-T15,0)</f>
        <v>-57532757</v>
      </c>
      <c r="W15" s="1393"/>
    </row>
    <row r="16" spans="1:23" ht="15" customHeight="1">
      <c r="A16" s="3149"/>
      <c r="B16" s="1369" t="s">
        <v>461</v>
      </c>
      <c r="C16" s="1369"/>
      <c r="D16" s="1383"/>
      <c r="E16" s="1383"/>
      <c r="F16" s="1383"/>
      <c r="G16" s="1383"/>
      <c r="H16" s="1383"/>
      <c r="I16" s="1383"/>
      <c r="J16" s="1383"/>
      <c r="K16" s="1382"/>
      <c r="L16" s="1383"/>
      <c r="M16" s="1384"/>
      <c r="N16" s="1383"/>
      <c r="O16" s="1384"/>
      <c r="P16" s="1383"/>
      <c r="Q16" s="1384"/>
      <c r="R16" s="1384"/>
      <c r="S16" s="1384"/>
      <c r="T16" s="2764"/>
      <c r="U16" s="1384"/>
      <c r="V16" s="1519"/>
      <c r="W16" s="1394"/>
    </row>
    <row r="17" spans="1:23" ht="15" customHeight="1">
      <c r="A17" s="3149"/>
      <c r="B17" s="1369" t="s">
        <v>462</v>
      </c>
      <c r="C17" s="1369"/>
      <c r="D17" s="1383">
        <v>0</v>
      </c>
      <c r="E17" s="1383"/>
      <c r="F17" s="1383">
        <v>0</v>
      </c>
      <c r="G17" s="1383"/>
      <c r="H17" s="1383">
        <v>0</v>
      </c>
      <c r="I17" s="1383"/>
      <c r="J17" s="1383">
        <v>0</v>
      </c>
      <c r="K17" s="1383"/>
      <c r="L17" s="1383">
        <v>0</v>
      </c>
      <c r="M17" s="1383"/>
      <c r="N17" s="1383">
        <v>0</v>
      </c>
      <c r="O17" s="1383"/>
      <c r="P17" s="1383">
        <v>0</v>
      </c>
      <c r="Q17" s="1383">
        <v>0</v>
      </c>
      <c r="R17" s="1384">
        <f>ROUND(SUM(D17:Q17),0)</f>
        <v>0</v>
      </c>
      <c r="S17" s="1384"/>
      <c r="T17" s="2764">
        <v>0</v>
      </c>
      <c r="U17" s="1385"/>
      <c r="V17" s="1385">
        <f>SUM(R17-T17,0)</f>
        <v>0</v>
      </c>
      <c r="W17" s="1386"/>
    </row>
    <row r="18" spans="1:23" ht="15" customHeight="1">
      <c r="A18" s="3149"/>
      <c r="B18" s="1369" t="s">
        <v>1397</v>
      </c>
      <c r="C18" s="1369"/>
      <c r="D18" s="1383">
        <v>0</v>
      </c>
      <c r="E18" s="1383"/>
      <c r="F18" s="1383">
        <v>0</v>
      </c>
      <c r="G18" s="1383"/>
      <c r="H18" s="1383">
        <v>0</v>
      </c>
      <c r="I18" s="1383"/>
      <c r="J18" s="1383">
        <v>0</v>
      </c>
      <c r="K18" s="1383"/>
      <c r="L18" s="1383">
        <v>0</v>
      </c>
      <c r="M18" s="1383"/>
      <c r="N18" s="1383">
        <v>0</v>
      </c>
      <c r="O18" s="1383"/>
      <c r="P18" s="1383">
        <v>0</v>
      </c>
      <c r="Q18" s="1383">
        <v>0</v>
      </c>
      <c r="R18" s="1384">
        <f t="shared" ref="R18:R36" si="0">ROUND(SUM(D18:Q18),0)</f>
        <v>0</v>
      </c>
      <c r="S18" s="1384"/>
      <c r="T18" s="2764">
        <v>11508925</v>
      </c>
      <c r="U18" s="1385"/>
      <c r="V18" s="1385">
        <f t="shared" ref="V18:V36" si="1">SUM(R18-T18,0)</f>
        <v>-11508925</v>
      </c>
      <c r="W18" s="1386"/>
    </row>
    <row r="19" spans="1:23" ht="15" customHeight="1">
      <c r="A19" s="3149"/>
      <c r="B19" s="1369" t="s">
        <v>1398</v>
      </c>
      <c r="C19" s="1369"/>
      <c r="D19" s="1383">
        <v>0</v>
      </c>
      <c r="E19" s="1383"/>
      <c r="F19" s="1383">
        <v>0</v>
      </c>
      <c r="G19" s="1383"/>
      <c r="H19" s="1383">
        <v>0</v>
      </c>
      <c r="I19" s="1383"/>
      <c r="J19" s="1383">
        <v>0</v>
      </c>
      <c r="K19" s="1383"/>
      <c r="L19" s="1383">
        <v>0</v>
      </c>
      <c r="M19" s="1383"/>
      <c r="N19" s="1383">
        <v>435668263</v>
      </c>
      <c r="O19" s="1383"/>
      <c r="P19" s="1383">
        <v>104256222</v>
      </c>
      <c r="Q19" s="1383">
        <v>0</v>
      </c>
      <c r="R19" s="1384">
        <f t="shared" si="0"/>
        <v>539924485</v>
      </c>
      <c r="S19" s="1384"/>
      <c r="T19" s="2764">
        <v>441024229</v>
      </c>
      <c r="U19" s="1385"/>
      <c r="V19" s="1385">
        <f t="shared" si="1"/>
        <v>98900256</v>
      </c>
      <c r="W19" s="1386"/>
    </row>
    <row r="20" spans="1:23" ht="15" customHeight="1">
      <c r="A20" s="3149"/>
      <c r="B20" s="1369" t="s">
        <v>1081</v>
      </c>
      <c r="C20" s="1369"/>
      <c r="D20" s="1383">
        <v>0</v>
      </c>
      <c r="E20" s="1383"/>
      <c r="F20" s="1383">
        <v>0</v>
      </c>
      <c r="G20" s="1383"/>
      <c r="H20" s="1383">
        <v>0</v>
      </c>
      <c r="I20" s="1383"/>
      <c r="J20" s="1383">
        <v>0</v>
      </c>
      <c r="K20" s="1383"/>
      <c r="L20" s="1383">
        <v>0</v>
      </c>
      <c r="M20" s="1383"/>
      <c r="N20" s="1383">
        <v>0</v>
      </c>
      <c r="O20" s="1383"/>
      <c r="P20" s="1383">
        <v>0</v>
      </c>
      <c r="Q20" s="1383">
        <v>0</v>
      </c>
      <c r="R20" s="1384">
        <f t="shared" si="0"/>
        <v>0</v>
      </c>
      <c r="S20" s="1384"/>
      <c r="T20" s="2764">
        <v>0</v>
      </c>
      <c r="U20" s="1385"/>
      <c r="V20" s="1385">
        <f t="shared" si="1"/>
        <v>0</v>
      </c>
      <c r="W20" s="1386"/>
    </row>
    <row r="21" spans="1:23" ht="15" customHeight="1">
      <c r="A21" s="3149"/>
      <c r="B21" s="1369" t="s">
        <v>463</v>
      </c>
      <c r="C21" s="1369"/>
      <c r="D21" s="1383">
        <v>0</v>
      </c>
      <c r="E21" s="1383"/>
      <c r="F21" s="1383">
        <v>0</v>
      </c>
      <c r="G21" s="1383"/>
      <c r="H21" s="1383">
        <v>25572497</v>
      </c>
      <c r="I21" s="1383"/>
      <c r="J21" s="1383">
        <v>0</v>
      </c>
      <c r="K21" s="1383"/>
      <c r="L21" s="1383">
        <v>0</v>
      </c>
      <c r="M21" s="1383"/>
      <c r="N21" s="1383">
        <v>0</v>
      </c>
      <c r="O21" s="1383"/>
      <c r="P21" s="1383">
        <v>0</v>
      </c>
      <c r="Q21" s="1383">
        <v>0</v>
      </c>
      <c r="R21" s="1384">
        <f>ROUND(SUM(D21:Q21),0)</f>
        <v>25572497</v>
      </c>
      <c r="S21" s="1384"/>
      <c r="T21" s="2764">
        <v>28307274</v>
      </c>
      <c r="U21" s="1385"/>
      <c r="V21" s="1385">
        <f t="shared" si="1"/>
        <v>-2734777</v>
      </c>
      <c r="W21" s="1386"/>
    </row>
    <row r="22" spans="1:23" ht="15" customHeight="1">
      <c r="A22" s="3149"/>
      <c r="B22" s="1369" t="s">
        <v>464</v>
      </c>
      <c r="C22" s="1369"/>
      <c r="D22" s="1383">
        <v>0</v>
      </c>
      <c r="E22" s="1383"/>
      <c r="F22" s="1383">
        <v>0</v>
      </c>
      <c r="G22" s="1383"/>
      <c r="H22" s="1383">
        <v>0</v>
      </c>
      <c r="I22" s="1383"/>
      <c r="J22" s="1383">
        <v>0</v>
      </c>
      <c r="K22" s="1383"/>
      <c r="L22" s="1383">
        <v>0</v>
      </c>
      <c r="M22" s="1383"/>
      <c r="N22" s="1383">
        <v>0</v>
      </c>
      <c r="O22" s="1383"/>
      <c r="P22" s="1383">
        <v>0</v>
      </c>
      <c r="Q22" s="1383">
        <v>0</v>
      </c>
      <c r="R22" s="1384">
        <f t="shared" si="0"/>
        <v>0</v>
      </c>
      <c r="S22" s="1384"/>
      <c r="T22" s="2764">
        <v>0</v>
      </c>
      <c r="U22" s="1385"/>
      <c r="V22" s="1385">
        <f t="shared" si="1"/>
        <v>0</v>
      </c>
      <c r="W22" s="1386"/>
    </row>
    <row r="23" spans="1:23" ht="15" customHeight="1">
      <c r="A23" s="3149"/>
      <c r="B23" s="1369" t="s">
        <v>465</v>
      </c>
      <c r="C23" s="1369"/>
      <c r="D23" s="1383">
        <v>0</v>
      </c>
      <c r="E23" s="1383"/>
      <c r="F23" s="1383">
        <v>0</v>
      </c>
      <c r="G23" s="1383"/>
      <c r="H23" s="1383">
        <v>0</v>
      </c>
      <c r="I23" s="1383"/>
      <c r="J23" s="1383">
        <v>0</v>
      </c>
      <c r="K23" s="1383"/>
      <c r="L23" s="1383">
        <v>0</v>
      </c>
      <c r="M23" s="1383"/>
      <c r="N23" s="1383">
        <v>0</v>
      </c>
      <c r="O23" s="1383"/>
      <c r="P23" s="1383">
        <v>0</v>
      </c>
      <c r="Q23" s="1383">
        <v>0</v>
      </c>
      <c r="R23" s="1384">
        <f t="shared" si="0"/>
        <v>0</v>
      </c>
      <c r="S23" s="1384"/>
      <c r="T23" s="2764">
        <v>0</v>
      </c>
      <c r="U23" s="1385"/>
      <c r="V23" s="1385">
        <f t="shared" si="1"/>
        <v>0</v>
      </c>
      <c r="W23" s="1386"/>
    </row>
    <row r="24" spans="1:23" ht="15" customHeight="1">
      <c r="A24" s="3149"/>
      <c r="B24" s="1369" t="s">
        <v>466</v>
      </c>
      <c r="C24" s="1369"/>
      <c r="D24" s="1383">
        <v>0</v>
      </c>
      <c r="E24" s="1383"/>
      <c r="F24" s="1383">
        <v>0</v>
      </c>
      <c r="G24" s="1383"/>
      <c r="H24" s="1383">
        <v>0</v>
      </c>
      <c r="I24" s="1383"/>
      <c r="J24" s="1383">
        <v>0</v>
      </c>
      <c r="K24" s="1383"/>
      <c r="L24" s="1383">
        <v>0</v>
      </c>
      <c r="M24" s="1383"/>
      <c r="N24" s="1383">
        <v>0</v>
      </c>
      <c r="O24" s="1383"/>
      <c r="P24" s="1383">
        <v>0</v>
      </c>
      <c r="Q24" s="1383">
        <v>0</v>
      </c>
      <c r="R24" s="1384">
        <f t="shared" si="0"/>
        <v>0</v>
      </c>
      <c r="S24" s="1384"/>
      <c r="T24" s="2764">
        <v>0</v>
      </c>
      <c r="U24" s="1385"/>
      <c r="V24" s="1385">
        <f t="shared" si="1"/>
        <v>0</v>
      </c>
      <c r="W24" s="1386"/>
    </row>
    <row r="25" spans="1:23" ht="15" customHeight="1">
      <c r="A25" s="3149"/>
      <c r="B25" s="1369" t="s">
        <v>467</v>
      </c>
      <c r="C25" s="1369"/>
      <c r="D25" s="1383">
        <v>0</v>
      </c>
      <c r="E25" s="1383"/>
      <c r="F25" s="1383">
        <v>0</v>
      </c>
      <c r="G25" s="1383"/>
      <c r="H25" s="1383">
        <v>0</v>
      </c>
      <c r="I25" s="1383"/>
      <c r="J25" s="1383">
        <v>0</v>
      </c>
      <c r="K25" s="1383"/>
      <c r="L25" s="1383">
        <v>0</v>
      </c>
      <c r="M25" s="1383"/>
      <c r="N25" s="1383">
        <v>0</v>
      </c>
      <c r="O25" s="1383"/>
      <c r="P25" s="1383">
        <v>0</v>
      </c>
      <c r="Q25" s="1383">
        <v>0</v>
      </c>
      <c r="R25" s="1384">
        <f t="shared" si="0"/>
        <v>0</v>
      </c>
      <c r="S25" s="1384"/>
      <c r="T25" s="2764">
        <v>0</v>
      </c>
      <c r="U25" s="1386"/>
      <c r="V25" s="1385">
        <f t="shared" si="1"/>
        <v>0</v>
      </c>
      <c r="W25" s="1386"/>
    </row>
    <row r="26" spans="1:23" ht="15" customHeight="1">
      <c r="A26" s="3149"/>
      <c r="B26" s="1369" t="s">
        <v>1118</v>
      </c>
      <c r="C26" s="1369"/>
      <c r="D26" s="1383">
        <v>0</v>
      </c>
      <c r="E26" s="1383"/>
      <c r="F26" s="1383">
        <v>0</v>
      </c>
      <c r="G26" s="1383"/>
      <c r="H26" s="1383">
        <v>0</v>
      </c>
      <c r="I26" s="1383"/>
      <c r="J26" s="1383">
        <v>0</v>
      </c>
      <c r="K26" s="1383"/>
      <c r="L26" s="1383">
        <v>69181688</v>
      </c>
      <c r="M26" s="1383"/>
      <c r="N26" s="1383">
        <v>0</v>
      </c>
      <c r="O26" s="1383"/>
      <c r="P26" s="1383">
        <v>0</v>
      </c>
      <c r="Q26" s="1383">
        <v>0</v>
      </c>
      <c r="R26" s="1384">
        <f t="shared" si="0"/>
        <v>69181688</v>
      </c>
      <c r="S26" s="1384"/>
      <c r="T26" s="2764">
        <v>71839317</v>
      </c>
      <c r="U26" s="1386"/>
      <c r="V26" s="1385">
        <f t="shared" si="1"/>
        <v>-2657629</v>
      </c>
      <c r="W26" s="1386"/>
    </row>
    <row r="27" spans="1:23" ht="15" customHeight="1">
      <c r="A27" s="3149"/>
      <c r="B27" s="1369" t="s">
        <v>468</v>
      </c>
      <c r="C27" s="1369"/>
      <c r="D27" s="1383">
        <v>0</v>
      </c>
      <c r="E27" s="1383"/>
      <c r="F27" s="1383">
        <v>0</v>
      </c>
      <c r="G27" s="1383"/>
      <c r="H27" s="1383">
        <v>0</v>
      </c>
      <c r="I27" s="1383"/>
      <c r="J27" s="1383">
        <v>0</v>
      </c>
      <c r="K27" s="1383"/>
      <c r="L27" s="1383">
        <v>0</v>
      </c>
      <c r="M27" s="1383"/>
      <c r="N27" s="1383">
        <v>0</v>
      </c>
      <c r="O27" s="1383"/>
      <c r="P27" s="1383">
        <v>0</v>
      </c>
      <c r="Q27" s="1383">
        <v>0</v>
      </c>
      <c r="R27" s="1384">
        <f t="shared" si="0"/>
        <v>0</v>
      </c>
      <c r="S27" s="1384"/>
      <c r="T27" s="2764">
        <v>0</v>
      </c>
      <c r="U27" s="1386"/>
      <c r="V27" s="1385">
        <f t="shared" si="1"/>
        <v>0</v>
      </c>
      <c r="W27" s="1386"/>
    </row>
    <row r="28" spans="1:23" ht="15" customHeight="1">
      <c r="A28" s="3149"/>
      <c r="B28" s="1369" t="s">
        <v>1002</v>
      </c>
      <c r="C28" s="1369"/>
      <c r="D28" s="1383">
        <v>0</v>
      </c>
      <c r="E28" s="1383"/>
      <c r="F28" s="1383">
        <v>0</v>
      </c>
      <c r="G28" s="1383"/>
      <c r="H28" s="1383">
        <v>0</v>
      </c>
      <c r="I28" s="1383"/>
      <c r="J28" s="1383">
        <v>0</v>
      </c>
      <c r="K28" s="1383"/>
      <c r="L28" s="1383">
        <v>0</v>
      </c>
      <c r="M28" s="1383"/>
      <c r="N28" s="1383">
        <v>0</v>
      </c>
      <c r="O28" s="1383"/>
      <c r="P28" s="1383">
        <v>0</v>
      </c>
      <c r="Q28" s="1383">
        <v>0</v>
      </c>
      <c r="R28" s="1384">
        <f t="shared" si="0"/>
        <v>0</v>
      </c>
      <c r="S28" s="1384"/>
      <c r="T28" s="2764">
        <v>0</v>
      </c>
      <c r="U28" s="1386"/>
      <c r="V28" s="1385">
        <f t="shared" si="1"/>
        <v>0</v>
      </c>
      <c r="W28" s="1386"/>
    </row>
    <row r="29" spans="1:23" ht="15" customHeight="1">
      <c r="A29" s="3149"/>
      <c r="B29" s="1369" t="s">
        <v>939</v>
      </c>
      <c r="C29" s="1369"/>
      <c r="D29" s="1383">
        <v>0</v>
      </c>
      <c r="E29" s="1383"/>
      <c r="F29" s="1383">
        <v>1616683</v>
      </c>
      <c r="G29" s="1383"/>
      <c r="H29" s="1383">
        <v>0</v>
      </c>
      <c r="I29" s="1383"/>
      <c r="J29" s="1383">
        <v>0</v>
      </c>
      <c r="K29" s="1383"/>
      <c r="L29" s="1383">
        <v>0</v>
      </c>
      <c r="M29" s="1383"/>
      <c r="N29" s="1383">
        <v>0</v>
      </c>
      <c r="O29" s="1383"/>
      <c r="P29" s="1383">
        <v>0</v>
      </c>
      <c r="Q29" s="1383">
        <v>0</v>
      </c>
      <c r="R29" s="1384">
        <f t="shared" si="0"/>
        <v>1616683</v>
      </c>
      <c r="S29" s="1384"/>
      <c r="T29" s="2764">
        <v>2711049</v>
      </c>
      <c r="U29" s="1386"/>
      <c r="V29" s="1385">
        <f t="shared" si="1"/>
        <v>-1094366</v>
      </c>
      <c r="W29" s="1386"/>
    </row>
    <row r="30" spans="1:23" ht="15" customHeight="1">
      <c r="A30" s="3149"/>
      <c r="B30" s="1369" t="s">
        <v>1399</v>
      </c>
      <c r="C30" s="1369"/>
      <c r="D30" s="1383">
        <v>0</v>
      </c>
      <c r="E30" s="1383"/>
      <c r="F30" s="1383">
        <v>0</v>
      </c>
      <c r="G30" s="1383"/>
      <c r="H30" s="1383">
        <v>0</v>
      </c>
      <c r="I30" s="1383"/>
      <c r="J30" s="1383">
        <v>0</v>
      </c>
      <c r="K30" s="1383"/>
      <c r="L30" s="1383">
        <v>0</v>
      </c>
      <c r="M30" s="1383"/>
      <c r="N30" s="1383">
        <v>0</v>
      </c>
      <c r="O30" s="1383"/>
      <c r="P30" s="1383">
        <v>0</v>
      </c>
      <c r="Q30" s="1383">
        <v>0</v>
      </c>
      <c r="R30" s="1384">
        <f t="shared" si="0"/>
        <v>0</v>
      </c>
      <c r="S30" s="1384"/>
      <c r="T30" s="2764">
        <v>0</v>
      </c>
      <c r="U30" s="1386"/>
      <c r="V30" s="1385">
        <f t="shared" si="1"/>
        <v>0</v>
      </c>
      <c r="W30" s="1386"/>
    </row>
    <row r="31" spans="1:23" ht="15" customHeight="1">
      <c r="A31" s="3149"/>
      <c r="B31" s="1369" t="s">
        <v>1119</v>
      </c>
      <c r="C31" s="1369"/>
      <c r="D31" s="1383">
        <v>0</v>
      </c>
      <c r="E31" s="1383"/>
      <c r="F31" s="1383">
        <v>0</v>
      </c>
      <c r="G31" s="1383"/>
      <c r="H31" s="1383">
        <v>0</v>
      </c>
      <c r="I31" s="1383"/>
      <c r="J31" s="1383">
        <v>0</v>
      </c>
      <c r="K31" s="1383"/>
      <c r="L31" s="1383">
        <v>0</v>
      </c>
      <c r="M31" s="1383"/>
      <c r="N31" s="1383">
        <v>0</v>
      </c>
      <c r="O31" s="1383"/>
      <c r="P31" s="1383">
        <v>0</v>
      </c>
      <c r="Q31" s="1383">
        <v>0</v>
      </c>
      <c r="R31" s="1384">
        <f t="shared" si="0"/>
        <v>0</v>
      </c>
      <c r="S31" s="1384"/>
      <c r="T31" s="2764">
        <v>0</v>
      </c>
      <c r="U31" s="1385"/>
      <c r="V31" s="1385">
        <f t="shared" si="1"/>
        <v>0</v>
      </c>
      <c r="W31" s="1386"/>
    </row>
    <row r="32" spans="1:23" ht="15" customHeight="1">
      <c r="A32" s="3149"/>
      <c r="B32" s="1369" t="s">
        <v>1400</v>
      </c>
      <c r="C32" s="1369"/>
      <c r="D32" s="1383">
        <v>0</v>
      </c>
      <c r="E32" s="1383"/>
      <c r="F32" s="1383">
        <v>0</v>
      </c>
      <c r="G32" s="1383"/>
      <c r="H32" s="1383">
        <v>0</v>
      </c>
      <c r="I32" s="1383"/>
      <c r="J32" s="1383">
        <v>0</v>
      </c>
      <c r="K32" s="1383"/>
      <c r="L32" s="1383">
        <v>0</v>
      </c>
      <c r="M32" s="1383"/>
      <c r="N32" s="1383">
        <v>0</v>
      </c>
      <c r="O32" s="1383"/>
      <c r="P32" s="1383">
        <v>0</v>
      </c>
      <c r="Q32" s="1383">
        <v>0</v>
      </c>
      <c r="R32" s="1384">
        <f t="shared" si="0"/>
        <v>0</v>
      </c>
      <c r="S32" s="1384"/>
      <c r="T32" s="2764">
        <v>0</v>
      </c>
      <c r="U32" s="1385"/>
      <c r="V32" s="1385">
        <f t="shared" si="1"/>
        <v>0</v>
      </c>
      <c r="W32" s="1386"/>
    </row>
    <row r="33" spans="1:23" ht="15" customHeight="1">
      <c r="A33" s="3149"/>
      <c r="B33" s="1369" t="s">
        <v>1401</v>
      </c>
      <c r="C33" s="1369"/>
      <c r="D33" s="1383">
        <v>0</v>
      </c>
      <c r="E33" s="1383"/>
      <c r="F33" s="1383">
        <v>0</v>
      </c>
      <c r="G33" s="1383"/>
      <c r="H33" s="1383">
        <v>0</v>
      </c>
      <c r="I33" s="1383"/>
      <c r="J33" s="1383">
        <v>0</v>
      </c>
      <c r="K33" s="1383"/>
      <c r="L33" s="1383">
        <v>0</v>
      </c>
      <c r="M33" s="1383"/>
      <c r="N33" s="1383">
        <v>0</v>
      </c>
      <c r="O33" s="1383"/>
      <c r="P33" s="1383">
        <v>0</v>
      </c>
      <c r="Q33" s="1383">
        <v>0</v>
      </c>
      <c r="R33" s="1384">
        <f t="shared" si="0"/>
        <v>0</v>
      </c>
      <c r="S33" s="1384"/>
      <c r="T33" s="2764">
        <v>0</v>
      </c>
      <c r="U33" s="1385"/>
      <c r="V33" s="1385">
        <f t="shared" si="1"/>
        <v>0</v>
      </c>
      <c r="W33" s="1386"/>
    </row>
    <row r="34" spans="1:23" ht="15" customHeight="1">
      <c r="A34" s="3149"/>
      <c r="B34" s="1369" t="s">
        <v>469</v>
      </c>
      <c r="C34" s="1369"/>
      <c r="D34" s="1383">
        <v>0</v>
      </c>
      <c r="E34" s="1383"/>
      <c r="F34" s="1383">
        <v>557596</v>
      </c>
      <c r="G34" s="1383"/>
      <c r="H34" s="1383">
        <v>0</v>
      </c>
      <c r="I34" s="1383"/>
      <c r="J34" s="1383">
        <v>0</v>
      </c>
      <c r="K34" s="1383"/>
      <c r="L34" s="1383">
        <v>0</v>
      </c>
      <c r="M34" s="1383"/>
      <c r="N34" s="1383">
        <v>53436166</v>
      </c>
      <c r="O34" s="1383"/>
      <c r="P34" s="1383">
        <v>0</v>
      </c>
      <c r="Q34" s="1383">
        <v>0</v>
      </c>
      <c r="R34" s="1384">
        <f t="shared" si="0"/>
        <v>53993762</v>
      </c>
      <c r="S34" s="1384"/>
      <c r="T34" s="2764">
        <v>76398012</v>
      </c>
      <c r="U34" s="1385"/>
      <c r="V34" s="1385">
        <f t="shared" si="1"/>
        <v>-22404250</v>
      </c>
      <c r="W34" s="1386"/>
    </row>
    <row r="35" spans="1:23" ht="15" customHeight="1">
      <c r="A35" s="3149"/>
      <c r="B35" s="1369" t="s">
        <v>470</v>
      </c>
      <c r="C35" s="1369"/>
      <c r="D35" s="1383">
        <v>0</v>
      </c>
      <c r="E35" s="1383"/>
      <c r="F35" s="1383">
        <v>13990656</v>
      </c>
      <c r="G35" s="1383"/>
      <c r="H35" s="1383">
        <v>0</v>
      </c>
      <c r="I35" s="1383"/>
      <c r="J35" s="1383">
        <v>0</v>
      </c>
      <c r="K35" s="1383"/>
      <c r="L35" s="1383">
        <v>0</v>
      </c>
      <c r="M35" s="1383"/>
      <c r="N35" s="1383">
        <v>15310854</v>
      </c>
      <c r="O35" s="1383"/>
      <c r="P35" s="1383">
        <v>0</v>
      </c>
      <c r="Q35" s="1383">
        <v>0</v>
      </c>
      <c r="R35" s="1384">
        <f t="shared" si="0"/>
        <v>29301510</v>
      </c>
      <c r="S35" s="1384"/>
      <c r="T35" s="2764">
        <v>54724821</v>
      </c>
      <c r="U35" s="1385"/>
      <c r="V35" s="1385">
        <f t="shared" si="1"/>
        <v>-25423311</v>
      </c>
      <c r="W35" s="1386"/>
    </row>
    <row r="36" spans="1:23" ht="15" customHeight="1">
      <c r="A36" s="3149"/>
      <c r="B36" s="1369" t="s">
        <v>1402</v>
      </c>
      <c r="C36" s="1369"/>
      <c r="D36" s="1383">
        <v>0</v>
      </c>
      <c r="E36" s="1383"/>
      <c r="F36" s="1383">
        <v>0</v>
      </c>
      <c r="G36" s="1383"/>
      <c r="H36" s="1383">
        <v>0</v>
      </c>
      <c r="I36" s="1383"/>
      <c r="J36" s="1383">
        <v>39130075</v>
      </c>
      <c r="K36" s="1383"/>
      <c r="L36" s="1383">
        <v>0</v>
      </c>
      <c r="M36" s="1383"/>
      <c r="N36" s="1383">
        <v>0</v>
      </c>
      <c r="O36" s="1383"/>
      <c r="P36" s="1383">
        <v>0</v>
      </c>
      <c r="Q36" s="1383">
        <v>0</v>
      </c>
      <c r="R36" s="1384">
        <f t="shared" si="0"/>
        <v>39130075</v>
      </c>
      <c r="S36" s="1384"/>
      <c r="T36" s="2764">
        <v>45915369</v>
      </c>
      <c r="U36" s="1385"/>
      <c r="V36" s="1385">
        <f t="shared" si="1"/>
        <v>-6785294</v>
      </c>
      <c r="W36" s="1386"/>
    </row>
    <row r="37" spans="1:23" ht="15" customHeight="1">
      <c r="A37" s="3149"/>
      <c r="B37" s="1369" t="s">
        <v>471</v>
      </c>
      <c r="C37" s="1369"/>
      <c r="D37" s="1520"/>
      <c r="E37" s="1520"/>
      <c r="F37" s="1520"/>
      <c r="G37" s="1520"/>
      <c r="H37" s="1520"/>
      <c r="I37" s="1520"/>
      <c r="J37" s="1520"/>
      <c r="K37" s="1520"/>
      <c r="L37" s="1520"/>
      <c r="M37" s="1520"/>
      <c r="N37" s="1520"/>
      <c r="O37" s="1520"/>
      <c r="P37" s="1520"/>
      <c r="Q37" s="1520"/>
      <c r="R37" s="1384"/>
      <c r="S37" s="1384"/>
      <c r="T37" s="2764"/>
      <c r="U37" s="1385"/>
      <c r="V37" s="1384"/>
      <c r="W37" s="1387"/>
    </row>
    <row r="38" spans="1:23" ht="15" customHeight="1">
      <c r="A38" s="3149"/>
      <c r="B38" s="1369" t="s">
        <v>472</v>
      </c>
      <c r="C38" s="1369"/>
      <c r="D38" s="1383">
        <v>0</v>
      </c>
      <c r="E38" s="1383"/>
      <c r="F38" s="1383">
        <v>84088774</v>
      </c>
      <c r="G38" s="1383"/>
      <c r="H38" s="1383">
        <v>0</v>
      </c>
      <c r="I38" s="1383"/>
      <c r="J38" s="1383">
        <v>0</v>
      </c>
      <c r="K38" s="1383"/>
      <c r="L38" s="1383">
        <v>0</v>
      </c>
      <c r="M38" s="1383"/>
      <c r="N38" s="1383">
        <v>0</v>
      </c>
      <c r="O38" s="1383"/>
      <c r="P38" s="1383">
        <v>0</v>
      </c>
      <c r="Q38" s="1383">
        <v>0</v>
      </c>
      <c r="R38" s="1384">
        <f>ROUND(SUM(D38:Q38),0)</f>
        <v>84088774</v>
      </c>
      <c r="S38" s="1384"/>
      <c r="T38" s="2764">
        <v>84084181</v>
      </c>
      <c r="U38" s="1385"/>
      <c r="V38" s="1385">
        <f>SUM(R38-T38,0)</f>
        <v>4593</v>
      </c>
      <c r="W38" s="1386"/>
    </row>
    <row r="39" spans="1:23" ht="15" customHeight="1">
      <c r="A39" s="3149"/>
      <c r="B39" s="1369" t="s">
        <v>1060</v>
      </c>
      <c r="C39" s="1369"/>
      <c r="D39" s="1383"/>
      <c r="E39" s="1383"/>
      <c r="F39" s="1383"/>
      <c r="G39" s="1384"/>
      <c r="H39" s="1383"/>
      <c r="I39" s="1383"/>
      <c r="J39" s="1383"/>
      <c r="K39" s="1384"/>
      <c r="L39" s="1383"/>
      <c r="M39" s="1384"/>
      <c r="N39" s="1383"/>
      <c r="O39" s="1384"/>
      <c r="P39" s="1383"/>
      <c r="Q39" s="1384"/>
      <c r="R39" s="1384"/>
      <c r="S39" s="1384"/>
      <c r="T39" s="2764"/>
      <c r="U39" s="1385"/>
      <c r="V39" s="1384"/>
      <c r="W39" s="1387"/>
    </row>
    <row r="40" spans="1:23" ht="16.5">
      <c r="A40" s="3149"/>
      <c r="B40" s="1369" t="s">
        <v>1059</v>
      </c>
      <c r="C40" s="1369"/>
      <c r="D40" s="1383">
        <v>0</v>
      </c>
      <c r="E40" s="1383"/>
      <c r="F40" s="1383">
        <v>239787633</v>
      </c>
      <c r="G40" s="1384"/>
      <c r="H40" s="1383">
        <v>0</v>
      </c>
      <c r="I40" s="1383"/>
      <c r="J40" s="1383">
        <v>0</v>
      </c>
      <c r="K40" s="1384"/>
      <c r="L40" s="1383">
        <v>0</v>
      </c>
      <c r="M40" s="1384"/>
      <c r="N40" s="1383">
        <v>0</v>
      </c>
      <c r="O40" s="1384"/>
      <c r="P40" s="1383">
        <v>0</v>
      </c>
      <c r="Q40" s="1384"/>
      <c r="R40" s="1384">
        <f>ROUND(SUM(D40:Q40),0)</f>
        <v>239787633</v>
      </c>
      <c r="S40" s="1384"/>
      <c r="T40" s="2764">
        <v>487181380</v>
      </c>
      <c r="U40" s="1385"/>
      <c r="V40" s="1385">
        <f t="shared" ref="V40:V58" si="2">SUM(R40-T40,0)</f>
        <v>-247393747</v>
      </c>
      <c r="W40" s="1386"/>
    </row>
    <row r="41" spans="1:23" ht="15" customHeight="1">
      <c r="A41" s="3149"/>
      <c r="B41" s="1369" t="s">
        <v>1058</v>
      </c>
      <c r="C41" s="1369"/>
      <c r="D41" s="1383">
        <v>0</v>
      </c>
      <c r="E41" s="1383"/>
      <c r="F41" s="1383">
        <v>64908450</v>
      </c>
      <c r="G41" s="1383"/>
      <c r="H41" s="1383">
        <v>0</v>
      </c>
      <c r="I41" s="1383"/>
      <c r="J41" s="1383">
        <v>0</v>
      </c>
      <c r="K41" s="1383"/>
      <c r="L41" s="1383">
        <v>0</v>
      </c>
      <c r="M41" s="1383"/>
      <c r="N41" s="1383">
        <v>0</v>
      </c>
      <c r="O41" s="1383"/>
      <c r="P41" s="1383">
        <v>0</v>
      </c>
      <c r="Q41" s="1383">
        <v>0</v>
      </c>
      <c r="R41" s="1384">
        <f>ROUND(SUM(D41:Q41),0)</f>
        <v>64908450</v>
      </c>
      <c r="S41" s="1384"/>
      <c r="T41" s="2764">
        <v>63661450</v>
      </c>
      <c r="U41" s="1385"/>
      <c r="V41" s="1385">
        <f t="shared" si="2"/>
        <v>1247000</v>
      </c>
      <c r="W41" s="1386"/>
    </row>
    <row r="42" spans="1:23" ht="15" customHeight="1">
      <c r="A42" s="3149"/>
      <c r="B42" s="1369" t="s">
        <v>1003</v>
      </c>
      <c r="C42" s="1369"/>
      <c r="D42" s="1383">
        <v>0</v>
      </c>
      <c r="E42" s="1383"/>
      <c r="F42" s="1383">
        <v>0</v>
      </c>
      <c r="G42" s="1383"/>
      <c r="H42" s="1383">
        <v>0</v>
      </c>
      <c r="I42" s="1383"/>
      <c r="J42" s="1383">
        <v>0</v>
      </c>
      <c r="K42" s="1383"/>
      <c r="L42" s="1383">
        <v>0</v>
      </c>
      <c r="M42" s="1383"/>
      <c r="N42" s="1383">
        <v>46208075</v>
      </c>
      <c r="O42" s="1383"/>
      <c r="P42" s="1383">
        <v>0</v>
      </c>
      <c r="Q42" s="1383">
        <v>0</v>
      </c>
      <c r="R42" s="1384">
        <f>ROUND(SUM(D42:Q42),0)</f>
        <v>46208075</v>
      </c>
      <c r="S42" s="1384"/>
      <c r="T42" s="2764">
        <v>60259075</v>
      </c>
      <c r="U42" s="1385"/>
      <c r="V42" s="1385">
        <f t="shared" si="2"/>
        <v>-14051000</v>
      </c>
      <c r="W42" s="1386"/>
    </row>
    <row r="43" spans="1:23" ht="15" customHeight="1">
      <c r="A43" s="3149"/>
      <c r="B43" s="1369" t="s">
        <v>473</v>
      </c>
      <c r="C43" s="1369"/>
      <c r="D43" s="1383"/>
      <c r="E43" s="1383"/>
      <c r="F43" s="1383"/>
      <c r="G43" s="1383"/>
      <c r="H43" s="1383"/>
      <c r="I43" s="1383"/>
      <c r="J43" s="1383"/>
      <c r="K43" s="1383"/>
      <c r="L43" s="1383"/>
      <c r="M43" s="1383"/>
      <c r="N43" s="1383"/>
      <c r="O43" s="1383"/>
      <c r="P43" s="1383"/>
      <c r="Q43" s="1383"/>
      <c r="R43" s="1384"/>
      <c r="S43" s="1384"/>
      <c r="T43" s="2764"/>
      <c r="U43" s="1385"/>
      <c r="V43" s="1384"/>
      <c r="W43" s="1387"/>
    </row>
    <row r="44" spans="1:23" ht="15" customHeight="1">
      <c r="A44" s="3149"/>
      <c r="B44" s="1369" t="s">
        <v>1403</v>
      </c>
      <c r="C44" s="1369"/>
      <c r="D44" s="1383">
        <v>0</v>
      </c>
      <c r="E44" s="1383"/>
      <c r="F44" s="1383">
        <v>0</v>
      </c>
      <c r="G44" s="1383"/>
      <c r="H44" s="1383">
        <v>0</v>
      </c>
      <c r="I44" s="1383"/>
      <c r="J44" s="1383">
        <v>0</v>
      </c>
      <c r="K44" s="1383"/>
      <c r="L44" s="1383">
        <v>0</v>
      </c>
      <c r="M44" s="1383"/>
      <c r="N44" s="1383">
        <v>0</v>
      </c>
      <c r="O44" s="1383"/>
      <c r="P44" s="1383">
        <v>0</v>
      </c>
      <c r="Q44" s="1383">
        <v>0</v>
      </c>
      <c r="R44" s="1384">
        <f t="shared" ref="R44:R54" si="3">ROUND(SUM(D44:Q44),0)</f>
        <v>0</v>
      </c>
      <c r="S44" s="1384"/>
      <c r="T44" s="2764">
        <v>0</v>
      </c>
      <c r="U44" s="1385"/>
      <c r="V44" s="1385">
        <f t="shared" si="2"/>
        <v>0</v>
      </c>
      <c r="W44" s="1386"/>
    </row>
    <row r="45" spans="1:23" ht="15" customHeight="1">
      <c r="A45" s="3149"/>
      <c r="B45" s="1369" t="s">
        <v>474</v>
      </c>
      <c r="C45" s="1369"/>
      <c r="D45" s="1383">
        <v>0</v>
      </c>
      <c r="E45" s="1383"/>
      <c r="F45" s="1383">
        <v>0</v>
      </c>
      <c r="G45" s="1383"/>
      <c r="H45" s="1383">
        <v>0</v>
      </c>
      <c r="I45" s="1383"/>
      <c r="J45" s="1383">
        <v>0</v>
      </c>
      <c r="K45" s="1383"/>
      <c r="L45" s="1383">
        <v>0</v>
      </c>
      <c r="M45" s="1383"/>
      <c r="N45" s="1383">
        <v>0</v>
      </c>
      <c r="O45" s="1383"/>
      <c r="P45" s="1383">
        <v>0</v>
      </c>
      <c r="Q45" s="1383">
        <v>0</v>
      </c>
      <c r="R45" s="1384">
        <f t="shared" si="3"/>
        <v>0</v>
      </c>
      <c r="S45" s="1384"/>
      <c r="T45" s="2764">
        <v>905175</v>
      </c>
      <c r="U45" s="1386"/>
      <c r="V45" s="1385">
        <f t="shared" si="2"/>
        <v>-905175</v>
      </c>
      <c r="W45" s="1386"/>
    </row>
    <row r="46" spans="1:23" ht="15" customHeight="1">
      <c r="A46" s="3149"/>
      <c r="B46" s="1522" t="s">
        <v>475</v>
      </c>
      <c r="C46" s="1521"/>
      <c r="D46" s="1383">
        <v>0</v>
      </c>
      <c r="E46" s="1383"/>
      <c r="F46" s="1383">
        <v>0</v>
      </c>
      <c r="G46" s="1383"/>
      <c r="H46" s="1383">
        <v>0</v>
      </c>
      <c r="I46" s="1383"/>
      <c r="J46" s="1383">
        <v>0</v>
      </c>
      <c r="K46" s="1383"/>
      <c r="L46" s="1383">
        <v>0</v>
      </c>
      <c r="M46" s="1383"/>
      <c r="N46" s="1383">
        <v>0</v>
      </c>
      <c r="O46" s="1383"/>
      <c r="P46" s="1383">
        <v>0</v>
      </c>
      <c r="Q46" s="1383">
        <v>0</v>
      </c>
      <c r="R46" s="1384">
        <f t="shared" si="3"/>
        <v>0</v>
      </c>
      <c r="S46" s="1384"/>
      <c r="T46" s="2764">
        <v>0</v>
      </c>
      <c r="U46" s="1386"/>
      <c r="V46" s="1385">
        <f t="shared" si="2"/>
        <v>0</v>
      </c>
      <c r="W46" s="1386"/>
    </row>
    <row r="47" spans="1:23" ht="15" customHeight="1">
      <c r="A47" s="3149"/>
      <c r="B47" s="1523" t="s">
        <v>476</v>
      </c>
      <c r="C47" s="1523"/>
      <c r="D47" s="1383">
        <v>0</v>
      </c>
      <c r="E47" s="1383"/>
      <c r="F47" s="1383">
        <v>0</v>
      </c>
      <c r="G47" s="1383"/>
      <c r="H47" s="1383">
        <v>0</v>
      </c>
      <c r="I47" s="1383"/>
      <c r="J47" s="1383">
        <v>0</v>
      </c>
      <c r="K47" s="1383"/>
      <c r="L47" s="1383">
        <v>0</v>
      </c>
      <c r="M47" s="1383"/>
      <c r="N47" s="1383">
        <v>0</v>
      </c>
      <c r="O47" s="1383"/>
      <c r="P47" s="1383">
        <v>0</v>
      </c>
      <c r="Q47" s="1383">
        <v>0</v>
      </c>
      <c r="R47" s="1384">
        <f t="shared" si="3"/>
        <v>0</v>
      </c>
      <c r="S47" s="1384"/>
      <c r="T47" s="2764">
        <v>0</v>
      </c>
      <c r="U47" s="1385"/>
      <c r="V47" s="1385">
        <f t="shared" si="2"/>
        <v>0</v>
      </c>
      <c r="W47" s="1386"/>
    </row>
    <row r="48" spans="1:23" ht="15" customHeight="1">
      <c r="A48" s="3149"/>
      <c r="B48" s="1369" t="s">
        <v>1397</v>
      </c>
      <c r="C48" s="1369"/>
      <c r="D48" s="1383">
        <v>0</v>
      </c>
      <c r="E48" s="1383"/>
      <c r="F48" s="1383">
        <v>0</v>
      </c>
      <c r="G48" s="1383"/>
      <c r="H48" s="1383">
        <v>0</v>
      </c>
      <c r="I48" s="1383"/>
      <c r="J48" s="1383">
        <v>0</v>
      </c>
      <c r="K48" s="1383"/>
      <c r="L48" s="1383">
        <v>0</v>
      </c>
      <c r="M48" s="1383"/>
      <c r="N48" s="1383">
        <v>0</v>
      </c>
      <c r="O48" s="1383"/>
      <c r="P48" s="1383">
        <v>0</v>
      </c>
      <c r="Q48" s="1383">
        <v>0</v>
      </c>
      <c r="R48" s="1384">
        <f t="shared" si="3"/>
        <v>0</v>
      </c>
      <c r="S48" s="1384"/>
      <c r="T48" s="2764">
        <v>0</v>
      </c>
      <c r="U48" s="1386"/>
      <c r="V48" s="1385">
        <f t="shared" si="2"/>
        <v>0</v>
      </c>
      <c r="W48" s="1386"/>
    </row>
    <row r="49" spans="1:25" ht="16.5">
      <c r="A49" s="3149"/>
      <c r="B49" s="1522" t="s">
        <v>477</v>
      </c>
      <c r="C49" s="1521"/>
      <c r="D49" s="1383">
        <v>0</v>
      </c>
      <c r="E49" s="1383"/>
      <c r="F49" s="1383">
        <v>0</v>
      </c>
      <c r="G49" s="1383"/>
      <c r="H49" s="1383">
        <v>0</v>
      </c>
      <c r="I49" s="1383"/>
      <c r="J49" s="1383">
        <v>0</v>
      </c>
      <c r="K49" s="1383"/>
      <c r="L49" s="1383">
        <v>0</v>
      </c>
      <c r="M49" s="1383"/>
      <c r="N49" s="1383">
        <v>0</v>
      </c>
      <c r="O49" s="1383"/>
      <c r="P49" s="1383">
        <v>0</v>
      </c>
      <c r="Q49" s="1383">
        <v>0</v>
      </c>
      <c r="R49" s="1384">
        <f t="shared" si="3"/>
        <v>0</v>
      </c>
      <c r="S49" s="1384"/>
      <c r="T49" s="2764">
        <v>0</v>
      </c>
      <c r="U49" s="1385"/>
      <c r="V49" s="1385">
        <f t="shared" si="2"/>
        <v>0</v>
      </c>
      <c r="W49" s="1386"/>
    </row>
    <row r="50" spans="1:25" ht="15" customHeight="1">
      <c r="A50" s="3149"/>
      <c r="B50" s="1510" t="s">
        <v>478</v>
      </c>
      <c r="C50" s="1510"/>
      <c r="D50" s="1383">
        <v>0</v>
      </c>
      <c r="E50" s="1383"/>
      <c r="F50" s="1383">
        <v>0</v>
      </c>
      <c r="G50" s="1383"/>
      <c r="H50" s="1383">
        <v>0</v>
      </c>
      <c r="I50" s="1383"/>
      <c r="J50" s="1383">
        <v>0</v>
      </c>
      <c r="K50" s="1383"/>
      <c r="L50" s="1383">
        <v>0</v>
      </c>
      <c r="M50" s="1383"/>
      <c r="N50" s="1383">
        <v>0</v>
      </c>
      <c r="O50" s="1383"/>
      <c r="P50" s="1383">
        <v>0</v>
      </c>
      <c r="Q50" s="1383">
        <v>0</v>
      </c>
      <c r="R50" s="1384">
        <f t="shared" si="3"/>
        <v>0</v>
      </c>
      <c r="S50" s="1384"/>
      <c r="T50" s="2764">
        <v>0</v>
      </c>
      <c r="U50" s="1385"/>
      <c r="V50" s="1385">
        <f t="shared" si="2"/>
        <v>0</v>
      </c>
      <c r="W50" s="1386"/>
    </row>
    <row r="51" spans="1:25" ht="15" customHeight="1">
      <c r="A51" s="3149"/>
      <c r="B51" s="1522" t="s">
        <v>1286</v>
      </c>
      <c r="C51" s="1521"/>
      <c r="D51" s="1383">
        <v>0</v>
      </c>
      <c r="E51" s="1383"/>
      <c r="F51" s="1383">
        <v>0</v>
      </c>
      <c r="G51" s="1383"/>
      <c r="H51" s="1383">
        <v>0</v>
      </c>
      <c r="I51" s="1383"/>
      <c r="J51" s="1383">
        <v>0</v>
      </c>
      <c r="K51" s="1383"/>
      <c r="L51" s="1383">
        <v>0</v>
      </c>
      <c r="M51" s="1383"/>
      <c r="N51" s="1383">
        <v>0</v>
      </c>
      <c r="O51" s="1383"/>
      <c r="P51" s="1383">
        <v>0</v>
      </c>
      <c r="Q51" s="1383">
        <v>0</v>
      </c>
      <c r="R51" s="1384">
        <f t="shared" si="3"/>
        <v>0</v>
      </c>
      <c r="S51" s="1384"/>
      <c r="T51" s="2764">
        <v>0</v>
      </c>
      <c r="U51" s="1385"/>
      <c r="V51" s="1385">
        <f t="shared" si="2"/>
        <v>0</v>
      </c>
      <c r="W51" s="1386"/>
    </row>
    <row r="52" spans="1:25" ht="15" customHeight="1">
      <c r="A52" s="3149"/>
      <c r="B52" s="1510" t="s">
        <v>464</v>
      </c>
      <c r="C52" s="1510"/>
      <c r="D52" s="1383">
        <v>0</v>
      </c>
      <c r="E52" s="1383"/>
      <c r="F52" s="1383">
        <v>0</v>
      </c>
      <c r="G52" s="1383"/>
      <c r="H52" s="1383">
        <v>0</v>
      </c>
      <c r="I52" s="1383"/>
      <c r="J52" s="1383">
        <v>0</v>
      </c>
      <c r="K52" s="1383"/>
      <c r="L52" s="1383">
        <v>0</v>
      </c>
      <c r="M52" s="1383"/>
      <c r="N52" s="1383">
        <v>0</v>
      </c>
      <c r="O52" s="1383"/>
      <c r="P52" s="1383">
        <v>0</v>
      </c>
      <c r="Q52" s="1383">
        <v>0</v>
      </c>
      <c r="R52" s="1384">
        <f t="shared" si="3"/>
        <v>0</v>
      </c>
      <c r="S52" s="1384"/>
      <c r="T52" s="2764">
        <v>0</v>
      </c>
      <c r="U52" s="1384"/>
      <c r="V52" s="1385">
        <f t="shared" si="2"/>
        <v>0</v>
      </c>
      <c r="W52" s="1386"/>
    </row>
    <row r="53" spans="1:25" ht="15" customHeight="1">
      <c r="A53" s="3149"/>
      <c r="B53" s="1369" t="s">
        <v>466</v>
      </c>
      <c r="C53" s="1369"/>
      <c r="D53" s="1383">
        <v>0</v>
      </c>
      <c r="E53" s="1383"/>
      <c r="F53" s="1383">
        <v>0</v>
      </c>
      <c r="G53" s="1383"/>
      <c r="H53" s="1383">
        <v>0</v>
      </c>
      <c r="I53" s="1383"/>
      <c r="J53" s="1383">
        <v>0</v>
      </c>
      <c r="K53" s="1383"/>
      <c r="L53" s="1383">
        <v>0</v>
      </c>
      <c r="M53" s="1383"/>
      <c r="N53" s="1383">
        <v>0</v>
      </c>
      <c r="O53" s="1383"/>
      <c r="P53" s="1383">
        <v>0</v>
      </c>
      <c r="Q53" s="1383">
        <v>0</v>
      </c>
      <c r="R53" s="1384">
        <f t="shared" si="3"/>
        <v>0</v>
      </c>
      <c r="S53" s="1384"/>
      <c r="T53" s="2764">
        <v>0</v>
      </c>
      <c r="U53" s="1384"/>
      <c r="V53" s="1385">
        <f t="shared" si="2"/>
        <v>0</v>
      </c>
      <c r="W53" s="1386"/>
    </row>
    <row r="54" spans="1:25" ht="15" customHeight="1">
      <c r="A54" s="3149"/>
      <c r="B54" s="1369" t="s">
        <v>1404</v>
      </c>
      <c r="C54" s="1369"/>
      <c r="D54" s="1383">
        <v>0</v>
      </c>
      <c r="E54" s="1383"/>
      <c r="F54" s="1383">
        <v>0</v>
      </c>
      <c r="G54" s="1383"/>
      <c r="H54" s="1383">
        <v>0</v>
      </c>
      <c r="I54" s="1383"/>
      <c r="J54" s="1383">
        <v>0</v>
      </c>
      <c r="K54" s="1383"/>
      <c r="L54" s="1383">
        <v>0</v>
      </c>
      <c r="M54" s="1383"/>
      <c r="N54" s="1383">
        <v>0</v>
      </c>
      <c r="O54" s="1383"/>
      <c r="P54" s="1383">
        <v>0</v>
      </c>
      <c r="Q54" s="1383">
        <v>0</v>
      </c>
      <c r="R54" s="1384">
        <f t="shared" si="3"/>
        <v>0</v>
      </c>
      <c r="S54" s="1384"/>
      <c r="T54" s="2764">
        <v>0</v>
      </c>
      <c r="U54" s="1385"/>
      <c r="V54" s="1385">
        <f t="shared" si="2"/>
        <v>0</v>
      </c>
      <c r="W54" s="1386"/>
    </row>
    <row r="55" spans="1:25" ht="15" customHeight="1">
      <c r="A55" s="3147"/>
      <c r="B55" s="1369" t="s">
        <v>1405</v>
      </c>
      <c r="C55" s="1369"/>
      <c r="D55" s="1524"/>
      <c r="E55" s="1524"/>
      <c r="F55" s="1524"/>
      <c r="G55" s="1524"/>
      <c r="H55" s="1524"/>
      <c r="I55" s="1524"/>
      <c r="J55" s="1524"/>
      <c r="K55" s="1524"/>
      <c r="L55" s="1524"/>
      <c r="M55" s="1524"/>
      <c r="N55" s="1524"/>
      <c r="O55" s="1524"/>
      <c r="P55" s="1524"/>
      <c r="Q55" s="1524"/>
      <c r="R55" s="1384"/>
      <c r="S55" s="1384"/>
      <c r="T55" s="2494"/>
      <c r="U55" s="1385"/>
      <c r="V55" s="1384"/>
      <c r="W55" s="1387"/>
    </row>
    <row r="56" spans="1:25" ht="16.5">
      <c r="A56" s="3147"/>
      <c r="B56" s="1369" t="s">
        <v>479</v>
      </c>
      <c r="C56" s="1369"/>
      <c r="D56" s="1383">
        <v>0</v>
      </c>
      <c r="E56" s="1383"/>
      <c r="F56" s="1383">
        <v>0</v>
      </c>
      <c r="G56" s="1383"/>
      <c r="H56" s="1383">
        <v>0</v>
      </c>
      <c r="I56" s="1383"/>
      <c r="J56" s="1383">
        <v>0</v>
      </c>
      <c r="K56" s="1383"/>
      <c r="L56" s="1383">
        <v>0</v>
      </c>
      <c r="M56" s="1383"/>
      <c r="N56" s="1383">
        <v>0</v>
      </c>
      <c r="O56" s="1383"/>
      <c r="P56" s="1383">
        <v>0</v>
      </c>
      <c r="Q56" s="1383">
        <v>0</v>
      </c>
      <c r="R56" s="1384">
        <f>ROUND(SUM(D56:Q56),0)</f>
        <v>0</v>
      </c>
      <c r="S56" s="1384"/>
      <c r="T56" s="2764">
        <v>2509475</v>
      </c>
      <c r="U56" s="2495"/>
      <c r="V56" s="1385">
        <f t="shared" si="2"/>
        <v>-2509475</v>
      </c>
      <c r="W56" s="1386"/>
      <c r="Y56" s="3150"/>
    </row>
    <row r="57" spans="1:25" ht="16.5">
      <c r="A57" s="3147"/>
      <c r="B57" s="1369" t="s">
        <v>1138</v>
      </c>
      <c r="C57" s="1369"/>
      <c r="D57" s="1383">
        <v>0</v>
      </c>
      <c r="E57" s="1383"/>
      <c r="F57" s="1383">
        <v>0</v>
      </c>
      <c r="G57" s="1383"/>
      <c r="H57" s="1383">
        <v>0</v>
      </c>
      <c r="I57" s="1383"/>
      <c r="J57" s="1383">
        <v>0</v>
      </c>
      <c r="K57" s="1383"/>
      <c r="L57" s="1383">
        <v>0</v>
      </c>
      <c r="M57" s="1383"/>
      <c r="N57" s="1383">
        <v>433935968</v>
      </c>
      <c r="O57" s="1383"/>
      <c r="P57" s="1383">
        <v>0</v>
      </c>
      <c r="Q57" s="1383">
        <v>0</v>
      </c>
      <c r="R57" s="1384">
        <f>ROUND(SUM(D57:Q57),0)</f>
        <v>433935968</v>
      </c>
      <c r="S57" s="1384"/>
      <c r="T57" s="2764">
        <v>296111963</v>
      </c>
      <c r="U57" s="2495"/>
      <c r="V57" s="1385">
        <f t="shared" si="2"/>
        <v>137824005</v>
      </c>
      <c r="W57" s="1386"/>
      <c r="Y57" s="3150"/>
    </row>
    <row r="58" spans="1:25" ht="16.5">
      <c r="B58" s="1369" t="s">
        <v>480</v>
      </c>
      <c r="C58" s="1369"/>
      <c r="D58" s="1383">
        <v>0</v>
      </c>
      <c r="E58" s="1383"/>
      <c r="F58" s="1383">
        <v>0</v>
      </c>
      <c r="G58" s="1383"/>
      <c r="H58" s="1383">
        <v>0</v>
      </c>
      <c r="I58" s="1383"/>
      <c r="J58" s="1383">
        <v>0</v>
      </c>
      <c r="K58" s="1383"/>
      <c r="L58" s="1383">
        <v>0</v>
      </c>
      <c r="M58" s="1383"/>
      <c r="N58" s="1383">
        <v>0</v>
      </c>
      <c r="O58" s="1383"/>
      <c r="P58" s="1383">
        <v>0</v>
      </c>
      <c r="Q58" s="1383">
        <v>0</v>
      </c>
      <c r="R58" s="1384">
        <f>ROUND(SUM(D58:Q58),0)</f>
        <v>0</v>
      </c>
      <c r="S58" s="1384"/>
      <c r="T58" s="2764">
        <v>1548884</v>
      </c>
      <c r="U58" s="2496"/>
      <c r="V58" s="1385">
        <f t="shared" si="2"/>
        <v>-1548884</v>
      </c>
      <c r="W58" s="1386"/>
    </row>
    <row r="59" spans="1:25" ht="16.5">
      <c r="A59" s="3151"/>
      <c r="B59" s="1370" t="s">
        <v>481</v>
      </c>
      <c r="C59" s="1370"/>
      <c r="D59" s="1508"/>
      <c r="E59" s="1508"/>
      <c r="F59" s="1508"/>
      <c r="G59" s="1508"/>
      <c r="H59" s="1525"/>
      <c r="I59" s="1525"/>
      <c r="J59" s="1519"/>
      <c r="K59" s="1519"/>
      <c r="L59" s="1519"/>
      <c r="M59" s="1519"/>
      <c r="N59" s="1525"/>
      <c r="O59" s="1525"/>
      <c r="P59" s="1525"/>
      <c r="Q59" s="1525"/>
      <c r="R59" s="1525"/>
      <c r="S59" s="1525"/>
      <c r="T59" s="1525"/>
      <c r="U59" s="2497"/>
      <c r="V59" s="1384"/>
      <c r="W59" s="1387"/>
    </row>
    <row r="60" spans="1:25" s="3146" customFormat="1" ht="17.25" thickBot="1">
      <c r="B60" s="1526" t="s">
        <v>482</v>
      </c>
      <c r="C60" s="1509"/>
      <c r="D60" s="3152">
        <f>ROUND(SUM(D15:D58),0)</f>
        <v>0</v>
      </c>
      <c r="E60" s="1567"/>
      <c r="F60" s="3152">
        <f>ROUND(SUM(F15:F58),0)</f>
        <v>566946254</v>
      </c>
      <c r="G60" s="1567"/>
      <c r="H60" s="3152">
        <f>ROUND(SUM(H15:H58),0)</f>
        <v>25572497</v>
      </c>
      <c r="I60" s="1567"/>
      <c r="J60" s="3152">
        <f>ROUND(SUM(J15:J58),0)</f>
        <v>39130075</v>
      </c>
      <c r="K60" s="1568"/>
      <c r="L60" s="3152">
        <f>ROUND(SUM(L15:L58),0)</f>
        <v>69181688</v>
      </c>
      <c r="M60" s="1568"/>
      <c r="N60" s="3152">
        <f>ROUND(SUM(N15:N58),0)</f>
        <v>984559326</v>
      </c>
      <c r="O60" s="1567"/>
      <c r="P60" s="3152">
        <f>ROUND(SUM(P15:P58),0)</f>
        <v>104256222</v>
      </c>
      <c r="Q60" s="1567"/>
      <c r="R60" s="3152">
        <f>ROUND(SUM(R15:R58),0)</f>
        <v>1789646062</v>
      </c>
      <c r="S60" s="1567"/>
      <c r="T60" s="3152">
        <f>ROUND(SUM(T15:T58),0)</f>
        <v>1948219798</v>
      </c>
      <c r="U60" s="1567"/>
      <c r="V60" s="3152">
        <f>ROUND(SUM(V15:V58),0)</f>
        <v>-158573736</v>
      </c>
      <c r="W60" s="1569"/>
    </row>
    <row r="61" spans="1:25" ht="17.25" thickTop="1">
      <c r="B61" s="1388"/>
      <c r="C61" s="1388"/>
      <c r="D61" s="1369"/>
      <c r="E61" s="1369"/>
      <c r="F61" s="1369"/>
      <c r="G61" s="1369"/>
      <c r="H61" s="1369"/>
      <c r="I61" s="1369"/>
      <c r="J61" s="1369"/>
      <c r="K61" s="1369"/>
      <c r="L61" s="1369"/>
      <c r="M61" s="1369"/>
      <c r="N61" s="1369"/>
      <c r="O61" s="1369"/>
      <c r="P61" s="1369"/>
      <c r="Q61" s="1369"/>
      <c r="R61" s="1369"/>
      <c r="S61" s="1369"/>
      <c r="T61" s="1369"/>
      <c r="U61" s="1369"/>
      <c r="V61" s="1389"/>
      <c r="W61" s="1390"/>
    </row>
    <row r="62" spans="1:25" ht="16.5">
      <c r="B62" s="1369"/>
      <c r="C62" s="1369"/>
      <c r="D62" s="1369"/>
      <c r="E62" s="1369"/>
      <c r="F62" s="1369"/>
      <c r="G62" s="1369"/>
      <c r="H62" s="1369"/>
      <c r="I62" s="1369"/>
      <c r="J62" s="1369"/>
      <c r="K62" s="1369"/>
      <c r="L62" s="1369"/>
      <c r="M62" s="1369"/>
      <c r="N62" s="1369"/>
      <c r="O62" s="1369"/>
      <c r="P62" s="1369"/>
      <c r="Q62" s="1369"/>
      <c r="R62" s="1369"/>
      <c r="S62" s="1369"/>
      <c r="T62" s="1369"/>
      <c r="U62" s="1369"/>
      <c r="V62" s="1369"/>
    </row>
    <row r="63" spans="1:25" ht="15">
      <c r="B63" s="3153"/>
    </row>
    <row r="64" spans="1:25" ht="15">
      <c r="B64" s="3153"/>
    </row>
    <row r="65" spans="2:2" ht="15">
      <c r="B65" s="3153"/>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0" firstPageNumber="46" orientation="landscape" useFirstPageNumber="1" r:id="rId2"/>
  <headerFooter scaleWithDoc="0" alignWithMargins="0">
    <oddFooter>&amp;C&amp;8&amp;P</oddFooter>
  </headerFooter>
  <ignoredErrors>
    <ignoredError sqref="N13: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workbookViewId="0"/>
  </sheetViews>
  <sheetFormatPr defaultColWidth="8.88671875" defaultRowHeight="15"/>
  <cols>
    <col min="1" max="3" width="9.6640625" style="2477" customWidth="1"/>
    <col min="4" max="4" width="10.44140625" style="2477" customWidth="1"/>
    <col min="5" max="5" width="14.77734375" style="2477" customWidth="1"/>
    <col min="6" max="6" width="1.33203125" style="2477" customWidth="1"/>
    <col min="7" max="7" width="16.6640625" style="2477" customWidth="1"/>
    <col min="8" max="8" width="1.33203125" style="2477" customWidth="1"/>
    <col min="9" max="9" width="16.6640625" style="2477" bestFit="1" customWidth="1"/>
    <col min="10" max="10" width="9.6640625" style="2477" customWidth="1"/>
    <col min="11" max="11" width="15.6640625" style="2477" customWidth="1"/>
    <col min="12" max="16384" width="8.88671875" style="2477"/>
  </cols>
  <sheetData>
    <row r="1" spans="1:11">
      <c r="A1" s="1159" t="s">
        <v>1090</v>
      </c>
    </row>
    <row r="2" spans="1:11">
      <c r="A2" s="1654"/>
    </row>
    <row r="3" spans="1:11" ht="15.75">
      <c r="A3" s="1362" t="s">
        <v>0</v>
      </c>
      <c r="I3" s="2290" t="s">
        <v>1285</v>
      </c>
    </row>
    <row r="4" spans="1:11" ht="15.75">
      <c r="A4" s="1655" t="s">
        <v>1284</v>
      </c>
    </row>
    <row r="5" spans="1:11" ht="15.75">
      <c r="A5" s="3529" t="s">
        <v>1585</v>
      </c>
      <c r="B5" s="3530"/>
      <c r="C5" s="3530"/>
      <c r="D5" s="3530"/>
      <c r="E5" s="3530"/>
      <c r="F5" s="3530"/>
      <c r="G5" s="3530"/>
      <c r="H5" s="3530"/>
      <c r="I5" s="3530"/>
      <c r="J5" s="3530"/>
      <c r="K5" s="3530"/>
    </row>
    <row r="6" spans="1:11" ht="15.75">
      <c r="A6" s="3529" t="s">
        <v>982</v>
      </c>
      <c r="B6" s="3530"/>
      <c r="C6" s="3530"/>
      <c r="D6" s="3530"/>
      <c r="E6" s="3530"/>
      <c r="F6" s="3530"/>
      <c r="G6" s="3530"/>
      <c r="H6" s="3530"/>
      <c r="I6" s="3530"/>
      <c r="J6" s="3530"/>
      <c r="K6" s="3530"/>
    </row>
    <row r="7" spans="1:11" ht="15.75">
      <c r="A7" s="3529" t="s">
        <v>979</v>
      </c>
      <c r="B7" s="3531"/>
      <c r="C7" s="3531"/>
      <c r="D7" s="3531"/>
      <c r="E7" s="3531"/>
      <c r="F7" s="3531"/>
      <c r="G7" s="3531"/>
      <c r="H7" s="3531"/>
      <c r="I7" s="3531"/>
      <c r="J7" s="3531"/>
      <c r="K7" s="3531"/>
    </row>
    <row r="8" spans="1:11" ht="15.75">
      <c r="A8" s="750"/>
      <c r="F8" s="750"/>
      <c r="H8" s="750"/>
      <c r="I8" s="751" t="s">
        <v>483</v>
      </c>
    </row>
    <row r="9" spans="1:11" ht="15.75">
      <c r="A9" s="750"/>
      <c r="F9" s="750"/>
      <c r="G9" s="752" t="s">
        <v>484</v>
      </c>
      <c r="H9" s="750"/>
      <c r="I9" s="752" t="s">
        <v>485</v>
      </c>
    </row>
    <row r="10" spans="1:11" ht="15.75">
      <c r="A10" s="750"/>
      <c r="E10" s="753" t="s">
        <v>1586</v>
      </c>
      <c r="F10" s="750"/>
      <c r="G10" s="752" t="s">
        <v>486</v>
      </c>
      <c r="H10" s="750"/>
      <c r="I10" s="753" t="s">
        <v>1587</v>
      </c>
    </row>
    <row r="11" spans="1:11" ht="15.75">
      <c r="A11" s="750"/>
      <c r="E11" s="754"/>
      <c r="F11" s="750"/>
      <c r="G11" s="754"/>
      <c r="H11" s="750"/>
      <c r="I11" s="754"/>
    </row>
    <row r="12" spans="1:11" ht="15.75">
      <c r="A12" s="755" t="s">
        <v>1080</v>
      </c>
      <c r="F12" s="750"/>
      <c r="H12" s="750"/>
    </row>
    <row r="13" spans="1:11">
      <c r="A13" s="750"/>
      <c r="F13" s="750"/>
      <c r="H13" s="750"/>
    </row>
    <row r="14" spans="1:11">
      <c r="A14" s="1236" t="s">
        <v>1079</v>
      </c>
      <c r="E14" s="2478">
        <v>14912.6</v>
      </c>
      <c r="F14" s="2478"/>
      <c r="G14" s="2479">
        <v>12951.4</v>
      </c>
      <c r="H14" s="2478"/>
      <c r="I14" s="2480">
        <v>14447.5</v>
      </c>
    </row>
    <row r="15" spans="1:11">
      <c r="A15" s="1236" t="s">
        <v>1078</v>
      </c>
      <c r="E15" s="756">
        <v>7.4799999999999997E-3</v>
      </c>
      <c r="F15" s="1574"/>
      <c r="G15" s="757">
        <v>6.0000000000000001E-3</v>
      </c>
      <c r="H15" s="1574"/>
      <c r="I15" s="758">
        <v>1.7600000000000001E-3</v>
      </c>
    </row>
    <row r="16" spans="1:11">
      <c r="A16" s="1574" t="s">
        <v>487</v>
      </c>
      <c r="E16" s="2481">
        <v>8.6</v>
      </c>
      <c r="F16" s="759"/>
      <c r="G16" s="2482">
        <v>55.396000000000001</v>
      </c>
      <c r="H16" s="1763"/>
      <c r="I16" s="2483">
        <v>21.294</v>
      </c>
    </row>
    <row r="17" spans="1:10">
      <c r="A17" s="750"/>
      <c r="J17" s="750"/>
    </row>
    <row r="18" spans="1:10">
      <c r="A18" s="1729"/>
      <c r="B18" s="2484"/>
      <c r="C18" s="2484"/>
      <c r="D18" s="2484"/>
      <c r="E18" s="2484"/>
      <c r="F18" s="2484"/>
      <c r="G18" s="2484"/>
      <c r="H18" s="2484"/>
      <c r="I18" s="2484"/>
      <c r="J18" s="1729"/>
    </row>
    <row r="19" spans="1:10">
      <c r="A19" s="1729"/>
      <c r="B19" s="2484"/>
      <c r="C19" s="2484"/>
      <c r="D19" s="2484"/>
      <c r="E19" s="2484"/>
      <c r="F19" s="2484"/>
      <c r="G19" s="2484"/>
      <c r="H19" s="2484"/>
      <c r="I19" s="2484"/>
      <c r="J19" s="1729"/>
    </row>
    <row r="20" spans="1:10" ht="18">
      <c r="A20" s="1730" t="s">
        <v>488</v>
      </c>
      <c r="B20" s="1731"/>
      <c r="C20" s="1731"/>
      <c r="D20" s="2484"/>
      <c r="E20" s="2484"/>
      <c r="F20" s="2484"/>
      <c r="G20" s="2484"/>
      <c r="H20" s="2484"/>
      <c r="I20" s="2484"/>
      <c r="J20" s="1729"/>
    </row>
    <row r="21" spans="1:10">
      <c r="A21" s="1729"/>
      <c r="B21" s="2484"/>
      <c r="C21" s="2484"/>
      <c r="D21" s="2484"/>
      <c r="E21" s="2484"/>
      <c r="F21" s="1125"/>
      <c r="G21" s="1125" t="s">
        <v>1586</v>
      </c>
      <c r="H21" s="1125"/>
      <c r="I21" s="1125" t="s">
        <v>1587</v>
      </c>
      <c r="J21" s="1729"/>
    </row>
    <row r="22" spans="1:10">
      <c r="A22" s="1729"/>
      <c r="B22" s="1732" t="s">
        <v>489</v>
      </c>
      <c r="C22" s="2484"/>
      <c r="D22" s="2485" t="s">
        <v>15</v>
      </c>
      <c r="E22" s="2484"/>
      <c r="F22" s="1733"/>
      <c r="G22" s="2486" t="s">
        <v>490</v>
      </c>
      <c r="H22" s="1733"/>
      <c r="I22" s="2486" t="s">
        <v>490</v>
      </c>
      <c r="J22" s="1729"/>
    </row>
    <row r="23" spans="1:10">
      <c r="A23" s="1729"/>
      <c r="B23" s="2485" t="s">
        <v>491</v>
      </c>
      <c r="C23" s="2484"/>
      <c r="D23" s="2484"/>
      <c r="E23" s="2484"/>
      <c r="F23" s="2487"/>
      <c r="G23" s="2488">
        <v>0</v>
      </c>
      <c r="H23" s="2487"/>
      <c r="I23" s="2488">
        <v>125</v>
      </c>
      <c r="J23" s="1729"/>
    </row>
    <row r="24" spans="1:10">
      <c r="A24" s="1729"/>
      <c r="B24" s="2485" t="s">
        <v>492</v>
      </c>
      <c r="C24" s="2484"/>
      <c r="D24" s="2484"/>
      <c r="E24" s="2484"/>
      <c r="F24" s="2487"/>
      <c r="G24" s="2489">
        <v>824.3</v>
      </c>
      <c r="H24" s="2487"/>
      <c r="I24" s="2489">
        <v>1082.7</v>
      </c>
      <c r="J24" s="1729"/>
    </row>
    <row r="25" spans="1:10">
      <c r="A25" s="1729"/>
      <c r="B25" s="2485" t="s">
        <v>493</v>
      </c>
      <c r="C25" s="2484"/>
      <c r="D25" s="2484"/>
      <c r="E25" s="2484"/>
      <c r="F25" s="2490"/>
      <c r="G25" s="2489">
        <v>14233</v>
      </c>
      <c r="H25" s="2490"/>
      <c r="I25" s="2491">
        <v>16255</v>
      </c>
      <c r="J25" s="1729"/>
    </row>
    <row r="26" spans="1:10">
      <c r="A26" s="1729"/>
      <c r="B26" s="2485" t="s">
        <v>494</v>
      </c>
      <c r="C26" s="2484"/>
      <c r="D26" s="2484"/>
      <c r="E26" s="2484"/>
      <c r="F26" s="2490"/>
      <c r="G26" s="2489">
        <v>1838.3</v>
      </c>
      <c r="H26" s="2490"/>
      <c r="I26" s="2491">
        <v>1974.6</v>
      </c>
      <c r="J26" s="1729"/>
    </row>
    <row r="27" spans="1:10">
      <c r="A27" s="1729"/>
      <c r="B27" s="1734" t="s">
        <v>940</v>
      </c>
      <c r="C27" s="2484"/>
      <c r="D27" s="2484"/>
      <c r="E27" s="2484"/>
      <c r="F27" s="2492"/>
      <c r="G27" s="2489">
        <v>5030</v>
      </c>
      <c r="H27" s="2492"/>
      <c r="I27" s="2491">
        <v>4855</v>
      </c>
      <c r="J27" s="1729"/>
    </row>
    <row r="28" spans="1:10" ht="16.5" thickBot="1">
      <c r="A28" s="1729"/>
      <c r="B28" s="2484"/>
      <c r="C28" s="2484"/>
      <c r="D28" s="2484"/>
      <c r="E28" s="2484"/>
      <c r="F28" s="760"/>
      <c r="G28" s="761">
        <f>ROUND(SUM(G23:G27),1)</f>
        <v>21925.599999999999</v>
      </c>
      <c r="H28" s="760"/>
      <c r="I28" s="761">
        <f>ROUND(SUM(I23:I27),1)</f>
        <v>24292.3</v>
      </c>
      <c r="J28" s="1729"/>
    </row>
    <row r="29" spans="1:10" ht="15.75" thickTop="1">
      <c r="A29" s="750"/>
      <c r="F29" s="2493"/>
      <c r="G29" s="2493"/>
      <c r="H29" s="2493"/>
      <c r="J29" s="750"/>
    </row>
    <row r="30" spans="1:10">
      <c r="A30" s="750"/>
      <c r="J30" s="750"/>
    </row>
    <row r="31" spans="1:10" ht="15.75">
      <c r="A31" s="755"/>
      <c r="J31" s="750"/>
    </row>
    <row r="32" spans="1:10" ht="192.75" customHeight="1">
      <c r="A32" s="3532" t="s">
        <v>1095</v>
      </c>
      <c r="B32" s="3533"/>
      <c r="C32" s="3533"/>
      <c r="D32" s="3533"/>
      <c r="E32" s="3533"/>
      <c r="F32" s="3533"/>
      <c r="G32" s="3533"/>
      <c r="H32" s="3533"/>
      <c r="I32" s="3533"/>
      <c r="J32" s="750"/>
    </row>
    <row r="34" spans="1:11" ht="15" customHeight="1">
      <c r="A34" s="1175" t="s">
        <v>1082</v>
      </c>
      <c r="B34" s="1360"/>
      <c r="C34" s="1360"/>
      <c r="D34" s="1360"/>
      <c r="E34" s="1360"/>
      <c r="F34" s="1360"/>
      <c r="G34" s="1360"/>
      <c r="H34" s="1360"/>
      <c r="I34" s="1360"/>
      <c r="J34" s="1360"/>
      <c r="K34" s="1360"/>
    </row>
    <row r="35" spans="1:11" ht="17.25" customHeight="1">
      <c r="A35" s="1358"/>
      <c r="B35" s="1361"/>
      <c r="C35" s="1361"/>
      <c r="D35" s="1361"/>
      <c r="E35" s="1361"/>
      <c r="F35" s="1361"/>
      <c r="G35" s="1361"/>
      <c r="H35" s="1361"/>
      <c r="I35" s="1361"/>
      <c r="J35" s="1361"/>
      <c r="K35" s="762"/>
    </row>
    <row r="36" spans="1:11">
      <c r="A36" s="1574"/>
      <c r="B36" s="1574"/>
      <c r="C36" s="1361"/>
      <c r="D36" s="1361"/>
      <c r="E36" s="1361"/>
      <c r="F36" s="1361"/>
      <c r="G36" s="1361"/>
      <c r="H36" s="1361"/>
      <c r="I36" s="1361"/>
      <c r="J36" s="1361"/>
      <c r="K36" s="762"/>
    </row>
    <row r="37" spans="1:11">
      <c r="A37" s="1358"/>
      <c r="B37" s="1359"/>
      <c r="C37" s="1361"/>
      <c r="D37" s="1361"/>
      <c r="E37" s="1361"/>
      <c r="F37" s="1361"/>
      <c r="G37" s="1361"/>
      <c r="H37" s="1361"/>
      <c r="I37" s="1361"/>
      <c r="J37" s="1361"/>
      <c r="K37" s="762"/>
    </row>
    <row r="38" spans="1:11">
      <c r="A38" s="750"/>
      <c r="B38" s="1574" t="s">
        <v>15</v>
      </c>
      <c r="C38" s="750"/>
      <c r="D38" s="750"/>
      <c r="E38" s="750"/>
      <c r="F38" s="750"/>
      <c r="G38" s="750"/>
      <c r="H38" s="750"/>
      <c r="I38" s="750"/>
    </row>
    <row r="39" spans="1:11">
      <c r="B39" s="1574" t="s">
        <v>15</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7"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workbookViewId="0"/>
  </sheetViews>
  <sheetFormatPr defaultColWidth="8.88671875" defaultRowHeight="12.75"/>
  <cols>
    <col min="1" max="1" width="45.44140625" style="928" customWidth="1"/>
    <col min="2" max="2" width="17" style="763" bestFit="1" customWidth="1"/>
    <col min="3" max="3" width="1.77734375" style="763" customWidth="1"/>
    <col min="4" max="4" width="17" style="763" bestFit="1" customWidth="1"/>
    <col min="5" max="5" width="1.6640625" style="769" customWidth="1"/>
    <col min="6" max="6" width="17.21875" style="763" customWidth="1"/>
    <col min="7" max="7" width="1.6640625" style="769" customWidth="1"/>
    <col min="8" max="8" width="17.5546875" style="763" customWidth="1"/>
    <col min="9" max="9" width="1.6640625" style="769" customWidth="1"/>
    <col min="10" max="10" width="16.44140625" style="763" customWidth="1"/>
    <col min="11" max="11" width="1.6640625" style="763" customWidth="1"/>
    <col min="12" max="12" width="17" style="763" bestFit="1" customWidth="1"/>
    <col min="13" max="13" width="1.6640625" style="769" customWidth="1"/>
    <col min="14" max="14" width="17.5546875" style="763" customWidth="1"/>
    <col min="15" max="15" width="1.6640625" style="769" customWidth="1"/>
    <col min="16" max="16" width="17.21875" style="763" customWidth="1"/>
    <col min="17" max="17" width="1.6640625" style="769" customWidth="1"/>
    <col min="18" max="18" width="13.6640625" style="763" customWidth="1"/>
    <col min="19" max="19" width="1.6640625" style="769" customWidth="1"/>
    <col min="20" max="20" width="13.6640625" style="763" customWidth="1"/>
    <col min="21" max="21" width="1.6640625" style="769" customWidth="1"/>
    <col min="22" max="22" width="13.6640625" style="763" customWidth="1"/>
    <col min="23" max="23" width="1.6640625" style="769" customWidth="1"/>
    <col min="24" max="24" width="13.6640625" style="763" customWidth="1"/>
    <col min="25" max="25" width="1.6640625" style="769" customWidth="1"/>
    <col min="26" max="26" width="22.44140625" style="765" bestFit="1" customWidth="1"/>
    <col min="27" max="27" width="1.5546875" style="928" customWidth="1"/>
    <col min="28" max="28" width="18.77734375" style="928" bestFit="1" customWidth="1"/>
    <col min="29" max="29" width="12.6640625" style="928" bestFit="1" customWidth="1"/>
    <col min="30" max="16384" width="8.88671875" style="928"/>
  </cols>
  <sheetData>
    <row r="1" spans="1:40" ht="15">
      <c r="A1" s="1159" t="s">
        <v>1090</v>
      </c>
      <c r="B1" s="2433"/>
      <c r="C1" s="2433"/>
      <c r="D1" s="2433"/>
      <c r="E1" s="2433"/>
      <c r="F1" s="2433"/>
      <c r="G1" s="2433"/>
      <c r="H1" s="2433"/>
      <c r="I1" s="2433"/>
      <c r="J1" s="2433"/>
      <c r="K1" s="2433"/>
      <c r="L1" s="2433"/>
      <c r="M1" s="2433"/>
      <c r="N1" s="2433"/>
      <c r="O1" s="2433"/>
      <c r="P1" s="2433"/>
      <c r="Q1" s="2433"/>
      <c r="R1" s="2433"/>
      <c r="S1" s="2433"/>
      <c r="T1" s="2433"/>
      <c r="U1" s="2433"/>
      <c r="V1" s="2433"/>
      <c r="W1" s="2433"/>
      <c r="X1" s="2433"/>
      <c r="Y1" s="2433"/>
      <c r="Z1" s="2433"/>
      <c r="AA1" s="2433"/>
      <c r="AB1" s="2433"/>
      <c r="AC1" s="2433"/>
      <c r="AD1" s="2433"/>
      <c r="AE1" s="2433"/>
      <c r="AF1" s="2433"/>
      <c r="AG1" s="2433"/>
    </row>
    <row r="2" spans="1:40" ht="15">
      <c r="A2" s="1159"/>
      <c r="B2" s="2433"/>
      <c r="C2" s="2433"/>
      <c r="D2" s="2433"/>
      <c r="E2" s="2433"/>
      <c r="F2" s="2433"/>
      <c r="G2" s="2433"/>
      <c r="H2" s="2433"/>
      <c r="I2" s="2433"/>
      <c r="J2" s="2433"/>
      <c r="K2" s="2433"/>
      <c r="L2" s="2433"/>
      <c r="M2" s="2433"/>
      <c r="N2" s="2433"/>
      <c r="O2" s="2433"/>
      <c r="P2" s="2433"/>
      <c r="Q2" s="2433"/>
      <c r="R2" s="2433"/>
      <c r="S2" s="2433"/>
      <c r="T2" s="2433"/>
      <c r="U2" s="2433"/>
      <c r="V2" s="2433"/>
      <c r="W2" s="2433"/>
      <c r="X2" s="2433"/>
      <c r="Y2" s="2433"/>
      <c r="Z2" s="2433"/>
      <c r="AA2" s="2433"/>
      <c r="AB2" s="2433"/>
      <c r="AC2" s="2433"/>
      <c r="AD2" s="2433"/>
      <c r="AE2" s="2433"/>
      <c r="AF2" s="2433"/>
      <c r="AG2" s="2433"/>
    </row>
    <row r="3" spans="1:40" ht="16.5">
      <c r="A3" s="1633" t="s">
        <v>0</v>
      </c>
      <c r="B3" s="925"/>
      <c r="C3" s="925"/>
      <c r="D3" s="926"/>
      <c r="E3" s="927"/>
      <c r="F3" s="926"/>
      <c r="G3" s="927"/>
      <c r="H3" s="926"/>
      <c r="I3" s="927"/>
      <c r="K3" s="925"/>
      <c r="L3" s="764"/>
      <c r="M3" s="925"/>
      <c r="N3" s="926"/>
      <c r="O3" s="927"/>
      <c r="P3" s="926"/>
      <c r="Q3" s="927"/>
      <c r="R3" s="926"/>
      <c r="S3" s="927"/>
      <c r="T3" s="926"/>
      <c r="U3" s="927"/>
      <c r="V3" s="926"/>
      <c r="W3" s="927"/>
      <c r="X3" s="926"/>
      <c r="Y3" s="927"/>
      <c r="Z3" s="1566" t="s">
        <v>495</v>
      </c>
      <c r="AA3" s="925"/>
      <c r="AC3" s="925"/>
      <c r="AE3" s="925"/>
    </row>
    <row r="4" spans="1:40" ht="16.5">
      <c r="A4" s="1633" t="s">
        <v>496</v>
      </c>
      <c r="B4" s="2434"/>
      <c r="C4" s="2434"/>
      <c r="D4" s="929"/>
      <c r="E4" s="927"/>
      <c r="F4" s="2434"/>
      <c r="G4" s="927"/>
      <c r="H4" s="2434"/>
      <c r="I4" s="927"/>
      <c r="J4" s="2434"/>
      <c r="K4" s="2434"/>
      <c r="L4" s="2434"/>
      <c r="M4" s="930"/>
      <c r="N4" s="2434"/>
      <c r="O4" s="927"/>
      <c r="P4" s="2434"/>
      <c r="Q4" s="927"/>
      <c r="R4" s="2434"/>
      <c r="S4" s="927"/>
      <c r="T4" s="2434"/>
      <c r="U4" s="927"/>
      <c r="V4" s="2434"/>
      <c r="W4" s="927"/>
      <c r="X4" s="2434"/>
      <c r="Y4" s="927"/>
      <c r="Z4" s="2435"/>
      <c r="AA4" s="931"/>
      <c r="AC4" s="925"/>
    </row>
    <row r="5" spans="1:40" ht="16.5">
      <c r="A5" s="1634" t="s">
        <v>1308</v>
      </c>
      <c r="B5" s="2434"/>
      <c r="C5" s="2434"/>
      <c r="D5" s="2434"/>
      <c r="E5" s="927"/>
      <c r="F5" s="2434"/>
      <c r="G5" s="927"/>
      <c r="H5" s="2434"/>
      <c r="I5" s="927"/>
      <c r="J5" s="2434"/>
      <c r="K5" s="2434"/>
      <c r="L5" s="2434"/>
      <c r="M5" s="930"/>
      <c r="N5" s="2434"/>
      <c r="O5" s="927"/>
      <c r="P5" s="2434"/>
      <c r="Q5" s="927"/>
      <c r="R5" s="2434"/>
      <c r="S5" s="927"/>
      <c r="T5" s="2434"/>
      <c r="U5" s="927"/>
      <c r="V5" s="2434"/>
      <c r="W5" s="927"/>
      <c r="X5" s="2434"/>
      <c r="Y5" s="927"/>
      <c r="Z5" s="2435"/>
    </row>
    <row r="6" spans="1:40" ht="20.25">
      <c r="A6" s="932" t="s">
        <v>1414</v>
      </c>
      <c r="B6" s="2434"/>
      <c r="C6" s="2434"/>
      <c r="D6" s="934"/>
      <c r="E6" s="927"/>
      <c r="F6" s="2434"/>
      <c r="G6" s="927"/>
      <c r="H6" s="2434"/>
      <c r="I6" s="927"/>
      <c r="J6" s="2434"/>
      <c r="K6" s="2434"/>
      <c r="L6" s="2434"/>
      <c r="M6" s="930"/>
      <c r="N6" s="2434"/>
      <c r="O6" s="927"/>
      <c r="P6" s="2434"/>
      <c r="Q6" s="927"/>
      <c r="R6" s="2434"/>
      <c r="S6" s="927"/>
      <c r="T6" s="2434"/>
      <c r="U6" s="927"/>
      <c r="V6" s="2434"/>
      <c r="W6" s="927"/>
      <c r="X6" s="2434"/>
      <c r="Y6" s="927"/>
      <c r="Z6" s="2435"/>
    </row>
    <row r="7" spans="1:40" ht="18">
      <c r="A7" s="933"/>
      <c r="B7" s="2434"/>
      <c r="C7" s="2434"/>
      <c r="D7" s="2434"/>
      <c r="E7" s="927"/>
      <c r="F7" s="2434"/>
      <c r="G7" s="927"/>
      <c r="H7" s="2434"/>
      <c r="I7" s="927"/>
      <c r="J7" s="2434"/>
      <c r="K7" s="2434"/>
      <c r="L7" s="2434"/>
      <c r="M7" s="930"/>
      <c r="N7" s="2434"/>
      <c r="O7" s="927"/>
      <c r="P7" s="2434"/>
      <c r="Q7" s="927"/>
      <c r="R7" s="2436"/>
      <c r="S7" s="927"/>
      <c r="T7" s="2436"/>
      <c r="U7" s="927"/>
      <c r="V7" s="2436"/>
      <c r="W7" s="927"/>
      <c r="X7" s="2436"/>
      <c r="Y7" s="927"/>
      <c r="Z7" s="2435"/>
    </row>
    <row r="8" spans="1:40" ht="27" customHeight="1">
      <c r="A8" s="924"/>
      <c r="B8" s="2434"/>
      <c r="C8" s="2434"/>
      <c r="D8" s="2434"/>
      <c r="E8" s="927"/>
      <c r="F8" s="2434"/>
      <c r="G8" s="927"/>
      <c r="H8" s="2434"/>
      <c r="I8" s="927"/>
      <c r="J8" s="2434"/>
      <c r="K8" s="2434"/>
      <c r="L8" s="2434"/>
      <c r="M8" s="927"/>
      <c r="N8" s="2434"/>
      <c r="O8" s="927"/>
      <c r="P8" s="2434"/>
      <c r="Q8" s="927"/>
      <c r="R8" s="2434"/>
      <c r="S8" s="927"/>
      <c r="T8" s="2434"/>
      <c r="U8" s="927"/>
      <c r="V8" s="2434"/>
      <c r="W8" s="927"/>
      <c r="X8" s="2434"/>
      <c r="Y8" s="927"/>
      <c r="Z8" s="935"/>
      <c r="AA8" s="936"/>
    </row>
    <row r="9" spans="1:40" ht="15.75">
      <c r="A9" s="2437"/>
      <c r="B9" s="1776">
        <v>2016</v>
      </c>
      <c r="C9" s="937"/>
      <c r="D9" s="937"/>
      <c r="E9" s="930"/>
      <c r="F9" s="937"/>
      <c r="G9" s="930"/>
      <c r="H9" s="937"/>
      <c r="I9" s="930"/>
      <c r="J9" s="937"/>
      <c r="K9" s="937"/>
      <c r="L9" s="938"/>
      <c r="M9" s="930"/>
      <c r="N9" s="938"/>
      <c r="O9" s="930"/>
      <c r="P9" s="938"/>
      <c r="Q9" s="930"/>
      <c r="R9" s="938"/>
      <c r="S9" s="930"/>
      <c r="T9" s="1776">
        <v>2017</v>
      </c>
      <c r="U9" s="930"/>
      <c r="V9" s="938"/>
      <c r="W9" s="930"/>
      <c r="X9" s="938"/>
      <c r="Y9" s="930"/>
      <c r="Z9" s="939" t="s">
        <v>1584</v>
      </c>
      <c r="AA9" s="939"/>
    </row>
    <row r="10" spans="1:40" ht="15.75">
      <c r="A10" s="2437"/>
      <c r="B10" s="940" t="s">
        <v>128</v>
      </c>
      <c r="C10" s="941"/>
      <c r="D10" s="938" t="s">
        <v>129</v>
      </c>
      <c r="E10" s="930"/>
      <c r="F10" s="938" t="s">
        <v>130</v>
      </c>
      <c r="G10" s="930"/>
      <c r="H10" s="938" t="s">
        <v>131</v>
      </c>
      <c r="I10" s="930"/>
      <c r="J10" s="938" t="s">
        <v>132</v>
      </c>
      <c r="K10" s="942"/>
      <c r="L10" s="938" t="s">
        <v>133</v>
      </c>
      <c r="M10" s="930"/>
      <c r="N10" s="938" t="s">
        <v>134</v>
      </c>
      <c r="O10" s="930"/>
      <c r="P10" s="938" t="s">
        <v>135</v>
      </c>
      <c r="Q10" s="930"/>
      <c r="R10" s="938" t="s">
        <v>136</v>
      </c>
      <c r="S10" s="930"/>
      <c r="T10" s="938" t="s">
        <v>153</v>
      </c>
      <c r="U10" s="930"/>
      <c r="V10" s="938" t="s">
        <v>138</v>
      </c>
      <c r="W10" s="930"/>
      <c r="X10" s="938" t="s">
        <v>139</v>
      </c>
      <c r="Y10" s="930"/>
      <c r="Z10" s="943">
        <v>42766</v>
      </c>
      <c r="AA10" s="943"/>
    </row>
    <row r="11" spans="1:40" ht="15.75">
      <c r="A11" s="2437"/>
      <c r="B11" s="2438" t="s">
        <v>15</v>
      </c>
      <c r="C11" s="2439"/>
      <c r="D11" s="2438" t="s">
        <v>15</v>
      </c>
      <c r="E11" s="2440"/>
      <c r="F11" s="2438" t="s">
        <v>15</v>
      </c>
      <c r="G11" s="2440"/>
      <c r="H11" s="2438" t="s">
        <v>15</v>
      </c>
      <c r="I11" s="2440"/>
      <c r="J11" s="2438" t="s">
        <v>15</v>
      </c>
      <c r="K11" s="942"/>
      <c r="L11" s="2438" t="s">
        <v>15</v>
      </c>
      <c r="M11" s="2440"/>
      <c r="N11" s="2438" t="s">
        <v>15</v>
      </c>
      <c r="O11" s="2440"/>
      <c r="P11" s="2438" t="s">
        <v>15</v>
      </c>
      <c r="Q11" s="2440"/>
      <c r="R11" s="2438" t="s">
        <v>15</v>
      </c>
      <c r="S11" s="2440"/>
      <c r="T11" s="2438" t="s">
        <v>15</v>
      </c>
      <c r="U11" s="2440"/>
      <c r="V11" s="2438" t="s">
        <v>15</v>
      </c>
      <c r="W11" s="2440"/>
      <c r="X11" s="2438" t="s">
        <v>15</v>
      </c>
      <c r="Y11" s="2440"/>
      <c r="Z11" s="2441" t="s">
        <v>15</v>
      </c>
      <c r="AB11" s="944"/>
      <c r="AC11" s="944"/>
      <c r="AD11" s="944"/>
      <c r="AE11" s="944"/>
      <c r="AF11" s="944"/>
      <c r="AG11" s="944"/>
      <c r="AH11" s="944"/>
      <c r="AI11" s="944"/>
      <c r="AJ11" s="944"/>
      <c r="AK11" s="944"/>
      <c r="AL11" s="944"/>
      <c r="AM11" s="944"/>
      <c r="AN11" s="944"/>
    </row>
    <row r="12" spans="1:40" s="949" customFormat="1" ht="15.75">
      <c r="A12" s="1635" t="s">
        <v>497</v>
      </c>
      <c r="B12" s="945">
        <v>77568773</v>
      </c>
      <c r="C12" s="946"/>
      <c r="D12" s="945">
        <f>B46</f>
        <v>174881047</v>
      </c>
      <c r="E12" s="2442"/>
      <c r="F12" s="945">
        <f>D46</f>
        <v>150252706</v>
      </c>
      <c r="G12" s="2442"/>
      <c r="H12" s="945">
        <f>F46</f>
        <v>252199769</v>
      </c>
      <c r="I12" s="2442"/>
      <c r="J12" s="945">
        <f>+H46</f>
        <v>135671242</v>
      </c>
      <c r="K12" s="947"/>
      <c r="L12" s="945">
        <f>+J46</f>
        <v>158509367</v>
      </c>
      <c r="M12" s="948"/>
      <c r="N12" s="945">
        <f>+L46</f>
        <v>213727325</v>
      </c>
      <c r="O12" s="945"/>
      <c r="P12" s="945">
        <f>+N46</f>
        <v>226863741</v>
      </c>
      <c r="Q12" s="945"/>
      <c r="R12" s="945">
        <f>+P46</f>
        <v>153764536</v>
      </c>
      <c r="S12" s="945"/>
      <c r="T12" s="945">
        <f>+R46</f>
        <v>251221192</v>
      </c>
      <c r="U12" s="945"/>
      <c r="V12" s="945"/>
      <c r="W12" s="945"/>
      <c r="X12" s="945"/>
      <c r="Y12" s="945"/>
      <c r="Z12" s="945">
        <f>+B12</f>
        <v>77568773</v>
      </c>
    </row>
    <row r="13" spans="1:40" ht="15.75">
      <c r="A13" s="2443"/>
      <c r="B13" s="2444"/>
      <c r="C13" s="2445"/>
      <c r="D13" s="2444"/>
      <c r="E13" s="2444"/>
      <c r="F13" s="2444"/>
      <c r="G13" s="2444"/>
      <c r="H13" s="2444"/>
      <c r="I13" s="2444"/>
      <c r="J13" s="2444"/>
      <c r="K13" s="942"/>
      <c r="L13" s="2444"/>
      <c r="M13" s="2444"/>
      <c r="N13" s="2444"/>
      <c r="O13" s="2444"/>
      <c r="P13" s="2444"/>
      <c r="Q13" s="2444"/>
      <c r="R13" s="2444"/>
      <c r="S13" s="2444"/>
      <c r="T13" s="2444"/>
      <c r="U13" s="2444"/>
      <c r="V13" s="2444"/>
      <c r="W13" s="2444"/>
      <c r="X13" s="2444"/>
      <c r="Y13" s="2444"/>
      <c r="Z13" s="2446"/>
    </row>
    <row r="14" spans="1:40" ht="15.75">
      <c r="A14" s="950" t="s">
        <v>14</v>
      </c>
      <c r="B14" s="2444"/>
      <c r="C14" s="2445"/>
      <c r="D14" s="2444"/>
      <c r="E14" s="2444"/>
      <c r="F14" s="2444"/>
      <c r="G14" s="2444"/>
      <c r="H14" s="2444"/>
      <c r="I14" s="2444"/>
      <c r="J14" s="2444"/>
      <c r="K14" s="2444"/>
      <c r="L14" s="2444"/>
      <c r="M14" s="2444"/>
      <c r="N14" s="2444"/>
      <c r="O14" s="2444"/>
      <c r="P14" s="2444"/>
      <c r="Q14" s="2444"/>
      <c r="R14" s="2444"/>
      <c r="S14" s="2444"/>
      <c r="T14" s="2444"/>
      <c r="U14" s="2444"/>
      <c r="V14" s="2444"/>
      <c r="W14" s="2444"/>
      <c r="X14" s="2444"/>
      <c r="Y14" s="2444"/>
      <c r="Z14" s="2446"/>
    </row>
    <row r="15" spans="1:40" ht="15" customHeight="1">
      <c r="A15" s="1636" t="s">
        <v>498</v>
      </c>
      <c r="B15" s="2447">
        <v>69906681</v>
      </c>
      <c r="C15" s="2448"/>
      <c r="D15" s="2447">
        <v>70465929</v>
      </c>
      <c r="E15" s="2447"/>
      <c r="F15" s="2447">
        <v>86962921</v>
      </c>
      <c r="G15" s="2447"/>
      <c r="H15" s="2447">
        <v>74545709</v>
      </c>
      <c r="I15" s="2447"/>
      <c r="J15" s="2447">
        <v>85674331</v>
      </c>
      <c r="K15" s="2447"/>
      <c r="L15" s="2447">
        <v>75587194</v>
      </c>
      <c r="M15" s="2444"/>
      <c r="N15" s="2447">
        <v>72589606</v>
      </c>
      <c r="O15" s="2447"/>
      <c r="P15" s="2447">
        <v>78538465</v>
      </c>
      <c r="Q15" s="2447"/>
      <c r="R15" s="2447">
        <v>72252332</v>
      </c>
      <c r="S15" s="2447"/>
      <c r="T15" s="2447">
        <v>72800846</v>
      </c>
      <c r="U15" s="2447"/>
      <c r="V15" s="2447"/>
      <c r="W15" s="2447"/>
      <c r="X15" s="2447"/>
      <c r="Y15" s="2447"/>
      <c r="Z15" s="2449">
        <f>ROUND(SUM(B15:X15),0)</f>
        <v>759324014</v>
      </c>
    </row>
    <row r="16" spans="1:40" ht="15" customHeight="1">
      <c r="A16" s="1636" t="s">
        <v>499</v>
      </c>
      <c r="B16" s="2447">
        <v>2868000</v>
      </c>
      <c r="C16" s="2448"/>
      <c r="D16" s="2447">
        <v>2696000</v>
      </c>
      <c r="E16" s="2447"/>
      <c r="F16" s="2447">
        <v>3730000</v>
      </c>
      <c r="G16" s="2447"/>
      <c r="H16" s="2447">
        <v>3008000</v>
      </c>
      <c r="I16" s="2447"/>
      <c r="J16" s="2447">
        <v>3533000</v>
      </c>
      <c r="K16" s="2447"/>
      <c r="L16" s="2458">
        <v>2801000</v>
      </c>
      <c r="M16" s="2444"/>
      <c r="N16" s="2447">
        <v>2624000</v>
      </c>
      <c r="O16" s="2447"/>
      <c r="P16" s="2447">
        <v>3444000</v>
      </c>
      <c r="Q16" s="2447"/>
      <c r="R16" s="2447">
        <v>2689000</v>
      </c>
      <c r="S16" s="2447"/>
      <c r="T16" s="2447">
        <v>2733000</v>
      </c>
      <c r="U16" s="2447"/>
      <c r="V16" s="2447"/>
      <c r="W16" s="2447"/>
      <c r="X16" s="2447"/>
      <c r="Y16" s="2447"/>
      <c r="Z16" s="2449">
        <f t="shared" ref="Z16:Z23" si="0">ROUND(SUM(B16:X16),0)</f>
        <v>30126000</v>
      </c>
    </row>
    <row r="17" spans="1:28" ht="15" customHeight="1">
      <c r="A17" s="1636" t="s">
        <v>500</v>
      </c>
      <c r="B17" s="2447">
        <v>157862</v>
      </c>
      <c r="C17" s="2448"/>
      <c r="D17" s="2447">
        <v>85296</v>
      </c>
      <c r="E17" s="2447"/>
      <c r="F17" s="2447">
        <v>108226</v>
      </c>
      <c r="G17" s="2447"/>
      <c r="H17" s="2447">
        <v>165893</v>
      </c>
      <c r="I17" s="2447"/>
      <c r="J17" s="2450">
        <v>146816</v>
      </c>
      <c r="K17" s="2447"/>
      <c r="L17" s="2447">
        <v>126403</v>
      </c>
      <c r="M17" s="2444"/>
      <c r="N17" s="2447">
        <v>139627</v>
      </c>
      <c r="O17" s="2447"/>
      <c r="P17" s="2447">
        <v>167560</v>
      </c>
      <c r="Q17" s="2447"/>
      <c r="R17" s="2447">
        <v>186546</v>
      </c>
      <c r="S17" s="2447"/>
      <c r="T17" s="2447">
        <v>178713</v>
      </c>
      <c r="U17" s="2447"/>
      <c r="V17" s="2447"/>
      <c r="W17" s="2447"/>
      <c r="X17" s="2447"/>
      <c r="Y17" s="2447"/>
      <c r="Z17" s="2449">
        <f t="shared" si="0"/>
        <v>1462942</v>
      </c>
    </row>
    <row r="18" spans="1:28" ht="15" customHeight="1">
      <c r="A18" s="1636" t="s">
        <v>501</v>
      </c>
      <c r="B18" s="2450">
        <v>0</v>
      </c>
      <c r="C18" s="2451"/>
      <c r="D18" s="2447">
        <v>0</v>
      </c>
      <c r="E18" s="2450"/>
      <c r="F18" s="2450">
        <v>0</v>
      </c>
      <c r="G18" s="2450"/>
      <c r="H18" s="2450">
        <v>0</v>
      </c>
      <c r="I18" s="2447"/>
      <c r="J18" s="2450">
        <v>0</v>
      </c>
      <c r="K18" s="2452"/>
      <c r="L18" s="2450">
        <v>0</v>
      </c>
      <c r="M18" s="2444"/>
      <c r="N18" s="2450">
        <v>0</v>
      </c>
      <c r="O18" s="2447"/>
      <c r="P18" s="2450">
        <v>0</v>
      </c>
      <c r="Q18" s="2447"/>
      <c r="R18" s="2450">
        <v>0</v>
      </c>
      <c r="S18" s="2447"/>
      <c r="T18" s="2450">
        <v>0</v>
      </c>
      <c r="U18" s="2447"/>
      <c r="V18" s="2450"/>
      <c r="W18" s="2447"/>
      <c r="X18" s="2450"/>
      <c r="Y18" s="2447"/>
      <c r="Z18" s="2449">
        <f t="shared" si="0"/>
        <v>0</v>
      </c>
    </row>
    <row r="19" spans="1:28" ht="15" customHeight="1">
      <c r="A19" s="1636" t="s">
        <v>502</v>
      </c>
      <c r="B19" s="2447">
        <v>360143517</v>
      </c>
      <c r="C19" s="2448"/>
      <c r="D19" s="2447">
        <v>426849020</v>
      </c>
      <c r="E19" s="2447"/>
      <c r="F19" s="2447">
        <v>432946966</v>
      </c>
      <c r="G19" s="2447"/>
      <c r="H19" s="2447">
        <v>417613538</v>
      </c>
      <c r="I19" s="2447"/>
      <c r="J19" s="2447">
        <v>384220036</v>
      </c>
      <c r="K19" s="2447"/>
      <c r="L19" s="2447">
        <v>400171392</v>
      </c>
      <c r="M19" s="2444"/>
      <c r="N19" s="2447">
        <v>414180815</v>
      </c>
      <c r="O19" s="2447"/>
      <c r="P19" s="2447">
        <v>386958745</v>
      </c>
      <c r="Q19" s="2447"/>
      <c r="R19" s="2447">
        <v>445774206</v>
      </c>
      <c r="S19" s="2447"/>
      <c r="T19" s="2447">
        <v>388365962</v>
      </c>
      <c r="U19" s="2447"/>
      <c r="V19" s="2447"/>
      <c r="W19" s="2447"/>
      <c r="X19" s="2447"/>
      <c r="Y19" s="2447"/>
      <c r="Z19" s="2449">
        <f t="shared" si="0"/>
        <v>4057224197</v>
      </c>
    </row>
    <row r="20" spans="1:28" ht="15" customHeight="1">
      <c r="A20" s="1636" t="s">
        <v>503</v>
      </c>
      <c r="B20" s="2453">
        <v>466000</v>
      </c>
      <c r="C20" s="2451"/>
      <c r="D20" s="2447">
        <v>1000000</v>
      </c>
      <c r="E20" s="2447"/>
      <c r="F20" s="2453">
        <v>2485086</v>
      </c>
      <c r="G20" s="2447"/>
      <c r="H20" s="2453">
        <v>384000</v>
      </c>
      <c r="I20" s="2447"/>
      <c r="J20" s="2447">
        <v>4816844</v>
      </c>
      <c r="K20" s="2454"/>
      <c r="L20" s="2447">
        <v>-3675844</v>
      </c>
      <c r="M20" s="2444"/>
      <c r="N20" s="2447">
        <v>408000</v>
      </c>
      <c r="O20" s="2447"/>
      <c r="P20" s="2455">
        <v>179000</v>
      </c>
      <c r="Q20" s="2447"/>
      <c r="R20" s="2455">
        <v>2913635</v>
      </c>
      <c r="S20" s="2447"/>
      <c r="T20" s="2453">
        <v>932000</v>
      </c>
      <c r="U20" s="2447"/>
      <c r="V20" s="2450"/>
      <c r="W20" s="2450"/>
      <c r="X20" s="2453"/>
      <c r="Y20" s="2447"/>
      <c r="Z20" s="2449">
        <f t="shared" si="0"/>
        <v>9908721</v>
      </c>
    </row>
    <row r="21" spans="1:28" ht="15" customHeight="1">
      <c r="A21" s="1636" t="s">
        <v>504</v>
      </c>
      <c r="B21" s="2453">
        <v>2758000</v>
      </c>
      <c r="C21" s="2451"/>
      <c r="D21" s="2447">
        <v>2854691</v>
      </c>
      <c r="E21" s="2447"/>
      <c r="F21" s="2453">
        <v>970588</v>
      </c>
      <c r="G21" s="2447"/>
      <c r="H21" s="2450">
        <v>13794356</v>
      </c>
      <c r="I21" s="2447"/>
      <c r="J21" s="2450">
        <v>1052475</v>
      </c>
      <c r="K21" s="2454"/>
      <c r="L21" s="2450">
        <v>5506892</v>
      </c>
      <c r="M21" s="2444"/>
      <c r="N21" s="2450">
        <v>339711</v>
      </c>
      <c r="O21" s="2447"/>
      <c r="P21" s="2447">
        <v>3139532</v>
      </c>
      <c r="Q21" s="2447"/>
      <c r="R21" s="2447">
        <v>3371345</v>
      </c>
      <c r="S21" s="2447"/>
      <c r="T21" s="2450">
        <v>3336037</v>
      </c>
      <c r="U21" s="2447"/>
      <c r="V21" s="2450"/>
      <c r="W21" s="2450"/>
      <c r="X21" s="2453"/>
      <c r="Y21" s="2447"/>
      <c r="Z21" s="2449">
        <f t="shared" si="0"/>
        <v>37123627</v>
      </c>
    </row>
    <row r="22" spans="1:28" ht="15" customHeight="1">
      <c r="A22" s="1636" t="s">
        <v>505</v>
      </c>
      <c r="B22" s="2453">
        <v>0</v>
      </c>
      <c r="C22" s="2451"/>
      <c r="D22" s="2447">
        <v>0</v>
      </c>
      <c r="E22" s="2447"/>
      <c r="F22" s="2453">
        <v>0</v>
      </c>
      <c r="G22" s="2447"/>
      <c r="H22" s="2453">
        <v>0</v>
      </c>
      <c r="I22" s="2447"/>
      <c r="J22" s="2447">
        <v>0</v>
      </c>
      <c r="K22" s="2454"/>
      <c r="L22" s="2447">
        <v>0</v>
      </c>
      <c r="M22" s="2444"/>
      <c r="N22" s="2447">
        <v>0</v>
      </c>
      <c r="O22" s="2447"/>
      <c r="P22" s="2447">
        <v>0</v>
      </c>
      <c r="Q22" s="2447"/>
      <c r="R22" s="2447">
        <v>0</v>
      </c>
      <c r="S22" s="2447"/>
      <c r="T22" s="2450">
        <v>0</v>
      </c>
      <c r="U22" s="2447"/>
      <c r="V22" s="2453"/>
      <c r="W22" s="2450"/>
      <c r="X22" s="2450"/>
      <c r="Y22" s="2447"/>
      <c r="Z22" s="2449">
        <f t="shared" si="0"/>
        <v>0</v>
      </c>
    </row>
    <row r="23" spans="1:28" ht="15" customHeight="1">
      <c r="A23" s="1636" t="s">
        <v>506</v>
      </c>
      <c r="B23" s="2450">
        <v>0</v>
      </c>
      <c r="C23" s="2456"/>
      <c r="D23" s="2447">
        <v>1669</v>
      </c>
      <c r="E23" s="2447"/>
      <c r="F23" s="2450">
        <v>51</v>
      </c>
      <c r="G23" s="2447"/>
      <c r="H23" s="2447">
        <v>0</v>
      </c>
      <c r="I23" s="2447"/>
      <c r="J23" s="2450">
        <v>0</v>
      </c>
      <c r="K23" s="2447"/>
      <c r="L23" s="2454">
        <v>0</v>
      </c>
      <c r="M23" s="2444"/>
      <c r="N23" s="2450">
        <v>18215</v>
      </c>
      <c r="O23" s="2447"/>
      <c r="P23" s="2450">
        <v>52700</v>
      </c>
      <c r="Q23" s="2447"/>
      <c r="R23" s="2450">
        <v>0</v>
      </c>
      <c r="S23" s="2447"/>
      <c r="T23" s="2464">
        <v>-2445590</v>
      </c>
      <c r="U23" s="2447"/>
      <c r="V23" s="2453"/>
      <c r="W23" s="2447"/>
      <c r="X23" s="2454"/>
      <c r="Y23" s="2447"/>
      <c r="Z23" s="2449">
        <f t="shared" si="0"/>
        <v>-2372955</v>
      </c>
    </row>
    <row r="24" spans="1:28" s="949" customFormat="1" ht="15.75">
      <c r="A24" s="950" t="s">
        <v>155</v>
      </c>
      <c r="B24" s="951">
        <f>ROUND(SUM(B15:B23),0)</f>
        <v>436300060</v>
      </c>
      <c r="C24" s="952"/>
      <c r="D24" s="951">
        <f>ROUND(SUM(D15:D23),0)</f>
        <v>503952605</v>
      </c>
      <c r="E24" s="953"/>
      <c r="F24" s="951">
        <f>ROUND(SUM(F15:F23),0)</f>
        <v>527203838</v>
      </c>
      <c r="G24" s="953"/>
      <c r="H24" s="951">
        <f>ROUND(SUM(H15:H23),0)</f>
        <v>509511496</v>
      </c>
      <c r="I24" s="953"/>
      <c r="J24" s="951">
        <f>ROUND(SUM(J15:J23),0)</f>
        <v>479443502</v>
      </c>
      <c r="K24" s="955"/>
      <c r="L24" s="951">
        <f>ROUND(SUM(L15:L23),0)</f>
        <v>480517037</v>
      </c>
      <c r="M24" s="948"/>
      <c r="N24" s="951">
        <f>ROUND(SUM(N15:N23),0)</f>
        <v>490299974</v>
      </c>
      <c r="O24" s="953"/>
      <c r="P24" s="951">
        <f>ROUND(SUM(P15:P23),0)</f>
        <v>472480002</v>
      </c>
      <c r="Q24" s="953"/>
      <c r="R24" s="951">
        <f>ROUND(SUM(R15:R23),0)</f>
        <v>527187064</v>
      </c>
      <c r="S24" s="953"/>
      <c r="T24" s="951">
        <f>ROUND(SUM(T15:T23),0)</f>
        <v>465900968</v>
      </c>
      <c r="U24" s="953"/>
      <c r="V24" s="951">
        <f>ROUND(SUM(V15:V23),0)</f>
        <v>0</v>
      </c>
      <c r="W24" s="953"/>
      <c r="X24" s="951">
        <f>ROUND(SUM(X15:X23),0)</f>
        <v>0</v>
      </c>
      <c r="Y24" s="953"/>
      <c r="Z24" s="951">
        <f>ROUND(SUM(Z15:Z23),0)</f>
        <v>4892796546</v>
      </c>
      <c r="AB24" s="766"/>
    </row>
    <row r="25" spans="1:28" ht="15" customHeight="1">
      <c r="A25" s="2443"/>
      <c r="B25" s="2447"/>
      <c r="C25" s="2448"/>
      <c r="D25" s="2447"/>
      <c r="E25" s="2447"/>
      <c r="F25" s="2447"/>
      <c r="G25" s="2447"/>
      <c r="H25" s="2447"/>
      <c r="I25" s="2447"/>
      <c r="J25" s="2447"/>
      <c r="K25" s="2447"/>
      <c r="L25" s="2447"/>
      <c r="M25" s="2444"/>
      <c r="N25" s="2447"/>
      <c r="O25" s="2447"/>
      <c r="P25" s="2447"/>
      <c r="Q25" s="2447"/>
      <c r="R25" s="2447"/>
      <c r="S25" s="2447"/>
      <c r="T25" s="2447"/>
      <c r="U25" s="2447"/>
      <c r="V25" s="2447"/>
      <c r="W25" s="2447"/>
      <c r="X25" s="2447"/>
      <c r="Y25" s="2447"/>
      <c r="Z25" s="2457"/>
    </row>
    <row r="26" spans="1:28" ht="15.75">
      <c r="A26" s="950" t="s">
        <v>23</v>
      </c>
      <c r="B26" s="2447"/>
      <c r="C26" s="2448"/>
      <c r="D26" s="2447"/>
      <c r="E26" s="2447"/>
      <c r="F26" s="2447"/>
      <c r="G26" s="2447"/>
      <c r="H26" s="2447"/>
      <c r="I26" s="2447"/>
      <c r="J26" s="2447"/>
      <c r="K26" s="2447"/>
      <c r="L26" s="2447"/>
      <c r="M26" s="2444"/>
      <c r="N26" s="2447"/>
      <c r="O26" s="2447"/>
      <c r="P26" s="2447"/>
      <c r="Q26" s="2447"/>
      <c r="R26" s="2447"/>
      <c r="S26" s="2447"/>
      <c r="T26" s="2447"/>
      <c r="U26" s="2447"/>
      <c r="V26" s="2447"/>
      <c r="W26" s="2447"/>
      <c r="X26" s="2447"/>
      <c r="Y26" s="2447"/>
      <c r="Z26" s="2457"/>
    </row>
    <row r="27" spans="1:28" ht="15" customHeight="1">
      <c r="A27" s="1637" t="s">
        <v>507</v>
      </c>
      <c r="B27" s="2458">
        <v>321080063</v>
      </c>
      <c r="C27" s="2459"/>
      <c r="D27" s="2447">
        <v>525480383</v>
      </c>
      <c r="E27" s="2458"/>
      <c r="F27" s="2458">
        <v>418899454</v>
      </c>
      <c r="G27" s="2458"/>
      <c r="H27" s="2458">
        <v>624008882</v>
      </c>
      <c r="I27" s="2458"/>
      <c r="J27" s="2458">
        <v>449917568</v>
      </c>
      <c r="K27" s="2458"/>
      <c r="L27" s="2458">
        <v>406367773</v>
      </c>
      <c r="M27" s="2460"/>
      <c r="N27" s="2458">
        <v>474483648</v>
      </c>
      <c r="O27" s="2458"/>
      <c r="P27" s="2458">
        <v>541309034</v>
      </c>
      <c r="Q27" s="2458"/>
      <c r="R27" s="2458">
        <v>418887634</v>
      </c>
      <c r="S27" s="2458"/>
      <c r="T27" s="2458">
        <v>478373081</v>
      </c>
      <c r="U27" s="2458"/>
      <c r="V27" s="2458"/>
      <c r="W27" s="2458"/>
      <c r="X27" s="2458"/>
      <c r="Y27" s="2458"/>
      <c r="Z27" s="2449">
        <f>ROUND(SUM(B27:X27),0)</f>
        <v>4658807520</v>
      </c>
    </row>
    <row r="28" spans="1:28" ht="15" customHeight="1">
      <c r="A28" s="1637" t="s">
        <v>508</v>
      </c>
      <c r="B28" s="2458">
        <v>2682</v>
      </c>
      <c r="C28" s="2459"/>
      <c r="D28" s="2447">
        <v>597</v>
      </c>
      <c r="E28" s="2458"/>
      <c r="F28" s="2458">
        <v>308</v>
      </c>
      <c r="G28" s="2458"/>
      <c r="H28" s="2458">
        <v>-1371</v>
      </c>
      <c r="I28" s="2458"/>
      <c r="J28" s="2458">
        <v>104</v>
      </c>
      <c r="K28" s="2458"/>
      <c r="L28" s="2458">
        <v>-500</v>
      </c>
      <c r="M28" s="2460"/>
      <c r="N28" s="2461">
        <v>42</v>
      </c>
      <c r="O28" s="2458"/>
      <c r="P28" s="2462">
        <v>68</v>
      </c>
      <c r="Q28" s="2458"/>
      <c r="R28" s="2458">
        <v>5</v>
      </c>
      <c r="S28" s="2458"/>
      <c r="T28" s="2461">
        <v>34</v>
      </c>
      <c r="U28" s="2458"/>
      <c r="V28" s="2458"/>
      <c r="W28" s="2458"/>
      <c r="X28" s="2463"/>
      <c r="Y28" s="2458"/>
      <c r="Z28" s="2449">
        <f>ROUND(SUM(B28:X28),0)</f>
        <v>1969</v>
      </c>
      <c r="AB28" s="767"/>
    </row>
    <row r="29" spans="1:28" ht="15" customHeight="1">
      <c r="A29" s="1637" t="s">
        <v>509</v>
      </c>
      <c r="B29" s="2458">
        <v>471992</v>
      </c>
      <c r="C29" s="2459"/>
      <c r="D29" s="2447">
        <v>841268</v>
      </c>
      <c r="E29" s="2458"/>
      <c r="F29" s="2458">
        <v>1134203</v>
      </c>
      <c r="G29" s="2458"/>
      <c r="H29" s="2458">
        <v>871453</v>
      </c>
      <c r="I29" s="2458"/>
      <c r="J29" s="2458">
        <v>1204427</v>
      </c>
      <c r="K29" s="2458"/>
      <c r="L29" s="2458">
        <v>141107</v>
      </c>
      <c r="M29" s="2460"/>
      <c r="N29" s="2461">
        <v>725399</v>
      </c>
      <c r="O29" s="2458"/>
      <c r="P29" s="2462">
        <v>1269321</v>
      </c>
      <c r="Q29" s="2458"/>
      <c r="R29" s="2458">
        <v>883215</v>
      </c>
      <c r="S29" s="2458"/>
      <c r="T29" s="2458">
        <v>879050</v>
      </c>
      <c r="U29" s="2458"/>
      <c r="V29" s="2458"/>
      <c r="W29" s="2458"/>
      <c r="X29" s="2458"/>
      <c r="Y29" s="2458"/>
      <c r="Z29" s="2449">
        <f>ROUND(SUM(B29:X29),0)</f>
        <v>8421435</v>
      </c>
    </row>
    <row r="30" spans="1:28" ht="15" customHeight="1">
      <c r="A30" s="1637" t="s">
        <v>510</v>
      </c>
      <c r="B30" s="2458">
        <v>955757</v>
      </c>
      <c r="C30" s="2459"/>
      <c r="D30" s="2447">
        <v>1058414</v>
      </c>
      <c r="E30" s="2458"/>
      <c r="F30" s="2463">
        <v>3755806</v>
      </c>
      <c r="G30" s="2458"/>
      <c r="H30" s="2458">
        <v>1034274</v>
      </c>
      <c r="I30" s="2458"/>
      <c r="J30" s="2458">
        <v>2924856</v>
      </c>
      <c r="K30" s="2458"/>
      <c r="L30" s="2458">
        <v>869856</v>
      </c>
      <c r="M30" s="2460"/>
      <c r="N30" s="2461">
        <v>1380080</v>
      </c>
      <c r="O30" s="2458"/>
      <c r="P30" s="2462">
        <v>1469222</v>
      </c>
      <c r="Q30" s="2458"/>
      <c r="R30" s="2458">
        <v>1469579</v>
      </c>
      <c r="S30" s="2458"/>
      <c r="T30" s="2458">
        <v>1244151</v>
      </c>
      <c r="U30" s="2458"/>
      <c r="V30" s="2458"/>
      <c r="W30" s="2458"/>
      <c r="X30" s="2458"/>
      <c r="Y30" s="2458"/>
      <c r="Z30" s="2449">
        <f>ROUND(SUM(B30:X30),0)</f>
        <v>16161995</v>
      </c>
    </row>
    <row r="31" spans="1:28" ht="15" customHeight="1">
      <c r="A31" s="1637" t="s">
        <v>511</v>
      </c>
      <c r="B31" s="2464">
        <v>0</v>
      </c>
      <c r="C31" s="2459"/>
      <c r="D31" s="2447">
        <v>764454</v>
      </c>
      <c r="E31" s="2458"/>
      <c r="F31" s="2465">
        <v>787216</v>
      </c>
      <c r="G31" s="2458"/>
      <c r="H31" s="2464">
        <v>0</v>
      </c>
      <c r="I31" s="2458"/>
      <c r="J31" s="2458">
        <v>48218</v>
      </c>
      <c r="K31" s="2458"/>
      <c r="L31" s="2458">
        <v>269449</v>
      </c>
      <c r="M31" s="2460"/>
      <c r="N31" s="2464">
        <v>35780</v>
      </c>
      <c r="O31" s="2458"/>
      <c r="P31" s="2458">
        <v>755541</v>
      </c>
      <c r="Q31" s="2458"/>
      <c r="R31" s="2463">
        <v>171990</v>
      </c>
      <c r="S31" s="2458"/>
      <c r="T31" s="2465">
        <v>1379145</v>
      </c>
      <c r="U31" s="2458"/>
      <c r="V31" s="2465"/>
      <c r="W31" s="2458"/>
      <c r="X31" s="2463"/>
      <c r="Y31" s="2458"/>
      <c r="Z31" s="2449">
        <f>ROUND(SUM(B31:X31),0)</f>
        <v>4211793</v>
      </c>
    </row>
    <row r="32" spans="1:28" ht="15.75">
      <c r="A32" s="956" t="s">
        <v>161</v>
      </c>
      <c r="B32" s="954">
        <f>ROUND(SUM(B27:B31),0)</f>
        <v>322510494</v>
      </c>
      <c r="C32" s="2459"/>
      <c r="D32" s="954">
        <f>ROUND(SUM(D27:D31),0)</f>
        <v>528145116</v>
      </c>
      <c r="E32" s="2458"/>
      <c r="F32" s="954">
        <f>ROUND(SUM(F27:F31),0)</f>
        <v>424576987</v>
      </c>
      <c r="G32" s="2458"/>
      <c r="H32" s="954">
        <f>ROUND(SUM(H27:H31),0)</f>
        <v>625913238</v>
      </c>
      <c r="I32" s="2458"/>
      <c r="J32" s="954">
        <f>ROUND(SUM(J27:J31),0)</f>
        <v>454095173</v>
      </c>
      <c r="K32" s="2458"/>
      <c r="L32" s="954">
        <f>ROUND(SUM(L27:L31),0)</f>
        <v>407647685</v>
      </c>
      <c r="M32" s="2460"/>
      <c r="N32" s="954">
        <f>ROUND(SUM(N27:N31),0)</f>
        <v>476624949</v>
      </c>
      <c r="O32" s="2458"/>
      <c r="P32" s="954">
        <f>ROUND(SUM(P27:P31),0)</f>
        <v>544803186</v>
      </c>
      <c r="Q32" s="2458"/>
      <c r="R32" s="954">
        <f>ROUND(SUM(R27:R31),0)</f>
        <v>421412423</v>
      </c>
      <c r="S32" s="2458"/>
      <c r="T32" s="954">
        <f>ROUND(SUM(T27:T31),0)</f>
        <v>481875461</v>
      </c>
      <c r="U32" s="2458"/>
      <c r="V32" s="954">
        <f>ROUND(SUM(V27:V31),0)</f>
        <v>0</v>
      </c>
      <c r="W32" s="2458"/>
      <c r="X32" s="954">
        <f>ROUND(SUM(X27:X31),0)</f>
        <v>0</v>
      </c>
      <c r="Y32" s="2458"/>
      <c r="Z32" s="954">
        <f>ROUND(SUM(Z27:Z31),0)</f>
        <v>4687604712</v>
      </c>
    </row>
    <row r="33" spans="1:28" ht="15.75">
      <c r="A33" s="956"/>
      <c r="B33" s="2458"/>
      <c r="C33" s="2459"/>
      <c r="D33" s="2458"/>
      <c r="E33" s="2458"/>
      <c r="F33" s="2464"/>
      <c r="G33" s="2458"/>
      <c r="H33" s="2464"/>
      <c r="I33" s="2458"/>
      <c r="J33" s="2458"/>
      <c r="K33" s="2458"/>
      <c r="L33" s="2463"/>
      <c r="M33" s="2460"/>
      <c r="N33" s="2463"/>
      <c r="O33" s="2458"/>
      <c r="P33" s="2462"/>
      <c r="Q33" s="2458"/>
      <c r="R33" s="2464"/>
      <c r="S33" s="2458"/>
      <c r="T33" s="2464"/>
      <c r="U33" s="2458"/>
      <c r="V33" s="2459"/>
      <c r="W33" s="2458"/>
      <c r="X33" s="2464"/>
      <c r="Y33" s="2458"/>
      <c r="Z33" s="2449"/>
    </row>
    <row r="34" spans="1:28" ht="15.75">
      <c r="A34" s="957" t="s">
        <v>512</v>
      </c>
      <c r="B34" s="2464"/>
      <c r="C34" s="2466"/>
      <c r="D34" s="2464"/>
      <c r="E34" s="2458"/>
      <c r="F34" s="2463"/>
      <c r="G34" s="2458"/>
      <c r="H34" s="2464"/>
      <c r="I34" s="2458"/>
      <c r="J34" s="2464"/>
      <c r="K34" s="2458"/>
      <c r="L34" s="2464"/>
      <c r="M34" s="2460"/>
      <c r="N34" s="2464"/>
      <c r="O34" s="2458"/>
      <c r="P34" s="2462"/>
      <c r="Q34" s="2458"/>
      <c r="R34" s="2464"/>
      <c r="S34" s="2458"/>
      <c r="T34" s="2464"/>
      <c r="U34" s="2458"/>
      <c r="V34" s="2463"/>
      <c r="W34" s="2458"/>
      <c r="X34" s="2463"/>
      <c r="Y34" s="2458"/>
      <c r="Z34" s="2449"/>
    </row>
    <row r="35" spans="1:28" ht="15" customHeight="1">
      <c r="A35" s="1637" t="s">
        <v>513</v>
      </c>
      <c r="B35" s="2464">
        <v>0</v>
      </c>
      <c r="C35" s="2466"/>
      <c r="D35" s="2447">
        <v>0</v>
      </c>
      <c r="E35" s="2458"/>
      <c r="F35" s="2464">
        <v>0</v>
      </c>
      <c r="G35" s="2458"/>
      <c r="H35" s="2464">
        <v>0</v>
      </c>
      <c r="I35" s="2458"/>
      <c r="J35" s="2464">
        <v>0</v>
      </c>
      <c r="K35" s="2458"/>
      <c r="L35" s="2464">
        <v>0</v>
      </c>
      <c r="M35" s="2460"/>
      <c r="N35" s="2463">
        <v>0</v>
      </c>
      <c r="O35" s="2458"/>
      <c r="P35" s="2464">
        <v>0</v>
      </c>
      <c r="Q35" s="2458"/>
      <c r="R35" s="2465">
        <v>0</v>
      </c>
      <c r="S35" s="2458"/>
      <c r="T35" s="2465">
        <v>0</v>
      </c>
      <c r="U35" s="2458"/>
      <c r="V35" s="2465"/>
      <c r="W35" s="2458"/>
      <c r="X35" s="2465"/>
      <c r="Y35" s="2458"/>
      <c r="Z35" s="2449">
        <f t="shared" ref="Z35:Z40" si="1">ROUND(SUM(B35:X35),0)</f>
        <v>0</v>
      </c>
    </row>
    <row r="36" spans="1:28" ht="15" customHeight="1">
      <c r="A36" s="1637" t="s">
        <v>514</v>
      </c>
      <c r="B36" s="2464">
        <v>0</v>
      </c>
      <c r="C36" s="2466"/>
      <c r="D36" s="2447">
        <v>0</v>
      </c>
      <c r="E36" s="2458"/>
      <c r="F36" s="2464">
        <v>17526</v>
      </c>
      <c r="G36" s="2458"/>
      <c r="H36" s="2464">
        <v>0</v>
      </c>
      <c r="I36" s="2458"/>
      <c r="J36" s="2464">
        <v>0</v>
      </c>
      <c r="K36" s="2458"/>
      <c r="L36" s="2464">
        <v>0</v>
      </c>
      <c r="M36" s="2460"/>
      <c r="N36" s="2464">
        <v>0</v>
      </c>
      <c r="O36" s="2458"/>
      <c r="P36" s="2464">
        <v>0</v>
      </c>
      <c r="Q36" s="2458"/>
      <c r="R36" s="2464">
        <v>0</v>
      </c>
      <c r="S36" s="2458"/>
      <c r="T36" s="2450">
        <v>350000</v>
      </c>
      <c r="U36" s="2458"/>
      <c r="V36" s="2450"/>
      <c r="W36" s="2458"/>
      <c r="X36" s="2464"/>
      <c r="Y36" s="2458"/>
      <c r="Z36" s="2449">
        <f t="shared" si="1"/>
        <v>367526</v>
      </c>
    </row>
    <row r="37" spans="1:28" ht="15" customHeight="1">
      <c r="A37" s="1637" t="s">
        <v>149</v>
      </c>
      <c r="B37" s="2464">
        <v>0</v>
      </c>
      <c r="C37" s="2466"/>
      <c r="D37" s="2447">
        <v>0</v>
      </c>
      <c r="E37" s="2458"/>
      <c r="F37" s="2464">
        <v>0</v>
      </c>
      <c r="G37" s="2458"/>
      <c r="H37" s="2464">
        <v>0</v>
      </c>
      <c r="I37" s="2458"/>
      <c r="J37" s="2465">
        <v>1306200</v>
      </c>
      <c r="K37" s="2458"/>
      <c r="L37" s="2463">
        <v>9285215</v>
      </c>
      <c r="M37" s="2460"/>
      <c r="N37" s="2464">
        <v>0</v>
      </c>
      <c r="O37" s="2458"/>
      <c r="P37" s="2464">
        <v>0</v>
      </c>
      <c r="Q37" s="2458"/>
      <c r="R37" s="2464">
        <v>0</v>
      </c>
      <c r="S37" s="2458"/>
      <c r="T37" s="2450">
        <v>0</v>
      </c>
      <c r="U37" s="2458"/>
      <c r="V37" s="2465"/>
      <c r="W37" s="2458"/>
      <c r="X37" s="2465"/>
      <c r="Y37" s="2458"/>
      <c r="Z37" s="2449">
        <f t="shared" si="1"/>
        <v>10591415</v>
      </c>
    </row>
    <row r="38" spans="1:28" ht="15">
      <c r="A38" s="1637" t="s">
        <v>515</v>
      </c>
      <c r="B38" s="958"/>
      <c r="C38" s="958"/>
      <c r="D38" s="2447"/>
      <c r="E38" s="958"/>
      <c r="F38" s="958"/>
      <c r="G38" s="958"/>
      <c r="H38" s="958"/>
      <c r="I38" s="958"/>
      <c r="J38" s="958"/>
      <c r="K38" s="958"/>
      <c r="L38" s="958"/>
      <c r="M38" s="2460"/>
      <c r="N38" s="958"/>
      <c r="O38" s="958"/>
      <c r="P38" s="958"/>
      <c r="Q38" s="958"/>
      <c r="R38" s="958"/>
      <c r="S38" s="958"/>
      <c r="T38" s="958"/>
      <c r="U38" s="958"/>
      <c r="V38" s="958"/>
      <c r="W38" s="958"/>
      <c r="X38" s="958"/>
      <c r="Y38" s="958"/>
      <c r="Z38" s="2449"/>
    </row>
    <row r="39" spans="1:28" ht="15">
      <c r="A39" s="1637" t="s">
        <v>516</v>
      </c>
      <c r="B39" s="2464">
        <v>0</v>
      </c>
      <c r="C39" s="2466"/>
      <c r="D39" s="2447">
        <v>0</v>
      </c>
      <c r="E39" s="2458"/>
      <c r="F39" s="2464">
        <v>0</v>
      </c>
      <c r="G39" s="2458"/>
      <c r="H39" s="2464">
        <v>0</v>
      </c>
      <c r="I39" s="2458"/>
      <c r="J39" s="2464">
        <v>0</v>
      </c>
      <c r="K39" s="2458"/>
      <c r="L39" s="2464">
        <v>0</v>
      </c>
      <c r="M39" s="2460"/>
      <c r="N39" s="2464">
        <v>0</v>
      </c>
      <c r="O39" s="2458"/>
      <c r="P39" s="2464">
        <v>0</v>
      </c>
      <c r="Q39" s="2458"/>
      <c r="R39" s="2464">
        <f>140320+45170</f>
        <v>185490</v>
      </c>
      <c r="S39" s="2458"/>
      <c r="T39" s="2450">
        <v>0</v>
      </c>
      <c r="U39" s="2458"/>
      <c r="V39" s="2450"/>
      <c r="W39" s="2458"/>
      <c r="X39" s="2465"/>
      <c r="Y39" s="2458"/>
      <c r="Z39" s="2449">
        <f t="shared" si="1"/>
        <v>185490</v>
      </c>
    </row>
    <row r="40" spans="1:28" ht="15">
      <c r="A40" s="1637" t="s">
        <v>517</v>
      </c>
      <c r="B40" s="2464">
        <v>15148000</v>
      </c>
      <c r="C40" s="2466"/>
      <c r="D40" s="2447">
        <v>0</v>
      </c>
      <c r="E40" s="2458"/>
      <c r="F40" s="2464">
        <v>0</v>
      </c>
      <c r="G40" s="2458"/>
      <c r="H40" s="2458">
        <v>0</v>
      </c>
      <c r="I40" s="2458"/>
      <c r="J40" s="2464">
        <v>0</v>
      </c>
      <c r="K40" s="2458"/>
      <c r="L40" s="2464">
        <v>7574000</v>
      </c>
      <c r="M40" s="2460"/>
      <c r="N40" s="2463">
        <v>0</v>
      </c>
      <c r="O40" s="2458"/>
      <c r="P40" s="2464">
        <v>0</v>
      </c>
      <c r="Q40" s="2458"/>
      <c r="R40" s="2464">
        <v>7573000</v>
      </c>
      <c r="S40" s="2458"/>
      <c r="T40" s="2450">
        <v>0</v>
      </c>
      <c r="U40" s="2458"/>
      <c r="V40" s="2450"/>
      <c r="W40" s="2458"/>
      <c r="X40" s="2465"/>
      <c r="Y40" s="2458"/>
      <c r="Z40" s="2449">
        <f t="shared" si="1"/>
        <v>30295000</v>
      </c>
    </row>
    <row r="41" spans="1:28" ht="15" customHeight="1">
      <c r="A41" s="1637" t="s">
        <v>518</v>
      </c>
      <c r="B41" s="2465">
        <v>1329292</v>
      </c>
      <c r="C41" s="2466"/>
      <c r="D41" s="2447">
        <v>435830</v>
      </c>
      <c r="E41" s="2458"/>
      <c r="F41" s="2465">
        <v>662262</v>
      </c>
      <c r="G41" s="2458"/>
      <c r="H41" s="2465">
        <v>126785</v>
      </c>
      <c r="I41" s="2458"/>
      <c r="J41" s="2465">
        <v>1204004</v>
      </c>
      <c r="K41" s="2458"/>
      <c r="L41" s="2465">
        <v>792179</v>
      </c>
      <c r="M41" s="2460"/>
      <c r="N41" s="2463">
        <v>538609</v>
      </c>
      <c r="O41" s="2458"/>
      <c r="P41" s="2463">
        <v>776021</v>
      </c>
      <c r="Q41" s="2458"/>
      <c r="R41" s="2463">
        <v>559495</v>
      </c>
      <c r="S41" s="2458"/>
      <c r="T41" s="2463">
        <v>892252</v>
      </c>
      <c r="U41" s="2458"/>
      <c r="V41" s="2465"/>
      <c r="W41" s="2458"/>
      <c r="X41" s="2465"/>
      <c r="Y41" s="2458"/>
      <c r="Z41" s="2449">
        <f>ROUND(SUM(B41:X41),0)</f>
        <v>7316729</v>
      </c>
    </row>
    <row r="42" spans="1:28" ht="15.75">
      <c r="A42" s="950" t="s">
        <v>519</v>
      </c>
      <c r="B42" s="959">
        <f>ROUND(SUM(B35:B41),0)</f>
        <v>16477292</v>
      </c>
      <c r="C42" s="2451"/>
      <c r="D42" s="959">
        <f>ROUND(SUM(D35:D41),0)</f>
        <v>435830</v>
      </c>
      <c r="E42" s="2447"/>
      <c r="F42" s="959">
        <f>ROUND(SUM(F35:F41),0)</f>
        <v>679788</v>
      </c>
      <c r="G42" s="2447"/>
      <c r="H42" s="959">
        <f>ROUND(SUM(H35:H41),0)</f>
        <v>126785</v>
      </c>
      <c r="I42" s="2447"/>
      <c r="J42" s="959">
        <f>ROUND(SUM(J35:J41),0)</f>
        <v>2510204</v>
      </c>
      <c r="K42" s="2447"/>
      <c r="L42" s="959">
        <f>ROUND(SUM(L35:L41),0)</f>
        <v>17651394</v>
      </c>
      <c r="M42" s="2444"/>
      <c r="N42" s="959">
        <f>ROUND(SUM(N35:N41),0)</f>
        <v>538609</v>
      </c>
      <c r="O42" s="2447"/>
      <c r="P42" s="959">
        <f>ROUND(SUM(P35:P41),0)</f>
        <v>776021</v>
      </c>
      <c r="Q42" s="2447"/>
      <c r="R42" s="959">
        <f>ROUND(SUM(R35:R41),0)</f>
        <v>8317985</v>
      </c>
      <c r="S42" s="2447"/>
      <c r="T42" s="959">
        <f>ROUND(SUM(T35:T41),0)</f>
        <v>1242252</v>
      </c>
      <c r="U42" s="2447"/>
      <c r="V42" s="959">
        <f>ROUND(SUM(V35:V41),0)</f>
        <v>0</v>
      </c>
      <c r="W42" s="2447"/>
      <c r="X42" s="959">
        <f>ROUND(SUM(X35:X41),0)</f>
        <v>0</v>
      </c>
      <c r="Y42" s="2447"/>
      <c r="Z42" s="959">
        <f>ROUND(SUM(Z35:Z41),0)</f>
        <v>48756160</v>
      </c>
    </row>
    <row r="43" spans="1:28" ht="15" customHeight="1">
      <c r="B43" s="2467"/>
      <c r="C43" s="2451"/>
      <c r="D43" s="2467"/>
      <c r="E43" s="2447"/>
      <c r="F43" s="2468"/>
      <c r="G43" s="2447"/>
      <c r="H43" s="2467"/>
      <c r="I43" s="2447"/>
      <c r="J43" s="2467"/>
      <c r="K43" s="2447"/>
      <c r="L43" s="2467"/>
      <c r="M43" s="2444"/>
      <c r="N43" s="2467"/>
      <c r="O43" s="2447"/>
      <c r="P43" s="2469"/>
      <c r="Q43" s="2447"/>
      <c r="R43" s="2467"/>
      <c r="S43" s="2447"/>
      <c r="T43" s="2467"/>
      <c r="U43" s="2447"/>
      <c r="V43" s="2468"/>
      <c r="W43" s="2447"/>
      <c r="X43" s="2470"/>
      <c r="Y43" s="2447"/>
      <c r="Z43" s="2471"/>
    </row>
    <row r="44" spans="1:28" s="949" customFormat="1" ht="15.75">
      <c r="A44" s="950" t="s">
        <v>520</v>
      </c>
      <c r="B44" s="2472">
        <f>ROUND(B32+B42,0)</f>
        <v>338987786</v>
      </c>
      <c r="C44" s="952"/>
      <c r="D44" s="2472">
        <f>ROUND(D32+D42,0)</f>
        <v>528580946</v>
      </c>
      <c r="E44" s="953"/>
      <c r="F44" s="2472">
        <f>ROUND(F32+F42,0)</f>
        <v>425256775</v>
      </c>
      <c r="G44" s="953"/>
      <c r="H44" s="2472">
        <f>ROUND(H32+H42,0)</f>
        <v>626040023</v>
      </c>
      <c r="I44" s="953"/>
      <c r="J44" s="2472">
        <f>ROUND(J32+J42,0)</f>
        <v>456605377</v>
      </c>
      <c r="K44" s="952"/>
      <c r="L44" s="2472">
        <f>ROUND(L32+L42,0)</f>
        <v>425299079</v>
      </c>
      <c r="M44" s="948"/>
      <c r="N44" s="2472">
        <f>ROUND(N32+N42,0)</f>
        <v>477163558</v>
      </c>
      <c r="O44" s="953"/>
      <c r="P44" s="2472">
        <f>ROUND(P32+P42,0)</f>
        <v>545579207</v>
      </c>
      <c r="Q44" s="953"/>
      <c r="R44" s="2472">
        <f>ROUND(R32+R42,0)</f>
        <v>429730408</v>
      </c>
      <c r="S44" s="953"/>
      <c r="T44" s="2472">
        <f>ROUND(T32+T42,0)</f>
        <v>483117713</v>
      </c>
      <c r="U44" s="953"/>
      <c r="V44" s="2472">
        <f>ROUND(V32+V42,0)</f>
        <v>0</v>
      </c>
      <c r="W44" s="953"/>
      <c r="X44" s="2472">
        <f>ROUND(X32+X42,0)</f>
        <v>0</v>
      </c>
      <c r="Y44" s="953"/>
      <c r="Z44" s="2472">
        <f>ROUND(Z32+Z42,0)</f>
        <v>4736360872</v>
      </c>
      <c r="AB44" s="766"/>
    </row>
    <row r="45" spans="1:28" ht="15" customHeight="1">
      <c r="A45" s="2443"/>
      <c r="B45" s="2445"/>
      <c r="C45" s="2445"/>
      <c r="D45" s="2445"/>
      <c r="E45" s="2444"/>
      <c r="F45" s="2445"/>
      <c r="G45" s="2444"/>
      <c r="H45" s="2445"/>
      <c r="I45" s="2444"/>
      <c r="J45" s="2473"/>
      <c r="K45" s="2445"/>
      <c r="L45" s="2473"/>
      <c r="M45" s="2444"/>
      <c r="N45" s="2473"/>
      <c r="O45" s="2444"/>
      <c r="P45" s="2473"/>
      <c r="Q45" s="2444"/>
      <c r="R45" s="2473"/>
      <c r="S45" s="2444"/>
      <c r="T45" s="2473"/>
      <c r="U45" s="2444"/>
      <c r="V45" s="2473"/>
      <c r="W45" s="2444"/>
      <c r="X45" s="2473"/>
      <c r="Y45" s="2444"/>
      <c r="Z45" s="2474"/>
    </row>
    <row r="46" spans="1:28" s="949" customFormat="1" ht="16.5" thickBot="1">
      <c r="A46" s="957" t="s">
        <v>521</v>
      </c>
      <c r="B46" s="960">
        <f>ROUND(B12+B24-B44,0)</f>
        <v>174881047</v>
      </c>
      <c r="C46" s="946"/>
      <c r="D46" s="960">
        <f>ROUND(D12+D24-D44,0)</f>
        <v>150252706</v>
      </c>
      <c r="E46" s="2442"/>
      <c r="F46" s="960">
        <f>ROUND(F12+F24-F44,0)</f>
        <v>252199769</v>
      </c>
      <c r="G46" s="2442"/>
      <c r="H46" s="960">
        <f>ROUND(H12+H24-H44,0)</f>
        <v>135671242</v>
      </c>
      <c r="I46" s="2442"/>
      <c r="J46" s="960">
        <f>ROUND(J12+J24-J44,0)</f>
        <v>158509367</v>
      </c>
      <c r="K46" s="946"/>
      <c r="L46" s="960">
        <f>ROUND(L12+L24-L44,0)</f>
        <v>213727325</v>
      </c>
      <c r="M46" s="961"/>
      <c r="N46" s="960">
        <f>ROUND(N12+N24-N44,0)</f>
        <v>226863741</v>
      </c>
      <c r="O46" s="962"/>
      <c r="P46" s="960">
        <f>ROUND(P12+P24-P44,0)</f>
        <v>153764536</v>
      </c>
      <c r="Q46" s="962"/>
      <c r="R46" s="960">
        <f>ROUND(R12+R24-R44,0)</f>
        <v>251221192</v>
      </c>
      <c r="S46" s="962"/>
      <c r="T46" s="960">
        <f>ROUND(T12+T24-T44,0)</f>
        <v>234004447</v>
      </c>
      <c r="U46" s="962"/>
      <c r="V46" s="960">
        <f>ROUND(V12+V24-V44,0)</f>
        <v>0</v>
      </c>
      <c r="W46" s="962"/>
      <c r="X46" s="960">
        <f>ROUND(X12+X24-X44,0)</f>
        <v>0</v>
      </c>
      <c r="Y46" s="962"/>
      <c r="Z46" s="960">
        <f>ROUND(Z12+Z24-Z44,0)</f>
        <v>234004447</v>
      </c>
    </row>
    <row r="47" spans="1:28" ht="15.75" thickTop="1">
      <c r="A47" s="2443"/>
      <c r="B47" s="2439"/>
      <c r="C47" s="2439"/>
      <c r="D47" s="2439"/>
      <c r="E47" s="2475"/>
      <c r="F47" s="2439"/>
      <c r="G47" s="2475"/>
      <c r="H47" s="2439"/>
      <c r="I47" s="2475"/>
      <c r="J47" s="2439"/>
      <c r="K47" s="2439"/>
      <c r="L47" s="2439"/>
      <c r="M47" s="2475"/>
      <c r="N47" s="2439"/>
      <c r="O47" s="2475"/>
      <c r="P47" s="2439"/>
      <c r="Q47" s="2475"/>
      <c r="R47" s="2439"/>
      <c r="S47" s="2475"/>
      <c r="T47" s="2439"/>
      <c r="U47" s="2475"/>
      <c r="V47" s="2439"/>
      <c r="W47" s="2475"/>
      <c r="X47" s="2439"/>
      <c r="Y47" s="2475"/>
      <c r="Z47" s="2474"/>
    </row>
    <row r="48" spans="1:28" ht="15">
      <c r="A48" s="963"/>
      <c r="B48" s="2476"/>
      <c r="C48" s="2476"/>
      <c r="D48" s="2476"/>
      <c r="E48" s="2440"/>
      <c r="F48" s="2476"/>
      <c r="G48" s="2440"/>
      <c r="H48" s="2476"/>
      <c r="I48" s="2440"/>
      <c r="J48" s="2476"/>
      <c r="K48" s="2476"/>
      <c r="L48" s="2476"/>
      <c r="M48" s="2440"/>
      <c r="N48" s="2476"/>
      <c r="O48" s="2440"/>
      <c r="P48" s="2476"/>
      <c r="Q48" s="2440"/>
      <c r="R48" s="2476"/>
      <c r="S48" s="2440"/>
      <c r="T48" s="2476"/>
      <c r="U48" s="2440"/>
      <c r="V48" s="2476"/>
      <c r="W48" s="2440"/>
      <c r="X48" s="2476"/>
      <c r="Y48" s="2440"/>
      <c r="Z48" s="2446"/>
    </row>
    <row r="50" spans="1:26" ht="18" customHeight="1">
      <c r="A50" s="964"/>
      <c r="B50" s="2434"/>
      <c r="C50" s="2434"/>
      <c r="D50" s="2434"/>
      <c r="E50" s="927"/>
      <c r="F50" s="2434"/>
      <c r="G50" s="927"/>
      <c r="H50" s="2434"/>
      <c r="I50" s="927"/>
      <c r="J50" s="2434"/>
      <c r="K50" s="2434"/>
      <c r="L50" s="2434"/>
      <c r="M50" s="2440"/>
      <c r="N50" s="2434"/>
      <c r="O50" s="927"/>
      <c r="P50" s="2434"/>
      <c r="Q50" s="927"/>
      <c r="R50" s="2434"/>
      <c r="S50" s="927"/>
      <c r="T50" s="2434"/>
      <c r="U50" s="927"/>
      <c r="V50" s="2434"/>
      <c r="W50" s="927"/>
      <c r="X50" s="2434"/>
      <c r="Y50" s="927"/>
      <c r="Z50" s="2435"/>
    </row>
    <row r="51" spans="1:26" ht="15">
      <c r="A51" s="2437"/>
      <c r="B51" s="2476"/>
      <c r="C51" s="2476"/>
      <c r="D51" s="2476"/>
      <c r="E51" s="2440"/>
      <c r="F51" s="2476"/>
      <c r="G51" s="2440"/>
      <c r="H51" s="2476"/>
      <c r="I51" s="2440"/>
      <c r="J51" s="2476"/>
      <c r="K51" s="2476"/>
      <c r="L51" s="2476"/>
      <c r="M51" s="2440"/>
      <c r="N51" s="2476"/>
      <c r="O51" s="2440"/>
      <c r="P51" s="2476"/>
      <c r="Q51" s="2440"/>
      <c r="R51" s="2476"/>
      <c r="S51" s="2440"/>
      <c r="T51" s="2476"/>
      <c r="U51" s="2440"/>
      <c r="V51" s="2476"/>
      <c r="W51" s="2440"/>
      <c r="X51" s="2476"/>
      <c r="Y51" s="2440"/>
      <c r="Z51" s="2446"/>
    </row>
    <row r="52" spans="1:26" ht="15">
      <c r="A52" s="2437"/>
      <c r="B52" s="2476"/>
      <c r="C52" s="2476"/>
      <c r="D52" s="2476"/>
      <c r="E52" s="2440"/>
      <c r="F52" s="2476"/>
      <c r="G52" s="2440"/>
      <c r="H52" s="2476"/>
      <c r="I52" s="2440"/>
      <c r="J52" s="2476"/>
      <c r="K52" s="2476"/>
      <c r="L52" s="2476"/>
      <c r="M52" s="2440"/>
      <c r="N52" s="2476"/>
      <c r="O52" s="2440"/>
      <c r="P52" s="2476"/>
      <c r="Q52" s="2440"/>
      <c r="R52" s="2476"/>
      <c r="S52" s="2440"/>
      <c r="T52" s="2476"/>
      <c r="U52" s="2440"/>
      <c r="V52" s="2476"/>
      <c r="W52" s="2440"/>
      <c r="X52" s="2476"/>
      <c r="Y52" s="2440"/>
      <c r="Z52" s="2446"/>
    </row>
    <row r="53" spans="1:26">
      <c r="A53" s="924"/>
      <c r="B53" s="926"/>
      <c r="C53" s="926"/>
      <c r="D53" s="926"/>
      <c r="E53" s="927"/>
      <c r="F53" s="926"/>
      <c r="G53" s="927"/>
      <c r="H53" s="926"/>
      <c r="I53" s="927"/>
      <c r="J53" s="926"/>
      <c r="K53" s="926"/>
      <c r="L53" s="926"/>
      <c r="M53" s="927"/>
      <c r="N53" s="926"/>
      <c r="O53" s="927"/>
      <c r="P53" s="926"/>
      <c r="Q53" s="927"/>
      <c r="R53" s="926"/>
      <c r="S53" s="927"/>
      <c r="T53" s="926"/>
      <c r="U53" s="927"/>
      <c r="V53" s="926"/>
      <c r="W53" s="927"/>
      <c r="X53" s="926"/>
      <c r="Y53" s="927"/>
      <c r="Z53" s="768"/>
    </row>
    <row r="54" spans="1:26">
      <c r="A54" s="924"/>
      <c r="B54" s="926"/>
      <c r="C54" s="926"/>
      <c r="D54" s="926"/>
      <c r="E54" s="927"/>
      <c r="F54" s="926"/>
      <c r="G54" s="927"/>
      <c r="H54" s="926"/>
      <c r="I54" s="927"/>
      <c r="J54" s="926"/>
      <c r="K54" s="926"/>
      <c r="L54" s="926"/>
      <c r="M54" s="927"/>
      <c r="N54" s="926"/>
      <c r="O54" s="927"/>
      <c r="P54" s="926"/>
      <c r="Q54" s="927"/>
      <c r="R54" s="926"/>
      <c r="S54" s="927"/>
      <c r="T54" s="926"/>
      <c r="U54" s="927"/>
      <c r="V54" s="926"/>
      <c r="W54" s="927"/>
      <c r="X54" s="926"/>
      <c r="Y54" s="927"/>
      <c r="Z54" s="768"/>
    </row>
    <row r="55" spans="1:26">
      <c r="A55" s="924"/>
      <c r="B55" s="926"/>
      <c r="C55" s="926"/>
      <c r="D55" s="926"/>
      <c r="E55" s="927"/>
      <c r="F55" s="926"/>
      <c r="G55" s="927"/>
      <c r="H55" s="926"/>
      <c r="I55" s="927"/>
      <c r="J55" s="926"/>
      <c r="K55" s="926"/>
      <c r="L55" s="926"/>
      <c r="M55" s="927"/>
      <c r="N55" s="926"/>
      <c r="O55" s="927"/>
      <c r="P55" s="926"/>
      <c r="Q55" s="927"/>
      <c r="R55" s="926"/>
      <c r="S55" s="927"/>
      <c r="T55" s="926"/>
      <c r="U55" s="927"/>
      <c r="V55" s="926"/>
      <c r="W55" s="927"/>
      <c r="X55" s="926"/>
      <c r="Y55" s="927"/>
      <c r="Z55" s="768"/>
    </row>
    <row r="56" spans="1:26">
      <c r="A56" s="924"/>
      <c r="B56" s="926"/>
      <c r="C56" s="926"/>
      <c r="D56" s="926"/>
      <c r="E56" s="927"/>
      <c r="F56" s="926"/>
      <c r="G56" s="927"/>
      <c r="H56" s="926"/>
      <c r="I56" s="927"/>
      <c r="J56" s="926"/>
      <c r="K56" s="926"/>
      <c r="L56" s="926"/>
      <c r="M56" s="927"/>
      <c r="N56" s="926"/>
      <c r="O56" s="927"/>
      <c r="P56" s="926"/>
      <c r="Q56" s="927"/>
      <c r="R56" s="926"/>
      <c r="S56" s="927"/>
      <c r="T56" s="926"/>
      <c r="U56" s="927"/>
      <c r="V56" s="926"/>
      <c r="W56" s="927"/>
      <c r="X56" s="926"/>
      <c r="Y56" s="927"/>
      <c r="Z56" s="768"/>
    </row>
    <row r="57" spans="1:26">
      <c r="A57" s="924"/>
      <c r="B57" s="926"/>
      <c r="C57" s="926"/>
      <c r="D57" s="926"/>
      <c r="E57" s="927"/>
      <c r="F57" s="926"/>
      <c r="G57" s="927"/>
      <c r="H57" s="926"/>
      <c r="I57" s="927"/>
      <c r="J57" s="926"/>
      <c r="K57" s="926"/>
      <c r="L57" s="926"/>
      <c r="M57" s="927"/>
      <c r="N57" s="926"/>
      <c r="O57" s="927"/>
      <c r="P57" s="926"/>
      <c r="Q57" s="927"/>
      <c r="R57" s="926"/>
      <c r="S57" s="927"/>
      <c r="T57" s="926"/>
      <c r="U57" s="927"/>
      <c r="V57" s="926"/>
      <c r="W57" s="927"/>
      <c r="X57" s="926"/>
      <c r="Y57" s="927"/>
      <c r="Z57" s="768"/>
    </row>
    <row r="58" spans="1:26">
      <c r="A58" s="924"/>
      <c r="B58" s="926"/>
      <c r="C58" s="926"/>
      <c r="D58" s="926"/>
      <c r="E58" s="927"/>
      <c r="F58" s="926"/>
      <c r="G58" s="927"/>
      <c r="H58" s="926"/>
      <c r="I58" s="927"/>
      <c r="J58" s="926"/>
      <c r="K58" s="926"/>
      <c r="L58" s="926"/>
      <c r="M58" s="927"/>
      <c r="N58" s="926"/>
      <c r="O58" s="927"/>
      <c r="P58" s="926"/>
      <c r="Q58" s="927"/>
      <c r="R58" s="926"/>
      <c r="S58" s="927"/>
      <c r="T58" s="926"/>
      <c r="U58" s="927"/>
      <c r="V58" s="926"/>
      <c r="W58" s="927"/>
      <c r="X58" s="926"/>
      <c r="Y58" s="927"/>
      <c r="Z58" s="768"/>
    </row>
    <row r="59" spans="1:26">
      <c r="A59" s="924"/>
      <c r="B59" s="926"/>
      <c r="C59" s="926"/>
      <c r="D59" s="926"/>
      <c r="E59" s="927"/>
      <c r="F59" s="926"/>
      <c r="G59" s="927"/>
      <c r="H59" s="926"/>
      <c r="I59" s="927"/>
      <c r="J59" s="926"/>
      <c r="K59" s="926"/>
      <c r="L59" s="926"/>
      <c r="M59" s="927"/>
      <c r="N59" s="926"/>
      <c r="O59" s="927"/>
      <c r="P59" s="926"/>
      <c r="Q59" s="927"/>
      <c r="R59" s="926"/>
      <c r="S59" s="927"/>
      <c r="T59" s="926"/>
      <c r="U59" s="927"/>
      <c r="V59" s="926"/>
      <c r="W59" s="927"/>
      <c r="X59" s="926"/>
      <c r="Y59" s="927"/>
      <c r="Z59" s="768"/>
    </row>
    <row r="60" spans="1:26">
      <c r="A60" s="924"/>
      <c r="B60" s="926"/>
      <c r="C60" s="926"/>
      <c r="D60" s="926"/>
      <c r="E60" s="927"/>
      <c r="F60" s="926"/>
      <c r="G60" s="927"/>
      <c r="H60" s="926"/>
      <c r="I60" s="927"/>
      <c r="J60" s="926"/>
      <c r="K60" s="926"/>
      <c r="L60" s="926"/>
      <c r="M60" s="927"/>
      <c r="N60" s="926"/>
      <c r="O60" s="927"/>
      <c r="P60" s="926"/>
      <c r="Q60" s="927"/>
      <c r="R60" s="926"/>
      <c r="S60" s="927"/>
      <c r="T60" s="926"/>
      <c r="U60" s="927"/>
      <c r="V60" s="926"/>
      <c r="W60" s="927"/>
      <c r="X60" s="926"/>
      <c r="Y60" s="927"/>
      <c r="Z60" s="768"/>
    </row>
    <row r="61" spans="1:26">
      <c r="A61" s="924"/>
      <c r="B61" s="926"/>
      <c r="C61" s="926"/>
      <c r="D61" s="926"/>
      <c r="E61" s="927"/>
      <c r="F61" s="926"/>
      <c r="G61" s="927"/>
      <c r="H61" s="926"/>
      <c r="I61" s="927"/>
      <c r="J61" s="926"/>
      <c r="K61" s="926"/>
      <c r="L61" s="926"/>
      <c r="M61" s="927"/>
      <c r="N61" s="926"/>
      <c r="O61" s="927"/>
      <c r="P61" s="926"/>
      <c r="Q61" s="927"/>
      <c r="R61" s="926"/>
      <c r="S61" s="927"/>
      <c r="T61" s="926"/>
      <c r="U61" s="927"/>
      <c r="V61" s="926"/>
      <c r="W61" s="927"/>
      <c r="X61" s="926"/>
      <c r="Y61" s="927"/>
      <c r="Z61" s="768"/>
    </row>
    <row r="62" spans="1:26">
      <c r="A62" s="924"/>
      <c r="B62" s="926"/>
      <c r="C62" s="926"/>
      <c r="D62" s="926"/>
      <c r="E62" s="927"/>
      <c r="F62" s="926"/>
      <c r="G62" s="927"/>
      <c r="H62" s="926"/>
      <c r="I62" s="927"/>
      <c r="J62" s="926"/>
      <c r="K62" s="926"/>
      <c r="L62" s="926"/>
      <c r="M62" s="927"/>
      <c r="N62" s="926"/>
      <c r="O62" s="927"/>
      <c r="P62" s="926"/>
      <c r="Q62" s="927"/>
      <c r="R62" s="926"/>
      <c r="S62" s="927"/>
      <c r="T62" s="926"/>
      <c r="U62" s="927"/>
      <c r="V62" s="926"/>
      <c r="W62" s="927"/>
      <c r="X62" s="926"/>
      <c r="Y62" s="927"/>
      <c r="Z62" s="768"/>
    </row>
    <row r="63" spans="1:26">
      <c r="A63" s="924"/>
      <c r="B63" s="926"/>
      <c r="C63" s="926"/>
      <c r="D63" s="926"/>
      <c r="E63" s="927"/>
      <c r="F63" s="926"/>
      <c r="G63" s="927"/>
      <c r="H63" s="926"/>
      <c r="I63" s="927"/>
      <c r="J63" s="926"/>
      <c r="K63" s="926"/>
      <c r="L63" s="926"/>
      <c r="M63" s="927"/>
      <c r="N63" s="926"/>
      <c r="O63" s="927"/>
      <c r="P63" s="926"/>
      <c r="Q63" s="927"/>
      <c r="R63" s="926"/>
      <c r="S63" s="927"/>
      <c r="T63" s="926"/>
      <c r="U63" s="927"/>
      <c r="V63" s="926"/>
      <c r="W63" s="927"/>
      <c r="X63" s="926"/>
      <c r="Y63" s="927"/>
      <c r="Z63" s="768"/>
    </row>
    <row r="64" spans="1:26">
      <c r="A64" s="924"/>
      <c r="B64" s="926"/>
      <c r="C64" s="926"/>
      <c r="D64" s="926"/>
      <c r="E64" s="927"/>
      <c r="F64" s="926"/>
      <c r="G64" s="927"/>
      <c r="H64" s="926"/>
      <c r="I64" s="927"/>
      <c r="J64" s="926"/>
      <c r="K64" s="926"/>
      <c r="L64" s="926"/>
      <c r="M64" s="927"/>
      <c r="N64" s="926"/>
      <c r="O64" s="927"/>
      <c r="P64" s="926"/>
      <c r="Q64" s="927"/>
      <c r="R64" s="926"/>
      <c r="S64" s="927"/>
      <c r="T64" s="926"/>
      <c r="U64" s="927"/>
      <c r="V64" s="926"/>
      <c r="W64" s="927"/>
      <c r="X64" s="926"/>
      <c r="Y64" s="927"/>
      <c r="Z64" s="768"/>
    </row>
    <row r="65" spans="1:26">
      <c r="A65" s="924"/>
      <c r="B65" s="926"/>
      <c r="C65" s="926"/>
      <c r="D65" s="926"/>
      <c r="E65" s="927"/>
      <c r="F65" s="926"/>
      <c r="G65" s="927"/>
      <c r="H65" s="926"/>
      <c r="I65" s="927"/>
      <c r="J65" s="926"/>
      <c r="K65" s="926"/>
      <c r="L65" s="926"/>
      <c r="M65" s="927"/>
      <c r="N65" s="926"/>
      <c r="O65" s="927"/>
      <c r="P65" s="926"/>
      <c r="Q65" s="927"/>
      <c r="R65" s="926"/>
      <c r="S65" s="927"/>
      <c r="T65" s="926"/>
      <c r="U65" s="927"/>
      <c r="V65" s="926"/>
      <c r="W65" s="927"/>
      <c r="X65" s="926"/>
      <c r="Y65" s="927"/>
      <c r="Z65" s="768"/>
    </row>
    <row r="66" spans="1:26">
      <c r="A66" s="924"/>
      <c r="B66" s="926"/>
      <c r="C66" s="926"/>
      <c r="D66" s="926"/>
      <c r="E66" s="927"/>
      <c r="F66" s="926"/>
      <c r="G66" s="927"/>
      <c r="H66" s="926"/>
      <c r="I66" s="927"/>
      <c r="J66" s="926"/>
      <c r="K66" s="926"/>
      <c r="L66" s="926"/>
      <c r="M66" s="927"/>
      <c r="N66" s="926"/>
      <c r="O66" s="927"/>
      <c r="P66" s="926"/>
      <c r="Q66" s="927"/>
      <c r="R66" s="926"/>
      <c r="S66" s="927"/>
      <c r="T66" s="926"/>
      <c r="U66" s="927"/>
      <c r="V66" s="926"/>
      <c r="W66" s="927"/>
      <c r="X66" s="926"/>
      <c r="Y66" s="927"/>
      <c r="Z66" s="768"/>
    </row>
    <row r="67" spans="1:26">
      <c r="A67" s="924"/>
      <c r="B67" s="926"/>
      <c r="C67" s="926"/>
      <c r="D67" s="926"/>
      <c r="E67" s="927"/>
      <c r="F67" s="926"/>
      <c r="G67" s="927"/>
      <c r="H67" s="926"/>
      <c r="I67" s="927"/>
      <c r="J67" s="926"/>
      <c r="K67" s="926"/>
      <c r="L67" s="926"/>
      <c r="M67" s="927"/>
      <c r="N67" s="926"/>
      <c r="O67" s="927"/>
      <c r="P67" s="926"/>
      <c r="Q67" s="927"/>
      <c r="R67" s="926"/>
      <c r="S67" s="927"/>
      <c r="T67" s="926"/>
      <c r="U67" s="927"/>
      <c r="V67" s="926"/>
      <c r="W67" s="927"/>
      <c r="X67" s="926"/>
      <c r="Y67" s="927"/>
      <c r="Z67" s="768"/>
    </row>
    <row r="68" spans="1:26">
      <c r="A68" s="924"/>
      <c r="B68" s="926"/>
      <c r="C68" s="926"/>
      <c r="D68" s="926"/>
      <c r="E68" s="927"/>
      <c r="F68" s="926"/>
      <c r="G68" s="927"/>
      <c r="H68" s="926"/>
      <c r="I68" s="927"/>
      <c r="J68" s="926"/>
      <c r="K68" s="926"/>
      <c r="L68" s="926"/>
      <c r="M68" s="927"/>
      <c r="N68" s="926"/>
      <c r="O68" s="927"/>
      <c r="P68" s="926"/>
      <c r="Q68" s="927"/>
      <c r="R68" s="926"/>
      <c r="S68" s="927"/>
      <c r="T68" s="926"/>
      <c r="U68" s="927"/>
      <c r="V68" s="926"/>
      <c r="W68" s="927"/>
      <c r="X68" s="926"/>
      <c r="Y68" s="927"/>
      <c r="Z68" s="768"/>
    </row>
    <row r="69" spans="1:26">
      <c r="A69" s="924"/>
      <c r="B69" s="926"/>
      <c r="C69" s="926"/>
      <c r="D69" s="926"/>
      <c r="E69" s="927"/>
      <c r="F69" s="926"/>
      <c r="G69" s="927"/>
      <c r="H69" s="926"/>
      <c r="I69" s="927"/>
      <c r="J69" s="926"/>
      <c r="K69" s="926"/>
      <c r="L69" s="926"/>
      <c r="M69" s="927"/>
      <c r="N69" s="926"/>
      <c r="O69" s="927"/>
      <c r="P69" s="926"/>
      <c r="Q69" s="927"/>
      <c r="R69" s="926"/>
      <c r="S69" s="927"/>
      <c r="T69" s="926"/>
      <c r="U69" s="927"/>
      <c r="V69" s="926"/>
      <c r="W69" s="927"/>
      <c r="X69" s="926"/>
      <c r="Y69" s="927"/>
      <c r="Z69" s="768"/>
    </row>
    <row r="70" spans="1:26">
      <c r="A70" s="924"/>
      <c r="B70" s="926"/>
      <c r="C70" s="926"/>
      <c r="D70" s="926"/>
      <c r="E70" s="927"/>
      <c r="F70" s="926"/>
      <c r="G70" s="927"/>
      <c r="H70" s="926"/>
      <c r="I70" s="927"/>
      <c r="J70" s="926"/>
      <c r="K70" s="926"/>
      <c r="L70" s="926"/>
      <c r="M70" s="927"/>
      <c r="N70" s="926"/>
      <c r="O70" s="927"/>
      <c r="P70" s="926"/>
      <c r="Q70" s="927"/>
      <c r="R70" s="926"/>
      <c r="S70" s="927"/>
      <c r="T70" s="926"/>
      <c r="U70" s="927"/>
      <c r="V70" s="926"/>
      <c r="W70" s="927"/>
      <c r="X70" s="926"/>
      <c r="Y70" s="927"/>
      <c r="Z70" s="768"/>
    </row>
    <row r="71" spans="1:26">
      <c r="A71" s="924"/>
      <c r="B71" s="926"/>
      <c r="C71" s="926"/>
      <c r="D71" s="926"/>
      <c r="E71" s="927"/>
      <c r="F71" s="926"/>
      <c r="G71" s="927"/>
      <c r="H71" s="926"/>
      <c r="I71" s="927"/>
      <c r="J71" s="926"/>
      <c r="K71" s="926"/>
      <c r="L71" s="926"/>
      <c r="M71" s="927"/>
      <c r="N71" s="926"/>
      <c r="O71" s="927"/>
      <c r="P71" s="926"/>
      <c r="Q71" s="927"/>
      <c r="R71" s="926"/>
      <c r="S71" s="927"/>
      <c r="T71" s="926"/>
      <c r="U71" s="927"/>
      <c r="V71" s="926"/>
      <c r="W71" s="927"/>
      <c r="X71" s="926"/>
      <c r="Y71" s="927"/>
      <c r="Z71" s="768"/>
    </row>
    <row r="72" spans="1:26">
      <c r="A72" s="924"/>
      <c r="B72" s="926"/>
      <c r="C72" s="926"/>
      <c r="D72" s="926"/>
      <c r="E72" s="927"/>
      <c r="F72" s="926"/>
      <c r="G72" s="927"/>
      <c r="H72" s="926"/>
      <c r="I72" s="927"/>
      <c r="J72" s="926"/>
      <c r="K72" s="926"/>
      <c r="L72" s="926"/>
      <c r="M72" s="927"/>
      <c r="N72" s="926"/>
      <c r="O72" s="927"/>
      <c r="P72" s="926"/>
      <c r="Q72" s="927"/>
      <c r="R72" s="926"/>
      <c r="S72" s="927"/>
      <c r="T72" s="926"/>
      <c r="U72" s="927"/>
      <c r="V72" s="926"/>
      <c r="W72" s="927"/>
      <c r="X72" s="926"/>
      <c r="Y72" s="927"/>
      <c r="Z72" s="768"/>
    </row>
    <row r="73" spans="1:26">
      <c r="A73" s="924"/>
      <c r="B73" s="926"/>
      <c r="C73" s="926"/>
      <c r="D73" s="926"/>
      <c r="E73" s="927"/>
      <c r="F73" s="926"/>
      <c r="G73" s="927"/>
      <c r="H73" s="926"/>
      <c r="I73" s="927"/>
      <c r="J73" s="926"/>
      <c r="K73" s="926"/>
      <c r="L73" s="926"/>
      <c r="M73" s="927"/>
      <c r="N73" s="926"/>
      <c r="O73" s="927"/>
      <c r="P73" s="926"/>
      <c r="Q73" s="927"/>
      <c r="R73" s="926"/>
      <c r="S73" s="927"/>
      <c r="T73" s="926"/>
      <c r="U73" s="927"/>
      <c r="V73" s="926"/>
      <c r="W73" s="927"/>
      <c r="X73" s="926"/>
      <c r="Y73" s="927"/>
      <c r="Z73" s="768"/>
    </row>
    <row r="74" spans="1:26">
      <c r="A74" s="924"/>
      <c r="B74" s="926"/>
      <c r="C74" s="926"/>
      <c r="D74" s="926"/>
      <c r="E74" s="927"/>
      <c r="F74" s="926"/>
      <c r="G74" s="927"/>
      <c r="H74" s="926"/>
      <c r="I74" s="927"/>
      <c r="J74" s="926"/>
      <c r="K74" s="926"/>
      <c r="L74" s="926"/>
      <c r="M74" s="927"/>
      <c r="N74" s="926"/>
      <c r="O74" s="927"/>
      <c r="P74" s="926"/>
      <c r="Q74" s="927"/>
      <c r="R74" s="926"/>
      <c r="S74" s="927"/>
      <c r="T74" s="926"/>
      <c r="U74" s="927"/>
      <c r="V74" s="926"/>
      <c r="W74" s="927"/>
      <c r="X74" s="926"/>
      <c r="Y74" s="927"/>
      <c r="Z74" s="768"/>
    </row>
    <row r="75" spans="1:26">
      <c r="A75" s="924"/>
      <c r="B75" s="926"/>
      <c r="C75" s="926"/>
      <c r="D75" s="926"/>
      <c r="E75" s="927"/>
      <c r="F75" s="926"/>
      <c r="G75" s="927"/>
      <c r="H75" s="926"/>
      <c r="I75" s="927"/>
      <c r="J75" s="926"/>
      <c r="K75" s="926"/>
      <c r="L75" s="926"/>
      <c r="M75" s="927"/>
      <c r="N75" s="926"/>
      <c r="O75" s="927"/>
      <c r="P75" s="926"/>
      <c r="Q75" s="927"/>
      <c r="R75" s="926"/>
      <c r="S75" s="927"/>
      <c r="T75" s="926"/>
      <c r="U75" s="927"/>
      <c r="V75" s="926"/>
      <c r="W75" s="927"/>
      <c r="X75" s="926"/>
      <c r="Y75" s="927"/>
      <c r="Z75" s="768"/>
    </row>
    <row r="76" spans="1:26">
      <c r="A76" s="924"/>
      <c r="B76" s="926"/>
      <c r="C76" s="926"/>
      <c r="D76" s="926"/>
      <c r="E76" s="927"/>
      <c r="F76" s="926"/>
      <c r="G76" s="927"/>
      <c r="H76" s="926"/>
      <c r="I76" s="927"/>
      <c r="J76" s="926"/>
      <c r="K76" s="926"/>
      <c r="L76" s="926"/>
      <c r="M76" s="927"/>
      <c r="N76" s="926"/>
      <c r="O76" s="927"/>
      <c r="P76" s="926"/>
      <c r="Q76" s="927"/>
      <c r="R76" s="926"/>
      <c r="S76" s="927"/>
      <c r="T76" s="926"/>
      <c r="U76" s="927"/>
      <c r="V76" s="926"/>
      <c r="W76" s="927"/>
      <c r="X76" s="926"/>
      <c r="Y76" s="927"/>
      <c r="Z76" s="768"/>
    </row>
    <row r="77" spans="1:26">
      <c r="A77" s="924"/>
      <c r="B77" s="926"/>
      <c r="C77" s="926"/>
      <c r="D77" s="926"/>
      <c r="E77" s="927"/>
      <c r="F77" s="926"/>
      <c r="G77" s="927"/>
      <c r="H77" s="926"/>
      <c r="I77" s="927"/>
      <c r="J77" s="926"/>
      <c r="K77" s="926"/>
      <c r="L77" s="926"/>
      <c r="M77" s="927"/>
      <c r="N77" s="926"/>
      <c r="O77" s="927"/>
      <c r="P77" s="926"/>
      <c r="Q77" s="927"/>
      <c r="R77" s="926"/>
      <c r="S77" s="927"/>
      <c r="T77" s="926"/>
      <c r="U77" s="927"/>
      <c r="V77" s="926"/>
      <c r="W77" s="927"/>
      <c r="X77" s="926"/>
      <c r="Y77" s="927"/>
      <c r="Z77" s="768"/>
    </row>
    <row r="78" spans="1:26">
      <c r="A78" s="924"/>
      <c r="B78" s="926"/>
      <c r="C78" s="926"/>
      <c r="D78" s="926"/>
      <c r="E78" s="927"/>
      <c r="F78" s="926"/>
      <c r="G78" s="927"/>
      <c r="H78" s="926"/>
      <c r="I78" s="927"/>
      <c r="J78" s="926"/>
      <c r="K78" s="926"/>
      <c r="L78" s="926"/>
      <c r="M78" s="927"/>
      <c r="N78" s="926"/>
      <c r="O78" s="927"/>
      <c r="P78" s="926"/>
      <c r="Q78" s="927"/>
      <c r="R78" s="926"/>
      <c r="S78" s="927"/>
      <c r="T78" s="926"/>
      <c r="U78" s="927"/>
      <c r="V78" s="926"/>
      <c r="W78" s="927"/>
      <c r="X78" s="926"/>
      <c r="Y78" s="927"/>
      <c r="Z78" s="768"/>
    </row>
    <row r="79" spans="1:26">
      <c r="A79" s="924"/>
      <c r="B79" s="926"/>
      <c r="C79" s="926"/>
      <c r="D79" s="926"/>
      <c r="E79" s="927"/>
      <c r="F79" s="926"/>
      <c r="G79" s="927"/>
      <c r="H79" s="926"/>
      <c r="I79" s="927"/>
      <c r="J79" s="926"/>
      <c r="K79" s="926"/>
      <c r="L79" s="926"/>
      <c r="M79" s="927"/>
      <c r="N79" s="926"/>
      <c r="O79" s="927"/>
      <c r="P79" s="926"/>
      <c r="Q79" s="927"/>
      <c r="R79" s="926"/>
      <c r="S79" s="927"/>
      <c r="T79" s="926"/>
      <c r="U79" s="927"/>
      <c r="V79" s="926"/>
      <c r="W79" s="927"/>
      <c r="X79" s="926"/>
      <c r="Y79" s="927"/>
      <c r="Z79" s="768"/>
    </row>
    <row r="80" spans="1:26">
      <c r="A80" s="924"/>
      <c r="B80" s="926"/>
      <c r="C80" s="926"/>
      <c r="D80" s="926"/>
      <c r="E80" s="927"/>
      <c r="F80" s="926"/>
      <c r="G80" s="927"/>
      <c r="H80" s="926"/>
      <c r="I80" s="927"/>
      <c r="J80" s="926"/>
      <c r="K80" s="926"/>
      <c r="L80" s="926"/>
      <c r="M80" s="927"/>
      <c r="N80" s="926"/>
      <c r="O80" s="927"/>
      <c r="P80" s="926"/>
      <c r="Q80" s="927"/>
      <c r="R80" s="926"/>
      <c r="S80" s="927"/>
      <c r="T80" s="926"/>
      <c r="U80" s="927"/>
      <c r="V80" s="926"/>
      <c r="W80" s="927"/>
      <c r="X80" s="926"/>
      <c r="Y80" s="927"/>
      <c r="Z80" s="768"/>
    </row>
    <row r="81" spans="1:26">
      <c r="A81" s="924"/>
      <c r="B81" s="926"/>
      <c r="C81" s="926"/>
      <c r="D81" s="926"/>
      <c r="E81" s="927"/>
      <c r="F81" s="926"/>
      <c r="G81" s="927"/>
      <c r="H81" s="926"/>
      <c r="I81" s="927"/>
      <c r="J81" s="926"/>
      <c r="K81" s="926"/>
      <c r="L81" s="926"/>
      <c r="M81" s="927"/>
      <c r="N81" s="926"/>
      <c r="O81" s="927"/>
      <c r="P81" s="926"/>
      <c r="Q81" s="927"/>
      <c r="R81" s="926"/>
      <c r="S81" s="927"/>
      <c r="T81" s="926"/>
      <c r="U81" s="927"/>
      <c r="V81" s="926"/>
      <c r="W81" s="927"/>
      <c r="X81" s="926"/>
      <c r="Y81" s="927"/>
      <c r="Z81" s="768"/>
    </row>
    <row r="82" spans="1:26">
      <c r="A82" s="924"/>
      <c r="B82" s="926"/>
      <c r="C82" s="926"/>
      <c r="D82" s="926"/>
      <c r="E82" s="927"/>
      <c r="F82" s="926"/>
      <c r="G82" s="927"/>
      <c r="H82" s="926"/>
      <c r="I82" s="927"/>
      <c r="J82" s="926"/>
      <c r="K82" s="926"/>
      <c r="L82" s="926"/>
      <c r="M82" s="927"/>
      <c r="N82" s="926"/>
      <c r="O82" s="927"/>
      <c r="P82" s="926"/>
      <c r="Q82" s="927"/>
      <c r="R82" s="926"/>
      <c r="S82" s="927"/>
      <c r="T82" s="926"/>
      <c r="U82" s="927"/>
      <c r="V82" s="926"/>
      <c r="W82" s="927"/>
      <c r="X82" s="926"/>
      <c r="Y82" s="927"/>
      <c r="Z82" s="768"/>
    </row>
    <row r="83" spans="1:26">
      <c r="A83" s="924"/>
      <c r="B83" s="926"/>
      <c r="C83" s="926"/>
      <c r="D83" s="926"/>
      <c r="E83" s="927"/>
      <c r="F83" s="926"/>
      <c r="G83" s="927"/>
      <c r="H83" s="926"/>
      <c r="I83" s="927"/>
      <c r="J83" s="926"/>
      <c r="K83" s="926"/>
      <c r="L83" s="926"/>
      <c r="M83" s="927"/>
      <c r="N83" s="926"/>
      <c r="O83" s="927"/>
      <c r="P83" s="926"/>
      <c r="Q83" s="927"/>
      <c r="R83" s="926"/>
      <c r="S83" s="927"/>
      <c r="T83" s="926"/>
      <c r="U83" s="927"/>
      <c r="V83" s="926"/>
      <c r="W83" s="927"/>
      <c r="X83" s="926"/>
      <c r="Y83" s="927"/>
      <c r="Z83" s="768"/>
    </row>
    <row r="84" spans="1:26">
      <c r="A84" s="924"/>
      <c r="B84" s="926"/>
      <c r="C84" s="926"/>
      <c r="D84" s="926"/>
      <c r="E84" s="927"/>
      <c r="F84" s="926"/>
      <c r="G84" s="927"/>
      <c r="H84" s="926"/>
      <c r="I84" s="927"/>
      <c r="J84" s="926"/>
      <c r="K84" s="926"/>
      <c r="L84" s="926"/>
      <c r="M84" s="927"/>
      <c r="N84" s="926"/>
      <c r="O84" s="927"/>
      <c r="P84" s="926"/>
      <c r="Q84" s="927"/>
      <c r="R84" s="926"/>
      <c r="S84" s="927"/>
      <c r="T84" s="926"/>
      <c r="U84" s="927"/>
      <c r="V84" s="926"/>
      <c r="W84" s="927"/>
      <c r="X84" s="926"/>
      <c r="Y84" s="927"/>
      <c r="Z84" s="768"/>
    </row>
    <row r="85" spans="1:26">
      <c r="A85" s="924"/>
      <c r="B85" s="926"/>
      <c r="C85" s="926"/>
      <c r="D85" s="926"/>
      <c r="E85" s="927"/>
      <c r="F85" s="926"/>
      <c r="G85" s="927"/>
      <c r="H85" s="926"/>
      <c r="I85" s="927"/>
      <c r="J85" s="926"/>
      <c r="K85" s="926"/>
      <c r="L85" s="926"/>
      <c r="M85" s="927"/>
      <c r="N85" s="926"/>
      <c r="O85" s="927"/>
      <c r="P85" s="926"/>
      <c r="Q85" s="927"/>
      <c r="R85" s="926"/>
      <c r="S85" s="927"/>
      <c r="T85" s="926"/>
      <c r="U85" s="927"/>
      <c r="V85" s="926"/>
      <c r="W85" s="927"/>
      <c r="X85" s="926"/>
      <c r="Y85" s="927"/>
      <c r="Z85" s="768"/>
    </row>
    <row r="86" spans="1:26">
      <c r="A86" s="924"/>
      <c r="B86" s="926"/>
      <c r="C86" s="926"/>
      <c r="D86" s="926"/>
      <c r="E86" s="927"/>
      <c r="F86" s="926"/>
      <c r="G86" s="927"/>
      <c r="H86" s="926"/>
      <c r="I86" s="927"/>
      <c r="J86" s="926"/>
      <c r="K86" s="926"/>
      <c r="L86" s="926"/>
      <c r="M86" s="927"/>
      <c r="N86" s="926"/>
      <c r="O86" s="927"/>
      <c r="P86" s="926"/>
      <c r="Q86" s="927"/>
      <c r="R86" s="926"/>
      <c r="S86" s="927"/>
      <c r="T86" s="926"/>
      <c r="U86" s="927"/>
      <c r="V86" s="926"/>
      <c r="W86" s="927"/>
      <c r="X86" s="926"/>
      <c r="Y86" s="927"/>
      <c r="Z86" s="768"/>
    </row>
    <row r="87" spans="1:26">
      <c r="A87" s="924"/>
      <c r="B87" s="926"/>
      <c r="C87" s="926"/>
      <c r="D87" s="926"/>
      <c r="E87" s="927"/>
      <c r="F87" s="926"/>
      <c r="G87" s="927"/>
      <c r="H87" s="926"/>
      <c r="I87" s="927"/>
      <c r="J87" s="926"/>
      <c r="K87" s="926"/>
      <c r="L87" s="926"/>
      <c r="M87" s="927"/>
      <c r="N87" s="926"/>
      <c r="O87" s="927"/>
      <c r="P87" s="926"/>
      <c r="Q87" s="927"/>
      <c r="R87" s="926"/>
      <c r="S87" s="927"/>
      <c r="T87" s="926"/>
      <c r="U87" s="927"/>
      <c r="V87" s="926"/>
      <c r="W87" s="927"/>
      <c r="X87" s="926"/>
      <c r="Y87" s="927"/>
      <c r="Z87" s="768"/>
    </row>
    <row r="88" spans="1:26">
      <c r="A88" s="924"/>
      <c r="B88" s="926"/>
      <c r="C88" s="926"/>
      <c r="D88" s="926"/>
      <c r="E88" s="927"/>
      <c r="F88" s="926"/>
      <c r="G88" s="927"/>
      <c r="H88" s="926"/>
      <c r="I88" s="927"/>
      <c r="J88" s="926"/>
      <c r="K88" s="926"/>
      <c r="L88" s="926"/>
      <c r="M88" s="927"/>
      <c r="N88" s="926"/>
      <c r="O88" s="927"/>
      <c r="P88" s="926"/>
      <c r="Q88" s="927"/>
      <c r="R88" s="926"/>
      <c r="S88" s="927"/>
      <c r="T88" s="926"/>
      <c r="U88" s="927"/>
      <c r="V88" s="926"/>
      <c r="W88" s="927"/>
      <c r="X88" s="926"/>
      <c r="Y88" s="927"/>
      <c r="Z88" s="768"/>
    </row>
    <row r="89" spans="1:26">
      <c r="A89" s="924"/>
      <c r="B89" s="926"/>
      <c r="C89" s="926"/>
      <c r="D89" s="926"/>
      <c r="E89" s="927"/>
      <c r="F89" s="926"/>
      <c r="G89" s="927"/>
      <c r="H89" s="926"/>
      <c r="I89" s="927"/>
      <c r="J89" s="926"/>
      <c r="K89" s="926"/>
      <c r="L89" s="926"/>
      <c r="M89" s="927"/>
      <c r="N89" s="926"/>
      <c r="O89" s="927"/>
      <c r="P89" s="926"/>
      <c r="Q89" s="927"/>
      <c r="R89" s="926"/>
      <c r="S89" s="927"/>
      <c r="T89" s="926"/>
      <c r="U89" s="927"/>
      <c r="V89" s="926"/>
      <c r="W89" s="927"/>
      <c r="X89" s="926"/>
      <c r="Y89" s="927"/>
      <c r="Z89" s="768"/>
    </row>
    <row r="90" spans="1:26">
      <c r="A90" s="924"/>
      <c r="B90" s="926"/>
      <c r="C90" s="926"/>
      <c r="D90" s="926"/>
      <c r="E90" s="927"/>
      <c r="F90" s="926"/>
      <c r="G90" s="927"/>
      <c r="H90" s="926"/>
      <c r="I90" s="927"/>
      <c r="J90" s="926"/>
      <c r="K90" s="926"/>
      <c r="L90" s="926"/>
      <c r="M90" s="927"/>
      <c r="N90" s="926"/>
      <c r="O90" s="927"/>
      <c r="P90" s="926"/>
      <c r="Q90" s="927"/>
      <c r="R90" s="926"/>
      <c r="S90" s="927"/>
      <c r="T90" s="926"/>
      <c r="U90" s="927"/>
      <c r="V90" s="926"/>
      <c r="W90" s="927"/>
      <c r="X90" s="926"/>
      <c r="Y90" s="927"/>
      <c r="Z90" s="768"/>
    </row>
    <row r="91" spans="1:26">
      <c r="A91" s="924"/>
      <c r="B91" s="926"/>
      <c r="C91" s="926"/>
      <c r="D91" s="926"/>
      <c r="E91" s="927"/>
      <c r="F91" s="926"/>
      <c r="G91" s="927"/>
      <c r="H91" s="926"/>
      <c r="I91" s="927"/>
      <c r="J91" s="926"/>
      <c r="K91" s="926"/>
      <c r="L91" s="926"/>
      <c r="M91" s="927"/>
      <c r="N91" s="926"/>
      <c r="O91" s="927"/>
      <c r="P91" s="926"/>
      <c r="Q91" s="927"/>
      <c r="R91" s="926"/>
      <c r="S91" s="927"/>
      <c r="T91" s="926"/>
      <c r="U91" s="927"/>
      <c r="V91" s="926"/>
      <c r="W91" s="927"/>
      <c r="X91" s="926"/>
      <c r="Y91" s="927"/>
      <c r="Z91" s="768"/>
    </row>
    <row r="92" spans="1:26">
      <c r="A92" s="924"/>
      <c r="B92" s="926"/>
      <c r="C92" s="926"/>
      <c r="D92" s="926"/>
      <c r="E92" s="927"/>
      <c r="F92" s="926"/>
      <c r="G92" s="927"/>
      <c r="H92" s="926"/>
      <c r="I92" s="927"/>
      <c r="J92" s="926"/>
      <c r="K92" s="926"/>
      <c r="L92" s="926"/>
      <c r="M92" s="927"/>
      <c r="N92" s="926"/>
      <c r="O92" s="927"/>
      <c r="P92" s="926"/>
      <c r="Q92" s="927"/>
      <c r="R92" s="926"/>
      <c r="S92" s="927"/>
      <c r="T92" s="926"/>
      <c r="U92" s="927"/>
      <c r="V92" s="926"/>
      <c r="W92" s="927"/>
      <c r="X92" s="926"/>
      <c r="Y92" s="927"/>
      <c r="Z92" s="768"/>
    </row>
    <row r="93" spans="1:26">
      <c r="A93" s="924"/>
      <c r="B93" s="926"/>
      <c r="C93" s="926"/>
      <c r="D93" s="926"/>
      <c r="E93" s="927"/>
      <c r="F93" s="926"/>
      <c r="G93" s="927"/>
      <c r="H93" s="926"/>
      <c r="I93" s="927"/>
      <c r="J93" s="926"/>
      <c r="K93" s="926"/>
      <c r="L93" s="926"/>
      <c r="M93" s="927"/>
      <c r="N93" s="926"/>
      <c r="O93" s="927"/>
      <c r="P93" s="926"/>
      <c r="Q93" s="927"/>
      <c r="R93" s="926"/>
      <c r="S93" s="927"/>
      <c r="T93" s="926"/>
      <c r="U93" s="927"/>
      <c r="V93" s="926"/>
      <c r="W93" s="927"/>
      <c r="X93" s="926"/>
      <c r="Y93" s="927"/>
      <c r="Z93" s="768"/>
    </row>
    <row r="94" spans="1:26">
      <c r="A94" s="924"/>
      <c r="B94" s="926"/>
      <c r="C94" s="926"/>
      <c r="D94" s="926"/>
      <c r="E94" s="927"/>
      <c r="F94" s="926"/>
      <c r="G94" s="927"/>
      <c r="H94" s="926"/>
      <c r="I94" s="927"/>
      <c r="J94" s="926"/>
      <c r="K94" s="926"/>
      <c r="L94" s="926"/>
      <c r="M94" s="927"/>
      <c r="N94" s="926"/>
      <c r="O94" s="927"/>
      <c r="P94" s="926"/>
      <c r="Q94" s="927"/>
      <c r="R94" s="926"/>
      <c r="S94" s="927"/>
      <c r="T94" s="926"/>
      <c r="U94" s="927"/>
      <c r="V94" s="926"/>
      <c r="W94" s="927"/>
      <c r="X94" s="926"/>
      <c r="Y94" s="927"/>
      <c r="Z94" s="768"/>
    </row>
    <row r="95" spans="1:26">
      <c r="A95" s="924"/>
      <c r="B95" s="926"/>
      <c r="C95" s="926"/>
      <c r="D95" s="926"/>
      <c r="E95" s="927"/>
      <c r="F95" s="926"/>
      <c r="G95" s="927"/>
      <c r="H95" s="926"/>
      <c r="I95" s="927"/>
      <c r="J95" s="926"/>
      <c r="K95" s="926"/>
      <c r="L95" s="926"/>
      <c r="M95" s="927"/>
      <c r="N95" s="926"/>
      <c r="O95" s="927"/>
      <c r="P95" s="926"/>
      <c r="Q95" s="927"/>
      <c r="R95" s="926"/>
      <c r="S95" s="927"/>
      <c r="T95" s="926"/>
      <c r="U95" s="927"/>
      <c r="V95" s="926"/>
      <c r="W95" s="927"/>
      <c r="X95" s="926"/>
      <c r="Y95" s="927"/>
      <c r="Z95" s="768"/>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1" firstPageNumber="48"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T113"/>
  <sheetViews>
    <sheetView showGridLines="0" zoomScale="90" zoomScaleNormal="90" workbookViewId="0"/>
  </sheetViews>
  <sheetFormatPr defaultColWidth="8.88671875" defaultRowHeight="15"/>
  <cols>
    <col min="1" max="1" width="45.109375" style="1781" customWidth="1"/>
    <col min="2" max="2" width="1.6640625" style="1781" customWidth="1"/>
    <col min="3" max="3" width="18.6640625" style="1781" customWidth="1"/>
    <col min="4" max="4" width="1.6640625" style="1781" customWidth="1"/>
    <col min="5" max="5" width="18.6640625" style="1782" customWidth="1"/>
    <col min="6" max="6" width="1.44140625" style="1782" customWidth="1"/>
    <col min="7" max="7" width="18.6640625" style="1782" customWidth="1"/>
    <col min="8" max="8" width="1.44140625" style="1782" customWidth="1"/>
    <col min="9" max="9" width="20.44140625" style="1782" customWidth="1"/>
    <col min="10" max="10" width="1.44140625" style="1782" customWidth="1"/>
    <col min="11" max="11" width="20.44140625" style="3432" customWidth="1"/>
    <col min="12" max="12" width="1.44140625" style="1784" customWidth="1"/>
    <col min="13" max="13" width="18.6640625" style="1791" customWidth="1"/>
    <col min="14" max="14" width="1.77734375" style="1781" customWidth="1"/>
    <col min="15" max="15" width="7.109375" style="1781" customWidth="1"/>
    <col min="16" max="17" width="8.88671875" style="2495"/>
    <col min="18" max="19" width="13" style="1363" bestFit="1" customWidth="1"/>
    <col min="20" max="20" width="8.88671875" style="1784"/>
    <col min="21" max="16384" width="8.88671875" style="1781"/>
  </cols>
  <sheetData>
    <row r="1" spans="1:20">
      <c r="A1" s="1159" t="s">
        <v>1090</v>
      </c>
      <c r="K1" s="1782"/>
      <c r="L1" s="1782"/>
      <c r="M1" s="3453"/>
      <c r="N1" s="1782"/>
    </row>
    <row r="2" spans="1:20">
      <c r="A2" s="2975"/>
      <c r="K2" s="1782"/>
      <c r="L2" s="1782"/>
      <c r="M2" s="3453"/>
      <c r="N2" s="1782"/>
    </row>
    <row r="3" spans="1:20" s="1796" customFormat="1">
      <c r="A3" s="2976" t="s">
        <v>522</v>
      </c>
      <c r="B3" s="2976"/>
      <c r="C3" s="3226"/>
      <c r="D3" s="2977"/>
      <c r="E3" s="2777"/>
      <c r="F3" s="2777"/>
      <c r="G3" s="2777"/>
      <c r="H3" s="2777"/>
      <c r="I3" s="2777"/>
      <c r="J3" s="2777"/>
      <c r="K3" s="2777"/>
      <c r="L3" s="2777"/>
      <c r="M3" s="3454" t="s">
        <v>523</v>
      </c>
      <c r="N3" s="2777"/>
      <c r="P3" s="2495"/>
      <c r="Q3" s="2495"/>
      <c r="R3" s="1363"/>
      <c r="S3" s="1363"/>
      <c r="T3" s="1127"/>
    </row>
    <row r="4" spans="1:20" s="1796" customFormat="1">
      <c r="A4" s="2976" t="s">
        <v>524</v>
      </c>
      <c r="B4" s="2976"/>
      <c r="C4" s="3226"/>
      <c r="D4" s="2977"/>
      <c r="E4" s="2777"/>
      <c r="F4" s="2777"/>
      <c r="G4" s="2777"/>
      <c r="H4" s="2777"/>
      <c r="I4" s="2777"/>
      <c r="J4" s="2777"/>
      <c r="K4" s="2777"/>
      <c r="L4" s="2777"/>
      <c r="M4" s="3455"/>
      <c r="N4" s="2777"/>
      <c r="P4" s="2495"/>
      <c r="Q4" s="2495"/>
      <c r="R4" s="1363"/>
      <c r="S4" s="1363"/>
      <c r="T4" s="1127"/>
    </row>
    <row r="5" spans="1:20" s="1796" customFormat="1">
      <c r="A5" s="2976" t="s">
        <v>525</v>
      </c>
      <c r="B5" s="2976"/>
      <c r="C5" s="3226"/>
      <c r="D5" s="2977"/>
      <c r="E5" s="2777"/>
      <c r="F5" s="2777"/>
      <c r="G5" s="2777"/>
      <c r="H5" s="2777"/>
      <c r="I5" s="2777"/>
      <c r="J5" s="2777"/>
      <c r="K5" s="2777"/>
      <c r="L5" s="2777"/>
      <c r="M5" s="3455"/>
      <c r="N5" s="2777"/>
      <c r="P5" s="2495"/>
      <c r="Q5" s="2495"/>
      <c r="R5" s="1363"/>
      <c r="S5" s="1363"/>
      <c r="T5" s="1127"/>
    </row>
    <row r="6" spans="1:20" s="1796" customFormat="1">
      <c r="A6" s="2978" t="s">
        <v>1413</v>
      </c>
      <c r="B6" s="2978"/>
      <c r="C6" s="3227"/>
      <c r="D6" s="2979"/>
      <c r="E6" s="2777"/>
      <c r="F6" s="2777"/>
      <c r="G6" s="2777"/>
      <c r="H6" s="2777"/>
      <c r="I6" s="2777"/>
      <c r="J6" s="2777"/>
      <c r="K6" s="2777"/>
      <c r="L6" s="2777"/>
      <c r="M6" s="3455"/>
      <c r="N6" s="2777"/>
      <c r="P6" s="2495"/>
      <c r="Q6" s="2495"/>
      <c r="R6" s="1363"/>
      <c r="S6" s="1363"/>
      <c r="T6" s="1127"/>
    </row>
    <row r="7" spans="1:20">
      <c r="C7" s="1784"/>
      <c r="K7" s="1782"/>
      <c r="L7" s="1782"/>
      <c r="M7" s="2778"/>
      <c r="N7" s="1782"/>
    </row>
    <row r="8" spans="1:20" ht="27" customHeight="1">
      <c r="A8" s="2980" t="s">
        <v>526</v>
      </c>
      <c r="B8" s="2981"/>
      <c r="C8" s="3228" t="s">
        <v>1007</v>
      </c>
      <c r="D8" s="2779"/>
      <c r="E8" s="2780" t="s">
        <v>1463</v>
      </c>
      <c r="F8" s="2778"/>
      <c r="G8" s="2780" t="s">
        <v>1483</v>
      </c>
      <c r="H8" s="2778"/>
      <c r="I8" s="2780" t="s">
        <v>1595</v>
      </c>
      <c r="J8" s="2778"/>
      <c r="K8" s="2780" t="s">
        <v>1596</v>
      </c>
      <c r="L8" s="2778"/>
      <c r="M8" s="3456" t="s">
        <v>1597</v>
      </c>
      <c r="N8" s="2778"/>
    </row>
    <row r="9" spans="1:20" s="1796" customFormat="1">
      <c r="A9" s="3091" t="s">
        <v>1363</v>
      </c>
      <c r="B9" s="1781"/>
      <c r="C9" s="3229">
        <v>4095000</v>
      </c>
      <c r="D9" s="2983"/>
      <c r="E9" s="2984"/>
      <c r="F9" s="2984"/>
      <c r="G9" s="2984"/>
      <c r="H9" s="2984"/>
      <c r="I9" s="2984"/>
      <c r="J9" s="2984"/>
      <c r="K9" s="2984"/>
      <c r="L9" s="2984"/>
      <c r="M9" s="3229"/>
      <c r="N9" s="2984"/>
      <c r="O9" s="1784"/>
      <c r="P9" s="2495"/>
      <c r="Q9" s="2495"/>
      <c r="R9" s="1363"/>
      <c r="S9" s="1363"/>
      <c r="T9" s="1127"/>
    </row>
    <row r="10" spans="1:20" s="1796" customFormat="1">
      <c r="A10" s="3092" t="s">
        <v>1364</v>
      </c>
      <c r="B10" s="1781"/>
      <c r="C10" s="3230"/>
      <c r="D10" s="2985"/>
      <c r="E10" s="2986">
        <v>328395</v>
      </c>
      <c r="F10" s="2986"/>
      <c r="G10" s="2986">
        <v>0</v>
      </c>
      <c r="H10" s="2987"/>
      <c r="I10" s="2986">
        <v>0</v>
      </c>
      <c r="J10" s="2987"/>
      <c r="K10" s="2986">
        <v>0</v>
      </c>
      <c r="L10" s="2987"/>
      <c r="M10" s="2986">
        <f>ROUND(SUM(E10)+G10+I10+K10,0)</f>
        <v>328395</v>
      </c>
      <c r="N10" s="2987"/>
      <c r="O10" s="1784"/>
      <c r="P10" s="2495"/>
      <c r="Q10" s="2495"/>
      <c r="R10" s="1363"/>
      <c r="S10" s="1363"/>
      <c r="T10" s="1127"/>
    </row>
    <row r="11" spans="1:20" s="1796" customFormat="1">
      <c r="A11" s="2982" t="s">
        <v>527</v>
      </c>
      <c r="B11" s="2981"/>
      <c r="C11" s="3457">
        <v>144587082</v>
      </c>
      <c r="D11" s="2781"/>
      <c r="E11" s="3231"/>
      <c r="F11" s="3231"/>
      <c r="G11" s="3231"/>
      <c r="H11" s="2987"/>
      <c r="I11" s="2987"/>
      <c r="J11" s="2987"/>
      <c r="K11" s="2987"/>
      <c r="L11" s="2987"/>
      <c r="M11" s="2987"/>
      <c r="N11" s="2987"/>
      <c r="O11" s="1784"/>
      <c r="P11" s="2495"/>
      <c r="Q11" s="2495"/>
      <c r="R11" s="1363"/>
      <c r="S11" s="1363"/>
      <c r="T11" s="1127"/>
    </row>
    <row r="12" spans="1:20" s="1796" customFormat="1">
      <c r="A12" s="1781" t="s">
        <v>528</v>
      </c>
      <c r="B12" s="2988"/>
      <c r="C12" s="3458"/>
      <c r="D12" s="2782"/>
      <c r="E12" s="3231">
        <v>0</v>
      </c>
      <c r="F12" s="3231"/>
      <c r="G12" s="2987">
        <v>0</v>
      </c>
      <c r="H12" s="2987"/>
      <c r="I12" s="2987">
        <v>0</v>
      </c>
      <c r="J12" s="2987"/>
      <c r="K12" s="2987">
        <v>0</v>
      </c>
      <c r="L12" s="2987"/>
      <c r="M12" s="2987">
        <f t="shared" ref="M12:M28" si="0">ROUND(SUM(E12)+G12+I12+K12,0)</f>
        <v>0</v>
      </c>
      <c r="N12" s="2987"/>
      <c r="O12" s="1784"/>
      <c r="P12" s="2495"/>
      <c r="Q12" s="2495"/>
      <c r="R12" s="1363"/>
      <c r="S12" s="1363"/>
      <c r="T12" s="1127"/>
    </row>
    <row r="13" spans="1:20" s="1796" customFormat="1">
      <c r="A13" s="1781" t="s">
        <v>529</v>
      </c>
      <c r="B13" s="2988"/>
      <c r="C13" s="3458"/>
      <c r="D13" s="2782"/>
      <c r="E13" s="3231">
        <v>0</v>
      </c>
      <c r="F13" s="3231"/>
      <c r="G13" s="2987">
        <v>0</v>
      </c>
      <c r="H13" s="2987"/>
      <c r="I13" s="2987">
        <v>0</v>
      </c>
      <c r="J13" s="2987"/>
      <c r="K13" s="2987">
        <v>0</v>
      </c>
      <c r="L13" s="2987"/>
      <c r="M13" s="2987">
        <f t="shared" si="0"/>
        <v>0</v>
      </c>
      <c r="N13" s="2987"/>
      <c r="O13" s="1784"/>
      <c r="P13" s="2495"/>
      <c r="Q13" s="2495"/>
      <c r="R13" s="1363"/>
      <c r="S13" s="1363"/>
      <c r="T13" s="1127"/>
    </row>
    <row r="14" spans="1:20" s="1796" customFormat="1">
      <c r="A14" s="1781" t="s">
        <v>530</v>
      </c>
      <c r="B14" s="2988"/>
      <c r="C14" s="3458"/>
      <c r="D14" s="2782"/>
      <c r="E14" s="3231">
        <v>757361</v>
      </c>
      <c r="F14" s="3231"/>
      <c r="G14" s="2987">
        <v>550465</v>
      </c>
      <c r="H14" s="2989"/>
      <c r="I14" s="2989">
        <v>557025</v>
      </c>
      <c r="J14" s="2989"/>
      <c r="K14" s="2989">
        <v>773211</v>
      </c>
      <c r="L14" s="2989"/>
      <c r="M14" s="2987">
        <f t="shared" si="0"/>
        <v>2638062</v>
      </c>
      <c r="N14" s="2989"/>
      <c r="O14" s="1784"/>
      <c r="P14" s="2495"/>
      <c r="Q14" s="2495"/>
      <c r="R14" s="1363"/>
      <c r="S14" s="1363"/>
      <c r="T14" s="1127"/>
    </row>
    <row r="15" spans="1:20" s="1796" customFormat="1">
      <c r="A15" s="1781" t="s">
        <v>531</v>
      </c>
      <c r="B15" s="2988"/>
      <c r="C15" s="3458"/>
      <c r="D15" s="2782"/>
      <c r="E15" s="3231">
        <v>0</v>
      </c>
      <c r="F15" s="3231"/>
      <c r="G15" s="2987">
        <v>0</v>
      </c>
      <c r="H15" s="2987"/>
      <c r="I15" s="2987">
        <v>0</v>
      </c>
      <c r="J15" s="2987"/>
      <c r="K15" s="2987">
        <v>0</v>
      </c>
      <c r="L15" s="2987"/>
      <c r="M15" s="2987">
        <f t="shared" si="0"/>
        <v>0</v>
      </c>
      <c r="N15" s="2987"/>
      <c r="O15" s="1784"/>
      <c r="P15" s="2495"/>
      <c r="Q15" s="2495"/>
      <c r="R15" s="1363"/>
      <c r="S15" s="1363"/>
      <c r="T15" s="1127"/>
    </row>
    <row r="16" spans="1:20" s="1796" customFormat="1">
      <c r="A16" s="1781" t="s">
        <v>532</v>
      </c>
      <c r="B16" s="2988"/>
      <c r="C16" s="3458"/>
      <c r="D16" s="2782"/>
      <c r="E16" s="3231">
        <v>0</v>
      </c>
      <c r="F16" s="3231"/>
      <c r="G16" s="2987">
        <v>0</v>
      </c>
      <c r="H16" s="2987"/>
      <c r="I16" s="2987">
        <v>0</v>
      </c>
      <c r="J16" s="2987"/>
      <c r="K16" s="2987">
        <v>0</v>
      </c>
      <c r="L16" s="2987"/>
      <c r="M16" s="2987">
        <f t="shared" si="0"/>
        <v>0</v>
      </c>
      <c r="N16" s="2987"/>
      <c r="O16" s="1784"/>
      <c r="P16" s="2495"/>
      <c r="Q16" s="2495"/>
      <c r="R16" s="1363"/>
      <c r="S16" s="1363"/>
      <c r="T16" s="1127"/>
    </row>
    <row r="17" spans="1:20" s="1796" customFormat="1">
      <c r="A17" s="1781" t="s">
        <v>533</v>
      </c>
      <c r="B17" s="2988"/>
      <c r="C17" s="3458"/>
      <c r="D17" s="2782"/>
      <c r="E17" s="3231">
        <v>0</v>
      </c>
      <c r="F17" s="3231"/>
      <c r="G17" s="2987">
        <v>0</v>
      </c>
      <c r="H17" s="2987"/>
      <c r="I17" s="2987">
        <v>0</v>
      </c>
      <c r="J17" s="2987"/>
      <c r="K17" s="2987">
        <v>0</v>
      </c>
      <c r="L17" s="2987"/>
      <c r="M17" s="2987">
        <f t="shared" si="0"/>
        <v>0</v>
      </c>
      <c r="N17" s="2987"/>
      <c r="O17" s="1784"/>
      <c r="P17" s="2495"/>
      <c r="Q17" s="2495"/>
      <c r="R17" s="1363"/>
      <c r="S17" s="1363"/>
      <c r="T17" s="1127"/>
    </row>
    <row r="18" spans="1:20" s="1796" customFormat="1">
      <c r="A18" s="1781" t="s">
        <v>534</v>
      </c>
      <c r="B18" s="2988"/>
      <c r="C18" s="3458"/>
      <c r="D18" s="2782"/>
      <c r="E18" s="3231">
        <v>0</v>
      </c>
      <c r="F18" s="3231"/>
      <c r="G18" s="2987">
        <v>0</v>
      </c>
      <c r="H18" s="2987"/>
      <c r="I18" s="2987">
        <v>0</v>
      </c>
      <c r="J18" s="2987"/>
      <c r="K18" s="2987">
        <v>0</v>
      </c>
      <c r="L18" s="2987"/>
      <c r="M18" s="2987">
        <f t="shared" si="0"/>
        <v>0</v>
      </c>
      <c r="N18" s="2987"/>
      <c r="O18" s="1784"/>
      <c r="P18" s="2495"/>
      <c r="Q18" s="2495"/>
      <c r="R18" s="1363"/>
      <c r="S18" s="1363"/>
      <c r="T18" s="1127"/>
    </row>
    <row r="19" spans="1:20" s="1796" customFormat="1">
      <c r="A19" s="1781" t="s">
        <v>535</v>
      </c>
      <c r="B19" s="2988"/>
      <c r="C19" s="3458"/>
      <c r="D19" s="2782"/>
      <c r="E19" s="3231">
        <v>0</v>
      </c>
      <c r="F19" s="3231"/>
      <c r="G19" s="2987">
        <v>0</v>
      </c>
      <c r="H19" s="2987"/>
      <c r="I19" s="2987">
        <v>0</v>
      </c>
      <c r="J19" s="2987"/>
      <c r="K19" s="2987">
        <v>0</v>
      </c>
      <c r="L19" s="2987"/>
      <c r="M19" s="2987">
        <f t="shared" si="0"/>
        <v>0</v>
      </c>
      <c r="N19" s="2987"/>
      <c r="O19" s="1784"/>
      <c r="P19" s="2495"/>
      <c r="Q19" s="2495"/>
      <c r="R19" s="1363"/>
      <c r="S19" s="1363"/>
      <c r="T19" s="1127"/>
    </row>
    <row r="20" spans="1:20" s="1796" customFormat="1">
      <c r="A20" s="1781" t="s">
        <v>1096</v>
      </c>
      <c r="B20" s="2988"/>
      <c r="C20" s="3458"/>
      <c r="D20" s="2782"/>
      <c r="E20" s="3231">
        <v>0</v>
      </c>
      <c r="F20" s="3231"/>
      <c r="G20" s="2987">
        <v>0</v>
      </c>
      <c r="H20" s="2987"/>
      <c r="I20" s="2987">
        <v>0</v>
      </c>
      <c r="J20" s="2987"/>
      <c r="K20" s="2987">
        <v>0</v>
      </c>
      <c r="L20" s="2987"/>
      <c r="M20" s="2987">
        <f t="shared" si="0"/>
        <v>0</v>
      </c>
      <c r="N20" s="2987"/>
      <c r="O20" s="1784"/>
      <c r="P20" s="2495"/>
      <c r="Q20" s="2495"/>
      <c r="R20" s="1363"/>
      <c r="S20" s="1363"/>
      <c r="T20" s="1127"/>
    </row>
    <row r="21" spans="1:20" s="1796" customFormat="1">
      <c r="A21" s="1781" t="s">
        <v>536</v>
      </c>
      <c r="B21" s="2988"/>
      <c r="C21" s="3458"/>
      <c r="D21" s="2782"/>
      <c r="E21" s="3231">
        <v>0</v>
      </c>
      <c r="F21" s="3231"/>
      <c r="G21" s="2987">
        <v>0</v>
      </c>
      <c r="H21" s="2987"/>
      <c r="I21" s="2987">
        <v>0</v>
      </c>
      <c r="J21" s="2987"/>
      <c r="K21" s="2987">
        <v>0</v>
      </c>
      <c r="L21" s="2987"/>
      <c r="M21" s="2987">
        <f t="shared" si="0"/>
        <v>0</v>
      </c>
      <c r="N21" s="2987"/>
      <c r="O21" s="1784"/>
      <c r="P21" s="2495"/>
      <c r="Q21" s="2495"/>
      <c r="R21" s="1363"/>
      <c r="S21" s="1363"/>
      <c r="T21" s="1127"/>
    </row>
    <row r="22" spans="1:20" s="1796" customFormat="1">
      <c r="A22" s="1781" t="s">
        <v>537</v>
      </c>
      <c r="B22" s="2988"/>
      <c r="C22" s="3458"/>
      <c r="D22" s="2782"/>
      <c r="E22" s="3231">
        <v>0</v>
      </c>
      <c r="F22" s="3231"/>
      <c r="G22" s="2987">
        <v>0</v>
      </c>
      <c r="H22" s="2987"/>
      <c r="I22" s="2987">
        <v>0</v>
      </c>
      <c r="J22" s="2987"/>
      <c r="K22" s="2987">
        <v>0</v>
      </c>
      <c r="L22" s="2987"/>
      <c r="M22" s="2987">
        <f t="shared" si="0"/>
        <v>0</v>
      </c>
      <c r="N22" s="2987"/>
      <c r="O22" s="1784"/>
      <c r="P22" s="2495"/>
      <c r="Q22" s="2495"/>
      <c r="R22" s="1363"/>
      <c r="S22" s="1363"/>
      <c r="T22" s="1127"/>
    </row>
    <row r="23" spans="1:20" s="1796" customFormat="1">
      <c r="A23" s="1781" t="s">
        <v>538</v>
      </c>
      <c r="B23" s="2988"/>
      <c r="C23" s="3458"/>
      <c r="D23" s="2782"/>
      <c r="E23" s="3231">
        <v>0</v>
      </c>
      <c r="F23" s="3231"/>
      <c r="G23" s="2987">
        <v>0</v>
      </c>
      <c r="H23" s="2987"/>
      <c r="I23" s="2987">
        <v>0</v>
      </c>
      <c r="J23" s="2987"/>
      <c r="K23" s="2987">
        <v>0</v>
      </c>
      <c r="L23" s="2987"/>
      <c r="M23" s="2987">
        <f t="shared" si="0"/>
        <v>0</v>
      </c>
      <c r="N23" s="2987"/>
      <c r="O23" s="1784"/>
      <c r="P23" s="2495"/>
      <c r="Q23" s="2495"/>
      <c r="R23" s="1363"/>
      <c r="S23" s="1363"/>
      <c r="T23" s="1127"/>
    </row>
    <row r="24" spans="1:20" s="1796" customFormat="1">
      <c r="A24" s="1781" t="s">
        <v>539</v>
      </c>
      <c r="B24" s="2988"/>
      <c r="C24" s="3458"/>
      <c r="D24" s="2782"/>
      <c r="E24" s="3231">
        <v>0</v>
      </c>
      <c r="F24" s="3231"/>
      <c r="G24" s="2987">
        <v>0</v>
      </c>
      <c r="H24" s="2987"/>
      <c r="I24" s="2987">
        <v>0</v>
      </c>
      <c r="J24" s="2987"/>
      <c r="K24" s="2987">
        <v>0</v>
      </c>
      <c r="L24" s="2987"/>
      <c r="M24" s="2987">
        <f t="shared" si="0"/>
        <v>0</v>
      </c>
      <c r="N24" s="2987"/>
      <c r="O24" s="1784"/>
      <c r="P24" s="2495"/>
      <c r="Q24" s="2495"/>
      <c r="R24" s="1363"/>
      <c r="S24" s="1363"/>
      <c r="T24" s="1127"/>
    </row>
    <row r="25" spans="1:20" s="1796" customFormat="1">
      <c r="A25" s="1781" t="s">
        <v>540</v>
      </c>
      <c r="B25" s="2988"/>
      <c r="C25" s="3458"/>
      <c r="D25" s="2782"/>
      <c r="E25" s="3231">
        <v>0</v>
      </c>
      <c r="F25" s="3231"/>
      <c r="G25" s="2987">
        <v>0</v>
      </c>
      <c r="H25" s="2987"/>
      <c r="I25" s="2987">
        <v>0</v>
      </c>
      <c r="J25" s="2987"/>
      <c r="K25" s="2987">
        <v>0</v>
      </c>
      <c r="L25" s="2987"/>
      <c r="M25" s="2987">
        <f t="shared" si="0"/>
        <v>0</v>
      </c>
      <c r="N25" s="2987"/>
      <c r="O25" s="1784"/>
      <c r="P25" s="2495"/>
      <c r="Q25" s="2495"/>
      <c r="R25" s="1363"/>
      <c r="S25" s="1363"/>
      <c r="T25" s="1127"/>
    </row>
    <row r="26" spans="1:20" s="1796" customFormat="1">
      <c r="A26" s="1781" t="s">
        <v>541</v>
      </c>
      <c r="B26" s="2988"/>
      <c r="C26" s="3458"/>
      <c r="D26" s="2782"/>
      <c r="E26" s="3231">
        <v>0</v>
      </c>
      <c r="F26" s="3231"/>
      <c r="G26" s="2987">
        <v>0</v>
      </c>
      <c r="H26" s="2987"/>
      <c r="I26" s="2987">
        <v>0</v>
      </c>
      <c r="J26" s="2987"/>
      <c r="K26" s="2987">
        <v>0</v>
      </c>
      <c r="L26" s="2987"/>
      <c r="M26" s="2987">
        <f t="shared" si="0"/>
        <v>0</v>
      </c>
      <c r="N26" s="2987"/>
      <c r="O26" s="1784"/>
      <c r="P26" s="2495"/>
      <c r="Q26" s="2495"/>
      <c r="R26" s="1363"/>
      <c r="S26" s="1363"/>
      <c r="T26" s="1127"/>
    </row>
    <row r="27" spans="1:20" s="1796" customFormat="1">
      <c r="A27" s="1781" t="s">
        <v>542</v>
      </c>
      <c r="B27" s="2988"/>
      <c r="C27" s="3458"/>
      <c r="D27" s="2782"/>
      <c r="E27" s="3231">
        <v>0</v>
      </c>
      <c r="F27" s="3231"/>
      <c r="G27" s="2987">
        <v>0</v>
      </c>
      <c r="H27" s="2987"/>
      <c r="I27" s="2987">
        <v>0</v>
      </c>
      <c r="J27" s="2987"/>
      <c r="K27" s="2987">
        <v>0</v>
      </c>
      <c r="L27" s="2987"/>
      <c r="M27" s="2987">
        <f t="shared" si="0"/>
        <v>0</v>
      </c>
      <c r="N27" s="2987"/>
      <c r="O27" s="1784"/>
      <c r="P27" s="2495"/>
      <c r="Q27" s="2495"/>
      <c r="R27" s="1363"/>
      <c r="S27" s="1363"/>
      <c r="T27" s="1127"/>
    </row>
    <row r="28" spans="1:20" s="1796" customFormat="1">
      <c r="A28" s="1781" t="s">
        <v>543</v>
      </c>
      <c r="B28" s="2988"/>
      <c r="C28" s="3458"/>
      <c r="D28" s="2782"/>
      <c r="E28" s="3231">
        <v>0</v>
      </c>
      <c r="F28" s="3231"/>
      <c r="G28" s="2987">
        <v>0</v>
      </c>
      <c r="H28" s="2987"/>
      <c r="I28" s="2987">
        <v>0</v>
      </c>
      <c r="J28" s="2987"/>
      <c r="K28" s="2987">
        <v>0</v>
      </c>
      <c r="L28" s="2987"/>
      <c r="M28" s="2987">
        <f t="shared" si="0"/>
        <v>0</v>
      </c>
      <c r="N28" s="2987"/>
      <c r="O28" s="1784"/>
      <c r="P28" s="2495"/>
      <c r="Q28" s="2495"/>
      <c r="R28" s="1363"/>
      <c r="S28" s="1363"/>
      <c r="T28" s="1127"/>
    </row>
    <row r="29" spans="1:20">
      <c r="A29" s="2982" t="s">
        <v>544</v>
      </c>
      <c r="B29" s="3232"/>
      <c r="C29" s="3457">
        <v>992662000</v>
      </c>
      <c r="D29" s="3233"/>
      <c r="E29" s="2989"/>
      <c r="F29" s="2989"/>
      <c r="G29" s="2989"/>
      <c r="H29" s="2987"/>
      <c r="I29" s="2987"/>
      <c r="J29" s="2987"/>
      <c r="K29" s="2987"/>
      <c r="L29" s="2987"/>
      <c r="M29" s="2987"/>
      <c r="N29" s="2987"/>
      <c r="O29" s="1784"/>
    </row>
    <row r="30" spans="1:20">
      <c r="A30" s="1781" t="s">
        <v>545</v>
      </c>
      <c r="B30" s="1781" t="s">
        <v>15</v>
      </c>
      <c r="C30" s="3234"/>
      <c r="D30" s="2990"/>
      <c r="E30" s="2989">
        <v>41581936</v>
      </c>
      <c r="F30" s="2989"/>
      <c r="G30" s="2987">
        <v>69842138</v>
      </c>
      <c r="H30" s="2989"/>
      <c r="I30" s="2989">
        <v>56312662</v>
      </c>
      <c r="J30" s="2989"/>
      <c r="K30" s="2989">
        <v>12362186</v>
      </c>
      <c r="L30" s="2989"/>
      <c r="M30" s="2989">
        <f>ROUND(SUM(E30)+G30+I30+K30,0)</f>
        <v>180098922</v>
      </c>
      <c r="N30" s="2989"/>
      <c r="O30" s="1784"/>
    </row>
    <row r="31" spans="1:20">
      <c r="A31" s="2982" t="s">
        <v>546</v>
      </c>
      <c r="B31" s="3235"/>
      <c r="C31" s="3457">
        <v>225000</v>
      </c>
      <c r="D31" s="3236"/>
      <c r="E31" s="2989"/>
      <c r="F31" s="2989"/>
      <c r="G31" s="2989"/>
      <c r="H31" s="2987"/>
      <c r="I31" s="2987"/>
      <c r="J31" s="2987"/>
      <c r="K31" s="2987"/>
      <c r="L31" s="2987"/>
      <c r="M31" s="2987"/>
      <c r="N31" s="2987"/>
      <c r="O31" s="1784"/>
    </row>
    <row r="32" spans="1:20">
      <c r="A32" s="1781" t="s">
        <v>547</v>
      </c>
      <c r="B32" s="1781" t="s">
        <v>15</v>
      </c>
      <c r="C32" s="3234"/>
      <c r="D32" s="2990"/>
      <c r="E32" s="2989">
        <v>15000</v>
      </c>
      <c r="F32" s="2989"/>
      <c r="G32" s="2987">
        <v>15000</v>
      </c>
      <c r="H32" s="2987"/>
      <c r="I32" s="2987">
        <v>0</v>
      </c>
      <c r="J32" s="2987"/>
      <c r="K32" s="2987">
        <v>0</v>
      </c>
      <c r="L32" s="2987"/>
      <c r="M32" s="2987">
        <f>ROUND(SUM(E32)+G32+I32+K32,0)</f>
        <v>30000</v>
      </c>
      <c r="N32" s="2987"/>
      <c r="O32" s="1784"/>
    </row>
    <row r="33" spans="1:15">
      <c r="A33" s="2982" t="s">
        <v>1365</v>
      </c>
      <c r="B33" s="3237"/>
      <c r="C33" s="3457">
        <v>283964000</v>
      </c>
      <c r="D33" s="3238"/>
      <c r="E33" s="2989"/>
      <c r="F33" s="2989"/>
      <c r="G33" s="2989"/>
      <c r="H33" s="2987"/>
      <c r="I33" s="2987"/>
      <c r="J33" s="2987"/>
      <c r="K33" s="2987"/>
      <c r="L33" s="2987"/>
      <c r="M33" s="2987"/>
      <c r="N33" s="2987"/>
      <c r="O33" s="1784"/>
    </row>
    <row r="34" spans="1:15">
      <c r="A34" s="1781" t="s">
        <v>1366</v>
      </c>
      <c r="B34" s="1781" t="s">
        <v>15</v>
      </c>
      <c r="C34" s="3234"/>
      <c r="D34" s="2990"/>
      <c r="E34" s="2989">
        <v>26862218</v>
      </c>
      <c r="F34" s="2989"/>
      <c r="G34" s="2987">
        <v>40615166</v>
      </c>
      <c r="H34" s="2991"/>
      <c r="I34" s="2991">
        <v>39371548</v>
      </c>
      <c r="J34" s="2991"/>
      <c r="K34" s="2991">
        <v>15226872</v>
      </c>
      <c r="L34" s="2991"/>
      <c r="M34" s="2991">
        <f>ROUND(SUM(E34)+G34+I34+K34,0)</f>
        <v>122075804</v>
      </c>
      <c r="N34" s="2991"/>
      <c r="O34" s="1784"/>
    </row>
    <row r="35" spans="1:15">
      <c r="A35" s="2982" t="s">
        <v>548</v>
      </c>
      <c r="B35" s="2983"/>
      <c r="C35" s="3457">
        <v>1656797714</v>
      </c>
      <c r="D35" s="3239"/>
      <c r="E35" s="3240"/>
      <c r="F35" s="3240"/>
      <c r="G35" s="3240"/>
      <c r="H35" s="3338"/>
      <c r="I35" s="3338"/>
      <c r="J35" s="3338"/>
      <c r="K35" s="3338"/>
      <c r="L35" s="3338"/>
      <c r="M35" s="3338"/>
      <c r="N35" s="3338"/>
      <c r="O35" s="1784"/>
    </row>
    <row r="36" spans="1:15">
      <c r="A36" s="1781" t="s">
        <v>549</v>
      </c>
      <c r="C36" s="3234"/>
      <c r="D36" s="2990"/>
      <c r="E36" s="2989">
        <v>0</v>
      </c>
      <c r="F36" s="2989"/>
      <c r="G36" s="2987">
        <v>20000000</v>
      </c>
      <c r="H36" s="2987"/>
      <c r="I36" s="2987">
        <v>0</v>
      </c>
      <c r="J36" s="2987"/>
      <c r="K36" s="2987">
        <v>10000000</v>
      </c>
      <c r="L36" s="2987"/>
      <c r="M36" s="2987">
        <f t="shared" ref="M36:M64" si="1">ROUND(SUM(E36)+G36+I36+K36,0)</f>
        <v>30000000</v>
      </c>
      <c r="N36" s="2987"/>
      <c r="O36" s="1784"/>
    </row>
    <row r="37" spans="1:15">
      <c r="A37" s="1781" t="s">
        <v>550</v>
      </c>
      <c r="C37" s="3234"/>
      <c r="D37" s="2990"/>
      <c r="E37" s="2989">
        <v>39778</v>
      </c>
      <c r="F37" s="2989"/>
      <c r="G37" s="2987">
        <v>579817</v>
      </c>
      <c r="H37" s="2987"/>
      <c r="I37" s="2987">
        <v>101754</v>
      </c>
      <c r="J37" s="2987"/>
      <c r="K37" s="2987">
        <v>0</v>
      </c>
      <c r="L37" s="2987"/>
      <c r="M37" s="2987">
        <f t="shared" si="1"/>
        <v>721349</v>
      </c>
      <c r="N37" s="2987"/>
      <c r="O37" s="1784"/>
    </row>
    <row r="38" spans="1:15">
      <c r="A38" s="1781" t="s">
        <v>551</v>
      </c>
      <c r="C38" s="3234"/>
      <c r="D38" s="2990"/>
      <c r="E38" s="2989">
        <v>0</v>
      </c>
      <c r="F38" s="2989"/>
      <c r="G38" s="2987">
        <v>973510</v>
      </c>
      <c r="H38" s="2987"/>
      <c r="I38" s="2987">
        <v>-749</v>
      </c>
      <c r="J38" s="2987"/>
      <c r="K38" s="2987">
        <v>0</v>
      </c>
      <c r="L38" s="2987"/>
      <c r="M38" s="2987">
        <f t="shared" si="1"/>
        <v>972761</v>
      </c>
      <c r="N38" s="2987"/>
      <c r="O38" s="1784"/>
    </row>
    <row r="39" spans="1:15">
      <c r="A39" s="1781" t="s">
        <v>552</v>
      </c>
      <c r="C39" s="3234"/>
      <c r="D39" s="2990"/>
      <c r="E39" s="2989">
        <v>0</v>
      </c>
      <c r="F39" s="2989"/>
      <c r="G39" s="2987">
        <v>0</v>
      </c>
      <c r="H39" s="2987"/>
      <c r="I39" s="2987">
        <v>0</v>
      </c>
      <c r="J39" s="2987"/>
      <c r="K39" s="2987">
        <v>0</v>
      </c>
      <c r="L39" s="2987"/>
      <c r="M39" s="2987">
        <f t="shared" si="1"/>
        <v>0</v>
      </c>
      <c r="N39" s="2987"/>
      <c r="O39" s="1784"/>
    </row>
    <row r="40" spans="1:15">
      <c r="A40" s="1781" t="s">
        <v>1097</v>
      </c>
      <c r="C40" s="3234"/>
      <c r="D40" s="2990"/>
      <c r="E40" s="2989">
        <v>208955</v>
      </c>
      <c r="F40" s="2989"/>
      <c r="G40" s="2987">
        <v>0</v>
      </c>
      <c r="H40" s="2987"/>
      <c r="I40" s="2987">
        <v>0</v>
      </c>
      <c r="J40" s="2987"/>
      <c r="K40" s="2987">
        <v>0</v>
      </c>
      <c r="L40" s="2987"/>
      <c r="M40" s="2987">
        <f t="shared" si="1"/>
        <v>208955</v>
      </c>
      <c r="N40" s="2987"/>
      <c r="O40" s="1784"/>
    </row>
    <row r="41" spans="1:15">
      <c r="A41" s="1781" t="s">
        <v>553</v>
      </c>
      <c r="C41" s="3234"/>
      <c r="D41" s="2990"/>
      <c r="E41" s="2989">
        <v>0</v>
      </c>
      <c r="F41" s="2989"/>
      <c r="G41" s="2987">
        <v>0</v>
      </c>
      <c r="H41" s="2987"/>
      <c r="I41" s="2987">
        <v>806429</v>
      </c>
      <c r="J41" s="2987"/>
      <c r="K41" s="2987">
        <v>0</v>
      </c>
      <c r="L41" s="2987"/>
      <c r="M41" s="2987">
        <f t="shared" si="1"/>
        <v>806429</v>
      </c>
      <c r="N41" s="2987"/>
      <c r="O41" s="1784"/>
    </row>
    <row r="42" spans="1:15">
      <c r="A42" s="1781" t="s">
        <v>554</v>
      </c>
      <c r="C42" s="3234"/>
      <c r="D42" s="2990"/>
      <c r="E42" s="2989">
        <v>0</v>
      </c>
      <c r="F42" s="2989"/>
      <c r="G42" s="2987">
        <v>0</v>
      </c>
      <c r="H42" s="2987"/>
      <c r="I42" s="2987">
        <v>0</v>
      </c>
      <c r="J42" s="2987"/>
      <c r="K42" s="2987">
        <v>5641328</v>
      </c>
      <c r="L42" s="2987"/>
      <c r="M42" s="2987">
        <f t="shared" si="1"/>
        <v>5641328</v>
      </c>
      <c r="N42" s="2987"/>
      <c r="O42" s="1784"/>
    </row>
    <row r="43" spans="1:15">
      <c r="A43" s="1781" t="s">
        <v>1098</v>
      </c>
      <c r="C43" s="3234"/>
      <c r="D43" s="2990"/>
      <c r="E43" s="2989">
        <v>0</v>
      </c>
      <c r="F43" s="2989"/>
      <c r="G43" s="2987">
        <v>0</v>
      </c>
      <c r="H43" s="2987"/>
      <c r="I43" s="2987">
        <v>53039</v>
      </c>
      <c r="J43" s="2987"/>
      <c r="K43" s="2987">
        <v>107500</v>
      </c>
      <c r="L43" s="2987"/>
      <c r="M43" s="2987">
        <f t="shared" si="1"/>
        <v>160539</v>
      </c>
      <c r="N43" s="2987"/>
      <c r="O43" s="1784"/>
    </row>
    <row r="44" spans="1:15">
      <c r="A44" s="1781" t="s">
        <v>555</v>
      </c>
      <c r="C44" s="3234"/>
      <c r="D44" s="2990"/>
      <c r="E44" s="2989">
        <v>19600000</v>
      </c>
      <c r="F44" s="2989"/>
      <c r="G44" s="2987">
        <v>0</v>
      </c>
      <c r="H44" s="2987"/>
      <c r="I44" s="2987">
        <v>0</v>
      </c>
      <c r="J44" s="2987"/>
      <c r="K44" s="2987">
        <v>0</v>
      </c>
      <c r="L44" s="2987"/>
      <c r="M44" s="2987">
        <f t="shared" si="1"/>
        <v>19600000</v>
      </c>
      <c r="N44" s="2987"/>
      <c r="O44" s="1784"/>
    </row>
    <row r="45" spans="1:15">
      <c r="A45" s="1781" t="s">
        <v>556</v>
      </c>
      <c r="C45" s="3234"/>
      <c r="D45" s="2990"/>
      <c r="E45" s="2989">
        <v>881738</v>
      </c>
      <c r="F45" s="2989"/>
      <c r="G45" s="2987">
        <v>1340208</v>
      </c>
      <c r="H45" s="2991"/>
      <c r="I45" s="2991">
        <v>1150358</v>
      </c>
      <c r="J45" s="2991"/>
      <c r="K45" s="2991">
        <v>889634</v>
      </c>
      <c r="L45" s="2991"/>
      <c r="M45" s="2991">
        <f t="shared" si="1"/>
        <v>4261938</v>
      </c>
      <c r="N45" s="2991"/>
      <c r="O45" s="1784"/>
    </row>
    <row r="46" spans="1:15">
      <c r="A46" s="1781" t="s">
        <v>557</v>
      </c>
      <c r="C46" s="3234"/>
      <c r="D46" s="2990"/>
      <c r="E46" s="2989">
        <v>217593</v>
      </c>
      <c r="F46" s="2989"/>
      <c r="G46" s="2987">
        <v>557799</v>
      </c>
      <c r="H46" s="2991"/>
      <c r="I46" s="2991">
        <v>647602</v>
      </c>
      <c r="J46" s="2991"/>
      <c r="K46" s="2991">
        <v>368992</v>
      </c>
      <c r="L46" s="2991"/>
      <c r="M46" s="2991">
        <f t="shared" si="1"/>
        <v>1791986</v>
      </c>
      <c r="N46" s="2991"/>
      <c r="O46" s="1784"/>
    </row>
    <row r="47" spans="1:15">
      <c r="A47" s="1781" t="s">
        <v>558</v>
      </c>
      <c r="C47" s="3234"/>
      <c r="D47" s="2990"/>
      <c r="E47" s="2989">
        <v>0</v>
      </c>
      <c r="F47" s="2989"/>
      <c r="G47" s="2987">
        <v>0</v>
      </c>
      <c r="H47" s="2987"/>
      <c r="I47" s="2987">
        <v>0</v>
      </c>
      <c r="J47" s="2987"/>
      <c r="K47" s="2987">
        <v>0</v>
      </c>
      <c r="L47" s="2987"/>
      <c r="M47" s="2987">
        <f t="shared" si="1"/>
        <v>0</v>
      </c>
      <c r="N47" s="2987"/>
      <c r="O47" s="1784"/>
    </row>
    <row r="48" spans="1:15">
      <c r="A48" s="1781" t="s">
        <v>1100</v>
      </c>
      <c r="C48" s="3234"/>
      <c r="D48" s="2990"/>
      <c r="E48" s="2989">
        <v>0</v>
      </c>
      <c r="F48" s="2989"/>
      <c r="G48" s="2987">
        <v>0</v>
      </c>
      <c r="H48" s="2991"/>
      <c r="I48" s="2991">
        <v>0</v>
      </c>
      <c r="J48" s="2991"/>
      <c r="K48" s="2991">
        <v>0</v>
      </c>
      <c r="L48" s="2991"/>
      <c r="M48" s="2991">
        <f t="shared" si="1"/>
        <v>0</v>
      </c>
      <c r="N48" s="2991"/>
      <c r="O48" s="1784"/>
    </row>
    <row r="49" spans="1:15">
      <c r="A49" s="3092" t="s">
        <v>1307</v>
      </c>
      <c r="C49" s="3234"/>
      <c r="D49" s="2990"/>
      <c r="E49" s="2989">
        <v>356308</v>
      </c>
      <c r="F49" s="2989"/>
      <c r="G49" s="2987">
        <v>194032</v>
      </c>
      <c r="H49" s="2991"/>
      <c r="I49" s="2991">
        <v>0</v>
      </c>
      <c r="J49" s="2991"/>
      <c r="K49" s="2991">
        <v>0</v>
      </c>
      <c r="L49" s="2991"/>
      <c r="M49" s="2991">
        <f t="shared" si="1"/>
        <v>550340</v>
      </c>
      <c r="N49" s="2991"/>
      <c r="O49" s="1784"/>
    </row>
    <row r="50" spans="1:15">
      <c r="A50" s="1781" t="s">
        <v>559</v>
      </c>
      <c r="C50" s="3234"/>
      <c r="D50" s="2990"/>
      <c r="E50" s="2989">
        <v>0</v>
      </c>
      <c r="F50" s="2989"/>
      <c r="G50" s="2987">
        <v>0</v>
      </c>
      <c r="H50" s="2987"/>
      <c r="I50" s="2987">
        <v>0</v>
      </c>
      <c r="J50" s="2987"/>
      <c r="K50" s="2987">
        <v>0</v>
      </c>
      <c r="L50" s="2987"/>
      <c r="M50" s="2987">
        <f t="shared" si="1"/>
        <v>0</v>
      </c>
      <c r="N50" s="2987"/>
      <c r="O50" s="1784"/>
    </row>
    <row r="51" spans="1:15">
      <c r="A51" s="1781" t="s">
        <v>560</v>
      </c>
      <c r="C51" s="3234"/>
      <c r="D51" s="2990"/>
      <c r="E51" s="2989">
        <v>112400000</v>
      </c>
      <c r="F51" s="2989"/>
      <c r="G51" s="2987">
        <v>0</v>
      </c>
      <c r="H51" s="2987"/>
      <c r="I51" s="2987">
        <v>0</v>
      </c>
      <c r="J51" s="2987"/>
      <c r="K51" s="2987">
        <v>0</v>
      </c>
      <c r="L51" s="2987"/>
      <c r="M51" s="2987">
        <f t="shared" si="1"/>
        <v>112400000</v>
      </c>
      <c r="N51" s="2987"/>
      <c r="O51" s="1784"/>
    </row>
    <row r="52" spans="1:15">
      <c r="A52" s="1781" t="s">
        <v>561</v>
      </c>
      <c r="C52" s="3234"/>
      <c r="D52" s="2990"/>
      <c r="E52" s="2989">
        <v>312030</v>
      </c>
      <c r="F52" s="2989"/>
      <c r="G52" s="2987">
        <v>375158</v>
      </c>
      <c r="H52" s="2991"/>
      <c r="I52" s="2991">
        <v>0</v>
      </c>
      <c r="J52" s="2991"/>
      <c r="K52" s="2991">
        <v>251755</v>
      </c>
      <c r="L52" s="2991"/>
      <c r="M52" s="2991">
        <f t="shared" si="1"/>
        <v>938943</v>
      </c>
      <c r="N52" s="2991"/>
      <c r="O52" s="1784"/>
    </row>
    <row r="53" spans="1:15">
      <c r="A53" s="1781" t="s">
        <v>562</v>
      </c>
      <c r="C53" s="3234"/>
      <c r="D53" s="2990"/>
      <c r="E53" s="2989">
        <v>0</v>
      </c>
      <c r="F53" s="2989"/>
      <c r="G53" s="2987">
        <v>100208</v>
      </c>
      <c r="H53" s="2991"/>
      <c r="I53" s="2991">
        <v>0</v>
      </c>
      <c r="J53" s="2991"/>
      <c r="K53" s="2991">
        <v>100000</v>
      </c>
      <c r="L53" s="2991"/>
      <c r="M53" s="2991">
        <f t="shared" si="1"/>
        <v>200208</v>
      </c>
      <c r="N53" s="2991"/>
      <c r="O53" s="1784"/>
    </row>
    <row r="54" spans="1:15">
      <c r="A54" s="1781" t="s">
        <v>563</v>
      </c>
      <c r="C54" s="3234"/>
      <c r="D54" s="2990"/>
      <c r="E54" s="2989">
        <v>0</v>
      </c>
      <c r="F54" s="2989"/>
      <c r="G54" s="2987">
        <v>179139</v>
      </c>
      <c r="H54" s="2987"/>
      <c r="I54" s="2987">
        <v>0</v>
      </c>
      <c r="J54" s="2987"/>
      <c r="K54" s="2987">
        <v>0</v>
      </c>
      <c r="L54" s="2987"/>
      <c r="M54" s="2987">
        <f t="shared" si="1"/>
        <v>179139</v>
      </c>
      <c r="N54" s="2987"/>
      <c r="O54" s="1784"/>
    </row>
    <row r="55" spans="1:15">
      <c r="A55" s="1781" t="s">
        <v>564</v>
      </c>
      <c r="C55" s="3234"/>
      <c r="D55" s="2990"/>
      <c r="E55" s="2989">
        <v>0</v>
      </c>
      <c r="F55" s="2989"/>
      <c r="G55" s="2987">
        <v>0</v>
      </c>
      <c r="H55" s="2987"/>
      <c r="I55" s="2987">
        <v>0</v>
      </c>
      <c r="J55" s="2987"/>
      <c r="K55" s="2987">
        <v>0</v>
      </c>
      <c r="L55" s="2987"/>
      <c r="M55" s="2987">
        <f t="shared" si="1"/>
        <v>0</v>
      </c>
      <c r="N55" s="2987"/>
      <c r="O55" s="1784"/>
    </row>
    <row r="56" spans="1:15">
      <c r="A56" s="1781" t="s">
        <v>565</v>
      </c>
      <c r="C56" s="3234"/>
      <c r="D56" s="2990"/>
      <c r="E56" s="2989">
        <v>675087</v>
      </c>
      <c r="F56" s="2989"/>
      <c r="G56" s="2987">
        <v>640399</v>
      </c>
      <c r="H56" s="2987"/>
      <c r="I56" s="2987">
        <v>791447</v>
      </c>
      <c r="J56" s="2987"/>
      <c r="K56" s="2987">
        <v>0</v>
      </c>
      <c r="L56" s="2987"/>
      <c r="M56" s="2987">
        <f t="shared" si="1"/>
        <v>2106933</v>
      </c>
      <c r="N56" s="2987"/>
      <c r="O56" s="1784"/>
    </row>
    <row r="57" spans="1:15">
      <c r="A57" s="1781" t="s">
        <v>566</v>
      </c>
      <c r="C57" s="3234"/>
      <c r="D57" s="2990"/>
      <c r="E57" s="2989">
        <v>21777000</v>
      </c>
      <c r="F57" s="2989"/>
      <c r="G57" s="2987">
        <v>21777000</v>
      </c>
      <c r="H57" s="2987"/>
      <c r="I57" s="2987">
        <v>21777000</v>
      </c>
      <c r="J57" s="2987"/>
      <c r="K57" s="2987">
        <v>21776000</v>
      </c>
      <c r="L57" s="2987"/>
      <c r="M57" s="2987">
        <f t="shared" si="1"/>
        <v>87107000</v>
      </c>
      <c r="N57" s="2987"/>
      <c r="O57" s="1784"/>
    </row>
    <row r="58" spans="1:15">
      <c r="A58" s="1781" t="s">
        <v>567</v>
      </c>
      <c r="C58" s="3234"/>
      <c r="D58" s="2990"/>
      <c r="E58" s="2989">
        <v>0</v>
      </c>
      <c r="F58" s="2989"/>
      <c r="G58" s="2987">
        <v>0</v>
      </c>
      <c r="H58" s="2987"/>
      <c r="I58" s="2987">
        <v>0</v>
      </c>
      <c r="J58" s="2987"/>
      <c r="K58" s="2987">
        <v>0</v>
      </c>
      <c r="L58" s="2987"/>
      <c r="M58" s="2987">
        <f t="shared" si="1"/>
        <v>0</v>
      </c>
      <c r="N58" s="2987"/>
      <c r="O58" s="1784"/>
    </row>
    <row r="59" spans="1:15">
      <c r="A59" s="1781" t="s">
        <v>568</v>
      </c>
      <c r="C59" s="3234"/>
      <c r="D59" s="2990"/>
      <c r="E59" s="2989">
        <v>1741691</v>
      </c>
      <c r="F59" s="2989"/>
      <c r="G59" s="2987">
        <v>2195278</v>
      </c>
      <c r="H59" s="2991"/>
      <c r="I59" s="2991">
        <v>2727904</v>
      </c>
      <c r="J59" s="2991"/>
      <c r="K59" s="2991">
        <v>1585984</v>
      </c>
      <c r="L59" s="2991"/>
      <c r="M59" s="2991">
        <f t="shared" si="1"/>
        <v>8250857</v>
      </c>
      <c r="N59" s="2991"/>
      <c r="O59" s="1784"/>
    </row>
    <row r="60" spans="1:15">
      <c r="A60" s="1781" t="s">
        <v>569</v>
      </c>
      <c r="C60" s="3234"/>
      <c r="D60" s="2990"/>
      <c r="E60" s="2989">
        <v>1400264</v>
      </c>
      <c r="F60" s="2989"/>
      <c r="G60" s="2987">
        <v>1178214</v>
      </c>
      <c r="H60" s="2991"/>
      <c r="I60" s="2991">
        <v>1501510</v>
      </c>
      <c r="J60" s="2991"/>
      <c r="K60" s="2991">
        <v>293269</v>
      </c>
      <c r="L60" s="2991"/>
      <c r="M60" s="2991">
        <f t="shared" si="1"/>
        <v>4373257</v>
      </c>
      <c r="N60" s="2991"/>
      <c r="O60" s="1784"/>
    </row>
    <row r="61" spans="1:15">
      <c r="A61" s="1781" t="s">
        <v>570</v>
      </c>
      <c r="C61" s="3234"/>
      <c r="D61" s="2990"/>
      <c r="E61" s="2989">
        <v>0</v>
      </c>
      <c r="F61" s="2989"/>
      <c r="G61" s="2987">
        <v>0</v>
      </c>
      <c r="H61" s="2987"/>
      <c r="I61" s="2987">
        <v>2644000</v>
      </c>
      <c r="J61" s="2987"/>
      <c r="K61" s="2987">
        <v>0</v>
      </c>
      <c r="L61" s="2987"/>
      <c r="M61" s="2987">
        <f t="shared" si="1"/>
        <v>2644000</v>
      </c>
      <c r="N61" s="2987"/>
      <c r="O61" s="1784"/>
    </row>
    <row r="62" spans="1:15">
      <c r="A62" s="1781" t="s">
        <v>571</v>
      </c>
      <c r="C62" s="3234"/>
      <c r="D62" s="2990"/>
      <c r="E62" s="2989">
        <v>0</v>
      </c>
      <c r="F62" s="2989"/>
      <c r="G62" s="2987">
        <v>0</v>
      </c>
      <c r="H62" s="2987"/>
      <c r="I62" s="2987">
        <v>5288000</v>
      </c>
      <c r="J62" s="2987"/>
      <c r="K62" s="2987">
        <v>0</v>
      </c>
      <c r="L62" s="2987"/>
      <c r="M62" s="2987">
        <f t="shared" si="1"/>
        <v>5288000</v>
      </c>
      <c r="N62" s="2987"/>
      <c r="O62" s="1784"/>
    </row>
    <row r="63" spans="1:15">
      <c r="A63" s="1781" t="s">
        <v>572</v>
      </c>
      <c r="C63" s="3234"/>
      <c r="D63" s="2990"/>
      <c r="E63" s="2989">
        <v>0</v>
      </c>
      <c r="F63" s="2989"/>
      <c r="G63" s="2987">
        <v>0</v>
      </c>
      <c r="H63" s="2987"/>
      <c r="I63" s="2987">
        <v>0</v>
      </c>
      <c r="J63" s="2987"/>
      <c r="K63" s="2987">
        <v>0</v>
      </c>
      <c r="L63" s="2987"/>
      <c r="M63" s="2987">
        <f t="shared" si="1"/>
        <v>0</v>
      </c>
      <c r="N63" s="2987"/>
      <c r="O63" s="1784"/>
    </row>
    <row r="64" spans="1:15">
      <c r="A64" s="1781" t="s">
        <v>1004</v>
      </c>
      <c r="C64" s="3234"/>
      <c r="D64" s="2990"/>
      <c r="E64" s="2989">
        <v>0</v>
      </c>
      <c r="F64" s="2989"/>
      <c r="G64" s="2987">
        <v>0</v>
      </c>
      <c r="H64" s="2987"/>
      <c r="I64" s="2987">
        <v>0</v>
      </c>
      <c r="J64" s="2987"/>
      <c r="K64" s="2987">
        <v>0</v>
      </c>
      <c r="L64" s="2987"/>
      <c r="M64" s="2987">
        <f t="shared" si="1"/>
        <v>0</v>
      </c>
      <c r="N64" s="2987"/>
      <c r="O64" s="1784"/>
    </row>
    <row r="65" spans="1:15">
      <c r="A65" s="2982" t="s">
        <v>573</v>
      </c>
      <c r="B65" s="2968"/>
      <c r="C65" s="3457">
        <v>26993428000</v>
      </c>
      <c r="D65" s="2992"/>
      <c r="E65" s="2987"/>
      <c r="F65" s="2987"/>
      <c r="G65" s="2987"/>
      <c r="H65" s="2989"/>
      <c r="I65" s="2989"/>
      <c r="J65" s="2989"/>
      <c r="K65" s="2989"/>
      <c r="L65" s="2989"/>
      <c r="M65" s="2989"/>
      <c r="N65" s="2989"/>
    </row>
    <row r="66" spans="1:15">
      <c r="A66" s="1781" t="s">
        <v>1099</v>
      </c>
      <c r="B66" s="2967"/>
      <c r="C66" s="3458"/>
      <c r="D66" s="2990"/>
      <c r="E66" s="2989">
        <v>0</v>
      </c>
      <c r="F66" s="2989"/>
      <c r="G66" s="2987">
        <v>0</v>
      </c>
      <c r="H66" s="2987"/>
      <c r="I66" s="2987">
        <v>0</v>
      </c>
      <c r="J66" s="2987"/>
      <c r="K66" s="2987">
        <v>0</v>
      </c>
      <c r="L66" s="2987"/>
      <c r="M66" s="2987">
        <f t="shared" ref="M66:M79" si="2">ROUND(SUM(E66)+G66+I66+K66,0)</f>
        <v>0</v>
      </c>
      <c r="N66" s="2987"/>
    </row>
    <row r="67" spans="1:15">
      <c r="A67" s="1781" t="s">
        <v>574</v>
      </c>
      <c r="B67" s="2967"/>
      <c r="C67" s="3458"/>
      <c r="D67" s="2993"/>
      <c r="E67" s="2989">
        <v>0</v>
      </c>
      <c r="F67" s="2989"/>
      <c r="G67" s="2987">
        <v>0</v>
      </c>
      <c r="H67" s="2987"/>
      <c r="I67" s="2987">
        <v>0</v>
      </c>
      <c r="J67" s="2987"/>
      <c r="K67" s="2987">
        <v>0</v>
      </c>
      <c r="L67" s="2987"/>
      <c r="M67" s="2987">
        <f t="shared" si="2"/>
        <v>0</v>
      </c>
      <c r="N67" s="2987"/>
      <c r="O67" s="1784"/>
    </row>
    <row r="68" spans="1:15">
      <c r="A68" s="1781" t="s">
        <v>575</v>
      </c>
      <c r="B68" s="2967"/>
      <c r="C68" s="3458"/>
      <c r="D68" s="2993"/>
      <c r="E68" s="2989">
        <v>0</v>
      </c>
      <c r="F68" s="2989"/>
      <c r="G68" s="2987">
        <v>0</v>
      </c>
      <c r="H68" s="2987"/>
      <c r="I68" s="2987">
        <v>0</v>
      </c>
      <c r="J68" s="2987"/>
      <c r="K68" s="2987">
        <v>0</v>
      </c>
      <c r="L68" s="2987"/>
      <c r="M68" s="2987">
        <f t="shared" si="2"/>
        <v>0</v>
      </c>
      <c r="N68" s="2987"/>
      <c r="O68" s="1784"/>
    </row>
    <row r="69" spans="1:15">
      <c r="A69" s="1781" t="s">
        <v>576</v>
      </c>
      <c r="B69" s="2994"/>
      <c r="C69" s="3458"/>
      <c r="D69" s="2993"/>
      <c r="E69" s="2989">
        <v>0</v>
      </c>
      <c r="F69" s="2989"/>
      <c r="G69" s="2987">
        <v>0</v>
      </c>
      <c r="H69" s="2987"/>
      <c r="I69" s="2987">
        <v>0</v>
      </c>
      <c r="J69" s="2987"/>
      <c r="K69" s="2987">
        <v>0</v>
      </c>
      <c r="L69" s="2987"/>
      <c r="M69" s="2987">
        <f t="shared" si="2"/>
        <v>0</v>
      </c>
      <c r="N69" s="2987"/>
      <c r="O69" s="1784"/>
    </row>
    <row r="70" spans="1:15">
      <c r="A70" s="2995" t="s">
        <v>577</v>
      </c>
      <c r="B70" s="2996"/>
      <c r="C70" s="3458"/>
      <c r="D70" s="2993"/>
      <c r="E70" s="2989">
        <v>0</v>
      </c>
      <c r="F70" s="2989"/>
      <c r="G70" s="2987">
        <v>0</v>
      </c>
      <c r="H70" s="2987"/>
      <c r="I70" s="2987">
        <v>0</v>
      </c>
      <c r="J70" s="2987"/>
      <c r="K70" s="2987">
        <v>0</v>
      </c>
      <c r="L70" s="2987"/>
      <c r="M70" s="2987">
        <f t="shared" si="2"/>
        <v>0</v>
      </c>
      <c r="N70" s="2987"/>
      <c r="O70" s="1784"/>
    </row>
    <row r="71" spans="1:15">
      <c r="A71" s="1781" t="s">
        <v>578</v>
      </c>
      <c r="B71" s="2967"/>
      <c r="C71" s="3458"/>
      <c r="D71" s="2990"/>
      <c r="E71" s="2989">
        <v>0</v>
      </c>
      <c r="F71" s="2989"/>
      <c r="G71" s="2987">
        <v>0</v>
      </c>
      <c r="H71" s="2987"/>
      <c r="I71" s="2987">
        <v>0</v>
      </c>
      <c r="J71" s="2987"/>
      <c r="K71" s="2987">
        <v>0</v>
      </c>
      <c r="L71" s="2987"/>
      <c r="M71" s="2987">
        <f t="shared" si="2"/>
        <v>0</v>
      </c>
      <c r="N71" s="2987"/>
      <c r="O71" s="1784"/>
    </row>
    <row r="72" spans="1:15">
      <c r="A72" s="1785" t="s">
        <v>579</v>
      </c>
      <c r="B72" s="2997"/>
      <c r="C72" s="3458"/>
      <c r="D72" s="2998"/>
      <c r="E72" s="3231">
        <v>178896179</v>
      </c>
      <c r="F72" s="3231"/>
      <c r="G72" s="2987">
        <v>283668886</v>
      </c>
      <c r="H72" s="2989"/>
      <c r="I72" s="2989">
        <v>224026477</v>
      </c>
      <c r="J72" s="2989"/>
      <c r="K72" s="2989">
        <v>59480210</v>
      </c>
      <c r="L72" s="2989"/>
      <c r="M72" s="2987">
        <f t="shared" si="2"/>
        <v>746071752</v>
      </c>
      <c r="N72" s="2989"/>
      <c r="O72" s="1784"/>
    </row>
    <row r="73" spans="1:15">
      <c r="A73" s="1781" t="s">
        <v>580</v>
      </c>
      <c r="B73" s="2999"/>
      <c r="C73" s="3458"/>
      <c r="D73" s="2985"/>
      <c r="E73" s="3231">
        <v>864000000</v>
      </c>
      <c r="F73" s="3231"/>
      <c r="G73" s="2987">
        <v>1040000000</v>
      </c>
      <c r="H73" s="2987"/>
      <c r="I73" s="2987">
        <v>1082000000</v>
      </c>
      <c r="J73" s="2987"/>
      <c r="K73" s="2987">
        <v>351564000</v>
      </c>
      <c r="L73" s="2987"/>
      <c r="M73" s="2987">
        <f t="shared" si="2"/>
        <v>3337564000</v>
      </c>
      <c r="N73" s="2987"/>
      <c r="O73" s="1784"/>
    </row>
    <row r="74" spans="1:15">
      <c r="A74" s="1781" t="s">
        <v>581</v>
      </c>
      <c r="B74" s="3000"/>
      <c r="C74" s="3458"/>
      <c r="D74" s="3001"/>
      <c r="E74" s="2989">
        <v>0</v>
      </c>
      <c r="F74" s="2989"/>
      <c r="G74" s="2987">
        <v>0</v>
      </c>
      <c r="H74" s="2987"/>
      <c r="I74" s="2987">
        <v>0</v>
      </c>
      <c r="J74" s="2987"/>
      <c r="K74" s="2987">
        <v>0</v>
      </c>
      <c r="L74" s="2987"/>
      <c r="M74" s="2987">
        <f t="shared" si="2"/>
        <v>0</v>
      </c>
      <c r="N74" s="2987"/>
      <c r="O74" s="1784"/>
    </row>
    <row r="75" spans="1:15">
      <c r="A75" s="1781" t="s">
        <v>582</v>
      </c>
      <c r="B75" s="3000"/>
      <c r="C75" s="3458"/>
      <c r="D75" s="3001"/>
      <c r="E75" s="2989">
        <v>0</v>
      </c>
      <c r="F75" s="2989"/>
      <c r="G75" s="2987">
        <v>0</v>
      </c>
      <c r="H75" s="2987"/>
      <c r="I75" s="2987">
        <v>0</v>
      </c>
      <c r="J75" s="2987"/>
      <c r="K75" s="2987">
        <v>0</v>
      </c>
      <c r="L75" s="2987"/>
      <c r="M75" s="2987">
        <f t="shared" si="2"/>
        <v>0</v>
      </c>
      <c r="N75" s="2987"/>
      <c r="O75" s="1784"/>
    </row>
    <row r="76" spans="1:15">
      <c r="A76" s="1781" t="s">
        <v>583</v>
      </c>
      <c r="B76" s="3000"/>
      <c r="C76" s="3458"/>
      <c r="D76" s="3001"/>
      <c r="E76" s="2989">
        <v>0</v>
      </c>
      <c r="F76" s="2989"/>
      <c r="G76" s="2987">
        <v>0</v>
      </c>
      <c r="H76" s="2987"/>
      <c r="I76" s="2987">
        <v>0</v>
      </c>
      <c r="J76" s="2987"/>
      <c r="K76" s="2987">
        <v>0</v>
      </c>
      <c r="L76" s="2987"/>
      <c r="M76" s="2987">
        <f t="shared" si="2"/>
        <v>0</v>
      </c>
      <c r="N76" s="2987"/>
      <c r="O76" s="1784"/>
    </row>
    <row r="77" spans="1:15">
      <c r="A77" s="1781" t="s">
        <v>1006</v>
      </c>
      <c r="B77" s="3000"/>
      <c r="C77" s="3458"/>
      <c r="D77" s="3001"/>
      <c r="E77" s="2989">
        <v>0</v>
      </c>
      <c r="F77" s="2989"/>
      <c r="G77" s="2987">
        <v>0</v>
      </c>
      <c r="H77" s="2987"/>
      <c r="I77" s="2987">
        <v>0</v>
      </c>
      <c r="J77" s="2987"/>
      <c r="K77" s="2987">
        <v>0</v>
      </c>
      <c r="L77" s="2987"/>
      <c r="M77" s="2987">
        <f t="shared" si="2"/>
        <v>0</v>
      </c>
      <c r="N77" s="2987"/>
      <c r="O77" s="1784"/>
    </row>
    <row r="78" spans="1:15">
      <c r="A78" s="1781" t="s">
        <v>1005</v>
      </c>
      <c r="B78" s="3000"/>
      <c r="C78" s="3458"/>
      <c r="D78" s="3001"/>
      <c r="E78" s="2989">
        <v>0</v>
      </c>
      <c r="F78" s="2989"/>
      <c r="G78" s="2987">
        <v>0</v>
      </c>
      <c r="H78" s="2987"/>
      <c r="I78" s="2987">
        <v>0</v>
      </c>
      <c r="J78" s="2987"/>
      <c r="K78" s="2987">
        <v>0</v>
      </c>
      <c r="L78" s="2987"/>
      <c r="M78" s="2987">
        <f t="shared" si="2"/>
        <v>0</v>
      </c>
      <c r="N78" s="2987"/>
      <c r="O78" s="1784"/>
    </row>
    <row r="79" spans="1:15">
      <c r="A79" s="1781" t="s">
        <v>584</v>
      </c>
      <c r="B79" s="3000"/>
      <c r="C79" s="3458"/>
      <c r="D79" s="3001"/>
      <c r="E79" s="2989">
        <v>0</v>
      </c>
      <c r="F79" s="2989"/>
      <c r="G79" s="2987">
        <v>0</v>
      </c>
      <c r="H79" s="2987"/>
      <c r="I79" s="2987">
        <v>0</v>
      </c>
      <c r="J79" s="2987"/>
      <c r="K79" s="2987">
        <v>0</v>
      </c>
      <c r="L79" s="2987"/>
      <c r="M79" s="2987">
        <f t="shared" si="2"/>
        <v>0</v>
      </c>
      <c r="N79" s="2987"/>
      <c r="O79" s="1784"/>
    </row>
    <row r="80" spans="1:15">
      <c r="A80" s="2982" t="s">
        <v>585</v>
      </c>
      <c r="B80" s="3002"/>
      <c r="C80" s="3457">
        <v>5834000</v>
      </c>
      <c r="D80" s="3003"/>
      <c r="E80" s="2989"/>
      <c r="F80" s="2989"/>
      <c r="G80" s="2989"/>
      <c r="H80" s="2987"/>
      <c r="I80" s="2987"/>
      <c r="J80" s="2987"/>
      <c r="K80" s="2987"/>
      <c r="L80" s="2987"/>
      <c r="M80" s="2987"/>
      <c r="N80" s="2987"/>
      <c r="O80" s="1784"/>
    </row>
    <row r="81" spans="1:20">
      <c r="A81" s="1781" t="s">
        <v>586</v>
      </c>
      <c r="B81" s="3004"/>
      <c r="C81" s="3458"/>
      <c r="D81" s="3003"/>
      <c r="E81" s="2989">
        <v>347101</v>
      </c>
      <c r="F81" s="2989"/>
      <c r="G81" s="2987">
        <v>225670</v>
      </c>
      <c r="H81" s="2987"/>
      <c r="I81" s="2987">
        <v>17954</v>
      </c>
      <c r="J81" s="2987"/>
      <c r="K81" s="2987">
        <v>211891</v>
      </c>
      <c r="L81" s="2987"/>
      <c r="M81" s="2987">
        <f>ROUND(SUM(E81)+G81+I81+K81,0)</f>
        <v>802616</v>
      </c>
      <c r="N81" s="2987"/>
      <c r="O81" s="1784"/>
    </row>
    <row r="82" spans="1:20">
      <c r="A82" s="2982" t="s">
        <v>587</v>
      </c>
      <c r="B82" s="3005"/>
      <c r="C82" s="3457">
        <v>61600975</v>
      </c>
      <c r="D82" s="2990"/>
      <c r="E82" s="3241"/>
      <c r="F82" s="3241"/>
      <c r="G82" s="3241"/>
      <c r="H82" s="2987"/>
      <c r="I82" s="2987"/>
      <c r="J82" s="2987"/>
      <c r="K82" s="2987"/>
      <c r="L82" s="2987"/>
      <c r="M82" s="2987"/>
      <c r="N82" s="2987"/>
      <c r="O82" s="1784"/>
    </row>
    <row r="83" spans="1:20">
      <c r="A83" s="1781" t="s">
        <v>588</v>
      </c>
      <c r="B83" s="3006"/>
      <c r="C83" s="3458"/>
      <c r="D83" s="2990"/>
      <c r="E83" s="3241">
        <v>4790711</v>
      </c>
      <c r="F83" s="3241"/>
      <c r="G83" s="2987">
        <v>3720098</v>
      </c>
      <c r="H83" s="2989"/>
      <c r="I83" s="2989">
        <v>3709346</v>
      </c>
      <c r="J83" s="2989"/>
      <c r="K83" s="2989">
        <v>1449422</v>
      </c>
      <c r="L83" s="2989"/>
      <c r="M83" s="2987">
        <f>ROUND(SUM(E83)+G83+I83+K83,0)</f>
        <v>13669577</v>
      </c>
      <c r="N83" s="2989"/>
      <c r="O83" s="1784"/>
    </row>
    <row r="84" spans="1:20">
      <c r="A84" s="2982" t="s">
        <v>589</v>
      </c>
      <c r="B84" s="3007"/>
      <c r="C84" s="3457">
        <v>6748101</v>
      </c>
      <c r="D84" s="3008"/>
      <c r="E84" s="3231"/>
      <c r="F84" s="3231"/>
      <c r="G84" s="3231"/>
      <c r="H84" s="2987"/>
      <c r="I84" s="2987"/>
      <c r="J84" s="2987"/>
      <c r="K84" s="2987"/>
      <c r="L84" s="2987"/>
      <c r="M84" s="2987"/>
      <c r="N84" s="2987"/>
      <c r="O84" s="1784"/>
    </row>
    <row r="85" spans="1:20">
      <c r="A85" s="1781" t="s">
        <v>590</v>
      </c>
      <c r="B85" s="3009"/>
      <c r="C85" s="3242"/>
      <c r="D85" s="3008"/>
      <c r="E85" s="2989">
        <v>0</v>
      </c>
      <c r="F85" s="2989"/>
      <c r="G85" s="2987">
        <v>0</v>
      </c>
      <c r="H85" s="2987"/>
      <c r="I85" s="2987">
        <v>0</v>
      </c>
      <c r="J85" s="2987"/>
      <c r="K85" s="2987">
        <v>0</v>
      </c>
      <c r="L85" s="2987"/>
      <c r="M85" s="2987">
        <f>ROUND(SUM(E85)+G85+I85+K85,0)</f>
        <v>0</v>
      </c>
      <c r="N85" s="2987"/>
      <c r="O85" s="1784"/>
    </row>
    <row r="86" spans="1:20">
      <c r="A86" s="1781" t="s">
        <v>591</v>
      </c>
      <c r="B86" s="3009"/>
      <c r="C86" s="3242"/>
      <c r="D86" s="3008"/>
      <c r="E86" s="2989">
        <v>0</v>
      </c>
      <c r="F86" s="2989"/>
      <c r="G86" s="2987">
        <v>0</v>
      </c>
      <c r="H86" s="2987"/>
      <c r="I86" s="2987">
        <v>0</v>
      </c>
      <c r="J86" s="2987"/>
      <c r="K86" s="2987">
        <v>0</v>
      </c>
      <c r="L86" s="2987"/>
      <c r="M86" s="2987">
        <f>ROUND(SUM(E86)+G86+I86+K86,0)</f>
        <v>0</v>
      </c>
      <c r="N86" s="2987"/>
      <c r="O86" s="1784"/>
    </row>
    <row r="87" spans="1:20">
      <c r="A87" s="1781" t="s">
        <v>592</v>
      </c>
      <c r="B87" s="3009"/>
      <c r="C87" s="3243"/>
      <c r="D87" s="3008"/>
      <c r="E87" s="2989">
        <v>0</v>
      </c>
      <c r="F87" s="2989"/>
      <c r="G87" s="2987">
        <v>0</v>
      </c>
      <c r="H87" s="2987"/>
      <c r="I87" s="2987">
        <v>0</v>
      </c>
      <c r="J87" s="2987"/>
      <c r="K87" s="2987">
        <v>0</v>
      </c>
      <c r="L87" s="2987"/>
      <c r="M87" s="2987">
        <f>ROUND(SUM(E87)+G87+I87+K87,0)</f>
        <v>0</v>
      </c>
      <c r="N87" s="2987"/>
      <c r="O87" s="1784"/>
    </row>
    <row r="88" spans="1:20">
      <c r="A88" s="1781" t="s">
        <v>593</v>
      </c>
      <c r="B88" s="1785"/>
      <c r="C88" s="3243"/>
      <c r="D88" s="2993"/>
      <c r="E88" s="2989">
        <v>0</v>
      </c>
      <c r="F88" s="2989"/>
      <c r="G88" s="2987">
        <v>0</v>
      </c>
      <c r="H88" s="2987"/>
      <c r="I88" s="2987">
        <v>0</v>
      </c>
      <c r="J88" s="2987"/>
      <c r="K88" s="2987">
        <v>0</v>
      </c>
      <c r="L88" s="2987"/>
      <c r="M88" s="2987">
        <f>ROUND(SUM(E88)+G88+I88+K88,0)</f>
        <v>0</v>
      </c>
      <c r="N88" s="2987"/>
      <c r="O88" s="1784"/>
    </row>
    <row r="89" spans="1:20">
      <c r="A89" s="3091" t="s">
        <v>1426</v>
      </c>
      <c r="B89" s="3092"/>
      <c r="C89" s="3244">
        <v>4095000</v>
      </c>
      <c r="D89" s="2993"/>
      <c r="E89" s="2989"/>
      <c r="F89" s="2989"/>
      <c r="G89" s="2987"/>
      <c r="H89" s="2987"/>
      <c r="I89" s="2987"/>
      <c r="J89" s="2987"/>
      <c r="K89" s="2987"/>
      <c r="L89" s="2987"/>
      <c r="M89" s="2987"/>
      <c r="N89" s="2987"/>
      <c r="O89" s="1784"/>
    </row>
    <row r="90" spans="1:20">
      <c r="A90" s="3092" t="s">
        <v>1427</v>
      </c>
      <c r="B90" s="3092"/>
      <c r="C90" s="3243"/>
      <c r="D90" s="2993"/>
      <c r="E90" s="2989">
        <v>469734</v>
      </c>
      <c r="F90" s="2989"/>
      <c r="G90" s="2987">
        <v>1055918.28</v>
      </c>
      <c r="H90" s="2987"/>
      <c r="I90" s="2987">
        <v>1227205</v>
      </c>
      <c r="J90" s="2987"/>
      <c r="K90" s="2987">
        <v>685631</v>
      </c>
      <c r="L90" s="2987"/>
      <c r="M90" s="2987">
        <f>ROUND(SUM(E90)+G90+I90+K90,0)</f>
        <v>3438488</v>
      </c>
      <c r="N90" s="2987"/>
      <c r="O90" s="1784"/>
    </row>
    <row r="91" spans="1:20">
      <c r="A91" s="3010" t="s">
        <v>57</v>
      </c>
      <c r="B91" s="3011"/>
      <c r="C91" s="3245">
        <f>ROUND(SUM(C9:C90),0)</f>
        <v>30154036872</v>
      </c>
      <c r="D91" s="3012"/>
      <c r="E91" s="3013">
        <f>ROUND(SUM(E9:E90),0)</f>
        <v>1277659079</v>
      </c>
      <c r="F91" s="3013"/>
      <c r="G91" s="3013">
        <f>ROUND(SUM(G9:G90),0)</f>
        <v>1489784103</v>
      </c>
      <c r="H91" s="3013"/>
      <c r="I91" s="3013">
        <f>ROUND(SUM(I9:I90),0)</f>
        <v>1444710511</v>
      </c>
      <c r="J91" s="3013"/>
      <c r="K91" s="3013">
        <f>ROUND(SUM(K9:K90),0)</f>
        <v>482767885</v>
      </c>
      <c r="L91" s="3013"/>
      <c r="M91" s="3013">
        <f>ROUND(SUM(M9:M90),0)</f>
        <v>4694921578</v>
      </c>
      <c r="N91" s="3013"/>
      <c r="O91" s="1784"/>
    </row>
    <row r="92" spans="1:20" s="1796" customFormat="1" ht="25.5">
      <c r="A92" s="3014" t="s">
        <v>594</v>
      </c>
      <c r="B92" s="3339"/>
      <c r="C92" s="3340">
        <v>89000</v>
      </c>
      <c r="D92" s="3341"/>
      <c r="E92" s="3241"/>
      <c r="F92" s="3241"/>
      <c r="G92" s="3241"/>
      <c r="H92" s="3241"/>
      <c r="I92" s="3241"/>
      <c r="J92" s="3241"/>
      <c r="K92" s="3241"/>
      <c r="L92" s="3241"/>
      <c r="M92" s="3459"/>
      <c r="N92" s="3241"/>
      <c r="O92" s="1784"/>
      <c r="P92" s="2495"/>
      <c r="Q92" s="2495"/>
      <c r="R92" s="1363"/>
      <c r="S92" s="1363"/>
      <c r="T92" s="1127"/>
    </row>
    <row r="93" spans="1:20" s="1796" customFormat="1">
      <c r="A93" s="3015" t="s">
        <v>595</v>
      </c>
      <c r="B93" s="3339"/>
      <c r="C93" s="3342"/>
      <c r="D93" s="3341"/>
      <c r="E93" s="2987">
        <v>-2427384</v>
      </c>
      <c r="F93" s="2987"/>
      <c r="G93" s="2987">
        <v>-2122967.6799999997</v>
      </c>
      <c r="H93" s="2987"/>
      <c r="I93" s="2987">
        <v>-1874124.3599999999</v>
      </c>
      <c r="J93" s="2987"/>
      <c r="K93" s="2987">
        <v>-892253</v>
      </c>
      <c r="L93" s="2987"/>
      <c r="M93" s="2987">
        <f>ROUND(SUM(E93)+G93+I93+K93,0)</f>
        <v>-7316729</v>
      </c>
      <c r="N93" s="2987"/>
      <c r="O93" s="1784"/>
      <c r="P93" s="2495"/>
      <c r="Q93" s="2495"/>
      <c r="R93" s="1363"/>
      <c r="S93" s="1363"/>
      <c r="T93" s="1127"/>
    </row>
    <row r="94" spans="1:20" s="1796" customFormat="1">
      <c r="A94" s="3015" t="s">
        <v>596</v>
      </c>
      <c r="B94" s="3343"/>
      <c r="C94" s="3340"/>
      <c r="D94" s="3344"/>
      <c r="E94" s="2987">
        <v>902</v>
      </c>
      <c r="F94" s="2987"/>
      <c r="G94" s="2987">
        <v>-5038.92</v>
      </c>
      <c r="H94" s="3227"/>
      <c r="I94" s="2987">
        <v>4170.87</v>
      </c>
      <c r="J94" s="3227"/>
      <c r="K94" s="2987">
        <v>-170.87</v>
      </c>
      <c r="L94" s="3227"/>
      <c r="M94" s="2987">
        <f>ROUND(SUM(E94)+G94+I94+K94,0)</f>
        <v>-137</v>
      </c>
      <c r="N94" s="3227"/>
      <c r="O94" s="1784"/>
      <c r="P94" s="2495"/>
      <c r="Q94" s="2495"/>
      <c r="R94" s="1363"/>
      <c r="S94" s="1363"/>
      <c r="T94" s="1127"/>
    </row>
    <row r="95" spans="1:20" s="1796" customFormat="1" ht="15.75" thickBot="1">
      <c r="A95" s="3010" t="s">
        <v>1396</v>
      </c>
      <c r="B95" s="2968"/>
      <c r="C95" s="3460">
        <f>ROUND(SUM(C91:C94),0)</f>
        <v>30154125872</v>
      </c>
      <c r="D95" s="3345"/>
      <c r="E95" s="3346">
        <f>ROUND(SUM(E91:E94),0)</f>
        <v>1275232597</v>
      </c>
      <c r="F95" s="3347"/>
      <c r="G95" s="3346">
        <f>ROUND(SUM(G91:G94),0)</f>
        <v>1487656096</v>
      </c>
      <c r="H95" s="3347"/>
      <c r="I95" s="3346">
        <f>ROUND(SUM(I91:I94),0)</f>
        <v>1442840558</v>
      </c>
      <c r="J95" s="3347"/>
      <c r="K95" s="3346">
        <f>ROUND(SUM(K91:K94),0)</f>
        <v>481875461</v>
      </c>
      <c r="L95" s="3347"/>
      <c r="M95" s="3346">
        <f>ROUND(SUM(M91:M94),0)</f>
        <v>4687604712</v>
      </c>
      <c r="N95" s="3347"/>
      <c r="O95" s="1784"/>
      <c r="P95" s="2495"/>
      <c r="Q95" s="2495"/>
      <c r="R95" s="1363"/>
      <c r="S95" s="1363"/>
      <c r="T95" s="1127"/>
    </row>
    <row r="96" spans="1:20" ht="15.75" thickTop="1">
      <c r="A96" s="3016"/>
      <c r="B96" s="2969"/>
      <c r="C96" s="3084"/>
      <c r="D96" s="1786"/>
      <c r="E96" s="3017"/>
      <c r="F96" s="3017"/>
      <c r="G96" s="3017"/>
      <c r="H96" s="3017"/>
      <c r="I96" s="3017"/>
      <c r="J96" s="3017"/>
      <c r="K96" s="3017"/>
      <c r="L96" s="3017"/>
      <c r="M96" s="3461"/>
      <c r="N96" s="3017"/>
      <c r="O96" s="1784"/>
    </row>
    <row r="97" spans="1:15">
      <c r="A97" s="3018" t="s">
        <v>1428</v>
      </c>
      <c r="B97" s="2969"/>
      <c r="C97" s="2969"/>
      <c r="D97" s="1786"/>
      <c r="E97" s="3017"/>
      <c r="F97" s="3017"/>
      <c r="G97" s="3017"/>
      <c r="H97" s="3017"/>
      <c r="I97" s="3017"/>
      <c r="J97" s="3017"/>
      <c r="K97" s="3017"/>
      <c r="L97" s="3017"/>
      <c r="M97" s="3461"/>
      <c r="N97" s="3017"/>
      <c r="O97" s="1784"/>
    </row>
    <row r="98" spans="1:15">
      <c r="A98" s="3018" t="s">
        <v>1089</v>
      </c>
      <c r="B98" s="2969"/>
      <c r="C98" s="2969"/>
      <c r="D98" s="1786"/>
      <c r="E98" s="3017"/>
      <c r="F98" s="3017"/>
      <c r="G98" s="3017"/>
      <c r="H98" s="3017"/>
      <c r="I98" s="3017"/>
      <c r="J98" s="3017"/>
      <c r="K98" s="3017"/>
      <c r="L98" s="3017"/>
      <c r="M98" s="3461"/>
      <c r="N98" s="3017"/>
      <c r="O98" s="1784"/>
    </row>
    <row r="99" spans="1:15">
      <c r="A99" s="3019" t="s">
        <v>1054</v>
      </c>
      <c r="B99" s="3020"/>
      <c r="C99" s="3085"/>
      <c r="D99" s="1784"/>
      <c r="E99" s="3017"/>
      <c r="F99" s="3017"/>
      <c r="G99" s="3017"/>
      <c r="H99" s="3017"/>
      <c r="I99" s="3017"/>
      <c r="J99" s="3017"/>
      <c r="K99" s="3017"/>
      <c r="L99" s="3017"/>
      <c r="M99" s="3348"/>
      <c r="N99" s="3017"/>
      <c r="O99" s="1784"/>
    </row>
    <row r="100" spans="1:15">
      <c r="A100" s="3246" t="s">
        <v>1055</v>
      </c>
      <c r="B100" s="1786"/>
      <c r="C100" s="1786"/>
      <c r="D100" s="3009"/>
      <c r="E100" s="2966"/>
      <c r="F100" s="2966"/>
      <c r="G100" s="2966"/>
      <c r="H100" s="2966"/>
      <c r="I100" s="2966"/>
      <c r="J100" s="2966"/>
      <c r="K100" s="2966"/>
      <c r="L100" s="2966"/>
      <c r="M100" s="3453"/>
      <c r="N100" s="2966"/>
    </row>
    <row r="101" spans="1:15">
      <c r="A101" s="3246" t="s">
        <v>1056</v>
      </c>
      <c r="B101" s="1788"/>
      <c r="C101" s="3247"/>
      <c r="D101" s="1789"/>
      <c r="E101" s="2966"/>
      <c r="F101" s="2966"/>
      <c r="G101" s="2966"/>
      <c r="H101" s="2966"/>
      <c r="I101" s="2966"/>
      <c r="J101" s="2966"/>
      <c r="K101" s="2966"/>
      <c r="L101" s="2966"/>
      <c r="M101" s="3462"/>
      <c r="N101" s="2966"/>
    </row>
    <row r="102" spans="1:15">
      <c r="B102" s="1788"/>
      <c r="C102" s="3349"/>
      <c r="D102" s="1789"/>
      <c r="E102" s="3350"/>
      <c r="F102" s="3350"/>
      <c r="G102" s="3350"/>
      <c r="H102" s="3350"/>
      <c r="I102" s="3350"/>
      <c r="J102" s="3350"/>
      <c r="K102" s="3435"/>
      <c r="L102" s="1790"/>
      <c r="M102" s="3433"/>
    </row>
    <row r="103" spans="1:15">
      <c r="B103" s="3077"/>
      <c r="C103" s="3351"/>
      <c r="D103" s="3352"/>
      <c r="E103" s="3352"/>
      <c r="F103" s="3352"/>
      <c r="G103" s="3352"/>
      <c r="H103" s="3352"/>
      <c r="I103" s="3352"/>
      <c r="J103" s="3352"/>
      <c r="K103" s="3436"/>
      <c r="L103" s="3009"/>
      <c r="M103" s="3009"/>
    </row>
    <row r="104" spans="1:15">
      <c r="B104" s="1797"/>
      <c r="C104" s="3113"/>
      <c r="D104" s="1790"/>
      <c r="E104" s="1787"/>
      <c r="F104" s="1787"/>
      <c r="G104" s="1787"/>
      <c r="H104" s="1787"/>
      <c r="I104" s="1787"/>
      <c r="J104" s="1787"/>
      <c r="K104" s="3348"/>
      <c r="L104" s="3434"/>
      <c r="M104" s="1785"/>
    </row>
    <row r="105" spans="1:15">
      <c r="B105" s="1797"/>
      <c r="C105" s="3113"/>
      <c r="D105" s="1790"/>
      <c r="E105" s="1787"/>
      <c r="F105" s="1787"/>
      <c r="G105" s="1787"/>
      <c r="H105" s="1787"/>
      <c r="I105" s="1787"/>
      <c r="J105" s="1787"/>
      <c r="K105" s="3348"/>
      <c r="L105" s="3434"/>
      <c r="M105" s="1785"/>
    </row>
    <row r="106" spans="1:15">
      <c r="A106" s="1785"/>
      <c r="B106" s="1786"/>
      <c r="C106" s="1786"/>
    </row>
    <row r="107" spans="1:15">
      <c r="A107" s="1785"/>
      <c r="B107" s="1786"/>
      <c r="C107" s="1786"/>
    </row>
    <row r="109" spans="1:15">
      <c r="A109" s="1786"/>
      <c r="B109" s="1791"/>
      <c r="C109" s="1791"/>
      <c r="D109" s="1791"/>
      <c r="E109" s="1783"/>
      <c r="F109" s="1783"/>
      <c r="G109" s="1783"/>
      <c r="H109" s="1783"/>
      <c r="I109" s="1783"/>
      <c r="J109" s="1783"/>
      <c r="K109" s="2967"/>
      <c r="L109" s="1791"/>
    </row>
    <row r="110" spans="1:15" ht="12.75" customHeight="1">
      <c r="A110" s="1786"/>
      <c r="B110" s="1791"/>
      <c r="C110" s="1791"/>
      <c r="D110" s="1791"/>
      <c r="E110" s="1783"/>
      <c r="F110" s="1783"/>
      <c r="G110" s="1783"/>
      <c r="H110" s="1783"/>
      <c r="I110" s="1783"/>
      <c r="J110" s="1783"/>
      <c r="K110" s="2967"/>
      <c r="L110" s="1791"/>
    </row>
    <row r="111" spans="1:15" ht="12.75" customHeight="1">
      <c r="A111" s="1786"/>
      <c r="B111" s="1791"/>
      <c r="C111" s="1791"/>
      <c r="D111" s="1791"/>
      <c r="E111" s="1783"/>
      <c r="F111" s="1783"/>
      <c r="G111" s="1783"/>
      <c r="H111" s="1783"/>
      <c r="I111" s="1783"/>
      <c r="J111" s="1783"/>
      <c r="K111" s="2967"/>
      <c r="L111" s="1791"/>
    </row>
    <row r="112" spans="1:15" ht="12.75" customHeight="1">
      <c r="A112" s="1786"/>
      <c r="B112" s="1791"/>
      <c r="C112" s="1791"/>
      <c r="D112" s="1791"/>
      <c r="E112" s="1783"/>
      <c r="F112" s="1783"/>
      <c r="G112" s="1783"/>
      <c r="H112" s="1783"/>
      <c r="I112" s="1783"/>
      <c r="J112" s="1783"/>
      <c r="K112" s="2967"/>
      <c r="L112" s="1791"/>
    </row>
    <row r="113" spans="1:3">
      <c r="A113" s="1786"/>
      <c r="B113" s="1791"/>
      <c r="C113" s="1791"/>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59" firstPageNumber="49" fitToHeight="2" orientation="landscape" useFirstPageNumber="1" r:id="rId2"/>
  <headerFooter scaleWithDoc="0" alignWithMargins="0">
    <oddFooter>&amp;C&amp;8&amp;P</oddFooter>
  </headerFooter>
  <rowBreaks count="1" manualBreakCount="1">
    <brk id="56" max="14"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U55"/>
  <sheetViews>
    <sheetView showGridLines="0" zoomScale="80" workbookViewId="0"/>
  </sheetViews>
  <sheetFormatPr defaultColWidth="8.88671875" defaultRowHeight="15" customHeight="1"/>
  <cols>
    <col min="1" max="1" width="55.109375" style="2388" customWidth="1"/>
    <col min="2" max="2" width="4.6640625" style="2388" customWidth="1"/>
    <col min="3" max="3" width="19" style="2389" customWidth="1"/>
    <col min="4" max="4" width="1.6640625" style="2389" customWidth="1"/>
    <col min="5" max="5" width="19" style="2389" customWidth="1"/>
    <col min="6" max="6" width="2.33203125" style="2389" customWidth="1"/>
    <col min="7" max="7" width="19" style="2389" customWidth="1"/>
    <col min="8" max="8" width="1.109375" style="2389" customWidth="1"/>
    <col min="9" max="9" width="19" style="2389" customWidth="1"/>
    <col min="10" max="10" width="2.33203125" style="2389" customWidth="1"/>
    <col min="11" max="11" width="1.6640625" style="2390" customWidth="1"/>
    <col min="12" max="12" width="19" style="2390" customWidth="1"/>
    <col min="13" max="16" width="8.88671875" style="2389"/>
    <col min="17" max="16384" width="8.88671875" style="2388"/>
  </cols>
  <sheetData>
    <row r="1" spans="1:16" ht="15" customHeight="1">
      <c r="A1" s="1159" t="s">
        <v>1090</v>
      </c>
    </row>
    <row r="2" spans="1:16" ht="15" customHeight="1">
      <c r="A2" s="2391"/>
    </row>
    <row r="3" spans="1:16" ht="15" customHeight="1">
      <c r="L3" s="2530" t="s">
        <v>597</v>
      </c>
    </row>
    <row r="4" spans="1:16" ht="18" customHeight="1">
      <c r="A4" s="2392" t="s">
        <v>522</v>
      </c>
      <c r="B4" s="2393"/>
      <c r="C4" s="2393"/>
      <c r="D4" s="2393"/>
      <c r="E4" s="2393"/>
      <c r="F4" s="2393"/>
      <c r="G4" s="2393"/>
      <c r="H4" s="2393"/>
      <c r="I4" s="2393"/>
      <c r="J4" s="2393"/>
      <c r="K4" s="2532"/>
      <c r="L4" s="2532"/>
    </row>
    <row r="5" spans="1:16" ht="18" customHeight="1">
      <c r="A5" s="2392" t="s">
        <v>989</v>
      </c>
      <c r="B5" s="2392"/>
      <c r="C5" s="2392"/>
      <c r="D5" s="3205"/>
      <c r="E5" s="3205"/>
      <c r="F5" s="3295"/>
      <c r="G5" s="3295"/>
      <c r="H5" s="3448"/>
      <c r="I5" s="3448"/>
      <c r="J5" s="3353"/>
      <c r="K5" s="2531"/>
      <c r="L5" s="2513"/>
    </row>
    <row r="6" spans="1:16" ht="18" customHeight="1">
      <c r="A6" s="3534" t="s">
        <v>1410</v>
      </c>
      <c r="B6" s="3535"/>
      <c r="C6" s="3535"/>
      <c r="D6" s="3206"/>
      <c r="E6" s="3206"/>
      <c r="F6" s="3296"/>
      <c r="G6" s="3296"/>
      <c r="H6" s="3449"/>
      <c r="I6" s="3449"/>
      <c r="J6" s="3354"/>
      <c r="K6" s="2531"/>
      <c r="L6" s="2513"/>
    </row>
    <row r="7" spans="1:16" ht="15" customHeight="1">
      <c r="A7" s="3536"/>
      <c r="B7" s="3536"/>
      <c r="C7" s="3536"/>
      <c r="D7" s="3207"/>
      <c r="E7" s="3207"/>
      <c r="F7" s="3297"/>
      <c r="G7" s="3297"/>
      <c r="H7" s="3450"/>
      <c r="I7" s="3450"/>
      <c r="J7" s="3355"/>
      <c r="K7" s="2533"/>
      <c r="L7" s="2533"/>
    </row>
    <row r="8" spans="1:16" ht="15" customHeight="1">
      <c r="A8" s="2395"/>
      <c r="B8" s="2396"/>
      <c r="C8" s="2397"/>
      <c r="D8" s="2397"/>
      <c r="E8" s="2397"/>
      <c r="F8" s="2397"/>
      <c r="G8" s="2397"/>
      <c r="H8" s="2397"/>
      <c r="I8" s="2397"/>
      <c r="J8" s="2397"/>
      <c r="K8" s="2534"/>
      <c r="L8" s="2398"/>
    </row>
    <row r="9" spans="1:16" s="2401" customFormat="1" ht="15" customHeight="1">
      <c r="A9" s="2399"/>
      <c r="B9" s="2399"/>
      <c r="C9" s="3204" t="s">
        <v>1450</v>
      </c>
      <c r="D9" s="3204"/>
      <c r="E9" s="3055" t="s">
        <v>1480</v>
      </c>
      <c r="F9" s="3204"/>
      <c r="G9" s="3055" t="s">
        <v>1601</v>
      </c>
      <c r="H9" s="3204"/>
      <c r="I9" s="3204">
        <v>2017</v>
      </c>
      <c r="J9" s="3204"/>
      <c r="K9" s="2400"/>
      <c r="L9" s="2400"/>
      <c r="M9" s="2387"/>
      <c r="N9" s="2387"/>
      <c r="O9" s="2387"/>
      <c r="P9" s="2387"/>
    </row>
    <row r="10" spans="1:16" ht="15" customHeight="1">
      <c r="A10" s="2402"/>
      <c r="B10" s="2402"/>
      <c r="C10" s="2403" t="s">
        <v>1449</v>
      </c>
      <c r="D10" s="2403"/>
      <c r="E10" s="3224" t="s">
        <v>1481</v>
      </c>
      <c r="F10" s="2398"/>
      <c r="G10" s="3224" t="s">
        <v>1600</v>
      </c>
      <c r="H10" s="2398"/>
      <c r="I10" s="3224" t="s">
        <v>137</v>
      </c>
      <c r="J10" s="2398"/>
      <c r="K10" s="2394"/>
      <c r="L10" s="2403" t="s">
        <v>1415</v>
      </c>
    </row>
    <row r="11" spans="1:16" ht="15" customHeight="1">
      <c r="A11" s="2402"/>
      <c r="B11" s="2402"/>
      <c r="C11" s="2405"/>
      <c r="D11" s="2394"/>
      <c r="E11" s="2394"/>
      <c r="F11" s="2394"/>
      <c r="G11" s="2394"/>
      <c r="H11" s="2394"/>
      <c r="I11" s="2394"/>
      <c r="J11" s="2394"/>
      <c r="K11" s="2394"/>
      <c r="L11" s="2405"/>
    </row>
    <row r="12" spans="1:16" s="2401" customFormat="1" ht="15" customHeight="1">
      <c r="A12" s="2406" t="s">
        <v>497</v>
      </c>
      <c r="B12" s="2406"/>
      <c r="C12" s="2407">
        <v>299817850.44</v>
      </c>
      <c r="D12" s="2407"/>
      <c r="E12" s="2407">
        <f>C52</f>
        <v>318000880.06999999</v>
      </c>
      <c r="F12" s="2407"/>
      <c r="G12" s="2407">
        <v>247676076.44999999</v>
      </c>
      <c r="H12" s="2407"/>
      <c r="I12" s="2407">
        <f>G52</f>
        <v>329764094.06</v>
      </c>
      <c r="J12" s="2407"/>
      <c r="K12" s="2408"/>
      <c r="L12" s="2535">
        <f>+C12</f>
        <v>299817850.44</v>
      </c>
      <c r="M12" s="2387"/>
      <c r="N12" s="2387"/>
      <c r="O12" s="2387"/>
      <c r="P12" s="2387"/>
    </row>
    <row r="13" spans="1:16" ht="15" customHeight="1">
      <c r="A13" s="2406"/>
      <c r="B13" s="2402"/>
      <c r="C13" s="2404"/>
      <c r="D13" s="2404"/>
      <c r="E13" s="2404"/>
      <c r="F13" s="2404"/>
      <c r="G13" s="2404"/>
      <c r="H13" s="2404"/>
      <c r="I13" s="2404"/>
      <c r="J13" s="2404"/>
      <c r="K13" s="2409"/>
      <c r="L13" s="2412"/>
    </row>
    <row r="14" spans="1:16" ht="15" customHeight="1">
      <c r="A14" s="2406" t="s">
        <v>14</v>
      </c>
      <c r="B14" s="2402"/>
      <c r="C14" s="2410"/>
      <c r="D14" s="2410"/>
      <c r="E14" s="2410"/>
      <c r="F14" s="2410"/>
      <c r="G14" s="2410"/>
      <c r="H14" s="2410"/>
      <c r="I14" s="2410"/>
      <c r="J14" s="2410"/>
      <c r="K14" s="2411"/>
      <c r="L14" s="2412"/>
    </row>
    <row r="15" spans="1:16" ht="15" customHeight="1">
      <c r="A15" s="2402" t="s">
        <v>599</v>
      </c>
      <c r="B15" s="2402"/>
      <c r="C15" s="2370">
        <v>814872120.27999997</v>
      </c>
      <c r="D15" s="2370"/>
      <c r="E15" s="2370">
        <v>737105769.23000002</v>
      </c>
      <c r="F15" s="2370"/>
      <c r="G15" s="2370">
        <v>871086861.51999998</v>
      </c>
      <c r="H15" s="2370"/>
      <c r="I15" s="2370">
        <v>276176923.62</v>
      </c>
      <c r="J15" s="2370"/>
      <c r="K15" s="2411"/>
      <c r="L15" s="2412">
        <f>SUM(C15:J15)</f>
        <v>2699241674.6499996</v>
      </c>
    </row>
    <row r="16" spans="1:16" ht="15" customHeight="1">
      <c r="A16" s="2402" t="s">
        <v>600</v>
      </c>
      <c r="B16" s="2402"/>
      <c r="C16" s="2370">
        <v>292485785.74000001</v>
      </c>
      <c r="D16" s="2370"/>
      <c r="E16" s="2370">
        <v>261404964.87</v>
      </c>
      <c r="F16" s="2370"/>
      <c r="G16" s="2370">
        <v>326929800.04000002</v>
      </c>
      <c r="H16" s="2370"/>
      <c r="I16" s="2370">
        <v>100987741.44</v>
      </c>
      <c r="J16" s="2370"/>
      <c r="K16" s="2411"/>
      <c r="L16" s="2412">
        <f t="shared" ref="L16:L21" si="0">SUM(C16:J16)</f>
        <v>981808292.09000015</v>
      </c>
    </row>
    <row r="17" spans="1:21" ht="15" customHeight="1">
      <c r="A17" s="2402" t="s">
        <v>601</v>
      </c>
      <c r="B17" s="2402"/>
      <c r="C17" s="2370">
        <v>27190651.940000001</v>
      </c>
      <c r="D17" s="2370"/>
      <c r="E17" s="2370">
        <v>27939132.59</v>
      </c>
      <c r="F17" s="2370"/>
      <c r="G17" s="2370">
        <v>25385122.280000001</v>
      </c>
      <c r="H17" s="2370"/>
      <c r="I17" s="2370">
        <v>8260748.4800000004</v>
      </c>
      <c r="J17" s="2370"/>
      <c r="K17" s="2411"/>
      <c r="L17" s="2412">
        <f t="shared" si="0"/>
        <v>88775655.290000007</v>
      </c>
    </row>
    <row r="18" spans="1:21" ht="15" customHeight="1">
      <c r="A18" s="2402" t="s">
        <v>602</v>
      </c>
      <c r="B18" s="2402"/>
      <c r="C18" s="2370">
        <v>93651580</v>
      </c>
      <c r="D18" s="2370"/>
      <c r="E18" s="2370">
        <v>94705328.120000005</v>
      </c>
      <c r="F18" s="2370"/>
      <c r="G18" s="2370">
        <v>94724521</v>
      </c>
      <c r="H18" s="2370"/>
      <c r="I18" s="2370">
        <v>30282732</v>
      </c>
      <c r="J18" s="2370"/>
      <c r="K18" s="2411"/>
      <c r="L18" s="2412">
        <f t="shared" si="0"/>
        <v>313364161.12</v>
      </c>
    </row>
    <row r="19" spans="1:21" s="2740" customFormat="1" ht="18" customHeight="1">
      <c r="A19" s="2741" t="s">
        <v>1548</v>
      </c>
      <c r="B19" s="2402"/>
      <c r="C19" s="1538">
        <v>0</v>
      </c>
      <c r="D19" s="1538"/>
      <c r="E19" s="1538">
        <v>0</v>
      </c>
      <c r="F19" s="1538"/>
      <c r="G19" s="1538">
        <v>0</v>
      </c>
      <c r="H19" s="1538"/>
      <c r="I19" s="1538">
        <v>0</v>
      </c>
      <c r="J19" s="1538"/>
      <c r="K19" s="2411"/>
      <c r="L19" s="2412">
        <f t="shared" si="0"/>
        <v>0</v>
      </c>
      <c r="M19" s="2404"/>
      <c r="N19" s="2404"/>
      <c r="O19" s="2404"/>
      <c r="P19" s="2404"/>
    </row>
    <row r="20" spans="1:21" ht="15" customHeight="1">
      <c r="A20" s="2402" t="s">
        <v>603</v>
      </c>
      <c r="B20" s="2402"/>
      <c r="C20" s="2370">
        <v>46323.73</v>
      </c>
      <c r="D20" s="2370"/>
      <c r="E20" s="2370">
        <v>70998.31</v>
      </c>
      <c r="F20" s="2370"/>
      <c r="G20" s="2370">
        <v>91576.55</v>
      </c>
      <c r="H20" s="2370"/>
      <c r="I20" s="2370">
        <v>28267.360000000001</v>
      </c>
      <c r="J20" s="2370"/>
      <c r="K20" s="2411"/>
      <c r="L20" s="2412">
        <f t="shared" si="0"/>
        <v>237165.95</v>
      </c>
    </row>
    <row r="21" spans="1:21" ht="15" customHeight="1">
      <c r="A21" s="2402" t="s">
        <v>604</v>
      </c>
      <c r="B21" s="2402"/>
      <c r="C21" s="2413">
        <v>-191258.37000000002</v>
      </c>
      <c r="D21" s="2375"/>
      <c r="E21" s="2413">
        <v>-17042.740000000002</v>
      </c>
      <c r="F21" s="2375"/>
      <c r="G21" s="2413">
        <v>19712.97</v>
      </c>
      <c r="H21" s="2375"/>
      <c r="I21" s="2413">
        <v>-23573.97</v>
      </c>
      <c r="J21" s="2375"/>
      <c r="K21" s="2414"/>
      <c r="L21" s="2412">
        <f t="shared" si="0"/>
        <v>-212162.11000000002</v>
      </c>
      <c r="M21" s="2390"/>
    </row>
    <row r="22" spans="1:21" s="2401" customFormat="1" ht="15.75">
      <c r="A22" s="2406" t="s">
        <v>155</v>
      </c>
      <c r="B22" s="2406"/>
      <c r="C22" s="2415">
        <f>ROUND(SUM(C15:C21),2)</f>
        <v>1228055203.3199999</v>
      </c>
      <c r="D22" s="2419"/>
      <c r="E22" s="2415">
        <f>ROUND(SUM(E15:E21),2)</f>
        <v>1121209150.3800001</v>
      </c>
      <c r="F22" s="2419"/>
      <c r="G22" s="2415">
        <f>ROUND(SUM(G15:G21),2)</f>
        <v>1318237594.3599999</v>
      </c>
      <c r="H22" s="2419"/>
      <c r="I22" s="2415">
        <f>ROUND(SUM(I15:I21),2)</f>
        <v>415712838.93000001</v>
      </c>
      <c r="J22" s="2419"/>
      <c r="K22" s="2417"/>
      <c r="L22" s="2418">
        <f>ROUND(SUM(L15:L21),2)</f>
        <v>4083214786.9899998</v>
      </c>
      <c r="M22" s="2420"/>
      <c r="N22" s="2387"/>
      <c r="O22" s="2387"/>
      <c r="P22" s="2387"/>
    </row>
    <row r="23" spans="1:21" ht="15" customHeight="1">
      <c r="A23" s="2402"/>
      <c r="B23" s="2402"/>
      <c r="C23" s="2410"/>
      <c r="D23" s="2410"/>
      <c r="E23" s="2410"/>
      <c r="F23" s="2410"/>
      <c r="G23" s="2410"/>
      <c r="H23" s="2410"/>
      <c r="I23" s="2410"/>
      <c r="J23" s="2410"/>
      <c r="K23" s="2411"/>
      <c r="L23" s="2412"/>
    </row>
    <row r="24" spans="1:21" ht="15" customHeight="1">
      <c r="A24" s="2406" t="s">
        <v>1049</v>
      </c>
      <c r="B24" s="2402"/>
      <c r="C24" s="2421"/>
      <c r="D24" s="2421"/>
      <c r="E24" s="2421"/>
      <c r="F24" s="2421"/>
      <c r="G24" s="2421"/>
      <c r="H24" s="2421"/>
      <c r="I24" s="2421"/>
      <c r="J24" s="2421"/>
      <c r="K24" s="2411"/>
      <c r="L24" s="2412"/>
    </row>
    <row r="25" spans="1:21" ht="15" customHeight="1">
      <c r="A25" s="2422" t="s">
        <v>605</v>
      </c>
      <c r="B25" s="2402"/>
      <c r="C25" s="2410">
        <v>0</v>
      </c>
      <c r="D25" s="2410"/>
      <c r="E25" s="2410">
        <v>0</v>
      </c>
      <c r="F25" s="2410"/>
      <c r="G25" s="2410">
        <v>0</v>
      </c>
      <c r="H25" s="2410"/>
      <c r="I25" s="2410">
        <v>0</v>
      </c>
      <c r="J25" s="2410"/>
      <c r="K25" s="2411"/>
      <c r="L25" s="2412">
        <f>SUM(C25:J25)</f>
        <v>0</v>
      </c>
    </row>
    <row r="26" spans="1:21" ht="15" customHeight="1">
      <c r="A26" s="2422" t="s">
        <v>606</v>
      </c>
      <c r="B26" s="2402"/>
      <c r="C26" s="2410">
        <v>0</v>
      </c>
      <c r="D26" s="2410"/>
      <c r="E26" s="2410">
        <v>0</v>
      </c>
      <c r="F26" s="2410"/>
      <c r="G26" s="2410">
        <v>-5288000</v>
      </c>
      <c r="H26" s="2410"/>
      <c r="I26" s="2410">
        <v>0</v>
      </c>
      <c r="J26" s="2410"/>
      <c r="K26" s="2411"/>
      <c r="L26" s="2412">
        <f>SUM(C26:J26)</f>
        <v>-5288000</v>
      </c>
    </row>
    <row r="27" spans="1:21" ht="15" customHeight="1">
      <c r="A27" s="2422" t="s">
        <v>607</v>
      </c>
      <c r="B27" s="2402"/>
      <c r="C27" s="2410">
        <v>0</v>
      </c>
      <c r="D27" s="2410"/>
      <c r="E27" s="2410">
        <v>0</v>
      </c>
      <c r="F27" s="2410"/>
      <c r="G27" s="2410">
        <v>0</v>
      </c>
      <c r="H27" s="2410"/>
      <c r="I27" s="2410">
        <v>-5641328</v>
      </c>
      <c r="J27" s="2410"/>
      <c r="K27" s="2414"/>
      <c r="L27" s="2412">
        <f>SUM(C27:J27)</f>
        <v>-5641328</v>
      </c>
    </row>
    <row r="28" spans="1:21" ht="15.75">
      <c r="A28" s="2393" t="s">
        <v>1101</v>
      </c>
      <c r="B28" s="2406"/>
      <c r="C28" s="2418">
        <f>ROUND(SUM(C25:C27),2)</f>
        <v>0</v>
      </c>
      <c r="D28" s="2419"/>
      <c r="E28" s="2418">
        <f>ROUND(SUM(E25:E27),2)</f>
        <v>0</v>
      </c>
      <c r="F28" s="2419"/>
      <c r="G28" s="3302">
        <f>ROUND(SUM(G25:G27),2)</f>
        <v>-5288000</v>
      </c>
      <c r="H28" s="2419"/>
      <c r="I28" s="3463">
        <f>ROUND(SUM(I25:I27),2)</f>
        <v>-5641328</v>
      </c>
      <c r="J28" s="2419"/>
      <c r="K28" s="2417"/>
      <c r="L28" s="2418">
        <f>ROUND(SUM(L25:L27),2)</f>
        <v>-10929328</v>
      </c>
    </row>
    <row r="29" spans="1:21" ht="15" customHeight="1">
      <c r="A29" s="2402"/>
      <c r="B29" s="2402"/>
      <c r="C29" s="2410"/>
      <c r="D29" s="2410"/>
      <c r="E29" s="2410"/>
      <c r="F29" s="2410"/>
      <c r="G29" s="2410"/>
      <c r="H29" s="2410"/>
      <c r="I29" s="2410"/>
      <c r="J29" s="2410"/>
      <c r="K29" s="2411"/>
      <c r="L29" s="2412"/>
    </row>
    <row r="30" spans="1:21" ht="15" customHeight="1">
      <c r="A30" s="2406" t="s">
        <v>608</v>
      </c>
      <c r="B30" s="2406"/>
      <c r="C30" s="2416">
        <f>ROUND(+C22+C28,2)</f>
        <v>1228055203.3199999</v>
      </c>
      <c r="D30" s="2416"/>
      <c r="E30" s="2416">
        <f>ROUND(+E22+E28,2)</f>
        <v>1121209150.3800001</v>
      </c>
      <c r="F30" s="2416"/>
      <c r="G30" s="2416">
        <f>ROUND(+G22+G28,2)</f>
        <v>1312949594.3599999</v>
      </c>
      <c r="H30" s="2416"/>
      <c r="I30" s="2416">
        <f>ROUND(+I22+I28,2)</f>
        <v>410071510.93000001</v>
      </c>
      <c r="J30" s="2416"/>
      <c r="K30" s="2423"/>
      <c r="L30" s="2419">
        <f>ROUND(+L22+L28,2)</f>
        <v>4072285458.9899998</v>
      </c>
    </row>
    <row r="31" spans="1:21" ht="15" customHeight="1">
      <c r="A31" s="2402"/>
      <c r="B31" s="2402"/>
      <c r="C31" s="2424"/>
      <c r="D31" s="2412"/>
      <c r="E31" s="2424"/>
      <c r="F31" s="2412"/>
      <c r="G31" s="3303"/>
      <c r="H31" s="2412"/>
      <c r="I31" s="3303"/>
      <c r="J31" s="2412"/>
      <c r="K31" s="2411"/>
      <c r="L31" s="2424"/>
      <c r="M31" s="2390"/>
      <c r="N31" s="2390"/>
      <c r="O31" s="2390"/>
      <c r="P31" s="2390"/>
      <c r="Q31" s="2425"/>
      <c r="R31" s="2425"/>
      <c r="S31" s="2425"/>
      <c r="T31" s="2425"/>
      <c r="U31" s="2425"/>
    </row>
    <row r="32" spans="1:21" ht="15" customHeight="1">
      <c r="A32" s="2406" t="s">
        <v>46</v>
      </c>
      <c r="B32" s="2402"/>
      <c r="C32" s="2412"/>
      <c r="D32" s="2412"/>
      <c r="E32" s="2412"/>
      <c r="F32" s="2412"/>
      <c r="G32" s="2412"/>
      <c r="H32" s="2412"/>
      <c r="I32" s="2412"/>
      <c r="J32" s="2412"/>
      <c r="K32" s="2411"/>
      <c r="L32" s="2412"/>
      <c r="M32" s="2390"/>
      <c r="N32" s="2390"/>
      <c r="O32" s="2390"/>
      <c r="P32" s="2390"/>
      <c r="Q32" s="2425"/>
      <c r="R32" s="2425"/>
      <c r="S32" s="2425"/>
      <c r="T32" s="2425"/>
      <c r="U32" s="2425"/>
    </row>
    <row r="33" spans="1:21" ht="15" customHeight="1">
      <c r="A33" s="2406" t="s">
        <v>990</v>
      </c>
      <c r="B33" s="2402"/>
      <c r="C33" s="2412"/>
      <c r="D33" s="2412"/>
      <c r="E33" s="2412"/>
      <c r="F33" s="2412"/>
      <c r="G33" s="2412"/>
      <c r="H33" s="2412"/>
      <c r="I33" s="2412"/>
      <c r="J33" s="2412"/>
      <c r="K33" s="2411"/>
      <c r="L33" s="2412"/>
      <c r="M33" s="2390"/>
      <c r="N33" s="2390"/>
      <c r="O33" s="2390"/>
      <c r="P33" s="2390"/>
      <c r="Q33" s="2425"/>
      <c r="R33" s="2425"/>
      <c r="S33" s="2425"/>
      <c r="T33" s="2425"/>
      <c r="U33" s="2425"/>
    </row>
    <row r="34" spans="1:21" ht="15" customHeight="1">
      <c r="A34" s="2402" t="s">
        <v>609</v>
      </c>
      <c r="B34" s="2402"/>
      <c r="C34" s="2370">
        <v>0</v>
      </c>
      <c r="D34" s="2370"/>
      <c r="E34" s="2370">
        <v>0</v>
      </c>
      <c r="F34" s="2370"/>
      <c r="G34" s="2370">
        <v>0</v>
      </c>
      <c r="H34" s="2370"/>
      <c r="I34" s="2370">
        <v>0</v>
      </c>
      <c r="J34" s="2370"/>
      <c r="K34" s="2411"/>
      <c r="L34" s="2412">
        <f>SUM(C34:J34)</f>
        <v>0</v>
      </c>
      <c r="M34" s="2390"/>
      <c r="N34" s="2390"/>
      <c r="O34" s="2390"/>
      <c r="P34" s="2390"/>
      <c r="Q34" s="2425"/>
      <c r="R34" s="2425"/>
      <c r="S34" s="2425"/>
      <c r="T34" s="2425"/>
      <c r="U34" s="2425"/>
    </row>
    <row r="35" spans="1:21" ht="15" customHeight="1">
      <c r="A35" s="2422" t="s">
        <v>610</v>
      </c>
      <c r="B35" s="2402"/>
      <c r="C35" s="2370">
        <v>10063288</v>
      </c>
      <c r="D35" s="2370"/>
      <c r="E35" s="2370">
        <v>10469089</v>
      </c>
      <c r="F35" s="2370"/>
      <c r="G35" s="2370">
        <v>10760031</v>
      </c>
      <c r="H35" s="2370"/>
      <c r="I35" s="2370">
        <v>3357296</v>
      </c>
      <c r="J35" s="2370"/>
      <c r="K35" s="2411"/>
      <c r="L35" s="2412">
        <f>SUM(C35:J35)</f>
        <v>34649704</v>
      </c>
      <c r="M35" s="2390"/>
      <c r="N35" s="2390"/>
      <c r="O35" s="2390"/>
      <c r="P35" s="2390"/>
      <c r="Q35" s="2425"/>
      <c r="R35" s="2425"/>
      <c r="S35" s="2425"/>
      <c r="T35" s="2425"/>
      <c r="U35" s="2425"/>
    </row>
    <row r="36" spans="1:21" ht="15" customHeight="1">
      <c r="A36" s="2406" t="s">
        <v>611</v>
      </c>
      <c r="B36" s="2402"/>
      <c r="C36" s="2412"/>
      <c r="D36" s="2412"/>
      <c r="E36" s="2412"/>
      <c r="F36" s="2412"/>
      <c r="G36" s="2412"/>
      <c r="H36" s="2412"/>
      <c r="I36" s="2412"/>
      <c r="J36" s="2412"/>
      <c r="K36" s="2411"/>
      <c r="L36" s="2412"/>
      <c r="M36" s="2390"/>
      <c r="N36" s="2390"/>
      <c r="O36" s="2390"/>
      <c r="P36" s="2390"/>
      <c r="Q36" s="2425"/>
      <c r="R36" s="2425"/>
      <c r="S36" s="2425"/>
      <c r="T36" s="2425"/>
      <c r="U36" s="2425"/>
    </row>
    <row r="37" spans="1:21" ht="15" customHeight="1">
      <c r="A37" s="2359" t="s">
        <v>612</v>
      </c>
      <c r="B37" s="2402"/>
      <c r="C37" s="2426">
        <v>0</v>
      </c>
      <c r="D37" s="2426"/>
      <c r="E37" s="2426">
        <v>0</v>
      </c>
      <c r="F37" s="2426"/>
      <c r="G37" s="2426">
        <v>5288000</v>
      </c>
      <c r="H37" s="2426"/>
      <c r="I37" s="2426">
        <v>5641328</v>
      </c>
      <c r="J37" s="2426"/>
      <c r="K37" s="2411"/>
      <c r="L37" s="2412">
        <f>SUM(C37:J37)</f>
        <v>10929328</v>
      </c>
      <c r="M37" s="2390"/>
      <c r="N37" s="2390"/>
      <c r="O37" s="2390"/>
      <c r="P37" s="2390"/>
      <c r="Q37" s="2425"/>
      <c r="R37" s="2425"/>
      <c r="S37" s="2425"/>
      <c r="T37" s="2425"/>
      <c r="U37" s="2425"/>
    </row>
    <row r="38" spans="1:21" s="2401" customFormat="1" ht="15.75">
      <c r="A38" s="2406" t="s">
        <v>613</v>
      </c>
      <c r="B38" s="2406"/>
      <c r="C38" s="3056">
        <f>ROUND(SUM(C34:C37),2)</f>
        <v>10063288</v>
      </c>
      <c r="D38" s="2419"/>
      <c r="E38" s="3056">
        <f>ROUND(SUM(E34:E37),2)</f>
        <v>10469089</v>
      </c>
      <c r="F38" s="2419"/>
      <c r="G38" s="3302">
        <f>ROUND(SUM(G34:G37),2)</f>
        <v>16048031</v>
      </c>
      <c r="H38" s="2419"/>
      <c r="I38" s="3302">
        <f>ROUND(SUM(I34:I37),2)</f>
        <v>8998624</v>
      </c>
      <c r="J38" s="2419"/>
      <c r="K38" s="2417"/>
      <c r="L38" s="2418">
        <f>ROUND(SUM(L34:L37),2)</f>
        <v>45579032</v>
      </c>
      <c r="M38" s="2420"/>
      <c r="N38" s="2420"/>
      <c r="O38" s="2420"/>
      <c r="P38" s="2420"/>
      <c r="Q38" s="2427"/>
      <c r="R38" s="2427"/>
      <c r="S38" s="2427"/>
      <c r="T38" s="2427"/>
      <c r="U38" s="2427"/>
    </row>
    <row r="39" spans="1:21" ht="15" customHeight="1">
      <c r="A39" s="2402"/>
      <c r="B39" s="2402"/>
      <c r="C39" s="2410"/>
      <c r="D39" s="2410"/>
      <c r="E39" s="2410"/>
      <c r="F39" s="2410"/>
      <c r="G39" s="2410"/>
      <c r="H39" s="2410"/>
      <c r="I39" s="2410"/>
      <c r="J39" s="2410"/>
      <c r="K39" s="2411"/>
      <c r="L39" s="2412"/>
      <c r="M39" s="2390"/>
      <c r="N39" s="2390"/>
      <c r="O39" s="2390"/>
      <c r="P39" s="2390"/>
      <c r="Q39" s="2425"/>
      <c r="R39" s="2425"/>
      <c r="S39" s="2425"/>
      <c r="T39" s="2425"/>
      <c r="U39" s="2425"/>
    </row>
    <row r="40" spans="1:21" ht="15" customHeight="1">
      <c r="A40" s="2406" t="s">
        <v>1050</v>
      </c>
      <c r="B40" s="2402"/>
      <c r="C40" s="2410"/>
      <c r="D40" s="2410"/>
      <c r="E40" s="2410"/>
      <c r="F40" s="2410"/>
      <c r="G40" s="2410"/>
      <c r="H40" s="2410"/>
      <c r="I40" s="2410"/>
      <c r="J40" s="2410"/>
      <c r="K40" s="2411"/>
      <c r="L40" s="2412"/>
      <c r="M40" s="2390"/>
      <c r="N40" s="2390"/>
      <c r="O40" s="2390"/>
      <c r="P40" s="2390"/>
      <c r="Q40" s="2425"/>
      <c r="R40" s="2425"/>
      <c r="S40" s="2425"/>
      <c r="T40" s="2425"/>
      <c r="U40" s="2425"/>
    </row>
    <row r="41" spans="1:21" ht="15" customHeight="1">
      <c r="A41" s="2402" t="s">
        <v>609</v>
      </c>
      <c r="B41" s="2402"/>
      <c r="C41" s="2360">
        <v>0</v>
      </c>
      <c r="D41" s="2360"/>
      <c r="E41" s="2360">
        <v>0</v>
      </c>
      <c r="F41" s="2360"/>
      <c r="G41" s="2360">
        <v>0</v>
      </c>
      <c r="H41" s="2360"/>
      <c r="I41" s="2360">
        <v>0</v>
      </c>
      <c r="J41" s="2360"/>
      <c r="K41" s="2411"/>
      <c r="L41" s="2412">
        <f>SUM(C41:J41)</f>
        <v>0</v>
      </c>
      <c r="M41" s="2390"/>
      <c r="N41" s="2390"/>
      <c r="O41" s="2390"/>
      <c r="P41" s="2390"/>
      <c r="Q41" s="2425"/>
      <c r="R41" s="2425"/>
      <c r="S41" s="2425"/>
      <c r="T41" s="2425"/>
      <c r="U41" s="2425"/>
    </row>
    <row r="42" spans="1:21" ht="15" customHeight="1">
      <c r="A42" s="2402" t="s">
        <v>614</v>
      </c>
      <c r="B42" s="2402"/>
      <c r="C42" s="2410">
        <v>0</v>
      </c>
      <c r="D42" s="2410"/>
      <c r="E42" s="2410">
        <v>0</v>
      </c>
      <c r="F42" s="2410"/>
      <c r="G42" s="2410">
        <v>0</v>
      </c>
      <c r="H42" s="2410"/>
      <c r="I42" s="2410">
        <v>0</v>
      </c>
      <c r="J42" s="2410"/>
      <c r="K42" s="2411"/>
      <c r="L42" s="2412">
        <f>SUM(C42:J42)</f>
        <v>0</v>
      </c>
      <c r="M42" s="2390"/>
      <c r="N42" s="2390"/>
      <c r="O42" s="2390"/>
      <c r="P42" s="2390"/>
      <c r="Q42" s="2425"/>
      <c r="R42" s="2425"/>
      <c r="S42" s="2425"/>
      <c r="T42" s="2425"/>
      <c r="U42" s="2425"/>
    </row>
    <row r="43" spans="1:21" ht="15" customHeight="1">
      <c r="A43" s="2406" t="s">
        <v>1051</v>
      </c>
      <c r="B43" s="2402"/>
      <c r="C43" s="2410"/>
      <c r="D43" s="2410"/>
      <c r="E43" s="2410"/>
      <c r="F43" s="2410"/>
      <c r="G43" s="2410"/>
      <c r="H43" s="2410"/>
      <c r="I43" s="2410"/>
      <c r="J43" s="2410"/>
      <c r="K43" s="2411"/>
      <c r="L43" s="2412"/>
      <c r="M43" s="2390"/>
      <c r="N43" s="2390"/>
      <c r="O43" s="2390"/>
      <c r="P43" s="2390"/>
      <c r="Q43" s="2425"/>
      <c r="R43" s="2425"/>
      <c r="S43" s="2425"/>
      <c r="T43" s="2425"/>
      <c r="U43" s="2425"/>
    </row>
    <row r="44" spans="1:21" ht="15" customHeight="1">
      <c r="A44" s="2422" t="s">
        <v>612</v>
      </c>
      <c r="B44" s="2402"/>
      <c r="C44" s="2370">
        <v>-1074026803.03</v>
      </c>
      <c r="D44" s="2370"/>
      <c r="E44" s="2370">
        <v>-880950526.74000001</v>
      </c>
      <c r="F44" s="2370"/>
      <c r="G44" s="2370">
        <v>-1025187167.95</v>
      </c>
      <c r="H44" s="2370"/>
      <c r="I44" s="2370">
        <v>-328405132.91000003</v>
      </c>
      <c r="J44" s="2370"/>
      <c r="K44" s="2411"/>
      <c r="L44" s="2412">
        <f>SUM(C44:J44)</f>
        <v>-3308569630.6300001</v>
      </c>
      <c r="M44" s="2390"/>
      <c r="N44" s="2390"/>
      <c r="O44" s="2390"/>
      <c r="P44" s="2390"/>
      <c r="Q44" s="2425"/>
      <c r="R44" s="2425"/>
      <c r="S44" s="2425"/>
      <c r="T44" s="2425"/>
      <c r="U44" s="2425"/>
    </row>
    <row r="45" spans="1:21" ht="15" customHeight="1">
      <c r="A45" s="2402" t="s">
        <v>615</v>
      </c>
      <c r="B45" s="2402"/>
      <c r="C45" s="2370">
        <v>-159632267.81</v>
      </c>
      <c r="D45" s="2370"/>
      <c r="E45" s="2370">
        <v>-319691153.32999998</v>
      </c>
      <c r="F45" s="2370"/>
      <c r="G45" s="2370">
        <v>-216174713.78999999</v>
      </c>
      <c r="H45" s="2370"/>
      <c r="I45" s="2370">
        <v>-59586612.840000004</v>
      </c>
      <c r="J45" s="2370"/>
      <c r="K45" s="2411"/>
      <c r="L45" s="2412">
        <f>SUM(C45:J45)</f>
        <v>-755084747.76999998</v>
      </c>
      <c r="M45" s="2390"/>
      <c r="N45" s="2390"/>
      <c r="O45" s="2390"/>
      <c r="P45" s="2390"/>
      <c r="Q45" s="2425"/>
      <c r="R45" s="2425"/>
      <c r="S45" s="2425"/>
      <c r="T45" s="2425"/>
      <c r="U45" s="2425"/>
    </row>
    <row r="46" spans="1:21" ht="15" customHeight="1">
      <c r="A46" s="2402" t="s">
        <v>616</v>
      </c>
      <c r="B46" s="2402"/>
      <c r="C46" s="2428">
        <v>13723609.15</v>
      </c>
      <c r="D46" s="2412"/>
      <c r="E46" s="2428">
        <v>-1361362.93</v>
      </c>
      <c r="F46" s="2412"/>
      <c r="G46" s="2428">
        <v>-5547726.0099999998</v>
      </c>
      <c r="H46" s="2412"/>
      <c r="I46" s="2428">
        <v>-373806.84</v>
      </c>
      <c r="J46" s="2412"/>
      <c r="K46" s="2411"/>
      <c r="L46" s="2412">
        <f>SUM(C46:J46)</f>
        <v>6440713.370000001</v>
      </c>
      <c r="M46" s="2390"/>
      <c r="N46" s="2390"/>
      <c r="O46" s="2390"/>
      <c r="P46" s="2390"/>
      <c r="Q46" s="2425"/>
      <c r="R46" s="2425"/>
      <c r="S46" s="2425"/>
      <c r="T46" s="2425"/>
      <c r="U46" s="2425"/>
    </row>
    <row r="47" spans="1:21" ht="15.75">
      <c r="A47" s="2406" t="s">
        <v>617</v>
      </c>
      <c r="B47" s="2406"/>
      <c r="C47" s="3056">
        <f>ROUND(SUM(C41:C46),2)</f>
        <v>-1219935461.6900001</v>
      </c>
      <c r="D47" s="2419"/>
      <c r="E47" s="3056">
        <f>ROUND(SUM(E41:E46),2)</f>
        <v>-1202003043</v>
      </c>
      <c r="F47" s="2419"/>
      <c r="G47" s="3302">
        <f>ROUND(SUM(G41:G46),2)</f>
        <v>-1246909607.75</v>
      </c>
      <c r="H47" s="2419"/>
      <c r="I47" s="3302">
        <f>ROUND(SUM(I41:I46),2)</f>
        <v>-388365552.58999997</v>
      </c>
      <c r="J47" s="2419"/>
      <c r="K47" s="2417"/>
      <c r="L47" s="2418">
        <f>ROUND(SUM(L41:L46),2)</f>
        <v>-4057213665.0300002</v>
      </c>
      <c r="M47" s="2390"/>
      <c r="N47" s="2390"/>
      <c r="O47" s="2390"/>
      <c r="P47" s="2390"/>
      <c r="Q47" s="2425"/>
      <c r="R47" s="2425"/>
      <c r="S47" s="2425"/>
      <c r="T47" s="2425"/>
      <c r="U47" s="2425"/>
    </row>
    <row r="48" spans="1:21" ht="15" customHeight="1">
      <c r="A48" s="2402"/>
      <c r="B48" s="2402"/>
      <c r="C48" s="2410"/>
      <c r="D48" s="2410"/>
      <c r="E48" s="2410"/>
      <c r="F48" s="2410"/>
      <c r="G48" s="2410"/>
      <c r="H48" s="2410"/>
      <c r="I48" s="2410"/>
      <c r="J48" s="2410"/>
      <c r="K48" s="2411"/>
      <c r="L48" s="2412"/>
      <c r="M48" s="2390"/>
      <c r="N48" s="2390"/>
      <c r="O48" s="2390"/>
      <c r="P48" s="2390"/>
      <c r="Q48" s="2425"/>
      <c r="R48" s="2425"/>
      <c r="S48" s="2425"/>
      <c r="T48" s="2425"/>
      <c r="U48" s="2425"/>
    </row>
    <row r="49" spans="1:21" ht="15" customHeight="1">
      <c r="A49" s="2406" t="s">
        <v>618</v>
      </c>
      <c r="B49" s="2402"/>
      <c r="C49" s="2410"/>
      <c r="D49" s="2410"/>
      <c r="E49" s="2410"/>
      <c r="F49" s="2410"/>
      <c r="G49" s="2410"/>
      <c r="H49" s="2410"/>
      <c r="I49" s="2410"/>
      <c r="J49" s="2410"/>
      <c r="K49" s="2411"/>
      <c r="L49" s="2412"/>
      <c r="M49" s="2390"/>
      <c r="N49" s="2390"/>
      <c r="O49" s="2390"/>
      <c r="P49" s="2390"/>
      <c r="Q49" s="2425"/>
      <c r="R49" s="2425"/>
      <c r="S49" s="2425"/>
      <c r="T49" s="2425"/>
      <c r="U49" s="2425"/>
    </row>
    <row r="50" spans="1:21" ht="15" customHeight="1">
      <c r="A50" s="2406" t="s">
        <v>619</v>
      </c>
      <c r="B50" s="2402"/>
      <c r="C50" s="2415">
        <f>ROUND(+C30+C38+C47,2)</f>
        <v>18183029.629999999</v>
      </c>
      <c r="D50" s="2419"/>
      <c r="E50" s="2415">
        <f>ROUND(+E30+E38+E47,2)</f>
        <v>-70324803.620000005</v>
      </c>
      <c r="F50" s="2419"/>
      <c r="G50" s="2415">
        <f>ROUND(+G30+G38+G47,2)</f>
        <v>82088017.609999999</v>
      </c>
      <c r="H50" s="2419"/>
      <c r="I50" s="2415">
        <f>ROUND(+I30+I38+I47,2)</f>
        <v>30704582.34</v>
      </c>
      <c r="J50" s="2419"/>
      <c r="K50" s="2423"/>
      <c r="L50" s="2415">
        <f>ROUND(+L30+L38+L47,2)</f>
        <v>60650825.960000001</v>
      </c>
      <c r="M50" s="2390"/>
      <c r="N50" s="2390"/>
      <c r="O50" s="2390"/>
      <c r="P50" s="2390"/>
      <c r="Q50" s="2425"/>
      <c r="R50" s="2425"/>
      <c r="S50" s="2425"/>
      <c r="T50" s="2425"/>
      <c r="U50" s="2425"/>
    </row>
    <row r="51" spans="1:21" ht="15" customHeight="1">
      <c r="A51" s="2402"/>
      <c r="B51" s="2402"/>
      <c r="C51" s="2404"/>
      <c r="D51" s="2404"/>
      <c r="E51" s="2404"/>
      <c r="F51" s="2404"/>
      <c r="G51" s="2404"/>
      <c r="H51" s="2404"/>
      <c r="I51" s="2404"/>
      <c r="J51" s="2404"/>
      <c r="K51" s="2429"/>
      <c r="L51" s="2412"/>
      <c r="M51" s="2390"/>
      <c r="N51" s="2390"/>
      <c r="O51" s="2390"/>
      <c r="P51" s="2390"/>
      <c r="Q51" s="2425"/>
      <c r="R51" s="2425"/>
      <c r="S51" s="2425"/>
      <c r="T51" s="2425"/>
      <c r="U51" s="2425"/>
    </row>
    <row r="52" spans="1:21" s="2401" customFormat="1" ht="21" customHeight="1" thickBot="1">
      <c r="A52" s="2406" t="s">
        <v>620</v>
      </c>
      <c r="B52" s="2406"/>
      <c r="C52" s="2535">
        <f>ROUND(C12+C50,2)</f>
        <v>318000880.06999999</v>
      </c>
      <c r="D52" s="2535"/>
      <c r="E52" s="2535">
        <f>ROUND(E12+E50,2)</f>
        <v>247676076.44999999</v>
      </c>
      <c r="F52" s="2535"/>
      <c r="G52" s="3304">
        <f>ROUND(G12+G50,2)</f>
        <v>329764094.06</v>
      </c>
      <c r="H52" s="2535"/>
      <c r="I52" s="3304">
        <f>ROUND(I12+I50,2)</f>
        <v>360468676.39999998</v>
      </c>
      <c r="J52" s="2535"/>
      <c r="K52" s="2430"/>
      <c r="L52" s="2535">
        <f>ROUND(L12+L50,2)</f>
        <v>360468676.39999998</v>
      </c>
      <c r="M52" s="2387"/>
      <c r="N52" s="2387"/>
      <c r="O52" s="2387"/>
      <c r="P52" s="2387"/>
    </row>
    <row r="53" spans="1:21" ht="15" customHeight="1" thickTop="1">
      <c r="A53" s="2402" t="s">
        <v>15</v>
      </c>
      <c r="B53" s="2402"/>
      <c r="C53" s="2431"/>
      <c r="D53" s="2394"/>
      <c r="E53" s="2431"/>
      <c r="F53" s="2394"/>
      <c r="G53" s="2394"/>
      <c r="H53" s="2394"/>
      <c r="I53" s="2394"/>
      <c r="J53" s="2394"/>
      <c r="K53" s="2394"/>
      <c r="L53" s="2431"/>
    </row>
    <row r="54" spans="1:21" ht="15" customHeight="1">
      <c r="A54" s="2384" t="s">
        <v>621</v>
      </c>
    </row>
    <row r="55" spans="1:21" ht="15" customHeight="1">
      <c r="A55" s="2432"/>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C6"/>
    <mergeCell ref="A7:C7"/>
  </mergeCells>
  <printOptions horizontalCentered="1" verticalCentered="1"/>
  <pageMargins left="0.24" right="0.24" top="0.5" bottom="0.5" header="0.18" footer="0.25"/>
  <pageSetup scale="60" firstPageNumber="51"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92"/>
  <sheetViews>
    <sheetView showGridLines="0" zoomScale="90" zoomScaleNormal="90" workbookViewId="0"/>
  </sheetViews>
  <sheetFormatPr defaultColWidth="8.88671875" defaultRowHeight="15.75"/>
  <cols>
    <col min="1" max="1" width="3.5546875" style="1145" customWidth="1"/>
    <col min="2" max="2" width="8.44140625" style="1230" customWidth="1"/>
    <col min="3" max="3" width="12.21875" style="1230" customWidth="1"/>
    <col min="4" max="4" width="15" style="1029" customWidth="1"/>
    <col min="5" max="5" width="15.21875" style="1027" customWidth="1"/>
    <col min="6" max="6" width="10.44140625" style="1145" customWidth="1"/>
    <col min="7" max="7" width="10.21875" style="1145" customWidth="1"/>
    <col min="8" max="8" width="9.109375" style="1019" customWidth="1"/>
    <col min="9" max="9" width="5.5546875" style="1026" customWidth="1"/>
    <col min="10" max="10" width="9.33203125" style="1026" customWidth="1"/>
    <col min="11" max="11" width="8.33203125" style="1027" customWidth="1"/>
    <col min="12" max="12" width="16" style="1027" customWidth="1"/>
    <col min="13" max="13" width="12.21875" style="1027" customWidth="1"/>
    <col min="14" max="14" width="5.44140625" style="1027" customWidth="1"/>
    <col min="15" max="15" width="12.44140625" style="1229" customWidth="1"/>
    <col min="16" max="16" width="3.109375" style="1229" customWidth="1"/>
    <col min="17" max="17" width="8" style="1229" customWidth="1"/>
    <col min="18" max="18" width="3.6640625" style="1229" customWidth="1"/>
    <col min="19" max="19" width="13.21875" style="1229" customWidth="1"/>
    <col min="20" max="20" width="12.109375" style="1229" customWidth="1"/>
    <col min="21" max="21" width="12.21875" style="1229" customWidth="1"/>
    <col min="22" max="16384" width="8.88671875" style="1229"/>
  </cols>
  <sheetData>
    <row r="1" spans="1:20">
      <c r="A1" s="1159" t="s">
        <v>1090</v>
      </c>
    </row>
    <row r="2" spans="1:20">
      <c r="A2" s="1015" t="s">
        <v>880</v>
      </c>
      <c r="B2" s="1016"/>
      <c r="C2" s="1017"/>
      <c r="D2" s="1018"/>
      <c r="E2" s="1019"/>
      <c r="F2" s="1019"/>
      <c r="G2" s="1019"/>
      <c r="I2" s="1020"/>
      <c r="J2" s="1020"/>
      <c r="K2" s="1019"/>
      <c r="L2" s="1019"/>
      <c r="M2" s="1019"/>
      <c r="N2" s="1021"/>
      <c r="O2" s="1740" t="s">
        <v>1084</v>
      </c>
      <c r="Q2" s="1023"/>
      <c r="R2" s="1023"/>
      <c r="S2" s="1024"/>
      <c r="T2" s="1025"/>
    </row>
    <row r="3" spans="1:20" ht="12.75" customHeight="1">
      <c r="A3" s="1016"/>
      <c r="B3" s="1016"/>
      <c r="C3" s="1017"/>
      <c r="D3" s="1018"/>
      <c r="E3" s="1019"/>
      <c r="F3" s="1019"/>
      <c r="G3" s="1019"/>
      <c r="I3" s="1230"/>
      <c r="J3" s="1230"/>
      <c r="K3" s="1029"/>
      <c r="M3" s="1145"/>
      <c r="N3" s="1145"/>
      <c r="O3" s="1741" t="s">
        <v>1566</v>
      </c>
      <c r="T3" s="1025"/>
    </row>
    <row r="4" spans="1:20" ht="9" customHeight="1">
      <c r="B4" s="3174"/>
      <c r="C4" s="3174"/>
      <c r="D4" s="3169"/>
      <c r="E4" s="3170"/>
      <c r="F4" s="3171"/>
      <c r="G4" s="3171"/>
      <c r="H4" s="1038"/>
      <c r="I4" s="1239"/>
      <c r="J4" s="1239"/>
      <c r="K4" s="3170"/>
      <c r="L4" s="3170"/>
      <c r="M4" s="3170"/>
      <c r="N4" s="3170"/>
      <c r="O4" s="3176"/>
      <c r="P4" s="3176"/>
      <c r="T4" s="1025"/>
    </row>
    <row r="5" spans="1:20" ht="13.5" customHeight="1">
      <c r="Q5" s="2770"/>
      <c r="T5" s="1025"/>
    </row>
    <row r="6" spans="1:20" ht="13.5" customHeight="1">
      <c r="A6" s="1028" t="s">
        <v>881</v>
      </c>
      <c r="B6" s="3040" t="s">
        <v>882</v>
      </c>
      <c r="C6" s="3040"/>
      <c r="D6" s="3040"/>
      <c r="E6" s="1038"/>
      <c r="F6" s="1038"/>
      <c r="G6" s="1038"/>
      <c r="I6" s="3040" t="s">
        <v>1106</v>
      </c>
      <c r="K6" s="3168"/>
      <c r="L6" s="3169"/>
      <c r="M6" s="3170"/>
      <c r="N6" s="3171"/>
      <c r="O6" s="1038"/>
      <c r="Q6" s="2770"/>
    </row>
    <row r="7" spans="1:20" ht="13.5" customHeight="1">
      <c r="A7" s="1028"/>
      <c r="B7" s="3040" t="s">
        <v>883</v>
      </c>
      <c r="C7" s="3040"/>
      <c r="D7" s="3040"/>
      <c r="E7" s="1038"/>
      <c r="F7" s="1038"/>
      <c r="G7" s="1038"/>
      <c r="I7" s="3040" t="s">
        <v>1107</v>
      </c>
      <c r="K7" s="3259"/>
      <c r="L7" s="3176"/>
      <c r="M7" s="3176"/>
      <c r="N7" s="3176"/>
      <c r="O7" s="1038"/>
    </row>
    <row r="8" spans="1:20" ht="12.95" customHeight="1">
      <c r="A8" s="1028"/>
      <c r="B8" s="3040" t="s">
        <v>884</v>
      </c>
      <c r="C8" s="3040"/>
      <c r="D8" s="3040"/>
      <c r="E8" s="1038"/>
      <c r="F8" s="1038"/>
      <c r="G8" s="1038"/>
      <c r="I8" s="3040" t="s">
        <v>1567</v>
      </c>
      <c r="K8" s="3168"/>
      <c r="L8" s="3172"/>
      <c r="M8" s="1038"/>
      <c r="N8" s="3173"/>
      <c r="O8" s="1038"/>
    </row>
    <row r="9" spans="1:20" ht="12.75" customHeight="1">
      <c r="A9" s="1028"/>
      <c r="B9" s="3040" t="s">
        <v>885</v>
      </c>
      <c r="C9" s="3040"/>
      <c r="D9" s="3040"/>
      <c r="E9" s="1038"/>
      <c r="F9" s="1038"/>
      <c r="G9" s="1038"/>
      <c r="I9" s="3403" t="s">
        <v>1568</v>
      </c>
      <c r="K9" s="1239"/>
      <c r="L9" s="3172"/>
      <c r="M9" s="1038"/>
      <c r="N9" s="3173"/>
      <c r="O9" s="1038"/>
    </row>
    <row r="10" spans="1:20" ht="12.75" customHeight="1">
      <c r="B10" s="3174"/>
      <c r="C10" s="3174"/>
      <c r="D10" s="3169"/>
      <c r="E10" s="3170"/>
      <c r="F10" s="3178"/>
      <c r="G10" s="3171"/>
      <c r="I10" s="3466"/>
      <c r="K10" s="2774"/>
      <c r="L10" s="2775"/>
      <c r="M10" s="2772"/>
      <c r="N10" s="1145"/>
      <c r="O10" s="1145"/>
    </row>
    <row r="11" spans="1:20" ht="12.75" customHeight="1">
      <c r="A11" s="1019"/>
      <c r="B11" s="3040"/>
      <c r="C11" s="3177" t="s">
        <v>941</v>
      </c>
      <c r="D11" s="3172"/>
      <c r="E11" s="1038"/>
      <c r="F11" s="3172">
        <v>164.1</v>
      </c>
      <c r="G11" s="1038" t="s">
        <v>886</v>
      </c>
      <c r="I11" s="1031"/>
      <c r="J11" s="1031"/>
      <c r="K11" s="1031"/>
      <c r="L11" s="1031"/>
      <c r="M11" s="1031"/>
      <c r="N11" s="1031"/>
      <c r="O11" s="1031"/>
      <c r="Q11" s="2770"/>
    </row>
    <row r="12" spans="1:20" ht="12.75" customHeight="1">
      <c r="A12" s="1019"/>
      <c r="B12" s="3177"/>
      <c r="C12" s="3177" t="s">
        <v>1129</v>
      </c>
      <c r="D12" s="3179"/>
      <c r="E12" s="1038"/>
      <c r="F12" s="3253">
        <v>22.6</v>
      </c>
      <c r="G12" s="1038"/>
      <c r="Q12" s="2770"/>
    </row>
    <row r="13" spans="1:20" ht="12.75" customHeight="1">
      <c r="A13" s="1019"/>
      <c r="B13" s="3177"/>
      <c r="C13" s="3177" t="s">
        <v>887</v>
      </c>
      <c r="D13" s="3179"/>
      <c r="E13" s="1038"/>
      <c r="F13" s="3254">
        <v>239.9</v>
      </c>
      <c r="G13" s="1038"/>
      <c r="H13" s="3039"/>
      <c r="I13" s="3251" t="s">
        <v>1545</v>
      </c>
      <c r="J13" s="3174"/>
      <c r="K13" s="3169"/>
      <c r="L13" s="3170"/>
      <c r="M13" s="3171"/>
      <c r="N13" s="1229"/>
      <c r="Q13" s="2770"/>
      <c r="T13" s="1019"/>
    </row>
    <row r="14" spans="1:20" ht="12.75" customHeight="1">
      <c r="A14" s="1019"/>
      <c r="B14" s="3177"/>
      <c r="C14" s="3177" t="s">
        <v>888</v>
      </c>
      <c r="D14" s="3179"/>
      <c r="E14" s="1038"/>
      <c r="F14" s="3254">
        <v>13.6</v>
      </c>
      <c r="G14" s="3171"/>
      <c r="H14" s="2773"/>
      <c r="I14" s="3040" t="s">
        <v>1593</v>
      </c>
      <c r="J14" s="3168"/>
      <c r="K14" s="3169"/>
      <c r="L14" s="3170"/>
      <c r="M14" s="3171"/>
      <c r="N14" s="1229"/>
      <c r="T14" s="1030"/>
    </row>
    <row r="15" spans="1:20" ht="12.75" customHeight="1">
      <c r="A15" s="1019"/>
      <c r="B15" s="3177"/>
      <c r="C15" s="3177" t="s">
        <v>1130</v>
      </c>
      <c r="D15" s="3179"/>
      <c r="E15" s="1038"/>
      <c r="F15" s="3254">
        <v>454.5</v>
      </c>
      <c r="G15" s="1038"/>
      <c r="H15" s="3039"/>
      <c r="I15" s="3040" t="s">
        <v>1547</v>
      </c>
      <c r="J15" s="3168"/>
      <c r="K15" s="3172"/>
      <c r="L15" s="1038"/>
      <c r="M15" s="3173"/>
      <c r="N15" s="1229"/>
      <c r="T15" s="1030"/>
    </row>
    <row r="16" spans="1:20" ht="12.75" customHeight="1">
      <c r="A16" s="1019"/>
      <c r="B16" s="3177"/>
      <c r="C16" s="3177" t="s">
        <v>942</v>
      </c>
      <c r="D16" s="3179"/>
      <c r="E16" s="1038"/>
      <c r="F16" s="3253">
        <v>626.1</v>
      </c>
      <c r="G16" s="1038"/>
      <c r="I16" s="3466" t="s">
        <v>1602</v>
      </c>
      <c r="R16" s="1019"/>
    </row>
    <row r="17" spans="1:19" ht="12.75" customHeight="1">
      <c r="A17" s="1019"/>
      <c r="B17" s="3177"/>
      <c r="C17" s="3177" t="s">
        <v>889</v>
      </c>
      <c r="D17" s="3180"/>
      <c r="E17" s="1038"/>
      <c r="F17" s="3253">
        <v>505.3</v>
      </c>
      <c r="G17" s="1038"/>
      <c r="I17" s="3466" t="s">
        <v>1546</v>
      </c>
    </row>
    <row r="18" spans="1:19" ht="12.75" customHeight="1">
      <c r="A18" s="1019"/>
      <c r="B18" s="3177"/>
      <c r="C18" s="3177" t="s">
        <v>1429</v>
      </c>
      <c r="D18" s="3180"/>
      <c r="E18" s="1038"/>
      <c r="F18" s="3254">
        <v>50.7</v>
      </c>
      <c r="G18" s="1038"/>
    </row>
    <row r="19" spans="1:19" ht="12.75" customHeight="1">
      <c r="A19" s="3171"/>
      <c r="B19" s="3174"/>
      <c r="C19" s="3174"/>
      <c r="D19" s="3169"/>
      <c r="E19" s="3170"/>
      <c r="F19" s="3171"/>
      <c r="G19" s="3171"/>
      <c r="I19" s="3261" t="s">
        <v>1104</v>
      </c>
      <c r="J19" s="3168"/>
      <c r="K19" s="3169"/>
      <c r="L19" s="3170"/>
      <c r="M19" s="3171"/>
      <c r="N19" s="3171"/>
    </row>
    <row r="20" spans="1:19" ht="12.95" customHeight="1">
      <c r="A20" s="3171"/>
      <c r="B20" s="3174"/>
      <c r="C20" s="3174"/>
      <c r="D20" s="3169"/>
      <c r="E20" s="3170"/>
      <c r="F20" s="3171"/>
      <c r="G20" s="3171"/>
      <c r="H20" s="1145"/>
      <c r="I20" s="3168"/>
      <c r="J20" s="3168"/>
      <c r="K20" s="3169"/>
      <c r="L20" s="3170"/>
      <c r="M20" s="3171"/>
      <c r="N20" s="3171"/>
      <c r="R20" s="3041"/>
    </row>
    <row r="21" spans="1:19" ht="12.75" customHeight="1">
      <c r="J21" s="3328" t="s">
        <v>1573</v>
      </c>
      <c r="M21" s="3332">
        <v>1.3</v>
      </c>
      <c r="N21" s="1038" t="s">
        <v>886</v>
      </c>
    </row>
    <row r="22" spans="1:19" ht="13.7" customHeight="1">
      <c r="A22" s="3199" t="s">
        <v>890</v>
      </c>
      <c r="B22" s="3040" t="s">
        <v>1105</v>
      </c>
      <c r="C22" s="3040"/>
      <c r="D22" s="3040"/>
      <c r="E22" s="1038"/>
      <c r="F22" s="1038"/>
      <c r="G22" s="1038"/>
      <c r="J22" s="3328" t="s">
        <v>1468</v>
      </c>
      <c r="M22" s="3331">
        <v>3.6</v>
      </c>
    </row>
    <row r="23" spans="1:19" ht="12.75" customHeight="1">
      <c r="A23" s="3199"/>
      <c r="B23" s="3040" t="s">
        <v>891</v>
      </c>
      <c r="C23" s="3040"/>
      <c r="D23" s="3040"/>
      <c r="E23" s="1038"/>
      <c r="F23" s="1038"/>
      <c r="G23" s="1038"/>
      <c r="J23" s="1020" t="s">
        <v>1576</v>
      </c>
      <c r="M23" s="3468">
        <v>2.9</v>
      </c>
    </row>
    <row r="24" spans="1:19" s="3041" customFormat="1" ht="12.75" customHeight="1">
      <c r="A24" s="3199"/>
      <c r="B24" s="3040"/>
      <c r="C24" s="3040"/>
      <c r="D24" s="3040"/>
      <c r="E24" s="1038"/>
      <c r="F24" s="1038"/>
      <c r="G24" s="1038"/>
      <c r="H24" s="1019"/>
      <c r="I24" s="1026"/>
      <c r="J24" s="3328" t="s">
        <v>1469</v>
      </c>
      <c r="K24" s="1027"/>
      <c r="L24" s="1027"/>
      <c r="M24" s="3331">
        <v>8.8000000000000007</v>
      </c>
      <c r="N24" s="1027"/>
      <c r="O24" s="1229"/>
      <c r="P24" s="1229"/>
      <c r="Q24" s="1229"/>
      <c r="R24" s="1229"/>
      <c r="S24" s="1229"/>
    </row>
    <row r="25" spans="1:19" ht="13.35" customHeight="1">
      <c r="A25" s="1038"/>
      <c r="B25" s="3183" t="s">
        <v>1485</v>
      </c>
      <c r="C25" s="3183"/>
      <c r="D25" s="3040"/>
      <c r="E25" s="1038"/>
      <c r="F25" s="1038"/>
      <c r="G25" s="1038"/>
      <c r="J25" s="1020" t="s">
        <v>1577</v>
      </c>
      <c r="M25" s="3468">
        <v>5.9</v>
      </c>
      <c r="S25" s="3041"/>
    </row>
    <row r="26" spans="1:19" ht="12.75" customHeight="1">
      <c r="A26" s="3171"/>
      <c r="B26" s="3174"/>
      <c r="C26" s="3174"/>
      <c r="D26" s="3169"/>
      <c r="E26" s="3170"/>
      <c r="F26" s="3171"/>
      <c r="G26" s="1038"/>
      <c r="J26" s="1020" t="s">
        <v>1482</v>
      </c>
      <c r="M26" s="3331">
        <v>2.2999999999999998</v>
      </c>
      <c r="P26" s="3175"/>
    </row>
    <row r="27" spans="1:19" ht="12.75" customHeight="1">
      <c r="A27" s="3171"/>
      <c r="B27" s="3174"/>
      <c r="C27" s="3177" t="s">
        <v>1383</v>
      </c>
      <c r="D27" s="3169"/>
      <c r="E27" s="3170"/>
      <c r="F27" s="3252">
        <v>1663.9</v>
      </c>
      <c r="G27" s="1038" t="s">
        <v>886</v>
      </c>
      <c r="H27" s="2770"/>
      <c r="I27" s="3168"/>
      <c r="J27" s="3040" t="s">
        <v>1436</v>
      </c>
      <c r="K27" s="3169"/>
      <c r="L27" s="3170"/>
      <c r="M27" s="3331">
        <v>51.5</v>
      </c>
      <c r="P27" s="3176"/>
      <c r="R27" s="3041"/>
    </row>
    <row r="28" spans="1:19" ht="12.75" customHeight="1">
      <c r="A28" s="3171"/>
      <c r="B28" s="3174"/>
      <c r="C28" s="3177" t="s">
        <v>892</v>
      </c>
      <c r="D28" s="3172"/>
      <c r="E28" s="1038"/>
      <c r="F28" s="3173">
        <v>754</v>
      </c>
      <c r="G28" s="3176"/>
      <c r="H28" s="1145"/>
      <c r="I28" s="3181"/>
      <c r="J28" s="3040" t="s">
        <v>1494</v>
      </c>
      <c r="M28" s="3331">
        <v>1</v>
      </c>
      <c r="N28" s="3171"/>
    </row>
    <row r="29" spans="1:19" ht="12.95" customHeight="1">
      <c r="A29" s="3171"/>
      <c r="B29" s="3174"/>
      <c r="C29" s="3177" t="s">
        <v>1355</v>
      </c>
      <c r="D29" s="3172"/>
      <c r="E29" s="1038"/>
      <c r="F29" s="3173">
        <v>31.6</v>
      </c>
      <c r="G29" s="1038"/>
      <c r="J29" s="3040" t="s">
        <v>1542</v>
      </c>
      <c r="M29" s="3331">
        <v>1.4</v>
      </c>
    </row>
    <row r="30" spans="1:19" ht="12.75" customHeight="1">
      <c r="C30" s="3177" t="s">
        <v>1492</v>
      </c>
      <c r="F30" s="3173">
        <v>4.8</v>
      </c>
      <c r="J30" s="1018" t="s">
        <v>1488</v>
      </c>
      <c r="M30" s="3331">
        <v>35.700000000000003</v>
      </c>
    </row>
    <row r="31" spans="1:19" ht="12.75" customHeight="1">
      <c r="A31" s="1038"/>
      <c r="B31" s="3177"/>
      <c r="C31" s="3177" t="s">
        <v>897</v>
      </c>
      <c r="D31" s="3172"/>
      <c r="E31" s="1038"/>
      <c r="F31" s="3173">
        <v>80.400000000000006</v>
      </c>
      <c r="G31" s="3171"/>
      <c r="J31" s="1018" t="s">
        <v>1570</v>
      </c>
      <c r="M31" s="3331">
        <v>7.5</v>
      </c>
    </row>
    <row r="32" spans="1:19" ht="12.75" customHeight="1">
      <c r="A32" s="3171"/>
      <c r="B32" s="3174"/>
      <c r="C32" s="3177" t="s">
        <v>1443</v>
      </c>
      <c r="D32" s="3169"/>
      <c r="E32" s="3170"/>
      <c r="F32" s="3173">
        <v>49.5</v>
      </c>
      <c r="G32" s="3171"/>
      <c r="J32" s="1018" t="s">
        <v>1497</v>
      </c>
      <c r="M32" s="3468">
        <v>5.9</v>
      </c>
    </row>
    <row r="33" spans="1:20" s="3041" customFormat="1" ht="12.75" customHeight="1">
      <c r="A33" s="1038"/>
      <c r="B33" s="3174"/>
      <c r="C33" s="3177" t="s">
        <v>1438</v>
      </c>
      <c r="D33" s="3172"/>
      <c r="E33" s="1038"/>
      <c r="F33" s="3173">
        <v>622.70000000000005</v>
      </c>
      <c r="G33" s="3171"/>
      <c r="H33" s="1019"/>
      <c r="I33" s="1026"/>
      <c r="J33" s="1018" t="s">
        <v>898</v>
      </c>
      <c r="K33" s="1027"/>
      <c r="L33" s="1027"/>
      <c r="M33" s="3331">
        <v>1</v>
      </c>
      <c r="N33" s="1027"/>
      <c r="O33" s="1229"/>
      <c r="P33" s="3173"/>
      <c r="R33" s="1229"/>
      <c r="S33" s="1229"/>
    </row>
    <row r="34" spans="1:20" ht="12.95" customHeight="1">
      <c r="A34" s="1038"/>
      <c r="B34" s="3176"/>
      <c r="C34" s="3177" t="s">
        <v>1444</v>
      </c>
      <c r="D34" s="3169"/>
      <c r="E34" s="3170"/>
      <c r="F34" s="3173">
        <v>6.6</v>
      </c>
      <c r="G34" s="3176"/>
      <c r="J34" s="1018" t="s">
        <v>1575</v>
      </c>
      <c r="M34" s="3331">
        <v>1.6</v>
      </c>
      <c r="P34" s="3176"/>
      <c r="S34" s="3041"/>
    </row>
    <row r="35" spans="1:20" ht="12.75" customHeight="1">
      <c r="A35" s="3171"/>
      <c r="B35" s="3174"/>
      <c r="C35" s="3177" t="s">
        <v>1445</v>
      </c>
      <c r="D35" s="3169"/>
      <c r="E35" s="3170"/>
      <c r="F35" s="3173">
        <v>36.6</v>
      </c>
      <c r="G35" s="3171"/>
      <c r="J35" s="1020" t="s">
        <v>1478</v>
      </c>
      <c r="K35" s="2772"/>
      <c r="L35" s="2775"/>
      <c r="M35" s="3331">
        <v>2.8</v>
      </c>
    </row>
    <row r="36" spans="1:20" ht="12.75" customHeight="1">
      <c r="A36" s="1038"/>
      <c r="B36" s="3174"/>
      <c r="C36" s="3177" t="s">
        <v>1446</v>
      </c>
      <c r="D36" s="3172"/>
      <c r="E36" s="1038"/>
      <c r="F36" s="3173">
        <v>3.8</v>
      </c>
      <c r="G36" s="3171"/>
      <c r="J36" s="1020" t="s">
        <v>1572</v>
      </c>
      <c r="M36" s="3331">
        <v>1.7</v>
      </c>
      <c r="P36" s="3176"/>
      <c r="R36" s="1019"/>
    </row>
    <row r="37" spans="1:20" ht="12.75" customHeight="1">
      <c r="A37" s="1038"/>
      <c r="B37" s="3174"/>
      <c r="C37" s="3255" t="s">
        <v>1432</v>
      </c>
      <c r="D37" s="3169"/>
      <c r="E37" s="3170"/>
      <c r="F37" s="3256">
        <v>38</v>
      </c>
      <c r="G37" s="3171"/>
      <c r="J37" s="1020" t="s">
        <v>1578</v>
      </c>
      <c r="M37" s="3468">
        <v>2.5</v>
      </c>
      <c r="P37" s="3176"/>
      <c r="R37" s="1030"/>
    </row>
    <row r="38" spans="1:20" ht="12.75" customHeight="1">
      <c r="A38" s="2773"/>
      <c r="B38" s="2774"/>
      <c r="C38" s="1018" t="s">
        <v>1476</v>
      </c>
      <c r="D38" s="2775"/>
      <c r="E38" s="2772"/>
      <c r="F38" s="3402">
        <v>6.3</v>
      </c>
      <c r="J38" s="1020" t="s">
        <v>1569</v>
      </c>
      <c r="M38" s="3331">
        <v>38.799999999999997</v>
      </c>
      <c r="N38" s="2772"/>
      <c r="P38" s="3176"/>
      <c r="R38" s="1030"/>
      <c r="T38" s="1231"/>
    </row>
    <row r="39" spans="1:20" ht="12.75" customHeight="1">
      <c r="C39" s="3255" t="s">
        <v>1462</v>
      </c>
      <c r="F39" s="3256">
        <v>5</v>
      </c>
      <c r="J39" s="3262" t="s">
        <v>1149</v>
      </c>
      <c r="K39" s="3169"/>
      <c r="L39" s="3170"/>
      <c r="M39" s="3331">
        <v>25</v>
      </c>
      <c r="N39" s="3171"/>
      <c r="P39" s="3176"/>
      <c r="T39" s="1231"/>
    </row>
    <row r="40" spans="1:20" ht="12.95" customHeight="1">
      <c r="C40" s="3328" t="s">
        <v>1466</v>
      </c>
      <c r="D40" s="3329"/>
      <c r="E40" s="3330"/>
      <c r="F40" s="3256">
        <v>2.9</v>
      </c>
      <c r="J40" s="3262" t="s">
        <v>1574</v>
      </c>
      <c r="M40" s="3331">
        <v>3.2</v>
      </c>
      <c r="P40" s="3181"/>
      <c r="T40" s="1231"/>
    </row>
    <row r="41" spans="1:20" ht="12.75" customHeight="1">
      <c r="B41" s="3041"/>
      <c r="C41" s="3467" t="s">
        <v>1496</v>
      </c>
      <c r="D41" s="3041"/>
      <c r="E41" s="3041"/>
      <c r="F41" s="3468">
        <v>0.7</v>
      </c>
      <c r="G41" s="3171"/>
      <c r="H41" s="1145"/>
      <c r="I41" s="3174"/>
      <c r="J41" s="3177" t="s">
        <v>1486</v>
      </c>
      <c r="M41" s="3331">
        <v>2</v>
      </c>
      <c r="P41" s="3181"/>
      <c r="T41" s="1231"/>
    </row>
    <row r="42" spans="1:20" s="3041" customFormat="1" ht="12.75" customHeight="1">
      <c r="A42" s="1145"/>
      <c r="B42" s="1230"/>
      <c r="C42" s="3328" t="s">
        <v>1487</v>
      </c>
      <c r="D42" s="1029"/>
      <c r="E42" s="1027"/>
      <c r="F42" s="3256">
        <v>31.4</v>
      </c>
      <c r="G42" s="1145"/>
      <c r="H42" s="1019"/>
      <c r="I42" s="1026"/>
      <c r="J42" s="1020" t="s">
        <v>1477</v>
      </c>
      <c r="K42" s="2772"/>
      <c r="L42" s="2772"/>
      <c r="M42" s="3331">
        <v>1.8</v>
      </c>
      <c r="N42" s="3176"/>
      <c r="O42" s="1229"/>
      <c r="P42" s="3173"/>
      <c r="T42" s="1231"/>
    </row>
    <row r="43" spans="1:20" ht="12.75" customHeight="1">
      <c r="A43" s="3171"/>
      <c r="C43" s="1020" t="s">
        <v>1495</v>
      </c>
      <c r="F43" s="3256">
        <v>2</v>
      </c>
      <c r="G43" s="3171"/>
      <c r="H43" s="3041"/>
      <c r="I43" s="3176"/>
      <c r="J43" s="3040" t="s">
        <v>1442</v>
      </c>
      <c r="K43" s="3172"/>
      <c r="L43" s="1038"/>
      <c r="M43" s="3331">
        <v>25.1</v>
      </c>
      <c r="N43" s="3176"/>
      <c r="P43" s="3173"/>
      <c r="Q43" s="3041"/>
      <c r="T43" s="1231"/>
    </row>
    <row r="44" spans="1:20" s="3041" customFormat="1" ht="12.75" customHeight="1">
      <c r="A44" s="1038"/>
      <c r="B44" s="3174"/>
      <c r="C44" s="3255" t="s">
        <v>1434</v>
      </c>
      <c r="D44" s="3169"/>
      <c r="E44" s="3170"/>
      <c r="F44" s="3256">
        <v>1250</v>
      </c>
      <c r="G44" s="3171"/>
      <c r="I44" s="3176"/>
      <c r="J44" s="3328" t="s">
        <v>1470</v>
      </c>
      <c r="K44" s="1027"/>
      <c r="L44" s="1027"/>
      <c r="M44" s="3331">
        <v>3.6</v>
      </c>
      <c r="P44" s="1038"/>
      <c r="R44" s="1229"/>
      <c r="S44" s="1229"/>
      <c r="T44" s="1231"/>
    </row>
    <row r="45" spans="1:20" ht="12.75" customHeight="1">
      <c r="A45" s="3171"/>
      <c r="B45" s="3174"/>
      <c r="C45" s="3255" t="s">
        <v>1435</v>
      </c>
      <c r="D45" s="3169"/>
      <c r="E45" s="3170"/>
      <c r="F45" s="3256">
        <v>1300</v>
      </c>
      <c r="G45" s="3171"/>
      <c r="H45" s="3041"/>
      <c r="I45" s="3041"/>
      <c r="J45" s="1020" t="s">
        <v>1479</v>
      </c>
      <c r="K45" s="2775"/>
      <c r="L45" s="2772"/>
      <c r="M45" s="3331">
        <v>2.2999999999999998</v>
      </c>
      <c r="P45" s="1038"/>
      <c r="S45" s="3041"/>
      <c r="T45" s="1231"/>
    </row>
    <row r="46" spans="1:20" ht="12.75" customHeight="1">
      <c r="A46" s="1038"/>
      <c r="B46" s="3174"/>
      <c r="C46" s="3255" t="s">
        <v>1433</v>
      </c>
      <c r="D46" s="3169"/>
      <c r="E46" s="3170"/>
      <c r="F46" s="3256">
        <v>29.1</v>
      </c>
      <c r="G46" s="3171"/>
      <c r="J46" s="1020" t="s">
        <v>1571</v>
      </c>
      <c r="K46" s="3041"/>
      <c r="L46" s="3041"/>
      <c r="M46" s="3331">
        <v>7.9</v>
      </c>
      <c r="P46" s="1038"/>
      <c r="T46" s="1231"/>
    </row>
    <row r="47" spans="1:20" ht="12.75" customHeight="1">
      <c r="A47" s="1019"/>
      <c r="B47" s="3177"/>
      <c r="C47" s="3177" t="s">
        <v>898</v>
      </c>
      <c r="D47" s="3172"/>
      <c r="E47" s="1038"/>
      <c r="F47" s="3173">
        <v>330</v>
      </c>
      <c r="G47" s="3171"/>
      <c r="P47" s="1038"/>
    </row>
    <row r="48" spans="1:20" ht="13.5" customHeight="1">
      <c r="B48" s="3177"/>
      <c r="C48" s="3177" t="s">
        <v>899</v>
      </c>
      <c r="D48" s="3172"/>
      <c r="E48" s="1038"/>
      <c r="F48" s="3173">
        <v>4.4000000000000004</v>
      </c>
      <c r="P48" s="1038"/>
      <c r="R48" s="3041"/>
    </row>
    <row r="49" spans="1:21" ht="13.5" customHeight="1">
      <c r="A49" s="3039"/>
      <c r="C49" s="3177" t="s">
        <v>1493</v>
      </c>
      <c r="F49" s="3173">
        <v>3.5</v>
      </c>
      <c r="G49" s="3171"/>
      <c r="P49" s="1038"/>
      <c r="R49" s="3041"/>
    </row>
    <row r="50" spans="1:21" ht="12.75" customHeight="1">
      <c r="A50" s="1019"/>
      <c r="B50" s="3177"/>
      <c r="C50" s="3177" t="s">
        <v>1459</v>
      </c>
      <c r="D50" s="3172"/>
      <c r="E50" s="1038"/>
      <c r="F50" s="3173">
        <v>68.3</v>
      </c>
      <c r="G50" s="1038"/>
      <c r="H50" s="1038"/>
      <c r="I50" s="3251" t="s">
        <v>1311</v>
      </c>
      <c r="J50" s="3251"/>
      <c r="K50" s="1038"/>
      <c r="L50" s="1038"/>
      <c r="M50" s="1038"/>
      <c r="N50" s="1038"/>
      <c r="O50" s="3176"/>
      <c r="P50" s="1038"/>
    </row>
    <row r="51" spans="1:21" ht="12.75" customHeight="1">
      <c r="B51" s="3177"/>
      <c r="C51" s="3177" t="s">
        <v>1053</v>
      </c>
      <c r="D51" s="3172"/>
      <c r="E51" s="1038"/>
      <c r="F51" s="3173">
        <v>996.3</v>
      </c>
      <c r="H51" s="1038"/>
      <c r="I51" s="1239"/>
      <c r="J51" s="1239"/>
      <c r="K51" s="3170"/>
      <c r="L51" s="3170"/>
      <c r="M51" s="3170"/>
      <c r="N51" s="3170"/>
      <c r="O51" s="3176"/>
      <c r="P51" s="1038"/>
    </row>
    <row r="52" spans="1:21" ht="12.95" customHeight="1">
      <c r="H52" s="1038"/>
      <c r="I52" s="3177"/>
      <c r="J52" s="3177" t="s">
        <v>893</v>
      </c>
      <c r="K52" s="3172"/>
      <c r="L52" s="1038"/>
      <c r="M52" s="3252">
        <v>8124</v>
      </c>
      <c r="N52" s="1038" t="s">
        <v>886</v>
      </c>
      <c r="P52" s="1038"/>
    </row>
    <row r="53" spans="1:21" ht="12.75" customHeight="1">
      <c r="A53" s="2773"/>
      <c r="G53" s="3171"/>
      <c r="H53" s="1038"/>
      <c r="I53" s="3177"/>
      <c r="J53" s="3177" t="s">
        <v>894</v>
      </c>
      <c r="K53" s="3172"/>
      <c r="L53" s="1038"/>
      <c r="M53" s="3173">
        <v>2676.9</v>
      </c>
      <c r="N53" s="3176"/>
      <c r="P53" s="1038"/>
      <c r="R53" s="3041"/>
    </row>
    <row r="54" spans="1:21" ht="12.75" customHeight="1">
      <c r="A54" s="2773"/>
      <c r="B54" s="3177" t="s">
        <v>901</v>
      </c>
      <c r="C54" s="3177"/>
      <c r="D54" s="3257"/>
      <c r="E54" s="1038"/>
      <c r="F54" s="3175"/>
      <c r="G54" s="3171"/>
      <c r="H54" s="1038"/>
      <c r="I54" s="3177"/>
      <c r="J54" s="3177" t="s">
        <v>895</v>
      </c>
      <c r="K54" s="3172"/>
      <c r="L54" s="1038"/>
      <c r="M54" s="3173">
        <v>2206.5</v>
      </c>
      <c r="N54" s="3176"/>
      <c r="Q54" s="3041"/>
      <c r="S54" s="1017"/>
      <c r="T54" s="1231"/>
      <c r="U54" s="1231"/>
    </row>
    <row r="55" spans="1:21" ht="12.75" customHeight="1">
      <c r="A55" s="1019"/>
      <c r="B55" s="1038" t="s">
        <v>1592</v>
      </c>
      <c r="C55" s="3177"/>
      <c r="D55" s="3257"/>
      <c r="E55" s="1038"/>
      <c r="F55" s="3175"/>
      <c r="G55" s="3171"/>
      <c r="H55" s="1038"/>
      <c r="I55" s="1239"/>
      <c r="J55" s="3177" t="s">
        <v>896</v>
      </c>
      <c r="K55" s="3172"/>
      <c r="L55" s="1038"/>
      <c r="M55" s="3173">
        <v>807.9</v>
      </c>
      <c r="N55" s="3176"/>
      <c r="S55" s="1033"/>
      <c r="T55" s="1231"/>
      <c r="U55" s="1231"/>
    </row>
    <row r="56" spans="1:21" s="3041" customFormat="1" ht="12.75" customHeight="1">
      <c r="A56" s="3039"/>
      <c r="B56" s="1038" t="s">
        <v>1591</v>
      </c>
      <c r="C56" s="3177"/>
      <c r="D56" s="3257"/>
      <c r="E56" s="1038"/>
      <c r="F56" s="3175"/>
      <c r="G56" s="3171"/>
      <c r="H56" s="1038"/>
      <c r="I56" s="1239"/>
      <c r="J56" s="3177"/>
      <c r="K56" s="3170"/>
      <c r="L56" s="3170"/>
      <c r="M56" s="3170"/>
      <c r="N56" s="3170"/>
      <c r="O56" s="3176"/>
      <c r="P56" s="1229"/>
      <c r="Q56" s="1229"/>
      <c r="S56" s="1033"/>
      <c r="T56" s="1231"/>
      <c r="U56" s="1231"/>
    </row>
    <row r="57" spans="1:21" ht="12.75" customHeight="1">
      <c r="B57" s="1038" t="s">
        <v>1544</v>
      </c>
      <c r="C57" s="3174"/>
      <c r="D57" s="3169"/>
      <c r="E57" s="3170"/>
      <c r="F57" s="3171"/>
      <c r="H57" s="1038"/>
      <c r="I57" s="1038" t="s">
        <v>1124</v>
      </c>
      <c r="J57" s="3177"/>
      <c r="K57" s="1038"/>
      <c r="L57" s="1038"/>
      <c r="M57" s="1038"/>
      <c r="N57" s="1038"/>
      <c r="O57" s="3173"/>
      <c r="P57" s="3041"/>
      <c r="S57" s="1034"/>
      <c r="T57" s="1231"/>
      <c r="U57" s="1231"/>
    </row>
    <row r="58" spans="1:21" s="2770" customFormat="1" ht="12.75" customHeight="1">
      <c r="G58" s="3171"/>
      <c r="H58" s="1038"/>
      <c r="I58" s="1038" t="s">
        <v>1125</v>
      </c>
      <c r="J58" s="3177"/>
      <c r="K58" s="1038"/>
      <c r="L58" s="1038"/>
      <c r="M58" s="1038"/>
      <c r="N58" s="1038"/>
      <c r="O58" s="3173"/>
      <c r="P58" s="1229"/>
      <c r="R58" s="1022"/>
      <c r="S58" s="1229"/>
    </row>
    <row r="59" spans="1:21" ht="12.75" customHeight="1">
      <c r="G59" s="3171"/>
      <c r="H59" s="1038"/>
      <c r="I59" s="1038" t="s">
        <v>1594</v>
      </c>
      <c r="J59" s="3177"/>
      <c r="K59" s="1038"/>
      <c r="L59" s="1038"/>
      <c r="M59" s="1038"/>
      <c r="N59" s="1038"/>
      <c r="O59" s="3173"/>
      <c r="P59" s="2770"/>
      <c r="Q59" s="2770"/>
      <c r="R59" s="1022"/>
      <c r="S59" s="2770"/>
    </row>
    <row r="60" spans="1:21" ht="12.75" customHeight="1">
      <c r="H60" s="1038"/>
      <c r="I60" s="1239"/>
      <c r="J60" s="1239"/>
      <c r="K60" s="3170"/>
      <c r="L60" s="3170"/>
      <c r="M60" s="3170"/>
      <c r="N60" s="3170"/>
      <c r="O60" s="3176"/>
      <c r="R60" s="1036"/>
    </row>
    <row r="61" spans="1:21" s="3041" customFormat="1" ht="12.75" customHeight="1">
      <c r="H61" s="3181"/>
      <c r="P61" s="1229"/>
      <c r="Q61" s="1229"/>
      <c r="R61" s="2776"/>
    </row>
    <row r="62" spans="1:21" s="3041" customFormat="1" ht="12.75" customHeight="1">
      <c r="A62" s="1019"/>
      <c r="B62" s="3251" t="s">
        <v>1582</v>
      </c>
      <c r="C62" s="3177"/>
      <c r="D62" s="1038"/>
      <c r="E62" s="1038"/>
      <c r="F62" s="1038"/>
      <c r="G62" s="1038"/>
      <c r="H62" s="3181"/>
      <c r="P62" s="1229"/>
      <c r="R62" s="2776"/>
    </row>
    <row r="63" spans="1:21" s="3041" customFormat="1" ht="12.75" customHeight="1">
      <c r="A63" s="1038"/>
      <c r="B63" s="3040" t="s">
        <v>1579</v>
      </c>
      <c r="C63" s="3177"/>
      <c r="D63" s="1038"/>
      <c r="E63" s="1038"/>
      <c r="F63" s="1038"/>
      <c r="G63" s="1038"/>
      <c r="H63" s="1229"/>
      <c r="I63" s="1038"/>
      <c r="J63" s="1026"/>
      <c r="K63" s="1027"/>
      <c r="L63" s="1027"/>
      <c r="M63" s="1027"/>
      <c r="N63" s="1027"/>
      <c r="O63" s="1229"/>
      <c r="R63" s="2776"/>
    </row>
    <row r="64" spans="1:21" s="3041" customFormat="1" ht="12.75" customHeight="1">
      <c r="A64" s="1038"/>
      <c r="B64" s="3466" t="s">
        <v>1543</v>
      </c>
      <c r="C64" s="1026"/>
      <c r="D64" s="1027"/>
      <c r="E64" s="1027"/>
      <c r="F64" s="1027"/>
      <c r="G64" s="1027"/>
      <c r="I64" s="1038"/>
      <c r="R64" s="2776"/>
    </row>
    <row r="65" spans="1:18" s="3041" customFormat="1" ht="12.75" customHeight="1">
      <c r="I65" s="1038"/>
      <c r="R65" s="2776"/>
    </row>
    <row r="66" spans="1:18" s="3041" customFormat="1" ht="12.75" customHeight="1">
      <c r="I66" s="1038"/>
      <c r="R66" s="2776"/>
    </row>
    <row r="67" spans="1:18" s="3041" customFormat="1" ht="12.75" customHeight="1">
      <c r="I67" s="3181"/>
      <c r="R67" s="2776"/>
    </row>
    <row r="68" spans="1:18" s="3041" customFormat="1" ht="12.75" customHeight="1">
      <c r="A68" s="3182" t="s">
        <v>900</v>
      </c>
      <c r="B68" s="1038" t="s">
        <v>943</v>
      </c>
      <c r="C68" s="1239"/>
      <c r="D68" s="3174"/>
      <c r="E68" s="3169"/>
      <c r="F68" s="3170"/>
      <c r="G68" s="3171"/>
      <c r="I68" s="3181"/>
      <c r="R68" s="2776"/>
    </row>
    <row r="69" spans="1:18" s="3041" customFormat="1" ht="12.75" customHeight="1">
      <c r="A69" s="1038"/>
      <c r="B69" s="1038" t="s">
        <v>1131</v>
      </c>
      <c r="C69" s="1239"/>
      <c r="D69" s="3174"/>
      <c r="E69" s="3169"/>
      <c r="F69" s="3170"/>
      <c r="G69" s="3171"/>
      <c r="H69" s="3171"/>
      <c r="I69" s="1038"/>
      <c r="P69" s="1229"/>
      <c r="R69" s="2776"/>
    </row>
    <row r="70" spans="1:18" s="3041" customFormat="1" ht="12.75" customHeight="1">
      <c r="A70" s="1038"/>
      <c r="B70" s="1038" t="s">
        <v>1136</v>
      </c>
      <c r="C70" s="3176"/>
      <c r="D70" s="3174"/>
      <c r="E70" s="3169"/>
      <c r="F70" s="3170"/>
      <c r="G70" s="3171"/>
      <c r="H70" s="3171"/>
      <c r="I70" s="1038"/>
      <c r="P70" s="2770"/>
      <c r="R70" s="2776"/>
    </row>
    <row r="71" spans="1:18" ht="12.75" customHeight="1">
      <c r="A71" s="1038"/>
      <c r="B71" s="1038" t="s">
        <v>1127</v>
      </c>
      <c r="C71" s="1239"/>
      <c r="D71" s="3174"/>
      <c r="E71" s="3169"/>
      <c r="F71" s="3170"/>
      <c r="G71" s="3171"/>
      <c r="H71" s="3171"/>
      <c r="I71" s="1038"/>
      <c r="R71" s="2776"/>
    </row>
    <row r="72" spans="1:18" ht="12.75" customHeight="1">
      <c r="A72" s="1038"/>
      <c r="B72" s="1038" t="s">
        <v>15</v>
      </c>
      <c r="C72" s="1239"/>
      <c r="D72" s="3174"/>
      <c r="E72" s="3169"/>
      <c r="F72" s="3170"/>
      <c r="G72" s="3171"/>
      <c r="H72" s="3171"/>
      <c r="I72" s="3176"/>
      <c r="P72" s="3176"/>
      <c r="R72" s="1036"/>
    </row>
    <row r="73" spans="1:18" ht="12.75" customHeight="1">
      <c r="A73" s="1038"/>
      <c r="B73" s="1038" t="s">
        <v>1353</v>
      </c>
      <c r="C73" s="1239"/>
      <c r="D73" s="3174"/>
      <c r="E73" s="3169"/>
      <c r="F73" s="3170"/>
      <c r="G73" s="3171"/>
      <c r="H73" s="3171"/>
      <c r="I73" s="3176"/>
      <c r="J73" s="2770"/>
      <c r="K73" s="2770"/>
      <c r="L73" s="2770"/>
      <c r="M73" s="2770"/>
      <c r="N73" s="2770"/>
      <c r="O73" s="2770"/>
      <c r="P73" s="3176"/>
      <c r="R73" s="2776"/>
    </row>
    <row r="74" spans="1:18" ht="12.75" customHeight="1">
      <c r="A74" s="1038"/>
      <c r="B74" s="1038" t="s">
        <v>1354</v>
      </c>
      <c r="C74" s="1239"/>
      <c r="D74" s="3174"/>
      <c r="E74" s="3169"/>
      <c r="F74" s="3170"/>
      <c r="G74" s="3171"/>
      <c r="H74" s="3171"/>
      <c r="I74" s="1038"/>
      <c r="J74" s="2770"/>
      <c r="K74" s="2770"/>
      <c r="L74" s="2770"/>
      <c r="M74" s="2770"/>
      <c r="N74" s="2770"/>
      <c r="O74" s="2770"/>
      <c r="P74" s="3176"/>
      <c r="R74" s="1036"/>
    </row>
    <row r="75" spans="1:18" ht="12.75" customHeight="1">
      <c r="A75" s="1038"/>
      <c r="B75" s="1038" t="s">
        <v>1126</v>
      </c>
      <c r="C75" s="1239"/>
      <c r="D75" s="3174"/>
      <c r="E75" s="3169"/>
      <c r="F75" s="3170"/>
      <c r="G75" s="3171"/>
      <c r="H75" s="3171"/>
      <c r="I75" s="3258"/>
      <c r="P75" s="3041"/>
      <c r="R75" s="1036"/>
    </row>
    <row r="76" spans="1:18" s="1031" customFormat="1" ht="12.75" customHeight="1">
      <c r="A76" s="1038"/>
      <c r="B76" s="3171"/>
      <c r="C76" s="3174"/>
      <c r="D76" s="3174"/>
      <c r="E76" s="3169"/>
      <c r="F76" s="3170"/>
      <c r="G76" s="3171"/>
      <c r="H76" s="3171"/>
      <c r="I76" s="3171"/>
      <c r="J76" s="1026"/>
      <c r="K76" s="1027"/>
      <c r="L76" s="1027"/>
      <c r="M76" s="1027"/>
      <c r="N76" s="1027"/>
      <c r="O76" s="1229"/>
      <c r="P76" s="3041"/>
      <c r="R76" s="1036"/>
    </row>
    <row r="77" spans="1:18" s="1031" customFormat="1" ht="12.75" customHeight="1">
      <c r="A77" s="1038"/>
      <c r="B77" s="3171"/>
      <c r="C77" s="1239"/>
      <c r="D77" s="3184"/>
      <c r="E77" s="3185"/>
      <c r="F77" s="3186" t="s">
        <v>1351</v>
      </c>
      <c r="G77" s="3187"/>
      <c r="H77" s="3171"/>
      <c r="I77" s="3171"/>
      <c r="J77" s="2770"/>
      <c r="K77" s="2770"/>
      <c r="L77" s="2770"/>
      <c r="M77" s="2770"/>
      <c r="N77" s="2770"/>
      <c r="O77" s="2770"/>
      <c r="P77" s="3041"/>
      <c r="R77" s="1036"/>
    </row>
    <row r="78" spans="1:18" ht="12.75" customHeight="1">
      <c r="A78" s="3176"/>
      <c r="B78" s="3171"/>
      <c r="C78" s="3188"/>
      <c r="D78" s="3184"/>
      <c r="E78" s="3186" t="s">
        <v>879</v>
      </c>
      <c r="F78" s="3189"/>
      <c r="G78" s="3187" t="s">
        <v>1352</v>
      </c>
      <c r="I78" s="1229"/>
      <c r="J78" s="3177"/>
      <c r="K78" s="3040"/>
      <c r="L78" s="3170"/>
      <c r="M78" s="3170"/>
      <c r="N78" s="3170"/>
      <c r="O78" s="3176"/>
      <c r="P78" s="3041"/>
      <c r="R78" s="1037"/>
    </row>
    <row r="79" spans="1:18" ht="12.75" customHeight="1">
      <c r="A79" s="1038"/>
      <c r="B79" s="3171"/>
      <c r="C79" s="3188"/>
      <c r="D79" s="3184"/>
      <c r="E79" s="3186"/>
      <c r="F79" s="3189"/>
      <c r="G79" s="3187"/>
      <c r="I79" s="3260"/>
      <c r="J79" s="1239"/>
      <c r="K79" s="3170"/>
      <c r="L79" s="3170"/>
      <c r="M79" s="3170"/>
      <c r="N79" s="3170"/>
      <c r="O79" s="3176"/>
      <c r="P79" s="3041"/>
      <c r="R79" s="1037"/>
    </row>
    <row r="80" spans="1:18" ht="12.75" customHeight="1">
      <c r="A80" s="1038"/>
      <c r="B80" s="3190" t="s">
        <v>902</v>
      </c>
      <c r="C80" s="1239"/>
      <c r="D80" s="3184"/>
      <c r="E80" s="3191">
        <v>0</v>
      </c>
      <c r="F80" s="3189"/>
      <c r="G80" s="3220">
        <v>1122636</v>
      </c>
      <c r="I80" s="1229"/>
      <c r="J80" s="1239"/>
      <c r="K80" s="3170"/>
      <c r="L80" s="3170"/>
      <c r="M80" s="3170"/>
      <c r="N80" s="3170"/>
      <c r="O80" s="3176"/>
      <c r="P80" s="3041"/>
      <c r="R80" s="1037"/>
    </row>
    <row r="81" spans="1:18" ht="12.75" customHeight="1">
      <c r="A81" s="1038"/>
      <c r="B81" s="3358" t="s">
        <v>1474</v>
      </c>
      <c r="C81" s="1239"/>
      <c r="D81" s="3184"/>
      <c r="E81" s="3192">
        <v>0</v>
      </c>
      <c r="F81" s="3189"/>
      <c r="G81" s="3221">
        <v>2035350</v>
      </c>
      <c r="I81" s="1229"/>
      <c r="J81" s="2771"/>
      <c r="K81" s="2772"/>
      <c r="L81" s="2772"/>
      <c r="M81" s="2772"/>
      <c r="N81" s="2772"/>
      <c r="O81" s="3041"/>
      <c r="P81" s="3041"/>
      <c r="R81" s="1031"/>
    </row>
    <row r="82" spans="1:18" ht="12.75" customHeight="1">
      <c r="A82" s="1038"/>
      <c r="B82" s="3190" t="s">
        <v>903</v>
      </c>
      <c r="C82" s="1239"/>
      <c r="D82" s="3040"/>
      <c r="E82" s="3193">
        <v>0</v>
      </c>
      <c r="F82" s="3194"/>
      <c r="G82" s="3222">
        <v>7002234</v>
      </c>
      <c r="I82" s="2770"/>
      <c r="J82" s="2771"/>
      <c r="K82" s="2772"/>
      <c r="L82" s="2772"/>
      <c r="M82" s="2772"/>
      <c r="N82" s="2772"/>
      <c r="O82" s="3041"/>
      <c r="P82" s="3041"/>
    </row>
    <row r="83" spans="1:18" ht="12.75" customHeight="1">
      <c r="A83" s="3171"/>
      <c r="B83" s="3190" t="s">
        <v>904</v>
      </c>
      <c r="C83" s="1239"/>
      <c r="D83" s="3040"/>
      <c r="E83" s="3193">
        <v>0</v>
      </c>
      <c r="F83" s="3189"/>
      <c r="G83" s="3223">
        <v>55188651</v>
      </c>
      <c r="H83" s="1031"/>
      <c r="I83" s="2771"/>
      <c r="J83" s="2771"/>
      <c r="K83" s="2772"/>
      <c r="L83" s="2772"/>
      <c r="M83" s="2772"/>
      <c r="N83" s="2772"/>
      <c r="O83" s="3041"/>
      <c r="Q83" s="1031"/>
    </row>
    <row r="84" spans="1:18" ht="12.6" customHeight="1">
      <c r="A84" s="3171"/>
      <c r="B84" s="3190" t="s">
        <v>905</v>
      </c>
      <c r="C84" s="1239"/>
      <c r="D84" s="3040"/>
      <c r="E84" s="3192">
        <v>0</v>
      </c>
      <c r="F84" s="3189"/>
      <c r="G84" s="3195">
        <v>0</v>
      </c>
      <c r="I84" s="2771"/>
      <c r="J84" s="2771"/>
      <c r="K84" s="2772"/>
      <c r="L84" s="2772"/>
      <c r="M84" s="2772"/>
      <c r="N84" s="2772"/>
      <c r="O84" s="3041"/>
    </row>
    <row r="85" spans="1:18" ht="12.6" customHeight="1">
      <c r="A85" s="3171"/>
      <c r="B85" s="3190" t="s">
        <v>1072</v>
      </c>
      <c r="C85" s="1239"/>
      <c r="D85" s="3040"/>
      <c r="E85" s="3192">
        <v>0</v>
      </c>
      <c r="F85" s="3189"/>
      <c r="G85" s="3192">
        <v>0</v>
      </c>
      <c r="I85" s="2771"/>
      <c r="J85" s="2771"/>
      <c r="K85" s="2772"/>
      <c r="L85" s="2772"/>
      <c r="M85" s="2772"/>
      <c r="N85" s="2772"/>
      <c r="O85" s="3041"/>
    </row>
    <row r="86" spans="1:18" ht="12.6" customHeight="1" thickBot="1">
      <c r="A86" s="3171"/>
      <c r="B86" s="3190" t="s">
        <v>906</v>
      </c>
      <c r="C86" s="1239"/>
      <c r="D86" s="3190"/>
      <c r="E86" s="3196">
        <f>SUM(E80:E85)</f>
        <v>0</v>
      </c>
      <c r="F86" s="3197"/>
      <c r="G86" s="3198">
        <f>SUM(G80:G85)</f>
        <v>65348871</v>
      </c>
      <c r="I86" s="2771"/>
      <c r="J86" s="2771"/>
      <c r="K86" s="2772"/>
      <c r="L86" s="2772"/>
      <c r="M86" s="2772"/>
      <c r="N86" s="2772"/>
      <c r="O86" s="3041"/>
    </row>
    <row r="87" spans="1:18" ht="12.6" customHeight="1" thickTop="1">
      <c r="A87" s="1038"/>
      <c r="B87" s="3040"/>
      <c r="C87" s="1239"/>
      <c r="D87" s="1239"/>
      <c r="E87" s="3170"/>
      <c r="F87" s="3170"/>
      <c r="G87" s="3170"/>
      <c r="H87" s="3041"/>
      <c r="I87" s="2771"/>
      <c r="J87" s="2771"/>
      <c r="K87" s="2772"/>
      <c r="L87" s="2772"/>
      <c r="M87" s="2772"/>
      <c r="N87" s="2772"/>
      <c r="O87" s="3041"/>
    </row>
    <row r="88" spans="1:18" ht="12.75" customHeight="1">
      <c r="A88" s="1038"/>
      <c r="B88" s="3040"/>
      <c r="C88" s="1239"/>
      <c r="D88" s="1239"/>
      <c r="E88" s="3170"/>
      <c r="F88" s="3170"/>
      <c r="G88" s="3170"/>
      <c r="H88" s="3041"/>
      <c r="I88" s="2771"/>
      <c r="J88" s="2771"/>
      <c r="K88" s="2772"/>
      <c r="L88" s="2772"/>
      <c r="M88" s="2772"/>
      <c r="N88" s="2772"/>
      <c r="O88" s="3041"/>
      <c r="P88" s="1031"/>
    </row>
    <row r="89" spans="1:18" ht="12.75" customHeight="1">
      <c r="A89" s="3176"/>
      <c r="B89" s="3040"/>
      <c r="C89" s="1239"/>
      <c r="D89" s="3177"/>
      <c r="E89" s="1038"/>
      <c r="F89" s="1038"/>
      <c r="G89" s="1038"/>
      <c r="H89" s="3041"/>
      <c r="I89" s="2770"/>
      <c r="P89" s="1031"/>
    </row>
    <row r="90" spans="1:18" ht="12.75" customHeight="1">
      <c r="A90" s="3473" t="s">
        <v>1085</v>
      </c>
      <c r="B90" s="1018" t="s">
        <v>1356</v>
      </c>
      <c r="C90" s="2771"/>
      <c r="D90" s="2771"/>
      <c r="F90" s="2772"/>
      <c r="G90" s="2772"/>
      <c r="I90" s="2770"/>
    </row>
    <row r="91" spans="1:18" ht="12.75" customHeight="1">
      <c r="A91" s="3039"/>
      <c r="B91" s="3039" t="s">
        <v>1357</v>
      </c>
      <c r="C91" s="3474"/>
      <c r="D91" s="3474"/>
      <c r="E91" s="2772"/>
      <c r="F91" s="2772"/>
      <c r="G91" s="2772"/>
      <c r="I91" s="1229"/>
      <c r="R91" s="1023"/>
    </row>
    <row r="92" spans="1:18" ht="12.75" customHeight="1">
      <c r="A92" s="1049"/>
      <c r="B92" s="1050" t="s">
        <v>1581</v>
      </c>
      <c r="C92" s="3475"/>
      <c r="D92" s="3476"/>
      <c r="E92" s="3477"/>
      <c r="F92" s="3477"/>
      <c r="G92" s="1052"/>
      <c r="I92" s="2944"/>
      <c r="R92" s="1023"/>
    </row>
    <row r="93" spans="1:18" ht="12.75" customHeight="1">
      <c r="A93" s="1234"/>
      <c r="B93" s="1050" t="s">
        <v>1580</v>
      </c>
      <c r="C93" s="3475"/>
      <c r="D93" s="3478"/>
      <c r="E93" s="1050"/>
      <c r="F93" s="1050"/>
      <c r="G93" s="1049"/>
      <c r="I93" s="2944"/>
      <c r="P93" s="1031"/>
      <c r="Q93" s="1031"/>
      <c r="R93" s="1023"/>
    </row>
    <row r="94" spans="1:18" ht="12.75" customHeight="1">
      <c r="A94" s="1235"/>
      <c r="B94" s="1050"/>
      <c r="C94" s="1311"/>
      <c r="D94" s="1050"/>
      <c r="E94" s="1050"/>
      <c r="F94" s="1050"/>
      <c r="G94" s="1235"/>
      <c r="H94" s="1031"/>
      <c r="I94" s="2944"/>
      <c r="J94" s="2770"/>
      <c r="K94" s="1031"/>
      <c r="L94" s="1031"/>
      <c r="M94" s="1031"/>
      <c r="N94" s="1031"/>
      <c r="O94" s="1031"/>
      <c r="P94" s="1031"/>
      <c r="Q94" s="1031"/>
      <c r="R94" s="1023"/>
    </row>
    <row r="95" spans="1:18" ht="12.75" customHeight="1">
      <c r="A95" s="1235"/>
      <c r="B95" s="1050"/>
      <c r="C95" s="1311"/>
      <c r="D95" s="1312"/>
      <c r="E95" s="1050"/>
      <c r="F95" s="1312"/>
      <c r="G95" s="1235"/>
      <c r="H95" s="1031"/>
      <c r="I95" s="2945"/>
      <c r="J95" s="1229"/>
      <c r="K95" s="1031"/>
      <c r="L95" s="1031"/>
      <c r="M95" s="1031"/>
      <c r="N95" s="1031"/>
      <c r="O95" s="1031"/>
      <c r="Q95" s="1031"/>
      <c r="R95" s="1023"/>
    </row>
    <row r="96" spans="1:18" ht="12.75" customHeight="1">
      <c r="A96" s="1235"/>
      <c r="B96" s="1050"/>
      <c r="C96" s="1234"/>
      <c r="D96" s="1313"/>
      <c r="E96" s="1050"/>
      <c r="F96" s="1313"/>
      <c r="G96" s="1235"/>
      <c r="I96" s="2946"/>
      <c r="J96" s="1229"/>
      <c r="Q96" s="1031"/>
      <c r="R96" s="1023"/>
    </row>
    <row r="97" spans="1:19" ht="12.75" customHeight="1">
      <c r="A97" s="1235"/>
      <c r="B97" s="1050"/>
      <c r="C97" s="1234"/>
      <c r="D97" s="1313"/>
      <c r="E97" s="1050"/>
      <c r="F97" s="1313"/>
      <c r="G97" s="1235"/>
      <c r="I97" s="1229"/>
      <c r="J97" s="1229"/>
      <c r="Q97" s="1031"/>
      <c r="R97" s="1023"/>
    </row>
    <row r="98" spans="1:19" ht="12.75" customHeight="1">
      <c r="A98" s="1235"/>
      <c r="B98" s="1050"/>
      <c r="C98" s="1234"/>
      <c r="D98" s="1312"/>
      <c r="E98" s="1050"/>
      <c r="F98" s="1312"/>
      <c r="G98" s="1312"/>
      <c r="I98" s="2770"/>
      <c r="J98" s="1229"/>
      <c r="Q98" s="1031"/>
      <c r="R98" s="1023"/>
    </row>
    <row r="99" spans="1:19" ht="12.75" customHeight="1">
      <c r="A99" s="1309"/>
      <c r="B99" s="1050"/>
      <c r="C99" s="1050"/>
      <c r="D99" s="1050"/>
      <c r="E99" s="1313"/>
      <c r="F99" s="1313"/>
      <c r="G99" s="1312"/>
      <c r="I99" s="1229"/>
      <c r="J99" s="1229"/>
      <c r="K99" s="1019"/>
      <c r="L99" s="1019"/>
      <c r="M99" s="1019"/>
      <c r="N99" s="1019"/>
      <c r="O99" s="1031"/>
      <c r="Q99" s="1031"/>
      <c r="R99" s="1023"/>
    </row>
    <row r="100" spans="1:19" ht="12.75" customHeight="1">
      <c r="A100" s="1049"/>
      <c r="B100" s="1050"/>
      <c r="C100" s="1050"/>
      <c r="D100" s="1050"/>
      <c r="E100" s="1313"/>
      <c r="F100" s="1313"/>
      <c r="G100" s="1039"/>
      <c r="I100" s="1229"/>
      <c r="J100" s="1229"/>
      <c r="K100" s="1019"/>
      <c r="L100" s="1019"/>
      <c r="M100" s="1019"/>
      <c r="N100" s="1019"/>
      <c r="O100" s="1031"/>
      <c r="R100" s="1023"/>
    </row>
    <row r="101" spans="1:19" ht="12.75" customHeight="1">
      <c r="B101" s="1035"/>
      <c r="C101" s="1035"/>
      <c r="D101" s="1035"/>
      <c r="E101" s="1040"/>
      <c r="F101" s="1040"/>
      <c r="G101" s="1039"/>
      <c r="P101" s="1023"/>
      <c r="R101" s="1023"/>
    </row>
    <row r="102" spans="1:19" ht="12.75" customHeight="1">
      <c r="B102" s="1035"/>
      <c r="C102" s="1035"/>
      <c r="D102" s="1035"/>
      <c r="E102" s="1040"/>
      <c r="F102" s="1040"/>
      <c r="G102" s="1233"/>
      <c r="I102" s="2768" t="s">
        <v>15</v>
      </c>
      <c r="J102" s="1229"/>
      <c r="P102" s="1023"/>
      <c r="R102" s="1023"/>
    </row>
    <row r="103" spans="1:19" ht="12.75" customHeight="1">
      <c r="E103" s="1043"/>
      <c r="F103" s="1232"/>
      <c r="I103" s="2768" t="s">
        <v>15</v>
      </c>
      <c r="J103" s="1229"/>
      <c r="P103" s="1023"/>
      <c r="R103" s="1023"/>
    </row>
    <row r="104" spans="1:19" ht="11.25" customHeight="1">
      <c r="I104" s="2768" t="s">
        <v>15</v>
      </c>
      <c r="J104" s="1229"/>
      <c r="P104" s="1023"/>
      <c r="R104" s="1023"/>
    </row>
    <row r="105" spans="1:19" ht="11.25" customHeight="1">
      <c r="G105" s="1019"/>
      <c r="I105" s="2769" t="s">
        <v>15</v>
      </c>
      <c r="J105" s="1229"/>
      <c r="P105" s="1023"/>
      <c r="R105" s="1023"/>
    </row>
    <row r="106" spans="1:19" ht="11.25" customHeight="1">
      <c r="A106" s="1019"/>
      <c r="B106" s="1019"/>
      <c r="C106" s="1020"/>
      <c r="D106" s="1019"/>
      <c r="E106" s="1019"/>
      <c r="F106" s="1019"/>
      <c r="G106" s="1019"/>
      <c r="P106" s="1023"/>
      <c r="R106" s="1023"/>
      <c r="S106" s="1019"/>
    </row>
    <row r="107" spans="1:19" ht="12.75" customHeight="1">
      <c r="A107" s="1015"/>
      <c r="B107" s="1018"/>
      <c r="C107" s="1019"/>
      <c r="D107" s="1019"/>
      <c r="E107" s="1019"/>
      <c r="F107" s="1019"/>
      <c r="G107" s="1038"/>
      <c r="I107" s="1031"/>
      <c r="K107" s="1019"/>
      <c r="L107" s="1019"/>
      <c r="M107" s="1019"/>
      <c r="N107" s="1019"/>
      <c r="O107" s="1031"/>
      <c r="P107" s="1023"/>
      <c r="S107" s="1019"/>
    </row>
    <row r="108" spans="1:19" ht="12" customHeight="1">
      <c r="C108" s="1035"/>
      <c r="D108" s="1035"/>
      <c r="E108" s="1035"/>
      <c r="F108" s="1038"/>
      <c r="G108" s="1038"/>
      <c r="H108" s="1229"/>
      <c r="I108" s="1229"/>
      <c r="J108" s="1031"/>
      <c r="K108" s="1019"/>
      <c r="L108" s="1019"/>
      <c r="M108" s="1019"/>
      <c r="N108" s="1019"/>
      <c r="O108" s="1031"/>
      <c r="P108" s="1023"/>
      <c r="S108" s="1019"/>
    </row>
    <row r="109" spans="1:19" ht="12.75" customHeight="1">
      <c r="A109" s="1028"/>
      <c r="B109" s="1035"/>
      <c r="C109" s="1035"/>
      <c r="D109" s="1035"/>
      <c r="E109" s="1035"/>
      <c r="F109" s="1038"/>
      <c r="G109" s="1038"/>
      <c r="H109" s="1229"/>
      <c r="I109" s="1229"/>
      <c r="J109" s="1031"/>
      <c r="K109" s="1019"/>
      <c r="L109" s="1019"/>
      <c r="M109" s="1019"/>
      <c r="N109" s="1019"/>
      <c r="O109" s="1031"/>
      <c r="P109" s="1023"/>
      <c r="S109" s="1019"/>
    </row>
    <row r="110" spans="1:19" ht="12.75" customHeight="1">
      <c r="A110" s="1015"/>
      <c r="B110" s="1035"/>
      <c r="C110" s="1035"/>
      <c r="D110" s="1035"/>
      <c r="E110" s="1035"/>
      <c r="F110" s="1038"/>
      <c r="G110" s="1038"/>
      <c r="H110" s="1229"/>
      <c r="I110" s="1229"/>
      <c r="J110" s="1031"/>
      <c r="K110" s="1019"/>
      <c r="L110" s="1019"/>
      <c r="M110" s="1019"/>
      <c r="N110" s="1019"/>
      <c r="O110" s="1031"/>
      <c r="R110" s="1019"/>
      <c r="S110" s="1019"/>
    </row>
    <row r="111" spans="1:19" ht="12.75" customHeight="1">
      <c r="A111" s="1015"/>
      <c r="B111" s="1035"/>
      <c r="C111" s="1035"/>
      <c r="D111" s="1035"/>
      <c r="E111" s="1035"/>
      <c r="F111" s="1038"/>
      <c r="G111" s="1038"/>
      <c r="H111" s="1229"/>
      <c r="I111" s="1229"/>
      <c r="J111" s="1031"/>
      <c r="K111" s="1019"/>
      <c r="L111" s="1019"/>
      <c r="M111" s="1019"/>
      <c r="N111" s="1019"/>
      <c r="O111" s="1031"/>
      <c r="R111" s="1019"/>
      <c r="S111" s="1019"/>
    </row>
    <row r="112" spans="1:19" ht="12.75" customHeight="1">
      <c r="A112" s="1015"/>
      <c r="B112" s="1035"/>
      <c r="C112" s="1035"/>
      <c r="D112" s="1035"/>
      <c r="E112" s="1035"/>
      <c r="F112" s="1038"/>
      <c r="G112" s="1038"/>
      <c r="H112" s="1229"/>
      <c r="I112" s="1229"/>
      <c r="J112" s="1031"/>
      <c r="K112" s="1019"/>
      <c r="L112" s="1019"/>
      <c r="M112" s="1019"/>
      <c r="N112" s="1019"/>
      <c r="O112" s="1031"/>
      <c r="R112" s="1019"/>
      <c r="S112" s="1019"/>
    </row>
    <row r="113" spans="1:19" ht="12.75" customHeight="1">
      <c r="A113" s="1015"/>
      <c r="B113" s="1035"/>
      <c r="C113" s="1035"/>
      <c r="D113" s="1035"/>
      <c r="E113" s="1035"/>
      <c r="F113" s="1038"/>
      <c r="G113" s="1038"/>
      <c r="H113" s="1229"/>
      <c r="I113" s="1229"/>
      <c r="J113" s="1031"/>
      <c r="K113" s="1019"/>
      <c r="L113" s="1019"/>
      <c r="M113" s="1019"/>
      <c r="N113" s="1019"/>
      <c r="O113" s="1031"/>
      <c r="R113" s="1019"/>
      <c r="S113" s="1019"/>
    </row>
    <row r="114" spans="1:19" ht="12.75" customHeight="1">
      <c r="A114" s="1015"/>
      <c r="B114" s="1035"/>
      <c r="C114" s="1035"/>
      <c r="D114" s="1035"/>
      <c r="E114" s="1035"/>
      <c r="F114" s="1038"/>
      <c r="G114" s="1019"/>
      <c r="H114" s="1229"/>
      <c r="I114" s="1229"/>
      <c r="J114" s="1229"/>
      <c r="K114" s="1019"/>
      <c r="L114" s="1019"/>
      <c r="M114" s="1019"/>
      <c r="N114" s="1019"/>
      <c r="O114" s="1031"/>
      <c r="R114" s="1019"/>
      <c r="S114" s="1019"/>
    </row>
    <row r="115" spans="1:19" ht="12.75" customHeight="1">
      <c r="D115" s="1018"/>
      <c r="E115" s="1019"/>
      <c r="F115" s="1019"/>
      <c r="G115" s="1019"/>
      <c r="H115" s="1229"/>
      <c r="I115" s="1229"/>
      <c r="J115" s="1229"/>
      <c r="K115" s="1019"/>
      <c r="L115" s="1019"/>
      <c r="M115" s="1019"/>
      <c r="N115" s="1019"/>
      <c r="O115" s="1031"/>
      <c r="R115" s="1019"/>
    </row>
    <row r="116" spans="1:19" ht="12.75" customHeight="1">
      <c r="D116" s="1018"/>
      <c r="E116" s="1019"/>
      <c r="F116" s="1019"/>
      <c r="G116" s="1019"/>
      <c r="H116" s="1229"/>
      <c r="I116" s="1229"/>
      <c r="J116" s="1229"/>
      <c r="K116" s="1019"/>
      <c r="L116" s="1019"/>
      <c r="M116" s="1019"/>
      <c r="N116" s="1019"/>
      <c r="O116" s="1031"/>
      <c r="R116" s="1019"/>
      <c r="S116" s="1019"/>
    </row>
    <row r="117" spans="1:19" ht="12.75" customHeight="1">
      <c r="D117" s="1018"/>
      <c r="E117" s="1019"/>
      <c r="F117" s="1019"/>
      <c r="H117" s="1031"/>
      <c r="I117" s="1031"/>
      <c r="J117" s="1031"/>
      <c r="K117" s="1019"/>
      <c r="L117" s="1019"/>
      <c r="M117" s="1019"/>
      <c r="N117" s="1019"/>
      <c r="O117" s="1031"/>
      <c r="R117" s="1047"/>
      <c r="S117" s="1019"/>
    </row>
    <row r="118" spans="1:19" ht="12.75" customHeight="1">
      <c r="G118" s="1019"/>
      <c r="H118" s="1310"/>
      <c r="L118" s="1017"/>
      <c r="M118" s="1017"/>
      <c r="N118" s="1017"/>
      <c r="O118" s="1017"/>
      <c r="R118" s="1019"/>
      <c r="S118" s="1019"/>
    </row>
    <row r="119" spans="1:19" ht="12.75" customHeight="1">
      <c r="D119" s="1018"/>
      <c r="E119" s="1019"/>
      <c r="F119" s="1019"/>
      <c r="G119" s="1019"/>
      <c r="H119" s="1310"/>
      <c r="L119" s="1017"/>
      <c r="M119" s="1017"/>
      <c r="N119" s="1017"/>
      <c r="O119" s="1017"/>
      <c r="R119" s="1019"/>
      <c r="S119" s="1019"/>
    </row>
    <row r="120" spans="1:19" ht="12.75" customHeight="1">
      <c r="D120" s="1018"/>
      <c r="E120" s="1019"/>
      <c r="F120" s="1019"/>
      <c r="G120" s="1019"/>
      <c r="H120" s="1310"/>
      <c r="L120" s="1017"/>
      <c r="M120" s="1017"/>
      <c r="N120" s="1017"/>
      <c r="O120" s="1017"/>
      <c r="R120" s="1019"/>
      <c r="S120" s="1019"/>
    </row>
    <row r="121" spans="1:19" ht="12.75" customHeight="1">
      <c r="A121" s="1028"/>
      <c r="B121" s="1045"/>
      <c r="C121" s="1018"/>
      <c r="D121" s="1018"/>
      <c r="E121" s="1019"/>
      <c r="F121" s="1019"/>
      <c r="H121" s="1310"/>
      <c r="L121" s="1017"/>
      <c r="M121" s="1017"/>
      <c r="N121" s="1017"/>
      <c r="O121" s="1017"/>
      <c r="R121" s="1019"/>
      <c r="S121" s="1019"/>
    </row>
    <row r="122" spans="1:19" ht="12.75" customHeight="1">
      <c r="A122" s="1229"/>
      <c r="B122" s="1019"/>
      <c r="G122" s="1046"/>
      <c r="H122" s="1310"/>
      <c r="L122" s="1017"/>
      <c r="M122" s="1017"/>
      <c r="N122" s="1017"/>
      <c r="O122" s="1017"/>
      <c r="R122" s="1019"/>
      <c r="S122" s="1019"/>
    </row>
    <row r="123" spans="1:19" ht="12.75" customHeight="1">
      <c r="A123" s="1015"/>
      <c r="B123" s="1020"/>
      <c r="C123" s="1020"/>
      <c r="E123" s="1046"/>
      <c r="F123" s="1234"/>
      <c r="G123" s="1046"/>
      <c r="H123" s="1310"/>
      <c r="L123" s="1017"/>
      <c r="M123" s="1017"/>
      <c r="N123" s="1017"/>
      <c r="O123" s="1017"/>
      <c r="R123" s="1019"/>
      <c r="S123" s="1019"/>
    </row>
    <row r="124" spans="1:19" ht="12.75" customHeight="1">
      <c r="A124" s="1015"/>
      <c r="B124" s="2498"/>
      <c r="C124" s="2498"/>
      <c r="D124" s="2517"/>
      <c r="E124" s="1046"/>
      <c r="F124" s="1234"/>
      <c r="G124" s="2517"/>
      <c r="H124" s="1310"/>
      <c r="M124" s="1229"/>
      <c r="N124" s="1229"/>
      <c r="R124" s="1019"/>
      <c r="S124" s="1019"/>
    </row>
    <row r="125" spans="1:19" ht="12.75" customHeight="1">
      <c r="A125" s="1015"/>
      <c r="B125" s="2498"/>
      <c r="C125" s="2498"/>
      <c r="D125" s="2517"/>
      <c r="E125" s="2518"/>
      <c r="F125" s="2518"/>
      <c r="G125" s="2500"/>
      <c r="H125" s="1310"/>
      <c r="I125" s="1020"/>
      <c r="M125" s="1041"/>
      <c r="N125" s="1042"/>
      <c r="R125" s="1019"/>
      <c r="S125" s="1053"/>
    </row>
    <row r="126" spans="1:19" ht="12.75" customHeight="1">
      <c r="A126" s="1015"/>
      <c r="B126" s="2499"/>
      <c r="C126" s="2499"/>
      <c r="D126" s="2500"/>
      <c r="E126" s="2500"/>
      <c r="F126" s="2500"/>
      <c r="G126" s="2502"/>
      <c r="H126" s="1310"/>
      <c r="I126" s="1020"/>
      <c r="M126" s="1041"/>
      <c r="N126" s="1042"/>
      <c r="P126" s="1042"/>
      <c r="R126" s="1053"/>
      <c r="S126" s="1053"/>
    </row>
    <row r="127" spans="1:19" ht="12.75" customHeight="1">
      <c r="A127" s="1015"/>
      <c r="B127" s="2498"/>
      <c r="C127" s="2498"/>
      <c r="D127" s="2499"/>
      <c r="E127" s="2501"/>
      <c r="F127" s="2499"/>
      <c r="G127" s="2504"/>
      <c r="H127" s="1049"/>
      <c r="I127" s="1229"/>
      <c r="M127" s="1041"/>
      <c r="N127" s="1042"/>
      <c r="P127" s="1023"/>
      <c r="R127" s="1053"/>
      <c r="S127" s="1019"/>
    </row>
    <row r="128" spans="1:19" ht="12.75" customHeight="1">
      <c r="A128" s="1015"/>
      <c r="B128" s="2498"/>
      <c r="C128" s="2498"/>
      <c r="D128" s="2499"/>
      <c r="E128" s="2503"/>
      <c r="F128" s="2499"/>
      <c r="G128" s="2504"/>
      <c r="H128" s="1049"/>
      <c r="I128" s="1229"/>
      <c r="M128" s="1041"/>
      <c r="N128" s="1042"/>
      <c r="P128" s="1023"/>
      <c r="R128" s="1053"/>
    </row>
    <row r="129" spans="1:18" ht="12.75" customHeight="1">
      <c r="A129" s="1048"/>
      <c r="B129" s="2498"/>
      <c r="C129" s="2498"/>
      <c r="D129" s="2499"/>
      <c r="E129" s="2503"/>
      <c r="F129" s="2499"/>
      <c r="G129" s="2504"/>
      <c r="H129" s="1310"/>
      <c r="I129" s="1229"/>
      <c r="M129" s="1041"/>
      <c r="N129" s="1042"/>
      <c r="P129" s="1023"/>
      <c r="R129" s="1053"/>
    </row>
    <row r="130" spans="1:18" ht="12.75" customHeight="1">
      <c r="A130" s="1229"/>
      <c r="B130" s="2498"/>
      <c r="C130" s="2498"/>
      <c r="D130" s="2499"/>
      <c r="E130" s="2505"/>
      <c r="F130" s="2499"/>
      <c r="G130" s="2508"/>
      <c r="H130" s="1031"/>
      <c r="I130" s="1229"/>
      <c r="M130" s="1041"/>
      <c r="N130" s="1042"/>
      <c r="P130" s="1023"/>
      <c r="R130" s="1053"/>
    </row>
    <row r="131" spans="1:18" ht="12.75" customHeight="1">
      <c r="A131" s="1229"/>
      <c r="B131" s="2498"/>
      <c r="C131" s="2498"/>
      <c r="D131" s="2499"/>
      <c r="E131" s="2506"/>
      <c r="F131" s="2507"/>
      <c r="G131" s="2508"/>
      <c r="H131" s="1031"/>
      <c r="I131" s="1229"/>
      <c r="M131" s="1041"/>
      <c r="N131" s="1042"/>
      <c r="P131" s="1023"/>
      <c r="R131" s="1019"/>
    </row>
    <row r="132" spans="1:18" ht="12.75" customHeight="1">
      <c r="A132" s="1229"/>
      <c r="B132" s="2498"/>
      <c r="C132" s="2498"/>
      <c r="D132" s="2499"/>
      <c r="E132" s="2508"/>
      <c r="F132" s="2507"/>
      <c r="G132" s="2509"/>
      <c r="H132" s="1031"/>
      <c r="I132" s="1229"/>
      <c r="M132" s="1041"/>
      <c r="N132" s="1042"/>
      <c r="P132" s="1023"/>
      <c r="R132" s="1019"/>
    </row>
    <row r="133" spans="1:18" ht="12.75" customHeight="1">
      <c r="A133" s="1230"/>
      <c r="B133" s="2498"/>
      <c r="C133" s="2498"/>
      <c r="D133" s="2499"/>
      <c r="E133" s="2501"/>
      <c r="F133" s="2507"/>
      <c r="G133" s="1051"/>
      <c r="I133" s="1229"/>
      <c r="M133" s="1041"/>
      <c r="N133" s="1042"/>
      <c r="P133" s="1023"/>
      <c r="R133" s="1019"/>
    </row>
    <row r="134" spans="1:18" ht="12.75" customHeight="1">
      <c r="B134" s="1035"/>
      <c r="C134" s="1035"/>
      <c r="D134" s="1035"/>
      <c r="E134" s="1050"/>
      <c r="F134" s="1051"/>
      <c r="G134" s="1051"/>
      <c r="I134" s="1229"/>
      <c r="M134" s="1041"/>
      <c r="N134" s="1042"/>
      <c r="P134" s="1023"/>
    </row>
    <row r="135" spans="1:18" ht="12.75" customHeight="1">
      <c r="E135" s="1052"/>
      <c r="F135" s="1235"/>
      <c r="G135" s="1051"/>
      <c r="I135" s="1020"/>
      <c r="M135" s="1041"/>
      <c r="N135" s="1042"/>
      <c r="P135" s="1023"/>
    </row>
    <row r="136" spans="1:18" ht="12.75" customHeight="1">
      <c r="E136" s="1052"/>
      <c r="F136" s="1235"/>
      <c r="G136" s="1038"/>
      <c r="I136" s="1020"/>
      <c r="M136" s="1041"/>
      <c r="N136" s="1042"/>
      <c r="P136" s="1023"/>
    </row>
    <row r="137" spans="1:18" ht="12.75" customHeight="1">
      <c r="G137" s="1038"/>
      <c r="I137" s="1020"/>
      <c r="M137" s="1041"/>
      <c r="N137" s="1042"/>
      <c r="P137" s="1023"/>
    </row>
    <row r="138" spans="1:18" ht="12.75" customHeight="1">
      <c r="I138" s="1020"/>
      <c r="M138" s="1037"/>
      <c r="N138" s="1042"/>
      <c r="P138" s="1023"/>
    </row>
    <row r="139" spans="1:18" ht="12.75" customHeight="1">
      <c r="I139" s="1020"/>
      <c r="J139" s="1020"/>
      <c r="K139" s="1019"/>
      <c r="L139" s="1032"/>
      <c r="M139" s="1044"/>
      <c r="N139" s="1044"/>
      <c r="P139" s="1023"/>
    </row>
    <row r="140" spans="1:18">
      <c r="G140" s="1019"/>
      <c r="I140" s="1020"/>
      <c r="J140" s="1020"/>
      <c r="K140" s="1019"/>
      <c r="L140" s="1032"/>
      <c r="M140" s="1044"/>
      <c r="N140" s="1044"/>
      <c r="P140" s="1023"/>
    </row>
    <row r="141" spans="1:18">
      <c r="C141" s="1026"/>
      <c r="D141" s="1018"/>
      <c r="E141" s="1019"/>
      <c r="F141" s="1019"/>
      <c r="G141" s="1019"/>
      <c r="I141" s="1020"/>
      <c r="J141" s="1020"/>
      <c r="K141" s="1019"/>
      <c r="L141" s="1032"/>
      <c r="M141" s="1044"/>
      <c r="N141" s="1044"/>
      <c r="P141" s="1023"/>
    </row>
    <row r="142" spans="1:18">
      <c r="C142" s="1239"/>
      <c r="D142" s="1018"/>
      <c r="E142" s="1019"/>
      <c r="F142" s="1019"/>
      <c r="G142" s="1019"/>
      <c r="I142" s="1020"/>
      <c r="J142" s="1020"/>
      <c r="K142" s="1019"/>
      <c r="L142" s="1032"/>
      <c r="M142" s="1044"/>
      <c r="N142" s="1044"/>
      <c r="P142" s="1023"/>
    </row>
    <row r="143" spans="1:18">
      <c r="B143" s="1054"/>
      <c r="C143" s="1018"/>
      <c r="D143" s="1018"/>
      <c r="E143" s="1019"/>
      <c r="F143" s="1019"/>
      <c r="G143" s="1019"/>
      <c r="I143" s="1020"/>
      <c r="J143" s="1020"/>
      <c r="K143" s="1019"/>
      <c r="L143" s="1032"/>
      <c r="M143" s="1044"/>
      <c r="N143" s="1044"/>
      <c r="P143" s="1023"/>
    </row>
    <row r="144" spans="1:18">
      <c r="A144" s="1028"/>
      <c r="B144" s="1054"/>
      <c r="C144" s="1018"/>
      <c r="D144" s="1018"/>
      <c r="E144" s="1019"/>
      <c r="F144" s="1019"/>
      <c r="G144" s="1019"/>
      <c r="I144" s="1020"/>
      <c r="J144" s="1020"/>
      <c r="K144" s="1019"/>
      <c r="L144" s="1032"/>
      <c r="M144" s="1044"/>
      <c r="N144" s="1044"/>
      <c r="P144" s="1023"/>
    </row>
    <row r="145" spans="1:17">
      <c r="A145" s="1019"/>
      <c r="B145" s="1054"/>
      <c r="C145" s="1018"/>
      <c r="D145" s="1018"/>
      <c r="E145" s="1019"/>
      <c r="F145" s="1019"/>
      <c r="I145" s="1020"/>
      <c r="J145" s="1020"/>
      <c r="K145" s="1019"/>
      <c r="L145" s="1032"/>
      <c r="M145" s="1044"/>
      <c r="N145" s="1044"/>
    </row>
    <row r="146" spans="1:17">
      <c r="A146" s="1019"/>
      <c r="I146" s="1020"/>
      <c r="J146" s="1020"/>
      <c r="K146" s="1019"/>
      <c r="L146" s="1032"/>
      <c r="M146" s="1044"/>
      <c r="N146" s="1044"/>
    </row>
    <row r="147" spans="1:17">
      <c r="I147" s="1020"/>
      <c r="J147" s="1020"/>
      <c r="K147" s="1019"/>
      <c r="L147" s="1032"/>
      <c r="M147" s="1044"/>
      <c r="N147" s="1044"/>
      <c r="Q147" s="1019"/>
    </row>
    <row r="148" spans="1:17">
      <c r="A148" s="1019"/>
      <c r="I148" s="1020"/>
      <c r="J148" s="1020"/>
      <c r="K148" s="1019"/>
      <c r="L148" s="1032"/>
      <c r="M148" s="1044"/>
      <c r="N148" s="1044"/>
      <c r="Q148" s="1019"/>
    </row>
    <row r="149" spans="1:17">
      <c r="A149" s="1019"/>
      <c r="G149" s="1229"/>
      <c r="I149" s="1020"/>
      <c r="J149" s="1020"/>
      <c r="K149" s="1019"/>
      <c r="L149" s="1032"/>
      <c r="M149" s="1044"/>
      <c r="N149" s="1044"/>
      <c r="Q149" s="1019"/>
    </row>
    <row r="150" spans="1:17">
      <c r="B150" s="1229"/>
      <c r="C150" s="1229"/>
      <c r="D150" s="1229"/>
      <c r="E150" s="1229"/>
      <c r="F150" s="1229"/>
      <c r="G150" s="1229"/>
      <c r="I150" s="1020"/>
      <c r="J150" s="1020"/>
      <c r="K150" s="1019"/>
      <c r="L150" s="1032"/>
      <c r="M150" s="1044"/>
      <c r="N150" s="1044"/>
      <c r="Q150" s="1019"/>
    </row>
    <row r="151" spans="1:17">
      <c r="B151" s="1229"/>
      <c r="C151" s="1229"/>
      <c r="D151" s="1229"/>
      <c r="E151" s="1229"/>
      <c r="F151" s="1229"/>
      <c r="G151" s="1229"/>
      <c r="I151" s="1020"/>
      <c r="J151" s="1020"/>
      <c r="K151" s="1019"/>
      <c r="L151" s="1032"/>
      <c r="M151" s="1044"/>
      <c r="N151" s="1044"/>
      <c r="Q151" s="1019"/>
    </row>
    <row r="152" spans="1:17">
      <c r="B152" s="1229"/>
      <c r="C152" s="1229"/>
      <c r="D152" s="1229"/>
      <c r="E152" s="1229"/>
      <c r="F152" s="1229"/>
      <c r="G152" s="1229"/>
      <c r="I152" s="1020"/>
      <c r="J152" s="1020"/>
      <c r="K152" s="1019"/>
      <c r="L152" s="1032"/>
      <c r="M152" s="1044"/>
      <c r="N152" s="1044"/>
      <c r="Q152" s="1019"/>
    </row>
    <row r="153" spans="1:17">
      <c r="B153" s="1229"/>
      <c r="C153" s="1229"/>
      <c r="D153" s="1229"/>
      <c r="E153" s="1229"/>
      <c r="F153" s="1229"/>
      <c r="G153" s="1229"/>
      <c r="I153" s="1020"/>
      <c r="J153" s="1020"/>
      <c r="K153" s="1019"/>
      <c r="L153" s="1032"/>
      <c r="M153" s="1044"/>
      <c r="N153" s="1044"/>
      <c r="Q153" s="1019"/>
    </row>
    <row r="154" spans="1:17">
      <c r="B154" s="1229"/>
      <c r="C154" s="1229"/>
      <c r="D154" s="1229"/>
      <c r="E154" s="1229"/>
      <c r="F154" s="1229"/>
      <c r="G154" s="1229"/>
      <c r="I154" s="1020"/>
      <c r="J154" s="1020"/>
      <c r="K154" s="1019"/>
      <c r="L154" s="1032"/>
      <c r="M154" s="1044"/>
      <c r="N154" s="1044"/>
      <c r="Q154" s="1019"/>
    </row>
    <row r="155" spans="1:17">
      <c r="B155" s="1229"/>
      <c r="C155" s="1229"/>
      <c r="D155" s="1229"/>
      <c r="E155" s="1229"/>
      <c r="F155" s="1229"/>
      <c r="G155" s="1229"/>
      <c r="I155" s="1020"/>
      <c r="J155" s="1020"/>
      <c r="K155" s="1019"/>
      <c r="L155" s="1032"/>
      <c r="M155" s="1044"/>
      <c r="N155" s="1044"/>
      <c r="P155" s="1023"/>
      <c r="Q155" s="1019"/>
    </row>
    <row r="156" spans="1:17">
      <c r="A156" s="1229"/>
      <c r="B156" s="1229"/>
      <c r="C156" s="1229"/>
      <c r="D156" s="1229"/>
      <c r="E156" s="1229"/>
      <c r="F156" s="1229"/>
      <c r="G156" s="1229"/>
      <c r="I156" s="1020"/>
      <c r="J156" s="1020"/>
      <c r="K156" s="1019"/>
      <c r="L156" s="1032"/>
      <c r="M156" s="1044"/>
      <c r="N156" s="1044"/>
      <c r="P156" s="1023"/>
      <c r="Q156" s="1019"/>
    </row>
    <row r="157" spans="1:17">
      <c r="A157" s="1229"/>
      <c r="B157" s="1229"/>
      <c r="C157" s="1229"/>
      <c r="D157" s="1229"/>
      <c r="E157" s="1229"/>
      <c r="F157" s="1229"/>
      <c r="G157" s="1229"/>
      <c r="I157" s="1020"/>
      <c r="J157" s="1020"/>
      <c r="K157" s="1019"/>
      <c r="L157" s="1032"/>
      <c r="M157" s="1044"/>
      <c r="N157" s="1044"/>
      <c r="P157" s="1023"/>
      <c r="Q157" s="1019"/>
    </row>
    <row r="158" spans="1:17">
      <c r="A158" s="1229"/>
      <c r="B158" s="1229"/>
      <c r="C158" s="1229"/>
      <c r="D158" s="1229"/>
      <c r="E158" s="1229"/>
      <c r="F158" s="1229"/>
      <c r="G158" s="1229"/>
      <c r="J158" s="1230"/>
      <c r="K158" s="1019"/>
      <c r="L158" s="1032"/>
      <c r="M158" s="1044"/>
      <c r="N158" s="1044"/>
      <c r="P158" s="1023"/>
      <c r="Q158" s="1019"/>
    </row>
    <row r="159" spans="1:17">
      <c r="A159" s="1229"/>
      <c r="B159" s="1229"/>
      <c r="C159" s="1229"/>
      <c r="D159" s="1229"/>
      <c r="E159" s="1229"/>
      <c r="F159" s="1229"/>
      <c r="G159" s="1229"/>
      <c r="J159" s="1230"/>
      <c r="K159" s="1019"/>
      <c r="L159" s="1032"/>
      <c r="M159" s="1044"/>
      <c r="N159" s="1044"/>
      <c r="P159" s="1019"/>
      <c r="Q159" s="1019"/>
    </row>
    <row r="160" spans="1:17">
      <c r="A160" s="1229"/>
      <c r="B160" s="1229"/>
      <c r="C160" s="1229"/>
      <c r="D160" s="1229"/>
      <c r="E160" s="1229"/>
      <c r="F160" s="1229"/>
      <c r="G160" s="1229"/>
      <c r="H160" s="1049"/>
      <c r="P160" s="1019"/>
      <c r="Q160" s="1019"/>
    </row>
    <row r="161" spans="1:17">
      <c r="A161" s="1229"/>
      <c r="B161" s="1229"/>
      <c r="C161" s="1229"/>
      <c r="D161" s="1229"/>
      <c r="E161" s="1229"/>
      <c r="F161" s="1229"/>
      <c r="G161" s="1229"/>
      <c r="H161" s="1049"/>
      <c r="P161" s="1019"/>
      <c r="Q161" s="1019"/>
    </row>
    <row r="162" spans="1:17">
      <c r="A162" s="1229"/>
      <c r="B162" s="1229"/>
      <c r="C162" s="1229"/>
      <c r="D162" s="1229"/>
      <c r="E162" s="1229"/>
      <c r="F162" s="1229"/>
      <c r="G162" s="1229"/>
      <c r="H162" s="1049"/>
      <c r="P162" s="1019"/>
      <c r="Q162" s="1019"/>
    </row>
    <row r="163" spans="1:17">
      <c r="A163" s="1229"/>
      <c r="B163" s="1229"/>
      <c r="C163" s="1229"/>
      <c r="D163" s="1229"/>
      <c r="E163" s="1229"/>
      <c r="F163" s="1229"/>
      <c r="G163" s="1229"/>
      <c r="H163" s="1049"/>
      <c r="P163" s="1019"/>
      <c r="Q163" s="1019"/>
    </row>
    <row r="164" spans="1:17">
      <c r="A164" s="1229"/>
      <c r="B164" s="1229"/>
      <c r="C164" s="1229"/>
      <c r="D164" s="1229"/>
      <c r="E164" s="1229"/>
      <c r="F164" s="1229"/>
      <c r="G164" s="1229"/>
      <c r="I164" s="1023"/>
      <c r="J164" s="1020"/>
      <c r="K164" s="1019"/>
      <c r="L164" s="1019"/>
      <c r="M164" s="1019"/>
      <c r="N164" s="1019"/>
      <c r="O164" s="1019"/>
      <c r="P164" s="1019"/>
      <c r="Q164" s="1019"/>
    </row>
    <row r="165" spans="1:17">
      <c r="A165" s="1229"/>
      <c r="B165" s="1229"/>
      <c r="C165" s="1229"/>
      <c r="D165" s="1229"/>
      <c r="E165" s="1229"/>
      <c r="F165" s="1229"/>
      <c r="I165" s="1023"/>
      <c r="J165" s="1020"/>
      <c r="K165" s="1019"/>
      <c r="L165" s="1019"/>
      <c r="M165" s="1019"/>
      <c r="N165" s="1019"/>
      <c r="O165" s="1019"/>
      <c r="P165" s="1019"/>
      <c r="Q165" s="1019"/>
    </row>
    <row r="166" spans="1:17">
      <c r="A166" s="1229"/>
      <c r="I166" s="1023"/>
      <c r="J166" s="1020"/>
      <c r="K166" s="1019"/>
      <c r="L166" s="1019"/>
      <c r="M166" s="1019"/>
      <c r="N166" s="1019"/>
      <c r="O166" s="1019"/>
      <c r="P166" s="1019"/>
      <c r="Q166" s="1019"/>
    </row>
    <row r="167" spans="1:17">
      <c r="A167" s="1229"/>
      <c r="I167" s="1023"/>
      <c r="J167" s="1020"/>
      <c r="K167" s="1019"/>
      <c r="L167" s="1019"/>
      <c r="M167" s="1019"/>
      <c r="N167" s="1019"/>
      <c r="O167" s="1019"/>
      <c r="Q167" s="1019"/>
    </row>
    <row r="168" spans="1:17">
      <c r="A168" s="1229"/>
      <c r="G168" s="1229"/>
      <c r="I168" s="1023"/>
      <c r="J168" s="1020"/>
      <c r="K168" s="1019"/>
      <c r="L168" s="1019"/>
      <c r="M168" s="1019"/>
      <c r="N168" s="1019"/>
      <c r="O168" s="1019"/>
      <c r="P168" s="1019"/>
      <c r="Q168" s="1019"/>
    </row>
    <row r="169" spans="1:17">
      <c r="B169" s="1229"/>
      <c r="C169" s="1229"/>
      <c r="D169" s="1229"/>
      <c r="E169" s="1229"/>
      <c r="F169" s="1229"/>
      <c r="G169" s="1229"/>
      <c r="I169" s="1023"/>
      <c r="J169" s="1020"/>
      <c r="K169" s="1019"/>
      <c r="L169" s="1019"/>
      <c r="M169" s="1019"/>
      <c r="N169" s="1019"/>
      <c r="O169" s="1019"/>
      <c r="P169" s="1047"/>
      <c r="Q169" s="1019"/>
    </row>
    <row r="170" spans="1:17">
      <c r="B170" s="1229"/>
      <c r="C170" s="1229"/>
      <c r="D170" s="1229"/>
      <c r="E170" s="1229"/>
      <c r="F170" s="1229"/>
      <c r="G170" s="1229"/>
      <c r="I170" s="1229"/>
      <c r="J170" s="1020"/>
      <c r="K170" s="1019"/>
      <c r="L170" s="1019"/>
      <c r="M170" s="1019"/>
      <c r="N170" s="1019"/>
      <c r="O170" s="1019"/>
      <c r="P170" s="1019"/>
      <c r="Q170" s="1019"/>
    </row>
    <row r="171" spans="1:17">
      <c r="A171" s="1229"/>
      <c r="B171" s="1229"/>
      <c r="C171" s="1229"/>
      <c r="D171" s="1229"/>
      <c r="E171" s="1229"/>
      <c r="F171" s="1229"/>
      <c r="G171" s="1229"/>
      <c r="I171" s="1019"/>
      <c r="J171" s="1020"/>
      <c r="K171" s="1019"/>
      <c r="L171" s="1019"/>
      <c r="M171" s="1019"/>
      <c r="N171" s="1019"/>
      <c r="O171" s="1019"/>
      <c r="P171" s="1055"/>
      <c r="Q171" s="1019"/>
    </row>
    <row r="172" spans="1:17">
      <c r="A172" s="1229"/>
      <c r="B172" s="1229"/>
      <c r="C172" s="1229"/>
      <c r="D172" s="1229"/>
      <c r="E172" s="1229"/>
      <c r="F172" s="1229"/>
      <c r="G172" s="1229"/>
      <c r="I172" s="1020"/>
      <c r="J172" s="1020"/>
      <c r="K172" s="1019"/>
      <c r="L172" s="1019"/>
      <c r="M172" s="1019"/>
      <c r="N172" s="1019"/>
      <c r="O172" s="1019"/>
      <c r="P172" s="1019"/>
      <c r="Q172" s="1019"/>
    </row>
    <row r="173" spans="1:17">
      <c r="A173" s="1229"/>
      <c r="B173" s="1229"/>
      <c r="C173" s="1229"/>
      <c r="D173" s="1229"/>
      <c r="E173" s="1229"/>
      <c r="F173" s="1229"/>
      <c r="G173" s="1229"/>
      <c r="I173" s="1020"/>
      <c r="J173" s="1020"/>
      <c r="K173" s="1019"/>
      <c r="L173" s="1019"/>
      <c r="M173" s="1019"/>
      <c r="N173" s="1019"/>
      <c r="O173" s="1019"/>
      <c r="P173" s="1019"/>
    </row>
    <row r="174" spans="1:17">
      <c r="A174" s="1229"/>
      <c r="B174" s="1229"/>
      <c r="C174" s="1229"/>
      <c r="D174" s="1229"/>
      <c r="E174" s="1229"/>
      <c r="F174" s="1229"/>
      <c r="G174" s="1229"/>
      <c r="I174" s="1020"/>
      <c r="J174" s="1020"/>
      <c r="K174" s="1019"/>
      <c r="L174" s="1019"/>
      <c r="M174" s="1019"/>
      <c r="N174" s="1019"/>
      <c r="O174" s="1019"/>
      <c r="P174" s="1019"/>
      <c r="Q174" s="1019"/>
    </row>
    <row r="175" spans="1:17">
      <c r="A175" s="1229"/>
      <c r="B175" s="1229"/>
      <c r="C175" s="1229"/>
      <c r="D175" s="1229"/>
      <c r="E175" s="1229"/>
      <c r="F175" s="1229"/>
      <c r="G175" s="1229"/>
      <c r="I175" s="1020"/>
      <c r="J175" s="1020"/>
      <c r="K175" s="1019"/>
      <c r="L175" s="1019"/>
      <c r="M175" s="1019"/>
      <c r="N175" s="1019"/>
      <c r="O175" s="1019"/>
      <c r="P175" s="1019"/>
      <c r="Q175" s="1047"/>
    </row>
    <row r="176" spans="1:17">
      <c r="A176" s="1229"/>
      <c r="B176" s="1229"/>
      <c r="C176" s="1229"/>
      <c r="D176" s="1229"/>
      <c r="E176" s="1229"/>
      <c r="F176" s="1229"/>
      <c r="G176" s="1229"/>
      <c r="I176" s="1020"/>
      <c r="J176" s="1020"/>
      <c r="K176" s="1019"/>
      <c r="L176" s="1019"/>
      <c r="M176" s="1019"/>
      <c r="N176" s="1019"/>
      <c r="P176" s="1019"/>
      <c r="Q176" s="1019"/>
    </row>
    <row r="177" spans="1:17">
      <c r="A177" s="1229"/>
      <c r="B177" s="1229"/>
      <c r="C177" s="1229"/>
      <c r="D177" s="1229"/>
      <c r="E177" s="1229"/>
      <c r="F177" s="1229"/>
      <c r="G177" s="1229"/>
      <c r="I177" s="1020"/>
      <c r="J177" s="1020"/>
      <c r="K177" s="1019"/>
      <c r="L177" s="1019"/>
      <c r="M177" s="1019"/>
      <c r="N177" s="1019"/>
      <c r="O177" s="1019"/>
      <c r="P177" s="1019"/>
      <c r="Q177" s="1019"/>
    </row>
    <row r="178" spans="1:17">
      <c r="A178" s="1229"/>
      <c r="B178" s="1229"/>
      <c r="C178" s="1229"/>
      <c r="D178" s="1229"/>
      <c r="E178" s="1229"/>
      <c r="F178" s="1229"/>
      <c r="G178" s="1229"/>
      <c r="I178" s="1020"/>
      <c r="J178" s="1020"/>
      <c r="K178" s="1019"/>
      <c r="L178" s="1019"/>
      <c r="M178" s="1019"/>
      <c r="N178" s="1019"/>
      <c r="O178" s="1019"/>
      <c r="P178" s="1053"/>
      <c r="Q178" s="1019"/>
    </row>
    <row r="179" spans="1:17">
      <c r="A179" s="1229"/>
      <c r="B179" s="1229"/>
      <c r="C179" s="1229"/>
      <c r="D179" s="1229"/>
      <c r="E179" s="1229"/>
      <c r="F179" s="1229"/>
      <c r="G179" s="1229"/>
      <c r="I179" s="1020"/>
      <c r="J179" s="1020"/>
      <c r="K179" s="1019"/>
      <c r="L179" s="1056"/>
      <c r="O179" s="1019"/>
    </row>
    <row r="180" spans="1:17">
      <c r="A180" s="1229"/>
      <c r="B180" s="1229"/>
      <c r="C180" s="1229"/>
      <c r="D180" s="1229"/>
      <c r="E180" s="1229"/>
      <c r="F180" s="1229"/>
      <c r="G180" s="1229"/>
      <c r="I180" s="1020"/>
      <c r="J180" s="1020"/>
      <c r="K180" s="1019"/>
      <c r="L180" s="1056"/>
      <c r="M180" s="1019"/>
      <c r="N180" s="1032"/>
      <c r="O180" s="1019"/>
    </row>
    <row r="181" spans="1:17">
      <c r="A181" s="1229"/>
      <c r="B181" s="1229"/>
      <c r="C181" s="1229"/>
      <c r="D181" s="1229"/>
      <c r="E181" s="1229"/>
      <c r="F181" s="1229"/>
      <c r="I181" s="1019"/>
      <c r="J181" s="1019"/>
      <c r="K181" s="1056"/>
      <c r="L181" s="1229"/>
      <c r="M181" s="1229"/>
      <c r="N181" s="1229"/>
    </row>
    <row r="182" spans="1:17">
      <c r="A182" s="1229"/>
      <c r="I182" s="1019"/>
      <c r="J182" s="1019"/>
      <c r="K182" s="1057"/>
      <c r="L182" s="1229"/>
      <c r="M182" s="1229"/>
      <c r="N182" s="1229"/>
    </row>
    <row r="183" spans="1:17">
      <c r="A183" s="1229"/>
      <c r="I183" s="1019"/>
      <c r="J183" s="1019"/>
      <c r="K183" s="1019"/>
      <c r="L183" s="1229"/>
      <c r="M183" s="1229"/>
      <c r="N183" s="1229"/>
    </row>
    <row r="184" spans="1:17">
      <c r="A184" s="1229"/>
      <c r="G184" s="1229"/>
      <c r="I184" s="1019"/>
      <c r="J184" s="1019"/>
      <c r="K184" s="1019"/>
      <c r="L184" s="1229"/>
      <c r="M184" s="1229"/>
      <c r="N184" s="1229"/>
    </row>
    <row r="185" spans="1:17">
      <c r="B185" s="1229"/>
      <c r="C185" s="1229"/>
      <c r="D185" s="1229"/>
      <c r="E185" s="1229"/>
      <c r="F185" s="1229"/>
      <c r="G185" s="1229"/>
      <c r="I185" s="1019"/>
      <c r="J185" s="1019"/>
      <c r="L185" s="1229"/>
      <c r="M185" s="1229"/>
      <c r="N185" s="1229"/>
    </row>
    <row r="186" spans="1:17">
      <c r="B186" s="1229"/>
      <c r="C186" s="1229"/>
      <c r="D186" s="1229"/>
      <c r="E186" s="1229"/>
      <c r="F186" s="1229"/>
      <c r="G186" s="1229"/>
    </row>
    <row r="187" spans="1:17">
      <c r="B187" s="1229"/>
      <c r="C187" s="1229"/>
      <c r="D187" s="1229"/>
      <c r="E187" s="1229"/>
      <c r="F187" s="1229"/>
      <c r="G187" s="1229"/>
    </row>
    <row r="188" spans="1:17">
      <c r="A188" s="1229"/>
      <c r="B188" s="1229"/>
      <c r="C188" s="1229"/>
      <c r="D188" s="1229"/>
      <c r="E188" s="1229"/>
      <c r="F188" s="1229"/>
    </row>
    <row r="189" spans="1:17">
      <c r="A189" s="1229"/>
      <c r="J189" s="1229"/>
      <c r="K189" s="1229"/>
      <c r="L189" s="1229"/>
      <c r="M189" s="1229"/>
      <c r="N189" s="1229"/>
    </row>
    <row r="190" spans="1:17">
      <c r="A190" s="1229"/>
      <c r="J190" s="1229"/>
      <c r="K190" s="1229"/>
      <c r="L190" s="1229"/>
      <c r="M190" s="1229"/>
      <c r="N190" s="1229"/>
    </row>
    <row r="191" spans="1:17">
      <c r="A191" s="1229"/>
      <c r="I191" s="1229"/>
      <c r="J191" s="1229"/>
      <c r="K191" s="1229"/>
      <c r="L191" s="1229"/>
      <c r="M191" s="1229"/>
      <c r="N191" s="1229"/>
    </row>
    <row r="192" spans="1:17">
      <c r="I192" s="1229"/>
      <c r="J192" s="1229"/>
      <c r="K192" s="1229"/>
      <c r="L192" s="1229"/>
      <c r="M192" s="1229"/>
      <c r="N192" s="1229"/>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0" max="15" man="1"/>
  </rowBreaks>
  <ignoredErrors>
    <ignoredError sqref="A6 A22 A68 A9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W62"/>
  <sheetViews>
    <sheetView showGridLines="0" zoomScale="90" workbookViewId="0"/>
  </sheetViews>
  <sheetFormatPr defaultColWidth="8.88671875" defaultRowHeight="15"/>
  <cols>
    <col min="1" max="1" width="1.6640625" style="2331" customWidth="1"/>
    <col min="2" max="2" width="45.109375" style="2331" customWidth="1"/>
    <col min="3" max="3" width="4.5546875" style="2332" customWidth="1"/>
    <col min="4" max="4" width="19" style="2333" customWidth="1"/>
    <col min="5" max="5" width="1.6640625" style="2333" customWidth="1"/>
    <col min="6" max="6" width="19" style="2333" customWidth="1"/>
    <col min="7" max="7" width="1.77734375" style="2333" customWidth="1"/>
    <col min="8" max="8" width="19" style="2333" customWidth="1"/>
    <col min="9" max="9" width="1.5546875" style="2333" customWidth="1"/>
    <col min="10" max="10" width="19" style="2333" customWidth="1"/>
    <col min="11" max="11" width="1.77734375" style="2333" customWidth="1"/>
    <col min="12" max="12" width="2.44140625" style="2333" customWidth="1"/>
    <col min="13" max="13" width="2.21875" style="2333" customWidth="1"/>
    <col min="14" max="14" width="19" style="2333" customWidth="1"/>
    <col min="15" max="16" width="8.88671875" style="2332"/>
    <col min="17" max="17" width="24.21875" style="2332" customWidth="1"/>
    <col min="18" max="19" width="8.88671875" style="2332"/>
    <col min="20" max="16384" width="8.88671875" style="2331"/>
  </cols>
  <sheetData>
    <row r="1" spans="1:44">
      <c r="B1" s="1159" t="s">
        <v>1090</v>
      </c>
    </row>
    <row r="3" spans="1:44" ht="18">
      <c r="N3" s="2536" t="s">
        <v>598</v>
      </c>
    </row>
    <row r="4" spans="1:44" ht="15.75">
      <c r="N4" s="2537"/>
    </row>
    <row r="5" spans="1:44" s="2336" customFormat="1" ht="18" customHeight="1">
      <c r="A5" s="2334"/>
      <c r="B5" s="2337" t="s">
        <v>522</v>
      </c>
      <c r="C5" s="2538"/>
      <c r="D5" s="2538"/>
      <c r="E5" s="2538"/>
      <c r="F5" s="2538"/>
      <c r="G5" s="2538"/>
      <c r="H5" s="2538"/>
      <c r="I5" s="2538"/>
      <c r="J5" s="2538"/>
      <c r="K5" s="2538"/>
      <c r="L5" s="2538"/>
      <c r="M5" s="2538"/>
      <c r="N5" s="2538"/>
      <c r="O5" s="2335"/>
      <c r="P5" s="2335"/>
      <c r="Q5" s="2335"/>
      <c r="R5" s="2335"/>
      <c r="S5" s="2335"/>
    </row>
    <row r="6" spans="1:44" s="2336" customFormat="1" ht="18" customHeight="1">
      <c r="A6" s="2334"/>
      <c r="B6" s="2337" t="s">
        <v>1120</v>
      </c>
      <c r="C6" s="2338"/>
      <c r="D6" s="2338"/>
      <c r="E6" s="2338"/>
      <c r="F6" s="2338"/>
      <c r="G6" s="2338"/>
      <c r="H6" s="2338"/>
      <c r="I6" s="2338"/>
      <c r="J6" s="2338"/>
      <c r="K6" s="2338"/>
      <c r="L6" s="2338"/>
      <c r="M6" s="2338"/>
      <c r="N6" s="2359"/>
      <c r="O6" s="2335"/>
      <c r="P6" s="2335"/>
      <c r="Q6" s="2335"/>
      <c r="R6" s="2335"/>
      <c r="S6" s="2335"/>
    </row>
    <row r="7" spans="1:44" s="2336" customFormat="1" ht="18" customHeight="1">
      <c r="A7" s="2334"/>
      <c r="B7" s="3537" t="s">
        <v>1410</v>
      </c>
      <c r="C7" s="3538"/>
      <c r="D7" s="3538"/>
      <c r="E7" s="3208"/>
      <c r="F7" s="3208"/>
      <c r="G7" s="3298"/>
      <c r="H7" s="3298"/>
      <c r="I7" s="3451"/>
      <c r="J7" s="3451"/>
      <c r="K7" s="3356"/>
      <c r="L7" s="3356"/>
      <c r="M7" s="3087"/>
      <c r="N7" s="2538"/>
      <c r="O7" s="2335"/>
      <c r="P7" s="2335"/>
      <c r="Q7" s="2335"/>
      <c r="R7" s="2335"/>
      <c r="S7" s="2335"/>
    </row>
    <row r="8" spans="1:44" s="2336" customFormat="1" ht="18" customHeight="1">
      <c r="A8" s="2334"/>
      <c r="B8" s="3539"/>
      <c r="C8" s="3540"/>
      <c r="D8" s="3540"/>
      <c r="E8" s="3209"/>
      <c r="F8" s="3209"/>
      <c r="G8" s="3299"/>
      <c r="H8" s="3299"/>
      <c r="I8" s="3452"/>
      <c r="J8" s="3452"/>
      <c r="K8" s="3357"/>
      <c r="L8" s="3357"/>
      <c r="M8" s="3088"/>
      <c r="N8" s="2539"/>
      <c r="O8" s="2339"/>
      <c r="P8" s="2335"/>
      <c r="Q8" s="2335"/>
      <c r="R8" s="2335"/>
      <c r="S8" s="2335"/>
    </row>
    <row r="9" spans="1:44" s="2336" customFormat="1" ht="18" customHeight="1">
      <c r="A9" s="2334"/>
      <c r="B9" s="2340"/>
      <c r="C9" s="2341"/>
      <c r="D9" s="2341"/>
      <c r="E9" s="2341"/>
      <c r="F9" s="2341"/>
      <c r="G9" s="2341"/>
      <c r="H9" s="2341"/>
      <c r="I9" s="2341"/>
      <c r="J9" s="2341"/>
      <c r="K9" s="2341"/>
      <c r="L9" s="2341"/>
      <c r="M9" s="2341"/>
      <c r="N9" s="2341"/>
      <c r="O9" s="2339"/>
      <c r="P9" s="2335"/>
      <c r="Q9" s="2335"/>
      <c r="R9" s="2335"/>
      <c r="S9" s="2335"/>
    </row>
    <row r="10" spans="1:44" s="2347" customFormat="1" ht="15.75">
      <c r="A10" s="2342"/>
      <c r="B10" s="2342"/>
      <c r="C10" s="2343"/>
      <c r="D10" s="3204" t="s">
        <v>1450</v>
      </c>
      <c r="E10" s="3204"/>
      <c r="F10" s="2344" t="s">
        <v>1480</v>
      </c>
      <c r="G10" s="3204"/>
      <c r="H10" s="2344" t="s">
        <v>1599</v>
      </c>
      <c r="I10" s="3204"/>
      <c r="J10" s="3204">
        <v>2017</v>
      </c>
      <c r="K10" s="3204"/>
      <c r="L10" s="2344"/>
      <c r="M10" s="2344"/>
      <c r="N10" s="2345"/>
      <c r="O10" s="2346"/>
      <c r="P10" s="2346"/>
      <c r="Q10" s="2346"/>
      <c r="R10" s="2346"/>
      <c r="S10" s="2346"/>
    </row>
    <row r="11" spans="1:44" ht="15.75">
      <c r="A11" s="2348"/>
      <c r="B11" s="2348"/>
      <c r="C11" s="2349"/>
      <c r="D11" s="2350" t="s">
        <v>1449</v>
      </c>
      <c r="E11" s="3036"/>
      <c r="F11" s="2350" t="s">
        <v>1481</v>
      </c>
      <c r="G11" s="3036"/>
      <c r="H11" s="2350" t="s">
        <v>1600</v>
      </c>
      <c r="I11" s="3036"/>
      <c r="J11" s="2350" t="s">
        <v>137</v>
      </c>
      <c r="K11" s="3036"/>
      <c r="L11" s="3036"/>
      <c r="M11" s="3036"/>
      <c r="N11" s="2351" t="s">
        <v>1415</v>
      </c>
    </row>
    <row r="12" spans="1:44">
      <c r="A12" s="2348"/>
      <c r="B12" s="2348"/>
      <c r="C12" s="2349"/>
      <c r="D12" s="2349"/>
      <c r="E12" s="2349"/>
      <c r="F12" s="2349"/>
      <c r="G12" s="2349"/>
      <c r="H12" s="2349"/>
      <c r="I12" s="2349"/>
      <c r="J12" s="2349"/>
      <c r="K12" s="2349"/>
      <c r="L12" s="2352"/>
      <c r="M12" s="2349"/>
      <c r="N12" s="2353"/>
    </row>
    <row r="13" spans="1:44" s="2347" customFormat="1" ht="15.75">
      <c r="A13" s="2354"/>
      <c r="B13" s="2354" t="s">
        <v>497</v>
      </c>
      <c r="C13" s="2343"/>
      <c r="D13" s="2355">
        <v>3139.74</v>
      </c>
      <c r="E13" s="2355"/>
      <c r="F13" s="2355">
        <f>D49</f>
        <v>0</v>
      </c>
      <c r="G13" s="2355"/>
      <c r="H13" s="2355">
        <f>F49</f>
        <v>362003.38</v>
      </c>
      <c r="I13" s="2355"/>
      <c r="J13" s="2355">
        <f>H49</f>
        <v>409.59</v>
      </c>
      <c r="K13" s="2355"/>
      <c r="L13" s="3095"/>
      <c r="M13" s="2355"/>
      <c r="N13" s="2356">
        <f>+D13</f>
        <v>3139.74</v>
      </c>
      <c r="O13" s="2346"/>
      <c r="P13" s="2346"/>
      <c r="Q13" s="2346"/>
      <c r="R13" s="2346"/>
      <c r="S13" s="2346"/>
      <c r="T13" s="2357"/>
      <c r="U13" s="2357"/>
      <c r="V13" s="2357"/>
      <c r="W13" s="2357"/>
      <c r="X13" s="2357"/>
      <c r="Y13" s="2357"/>
      <c r="Z13" s="2357"/>
      <c r="AA13" s="2357"/>
      <c r="AB13" s="2357"/>
      <c r="AC13" s="2357"/>
      <c r="AD13" s="2357"/>
      <c r="AE13" s="2358"/>
      <c r="AF13" s="2358"/>
      <c r="AG13" s="2358"/>
      <c r="AH13" s="2358"/>
      <c r="AI13" s="2358"/>
      <c r="AJ13" s="2358"/>
      <c r="AK13" s="2358"/>
      <c r="AL13" s="2358"/>
      <c r="AM13" s="2358"/>
      <c r="AN13" s="2358"/>
      <c r="AO13" s="2358"/>
      <c r="AP13" s="2358"/>
      <c r="AQ13" s="2358"/>
      <c r="AR13" s="2358"/>
    </row>
    <row r="14" spans="1:44" s="2347" customFormat="1" ht="15.75">
      <c r="A14" s="2354"/>
      <c r="B14" s="2354"/>
      <c r="C14" s="2343"/>
      <c r="D14" s="2355"/>
      <c r="E14" s="2355"/>
      <c r="F14" s="2355"/>
      <c r="G14" s="2355"/>
      <c r="H14" s="2355"/>
      <c r="I14" s="2355"/>
      <c r="J14" s="2355"/>
      <c r="K14" s="2355"/>
      <c r="L14" s="3095"/>
      <c r="M14" s="2355"/>
      <c r="N14" s="2356"/>
      <c r="O14" s="2346"/>
      <c r="P14" s="2346"/>
      <c r="Q14" s="2346"/>
      <c r="R14" s="2346"/>
      <c r="S14" s="2346"/>
      <c r="T14" s="2357"/>
      <c r="U14" s="2357"/>
      <c r="V14" s="2357"/>
      <c r="W14" s="2357"/>
      <c r="X14" s="2357"/>
      <c r="Y14" s="2357"/>
      <c r="Z14" s="2357"/>
      <c r="AA14" s="2357"/>
      <c r="AB14" s="2357"/>
      <c r="AC14" s="2357"/>
      <c r="AD14" s="2357"/>
      <c r="AE14" s="2358"/>
      <c r="AF14" s="2358"/>
      <c r="AG14" s="2358"/>
      <c r="AH14" s="2358"/>
      <c r="AI14" s="2358"/>
      <c r="AJ14" s="2358"/>
      <c r="AK14" s="2358"/>
      <c r="AL14" s="2358"/>
      <c r="AM14" s="2358"/>
      <c r="AN14" s="2358"/>
      <c r="AO14" s="2358"/>
      <c r="AP14" s="2358"/>
      <c r="AQ14" s="2358"/>
      <c r="AR14" s="2358"/>
    </row>
    <row r="15" spans="1:44" ht="15.75">
      <c r="A15" s="2348"/>
      <c r="B15" s="2354" t="s">
        <v>14</v>
      </c>
      <c r="C15" s="2349"/>
      <c r="D15" s="2349"/>
      <c r="E15" s="2349"/>
      <c r="F15" s="2349"/>
      <c r="G15" s="2349"/>
      <c r="H15" s="2349"/>
      <c r="I15" s="2349"/>
      <c r="J15" s="2349"/>
      <c r="K15" s="2349"/>
      <c r="L15" s="3094"/>
      <c r="M15" s="2349"/>
      <c r="N15" s="2352"/>
    </row>
    <row r="16" spans="1:44">
      <c r="A16" s="2348"/>
      <c r="B16" s="2359" t="s">
        <v>603</v>
      </c>
      <c r="C16" s="2349"/>
      <c r="D16" s="2360">
        <v>901.2</v>
      </c>
      <c r="E16" s="2360"/>
      <c r="F16" s="2360">
        <v>2356.58</v>
      </c>
      <c r="G16" s="2360"/>
      <c r="H16" s="2360">
        <v>4134.7299999999996</v>
      </c>
      <c r="I16" s="2360"/>
      <c r="J16" s="2360">
        <v>405.43</v>
      </c>
      <c r="K16" s="2360"/>
      <c r="L16" s="3096"/>
      <c r="M16" s="2360">
        <v>1788.93</v>
      </c>
      <c r="N16" s="2361">
        <f>ROUND(SUM(D16:K16),2)</f>
        <v>7797.94</v>
      </c>
    </row>
    <row r="17" spans="1:24" s="2347" customFormat="1" ht="15.75">
      <c r="A17" s="2354"/>
      <c r="B17" s="2354" t="s">
        <v>155</v>
      </c>
      <c r="C17" s="2343"/>
      <c r="D17" s="2362">
        <f>ROUND(SUM(D16:D16),2)</f>
        <v>901.2</v>
      </c>
      <c r="E17" s="2363"/>
      <c r="F17" s="2362">
        <f>ROUND(SUM(F16:F16),2)</f>
        <v>2356.58</v>
      </c>
      <c r="G17" s="2363"/>
      <c r="H17" s="2362">
        <f>ROUND(SUM(H16:H16),2)</f>
        <v>4134.7299999999996</v>
      </c>
      <c r="I17" s="2363"/>
      <c r="J17" s="3310">
        <f>ROUND(SUM(J16:J16),2)</f>
        <v>405.43</v>
      </c>
      <c r="K17" s="2363"/>
      <c r="L17" s="3097"/>
      <c r="M17" s="2363"/>
      <c r="N17" s="2362">
        <f>ROUND(SUM(N16:N16),2)</f>
        <v>7797.94</v>
      </c>
      <c r="O17" s="2346"/>
      <c r="P17" s="2346"/>
      <c r="Q17" s="2346"/>
      <c r="R17" s="2346"/>
      <c r="S17" s="2346"/>
    </row>
    <row r="18" spans="1:24">
      <c r="A18" s="2348"/>
      <c r="B18" s="2348"/>
      <c r="C18" s="2349"/>
      <c r="D18" s="2360"/>
      <c r="E18" s="2360"/>
      <c r="F18" s="2360"/>
      <c r="G18" s="2360"/>
      <c r="H18" s="2360"/>
      <c r="I18" s="2360"/>
      <c r="J18" s="2360"/>
      <c r="K18" s="2360"/>
      <c r="L18" s="3096"/>
      <c r="M18" s="2360"/>
      <c r="N18" s="2364"/>
    </row>
    <row r="19" spans="1:24" ht="15.75">
      <c r="A19" s="2348"/>
      <c r="B19" s="2354" t="s">
        <v>1052</v>
      </c>
      <c r="C19" s="2349"/>
      <c r="D19" s="2360"/>
      <c r="E19" s="2360"/>
      <c r="F19" s="2360"/>
      <c r="G19" s="2360"/>
      <c r="H19" s="2360"/>
      <c r="I19" s="2360"/>
      <c r="J19" s="2360"/>
      <c r="K19" s="2360"/>
      <c r="L19" s="3096"/>
      <c r="M19" s="2360"/>
      <c r="N19" s="2361"/>
    </row>
    <row r="20" spans="1:24">
      <c r="A20" s="2348"/>
      <c r="B20" s="2359" t="s">
        <v>623</v>
      </c>
      <c r="C20" s="2349"/>
      <c r="D20" s="2360">
        <v>-150207124.25999999</v>
      </c>
      <c r="E20" s="2360"/>
      <c r="F20" s="2360">
        <v>-319118964.20999998</v>
      </c>
      <c r="G20" s="2360"/>
      <c r="H20" s="2360">
        <v>-219528939.66</v>
      </c>
      <c r="I20" s="2360"/>
      <c r="J20" s="2360">
        <v>-59773516.259999998</v>
      </c>
      <c r="K20" s="2360"/>
      <c r="L20" s="3096"/>
      <c r="M20" s="2360">
        <v>-319857721</v>
      </c>
      <c r="N20" s="2361">
        <f>ROUND(SUM(D20:K20),2)</f>
        <v>-748628544.38999999</v>
      </c>
    </row>
    <row r="21" spans="1:24">
      <c r="A21" s="2348"/>
      <c r="B21" s="2359" t="s">
        <v>624</v>
      </c>
      <c r="C21" s="2349"/>
      <c r="D21" s="2360">
        <v>0</v>
      </c>
      <c r="E21" s="2360"/>
      <c r="F21" s="2360">
        <v>0</v>
      </c>
      <c r="G21" s="2360"/>
      <c r="H21" s="2360">
        <v>0</v>
      </c>
      <c r="I21" s="2360"/>
      <c r="J21" s="2360">
        <v>0</v>
      </c>
      <c r="K21" s="2360"/>
      <c r="L21" s="3096"/>
      <c r="M21" s="2360"/>
      <c r="N21" s="2361">
        <f>ROUND(SUM(D21:K21),2)</f>
        <v>0</v>
      </c>
    </row>
    <row r="22" spans="1:24">
      <c r="A22" s="2348"/>
      <c r="B22" s="2359" t="s">
        <v>625</v>
      </c>
      <c r="C22" s="2349"/>
      <c r="D22" s="2360">
        <v>-887410.66</v>
      </c>
      <c r="E22" s="2360"/>
      <c r="F22" s="3264">
        <v>68839746.359999999</v>
      </c>
      <c r="G22" s="3264"/>
      <c r="H22" s="3264">
        <v>12403316.74</v>
      </c>
      <c r="I22" s="3264"/>
      <c r="J22" s="3264">
        <v>3801061.68</v>
      </c>
      <c r="K22" s="3264"/>
      <c r="L22" s="3096"/>
      <c r="M22" s="2360">
        <v>-2944491.34</v>
      </c>
      <c r="N22" s="2361">
        <f>ROUND(SUM(D22:K22),2)</f>
        <v>84156714.120000005</v>
      </c>
    </row>
    <row r="23" spans="1:24" s="2347" customFormat="1" ht="15.75">
      <c r="A23" s="2354"/>
      <c r="B23" s="2365" t="s">
        <v>1073</v>
      </c>
      <c r="C23" s="2343"/>
      <c r="D23" s="2366">
        <f>ROUND(SUM(D19:D22),2)</f>
        <v>-151094534.91999999</v>
      </c>
      <c r="E23" s="2363"/>
      <c r="F23" s="3210">
        <f>ROUND(SUM(F20:F22),2)</f>
        <v>-250279217.84999999</v>
      </c>
      <c r="G23" s="2363"/>
      <c r="H23" s="3210">
        <f>ROUND(SUM(H20:H22),2)</f>
        <v>-207125622.91999999</v>
      </c>
      <c r="I23" s="2363"/>
      <c r="J23" s="3210">
        <f>ROUND(SUM(J20:J22),2)</f>
        <v>-55972454.579999998</v>
      </c>
      <c r="K23" s="2363"/>
      <c r="L23" s="3097"/>
      <c r="M23" s="2363"/>
      <c r="N23" s="2366">
        <f>ROUND(SUM(N19:N22),2)</f>
        <v>-664471830.26999998</v>
      </c>
      <c r="O23" s="2346"/>
      <c r="P23" s="2346"/>
      <c r="Q23" s="2346"/>
      <c r="R23" s="2346"/>
      <c r="S23" s="2346"/>
    </row>
    <row r="24" spans="1:24">
      <c r="A24" s="2348"/>
      <c r="B24" s="2367"/>
      <c r="C24" s="2349"/>
      <c r="D24" s="2364"/>
      <c r="E24" s="2361"/>
      <c r="F24" s="2361"/>
      <c r="G24" s="2361"/>
      <c r="H24" s="2361"/>
      <c r="I24" s="2361"/>
      <c r="J24" s="2361"/>
      <c r="K24" s="2361"/>
      <c r="L24" s="3096"/>
      <c r="M24" s="2361"/>
      <c r="N24" s="2364"/>
    </row>
    <row r="25" spans="1:24" s="2347" customFormat="1" ht="15.75">
      <c r="A25" s="2354"/>
      <c r="B25" s="2354" t="s">
        <v>1359</v>
      </c>
      <c r="C25" s="2343"/>
      <c r="D25" s="2368">
        <f>ROUND(+D17+D23,2)</f>
        <v>-151093633.72</v>
      </c>
      <c r="E25" s="2368"/>
      <c r="F25" s="2378">
        <f>ROUND(+F17+F23,2)</f>
        <v>-250276861.27000001</v>
      </c>
      <c r="G25" s="2368"/>
      <c r="H25" s="2378">
        <f>ROUND(+H17+H23,2)</f>
        <v>-207121488.19</v>
      </c>
      <c r="I25" s="2368"/>
      <c r="J25" s="2378">
        <f>ROUND(+J17+J23,2)</f>
        <v>-55972049.149999999</v>
      </c>
      <c r="K25" s="2368"/>
      <c r="L25" s="3098"/>
      <c r="M25" s="2368"/>
      <c r="N25" s="2368">
        <f>ROUND(+N17+N23,2)</f>
        <v>-664464032.33000004</v>
      </c>
      <c r="O25" s="2346"/>
      <c r="P25" s="2346"/>
      <c r="Q25" s="2346"/>
      <c r="R25" s="2346"/>
      <c r="S25" s="2346"/>
    </row>
    <row r="26" spans="1:24">
      <c r="A26" s="2348"/>
      <c r="B26" s="2348"/>
      <c r="C26" s="2349"/>
      <c r="D26" s="2364"/>
      <c r="E26" s="2361"/>
      <c r="F26" s="2361"/>
      <c r="G26" s="2361"/>
      <c r="H26" s="2361"/>
      <c r="I26" s="2361"/>
      <c r="J26" s="2361"/>
      <c r="K26" s="2361"/>
      <c r="L26" s="3096"/>
      <c r="M26" s="2361"/>
      <c r="N26" s="2364"/>
      <c r="O26" s="2333"/>
      <c r="P26" s="2333"/>
      <c r="Q26" s="2333"/>
      <c r="R26" s="2333"/>
      <c r="S26" s="2333"/>
      <c r="T26" s="2369"/>
      <c r="U26" s="2369"/>
      <c r="V26" s="2369"/>
      <c r="W26" s="2369"/>
      <c r="X26" s="2369"/>
    </row>
    <row r="27" spans="1:24" ht="15.75">
      <c r="A27" s="2348"/>
      <c r="B27" s="2354" t="s">
        <v>46</v>
      </c>
      <c r="C27" s="2349"/>
      <c r="D27" s="2360"/>
      <c r="E27" s="2360"/>
      <c r="F27" s="2360"/>
      <c r="G27" s="2360"/>
      <c r="H27" s="2360"/>
      <c r="I27" s="2360"/>
      <c r="J27" s="2360"/>
      <c r="K27" s="2360"/>
      <c r="L27" s="3096"/>
      <c r="M27" s="2360"/>
      <c r="N27" s="2361"/>
      <c r="O27" s="2333"/>
      <c r="P27" s="2333"/>
      <c r="Q27" s="2333"/>
      <c r="R27" s="2333"/>
      <c r="S27" s="2333"/>
      <c r="T27" s="2369"/>
      <c r="U27" s="2369"/>
      <c r="V27" s="2369"/>
      <c r="W27" s="2369"/>
      <c r="X27" s="2369"/>
    </row>
    <row r="28" spans="1:24" ht="15.75">
      <c r="A28" s="2348"/>
      <c r="B28" s="2354" t="s">
        <v>990</v>
      </c>
      <c r="C28" s="2349"/>
      <c r="D28" s="2360"/>
      <c r="E28" s="2360"/>
      <c r="F28" s="2360"/>
      <c r="G28" s="2360"/>
      <c r="H28" s="2360"/>
      <c r="I28" s="2360"/>
      <c r="J28" s="2360"/>
      <c r="K28" s="2360"/>
      <c r="L28" s="3096"/>
      <c r="M28" s="2360"/>
      <c r="N28" s="2361"/>
      <c r="O28" s="2333"/>
      <c r="P28" s="2333"/>
      <c r="Q28" s="2333"/>
      <c r="R28" s="2333"/>
      <c r="S28" s="2333"/>
      <c r="T28" s="2369"/>
      <c r="U28" s="2369"/>
      <c r="V28" s="2369"/>
      <c r="W28" s="2369"/>
      <c r="X28" s="2369"/>
    </row>
    <row r="29" spans="1:24">
      <c r="A29" s="2348"/>
      <c r="B29" s="2359" t="s">
        <v>626</v>
      </c>
      <c r="C29" s="2349"/>
      <c r="D29" s="2360">
        <v>0</v>
      </c>
      <c r="E29" s="2360"/>
      <c r="F29" s="2360">
        <v>0</v>
      </c>
      <c r="G29" s="2360"/>
      <c r="H29" s="2360">
        <v>0</v>
      </c>
      <c r="I29" s="2360"/>
      <c r="J29" s="2360">
        <v>0</v>
      </c>
      <c r="K29" s="2360"/>
      <c r="L29" s="3096"/>
      <c r="M29" s="2360"/>
      <c r="N29" s="2361">
        <f>ROUND(SUM(D29:K29),2)</f>
        <v>0</v>
      </c>
      <c r="O29" s="2333"/>
      <c r="P29" s="2333"/>
      <c r="Q29" s="2333"/>
      <c r="R29" s="2333"/>
      <c r="S29" s="2333"/>
      <c r="T29" s="2369"/>
      <c r="U29" s="2369"/>
      <c r="V29" s="2369"/>
      <c r="W29" s="2369"/>
      <c r="X29" s="2369"/>
    </row>
    <row r="30" spans="1:24">
      <c r="A30" s="2348"/>
      <c r="B30" s="2359" t="s">
        <v>614</v>
      </c>
      <c r="C30" s="2349"/>
      <c r="D30" s="2360">
        <v>0</v>
      </c>
      <c r="E30" s="2360"/>
      <c r="F30" s="2360">
        <v>0</v>
      </c>
      <c r="G30" s="2360"/>
      <c r="H30" s="2360">
        <v>0</v>
      </c>
      <c r="I30" s="2360"/>
      <c r="J30" s="2360">
        <v>0</v>
      </c>
      <c r="K30" s="2360"/>
      <c r="L30" s="3096"/>
      <c r="M30" s="2360"/>
      <c r="N30" s="2361">
        <f>ROUND(SUM(D30:K30),2)</f>
        <v>0</v>
      </c>
      <c r="O30" s="2333"/>
      <c r="P30" s="2333"/>
      <c r="Q30" s="2333"/>
      <c r="R30" s="2333"/>
      <c r="S30" s="2333"/>
      <c r="T30" s="2369"/>
      <c r="U30" s="2369"/>
      <c r="V30" s="2369"/>
      <c r="W30" s="2369"/>
      <c r="X30" s="2369"/>
    </row>
    <row r="31" spans="1:24" ht="15.75">
      <c r="A31" s="2348"/>
      <c r="B31" s="2354" t="s">
        <v>611</v>
      </c>
      <c r="C31" s="2349"/>
      <c r="D31" s="2360"/>
      <c r="E31" s="2360"/>
      <c r="F31" s="2360"/>
      <c r="G31" s="2360"/>
      <c r="H31" s="2360"/>
      <c r="I31" s="2360"/>
      <c r="J31" s="2360"/>
      <c r="K31" s="2360"/>
      <c r="L31" s="3096"/>
      <c r="M31" s="2360"/>
      <c r="N31" s="2361"/>
      <c r="O31" s="2333"/>
      <c r="P31" s="2333"/>
      <c r="Q31" s="2333"/>
      <c r="R31" s="2333"/>
      <c r="S31" s="2333"/>
      <c r="T31" s="2369"/>
      <c r="U31" s="2369"/>
      <c r="V31" s="2369"/>
      <c r="W31" s="2369"/>
      <c r="X31" s="2369"/>
    </row>
    <row r="32" spans="1:24">
      <c r="A32" s="2348"/>
      <c r="B32" s="2359" t="s">
        <v>627</v>
      </c>
      <c r="C32" s="2349"/>
      <c r="D32" s="2370">
        <v>79816133.909999996</v>
      </c>
      <c r="E32" s="2370"/>
      <c r="F32" s="2360">
        <v>159845576.66999999</v>
      </c>
      <c r="G32" s="2360"/>
      <c r="H32" s="2360">
        <v>108087356.90000001</v>
      </c>
      <c r="I32" s="2360"/>
      <c r="J32" s="2360">
        <v>29793306.420000002</v>
      </c>
      <c r="K32" s="2360"/>
      <c r="L32" s="3099"/>
      <c r="M32" s="2360">
        <v>154417162.58000001</v>
      </c>
      <c r="N32" s="2361">
        <f>ROUND(SUM(D32:K32),2)</f>
        <v>377542373.89999998</v>
      </c>
      <c r="O32" s="2333"/>
      <c r="P32" s="2333"/>
      <c r="Q32" s="2333"/>
      <c r="R32" s="2333"/>
      <c r="S32" s="2333"/>
      <c r="T32" s="2369"/>
      <c r="U32" s="2369"/>
      <c r="V32" s="2369"/>
      <c r="W32" s="2369"/>
      <c r="X32" s="2369"/>
    </row>
    <row r="33" spans="1:24">
      <c r="A33" s="2348"/>
      <c r="B33" s="2359" t="s">
        <v>628</v>
      </c>
      <c r="C33" s="2349"/>
      <c r="D33" s="2370">
        <v>-8437132.9900000002</v>
      </c>
      <c r="E33" s="2370"/>
      <c r="F33" s="2360">
        <v>606829.17000000004</v>
      </c>
      <c r="G33" s="2360"/>
      <c r="H33" s="2360">
        <v>3351109.71</v>
      </c>
      <c r="I33" s="2360"/>
      <c r="J33" s="2360">
        <v>186903.42</v>
      </c>
      <c r="K33" s="2360"/>
      <c r="L33" s="3099"/>
      <c r="M33" s="2360">
        <v>14987269.739999998</v>
      </c>
      <c r="N33" s="2361">
        <f>ROUND(SUM(D33:K33),2)</f>
        <v>-4292290.6900000004</v>
      </c>
      <c r="O33" s="2333"/>
      <c r="P33" s="2333"/>
      <c r="Q33" s="2333"/>
      <c r="R33" s="2333"/>
      <c r="S33" s="2333"/>
      <c r="T33" s="2369"/>
      <c r="U33" s="2369"/>
      <c r="V33" s="2369"/>
      <c r="W33" s="2369"/>
      <c r="X33" s="2369"/>
    </row>
    <row r="34" spans="1:24">
      <c r="A34" s="2348"/>
      <c r="B34" s="2359" t="s">
        <v>629</v>
      </c>
      <c r="C34" s="2349"/>
      <c r="D34" s="2370">
        <v>-25357.85</v>
      </c>
      <c r="E34" s="2370"/>
      <c r="F34" s="2360">
        <v>-1172080</v>
      </c>
      <c r="G34" s="2360"/>
      <c r="H34" s="2360">
        <v>3116.16</v>
      </c>
      <c r="I34" s="2360"/>
      <c r="J34" s="2360">
        <v>0</v>
      </c>
      <c r="K34" s="2360"/>
      <c r="L34" s="3099"/>
      <c r="M34" s="2360">
        <v>-1019382.54</v>
      </c>
      <c r="N34" s="2361">
        <f>ROUND(SUM(D34:K34),2)</f>
        <v>-1194321.69</v>
      </c>
      <c r="O34" s="2333"/>
      <c r="P34" s="2333"/>
      <c r="Q34" s="2333"/>
      <c r="R34" s="2333"/>
      <c r="S34" s="2333"/>
      <c r="T34" s="2369"/>
      <c r="U34" s="2369"/>
      <c r="V34" s="2369"/>
      <c r="W34" s="2369"/>
      <c r="X34" s="2369"/>
    </row>
    <row r="35" spans="1:24">
      <c r="A35" s="2348"/>
      <c r="B35" s="2359" t="s">
        <v>630</v>
      </c>
      <c r="C35" s="2349"/>
      <c r="D35" s="2370">
        <v>79816133.900000006</v>
      </c>
      <c r="E35" s="2370"/>
      <c r="F35" s="2360">
        <v>159845576.66</v>
      </c>
      <c r="G35" s="2360"/>
      <c r="H35" s="2360">
        <v>108087356.89</v>
      </c>
      <c r="I35" s="2360"/>
      <c r="J35" s="2360">
        <v>0</v>
      </c>
      <c r="K35" s="2360"/>
      <c r="L35" s="3099"/>
      <c r="M35" s="2360">
        <v>154417162.56</v>
      </c>
      <c r="N35" s="2361">
        <f>ROUND(SUM(D35:K35),2)</f>
        <v>347749067.44999999</v>
      </c>
      <c r="O35" s="2333"/>
      <c r="P35" s="2333"/>
      <c r="Q35" s="2333"/>
      <c r="R35" s="2333"/>
      <c r="S35" s="2333"/>
      <c r="T35" s="2369"/>
      <c r="U35" s="2369"/>
      <c r="V35" s="2369"/>
      <c r="W35" s="2369"/>
      <c r="X35" s="2369"/>
    </row>
    <row r="36" spans="1:24">
      <c r="A36" s="2348"/>
      <c r="B36" s="2359" t="s">
        <v>625</v>
      </c>
      <c r="C36" s="2349"/>
      <c r="D36" s="2371">
        <v>0</v>
      </c>
      <c r="E36" s="2370"/>
      <c r="F36" s="2371">
        <v>361570</v>
      </c>
      <c r="G36" s="2370"/>
      <c r="H36" s="2371">
        <v>-361570</v>
      </c>
      <c r="I36" s="2370"/>
      <c r="J36" s="2371">
        <v>29793306.420000002</v>
      </c>
      <c r="K36" s="2370"/>
      <c r="L36" s="3099"/>
      <c r="M36" s="2370"/>
      <c r="N36" s="2361">
        <f>ROUND(SUM(D36:K36),2)</f>
        <v>29793306.420000002</v>
      </c>
      <c r="O36" s="2333"/>
      <c r="P36" s="2333"/>
      <c r="Q36" s="2333"/>
      <c r="R36" s="2333"/>
      <c r="S36" s="2333"/>
      <c r="T36" s="2369"/>
      <c r="U36" s="2369"/>
      <c r="V36" s="2369"/>
      <c r="W36" s="2369"/>
      <c r="X36" s="2369"/>
    </row>
    <row r="37" spans="1:24" s="2347" customFormat="1" ht="15.75">
      <c r="A37" s="2354"/>
      <c r="B37" s="2354" t="s">
        <v>613</v>
      </c>
      <c r="C37" s="2343"/>
      <c r="D37" s="2372">
        <f>ROUND(SUM(D29:D36),2)</f>
        <v>151169776.97</v>
      </c>
      <c r="E37" s="2363"/>
      <c r="F37" s="2372">
        <f>ROUND(SUM(F29:F36),2)</f>
        <v>319487472.5</v>
      </c>
      <c r="G37" s="2363"/>
      <c r="H37" s="2372">
        <f>ROUND(SUM(H29:H36),2)</f>
        <v>219167369.66</v>
      </c>
      <c r="I37" s="2363"/>
      <c r="J37" s="3311">
        <f>ROUND(SUM(J29:J36),2)</f>
        <v>59773516.259999998</v>
      </c>
      <c r="K37" s="2363"/>
      <c r="L37" s="3097"/>
      <c r="M37" s="2363"/>
      <c r="N37" s="2372">
        <f>ROUND(SUM(N29:N36),2)</f>
        <v>749598135.38999999</v>
      </c>
      <c r="O37" s="2373"/>
      <c r="P37" s="2373"/>
      <c r="Q37" s="2373"/>
      <c r="R37" s="2373"/>
      <c r="S37" s="2373"/>
      <c r="T37" s="2374"/>
      <c r="U37" s="2374"/>
      <c r="V37" s="2374"/>
      <c r="W37" s="2374"/>
      <c r="X37" s="2374"/>
    </row>
    <row r="38" spans="1:24">
      <c r="A38" s="2348"/>
      <c r="B38" s="2348"/>
      <c r="C38" s="2349"/>
      <c r="D38" s="2360"/>
      <c r="E38" s="2360"/>
      <c r="F38" s="2360"/>
      <c r="G38" s="2360"/>
      <c r="H38" s="2360"/>
      <c r="I38" s="2360"/>
      <c r="J38" s="2360"/>
      <c r="K38" s="2360"/>
      <c r="L38" s="3096"/>
      <c r="M38" s="2360"/>
      <c r="N38" s="2361"/>
      <c r="O38" s="2333"/>
      <c r="P38" s="2333"/>
      <c r="Q38" s="2333"/>
      <c r="R38" s="2333"/>
      <c r="S38" s="2333"/>
      <c r="T38" s="2369"/>
      <c r="U38" s="2369"/>
      <c r="V38" s="2369"/>
      <c r="W38" s="2369"/>
      <c r="X38" s="2369"/>
    </row>
    <row r="39" spans="1:24" ht="15.75">
      <c r="A39" s="2348"/>
      <c r="B39" s="2354" t="s">
        <v>1050</v>
      </c>
      <c r="C39" s="2349"/>
      <c r="D39" s="2360"/>
      <c r="E39" s="2360"/>
      <c r="F39" s="2360"/>
      <c r="G39" s="2360"/>
      <c r="H39" s="2360"/>
      <c r="I39" s="2360"/>
      <c r="J39" s="2360"/>
      <c r="K39" s="2360"/>
      <c r="L39" s="3096"/>
      <c r="M39" s="2360"/>
      <c r="N39" s="2361"/>
      <c r="O39" s="2333"/>
      <c r="P39" s="2333"/>
      <c r="Q39" s="2333"/>
      <c r="R39" s="2333"/>
      <c r="S39" s="2333"/>
      <c r="T39" s="2369"/>
      <c r="U39" s="2369"/>
      <c r="V39" s="2369"/>
      <c r="W39" s="2369"/>
      <c r="X39" s="2369"/>
    </row>
    <row r="40" spans="1:24">
      <c r="A40" s="2348"/>
      <c r="B40" s="2348" t="s">
        <v>626</v>
      </c>
      <c r="C40" s="2349"/>
      <c r="D40" s="2375">
        <v>0</v>
      </c>
      <c r="E40" s="2375"/>
      <c r="F40" s="2375">
        <v>0</v>
      </c>
      <c r="G40" s="2375"/>
      <c r="H40" s="2375">
        <v>0</v>
      </c>
      <c r="I40" s="2375"/>
      <c r="J40" s="2375">
        <v>0</v>
      </c>
      <c r="K40" s="2375"/>
      <c r="L40" s="3100"/>
      <c r="M40" s="2375"/>
      <c r="N40" s="2361">
        <f>ROUND(SUM(D40:K40),2)</f>
        <v>0</v>
      </c>
      <c r="O40" s="2333"/>
      <c r="P40" s="2333"/>
      <c r="Q40" s="2333"/>
      <c r="R40" s="2333"/>
      <c r="S40" s="2333"/>
      <c r="T40" s="2369"/>
      <c r="U40" s="2369"/>
      <c r="V40" s="2369"/>
      <c r="W40" s="2369"/>
      <c r="X40" s="2369"/>
    </row>
    <row r="41" spans="1:24">
      <c r="A41" s="2348"/>
      <c r="B41" s="2348" t="s">
        <v>614</v>
      </c>
      <c r="C41" s="2349"/>
      <c r="D41" s="2361">
        <v>0</v>
      </c>
      <c r="E41" s="2361"/>
      <c r="F41" s="2361">
        <v>0</v>
      </c>
      <c r="G41" s="2361"/>
      <c r="H41" s="2361">
        <v>0</v>
      </c>
      <c r="I41" s="2361"/>
      <c r="J41" s="2361">
        <v>0</v>
      </c>
      <c r="K41" s="2361"/>
      <c r="L41" s="3096"/>
      <c r="M41" s="2361"/>
      <c r="N41" s="2361">
        <f>ROUND(SUM(D41:K41),2)</f>
        <v>0</v>
      </c>
      <c r="O41" s="2333"/>
      <c r="P41" s="2333"/>
      <c r="Q41" s="2333"/>
      <c r="R41" s="2333"/>
      <c r="S41" s="2333"/>
      <c r="T41" s="2369"/>
      <c r="U41" s="2369"/>
      <c r="V41" s="2369"/>
      <c r="W41" s="2369"/>
      <c r="X41" s="2369"/>
    </row>
    <row r="42" spans="1:24" ht="15.75">
      <c r="A42" s="2348"/>
      <c r="B42" s="2354" t="s">
        <v>1051</v>
      </c>
      <c r="C42" s="2349"/>
      <c r="D42" s="2360"/>
      <c r="E42" s="2360"/>
      <c r="F42" s="2360"/>
      <c r="G42" s="2360"/>
      <c r="H42" s="2360"/>
      <c r="I42" s="2360"/>
      <c r="J42" s="2360"/>
      <c r="K42" s="2360"/>
      <c r="L42" s="3096"/>
      <c r="M42" s="2360"/>
      <c r="N42" s="2376"/>
      <c r="O42" s="2333"/>
      <c r="P42" s="2333"/>
      <c r="Q42" s="2333"/>
      <c r="R42" s="2333"/>
      <c r="S42" s="2333"/>
      <c r="T42" s="2369"/>
      <c r="U42" s="2369"/>
      <c r="V42" s="2369"/>
      <c r="W42" s="2369"/>
      <c r="X42" s="2369"/>
    </row>
    <row r="43" spans="1:24">
      <c r="A43" s="2348"/>
      <c r="B43" s="2359" t="s">
        <v>631</v>
      </c>
      <c r="C43" s="2349"/>
      <c r="D43" s="2377">
        <v>-79282.990000000005</v>
      </c>
      <c r="E43" s="2361"/>
      <c r="F43" s="2377">
        <v>-68848607.849999994</v>
      </c>
      <c r="G43" s="2361"/>
      <c r="H43" s="2377">
        <f>-4158.52-12403316.74</f>
        <v>-12407475.26</v>
      </c>
      <c r="I43" s="2361"/>
      <c r="J43" s="2377">
        <v>-3801471.27</v>
      </c>
      <c r="K43" s="2361"/>
      <c r="L43" s="3096"/>
      <c r="M43" s="2360">
        <v>-2019</v>
      </c>
      <c r="N43" s="2361">
        <f>ROUND(SUM(D43:K43),2)</f>
        <v>-85136837.370000005</v>
      </c>
      <c r="O43" s="2333"/>
      <c r="P43" s="2333"/>
      <c r="Q43" s="2333"/>
      <c r="R43" s="2333"/>
      <c r="S43" s="2333"/>
      <c r="T43" s="2369"/>
      <c r="U43" s="2369"/>
      <c r="V43" s="2369"/>
      <c r="W43" s="2369"/>
      <c r="X43" s="2369"/>
    </row>
    <row r="44" spans="1:24" s="2347" customFormat="1" ht="15.75">
      <c r="A44" s="2354"/>
      <c r="B44" s="2354" t="s">
        <v>617</v>
      </c>
      <c r="C44" s="2343"/>
      <c r="D44" s="2372">
        <f>ROUND(SUM(D40:D43),2)</f>
        <v>-79282.990000000005</v>
      </c>
      <c r="E44" s="2363"/>
      <c r="F44" s="2372">
        <f>ROUND(SUM(F40:F43),2)</f>
        <v>-68848607.849999994</v>
      </c>
      <c r="G44" s="2363"/>
      <c r="H44" s="2372">
        <f>ROUND(SUM(H40:H43),2)</f>
        <v>-12407475.26</v>
      </c>
      <c r="I44" s="2363"/>
      <c r="J44" s="3311">
        <f>ROUND(SUM(J40:J43),2)</f>
        <v>-3801471.27</v>
      </c>
      <c r="K44" s="2363"/>
      <c r="L44" s="3097"/>
      <c r="M44" s="2363"/>
      <c r="N44" s="2372">
        <f>ROUND(SUM(N40:N43),2)</f>
        <v>-85136837.370000005</v>
      </c>
      <c r="O44" s="2373"/>
      <c r="P44" s="2373"/>
      <c r="Q44" s="2373"/>
      <c r="R44" s="2373"/>
      <c r="S44" s="2373"/>
      <c r="T44" s="2374"/>
      <c r="U44" s="2374"/>
      <c r="V44" s="2374"/>
      <c r="W44" s="2374"/>
      <c r="X44" s="2374"/>
    </row>
    <row r="45" spans="1:24">
      <c r="A45" s="2348"/>
      <c r="B45" s="2348"/>
      <c r="C45" s="2349"/>
      <c r="D45" s="2360"/>
      <c r="E45" s="2360"/>
      <c r="F45" s="2360"/>
      <c r="G45" s="2360"/>
      <c r="H45" s="2360"/>
      <c r="I45" s="2360"/>
      <c r="J45" s="2360"/>
      <c r="K45" s="2360"/>
      <c r="L45" s="3096"/>
      <c r="M45" s="2360"/>
      <c r="N45" s="2361"/>
      <c r="O45" s="2333"/>
      <c r="P45" s="2333"/>
      <c r="Q45" s="2333"/>
      <c r="R45" s="2333"/>
      <c r="S45" s="2333"/>
      <c r="T45" s="2369"/>
      <c r="U45" s="2369"/>
      <c r="V45" s="2369"/>
      <c r="W45" s="2369"/>
      <c r="X45" s="2369"/>
    </row>
    <row r="46" spans="1:24" ht="15.75">
      <c r="A46" s="2348"/>
      <c r="B46" s="2354" t="s">
        <v>632</v>
      </c>
      <c r="C46" s="2349"/>
      <c r="D46" s="2360"/>
      <c r="E46" s="2360"/>
      <c r="F46" s="2360"/>
      <c r="G46" s="2360"/>
      <c r="H46" s="2360"/>
      <c r="I46" s="2360"/>
      <c r="J46" s="2360"/>
      <c r="K46" s="2360"/>
      <c r="L46" s="3096"/>
      <c r="M46" s="2360"/>
      <c r="N46" s="2361"/>
      <c r="O46" s="2333"/>
      <c r="P46" s="2333"/>
      <c r="Q46" s="2333"/>
      <c r="R46" s="2333"/>
      <c r="S46" s="2333"/>
      <c r="T46" s="2369"/>
      <c r="U46" s="2369"/>
      <c r="V46" s="2369"/>
      <c r="W46" s="2369"/>
      <c r="X46" s="2369"/>
    </row>
    <row r="47" spans="1:24" ht="15.75">
      <c r="A47" s="2348"/>
      <c r="B47" s="2354" t="s">
        <v>633</v>
      </c>
      <c r="C47" s="2349"/>
      <c r="D47" s="2378">
        <f>ROUND(+D25+D37+D44,2)</f>
        <v>-3139.74</v>
      </c>
      <c r="E47" s="2368"/>
      <c r="F47" s="2378">
        <f>ROUND(+F25+F37+F44,2)</f>
        <v>362003.38</v>
      </c>
      <c r="G47" s="2368"/>
      <c r="H47" s="2378">
        <f>ROUND(+H25+H37+H44,2)</f>
        <v>-361593.79</v>
      </c>
      <c r="I47" s="2368"/>
      <c r="J47" s="2378">
        <f>ROUND(+J25+J37+J44,2)</f>
        <v>-4.16</v>
      </c>
      <c r="K47" s="2368"/>
      <c r="L47" s="3098"/>
      <c r="M47" s="2368"/>
      <c r="N47" s="2378">
        <f>ROUND(+N25+N37+N44,2)</f>
        <v>-2734.31</v>
      </c>
      <c r="O47" s="2333"/>
      <c r="P47" s="2333"/>
      <c r="Q47" s="2333"/>
      <c r="R47" s="2333"/>
      <c r="S47" s="2333"/>
      <c r="T47" s="2369"/>
      <c r="U47" s="2369"/>
      <c r="V47" s="2369"/>
      <c r="W47" s="2369"/>
      <c r="X47" s="2369"/>
    </row>
    <row r="48" spans="1:24">
      <c r="A48" s="2348"/>
      <c r="B48" s="2348"/>
      <c r="C48" s="2349"/>
      <c r="D48" s="2349"/>
      <c r="E48" s="2349"/>
      <c r="F48" s="2349"/>
      <c r="G48" s="2349"/>
      <c r="H48" s="2349"/>
      <c r="I48" s="2349"/>
      <c r="J48" s="2349"/>
      <c r="K48" s="2349"/>
      <c r="L48" s="3094"/>
      <c r="M48" s="2349"/>
      <c r="N48" s="2379"/>
      <c r="O48" s="2333"/>
      <c r="P48" s="2333"/>
      <c r="Q48" s="2333"/>
      <c r="R48" s="2333"/>
      <c r="S48" s="2333"/>
      <c r="T48" s="2369"/>
      <c r="U48" s="2369"/>
      <c r="V48" s="2369"/>
      <c r="W48" s="2369"/>
      <c r="X48" s="2369"/>
    </row>
    <row r="49" spans="1:49" s="2347" customFormat="1" ht="16.5" thickBot="1">
      <c r="A49" s="2354"/>
      <c r="B49" s="2354" t="s">
        <v>620</v>
      </c>
      <c r="C49" s="2380"/>
      <c r="D49" s="2381">
        <f>ROUND(D13+D47,2)</f>
        <v>0</v>
      </c>
      <c r="E49" s="2382"/>
      <c r="F49" s="2381">
        <f>ROUND(F13+F47,2)</f>
        <v>362003.38</v>
      </c>
      <c r="G49" s="2382"/>
      <c r="H49" s="2381">
        <f>ROUND(H13+H47,2)</f>
        <v>409.59</v>
      </c>
      <c r="I49" s="2382"/>
      <c r="J49" s="3312">
        <f>ROUND(J13+J47,2)</f>
        <v>405.43</v>
      </c>
      <c r="K49" s="2382"/>
      <c r="L49" s="3101"/>
      <c r="M49" s="2382"/>
      <c r="N49" s="2381">
        <f>ROUND(N13+N47,2)</f>
        <v>405.43</v>
      </c>
      <c r="O49" s="2346"/>
      <c r="P49" s="2346"/>
      <c r="Q49" s="2346"/>
      <c r="R49" s="2346"/>
      <c r="S49" s="2346"/>
      <c r="T49" s="2383"/>
      <c r="U49" s="2383"/>
      <c r="V49" s="2383"/>
      <c r="W49" s="2383"/>
      <c r="X49" s="2383"/>
      <c r="Y49" s="2383"/>
      <c r="Z49" s="2383"/>
      <c r="AA49" s="2383"/>
      <c r="AB49" s="2383"/>
      <c r="AC49" s="2383"/>
      <c r="AD49" s="2383"/>
      <c r="AE49" s="2383"/>
      <c r="AF49" s="2383"/>
      <c r="AG49" s="2383"/>
      <c r="AH49" s="2383"/>
      <c r="AI49" s="2383"/>
      <c r="AJ49" s="2383"/>
      <c r="AK49" s="2383"/>
      <c r="AL49" s="2383"/>
      <c r="AM49" s="2383"/>
      <c r="AN49" s="2383"/>
      <c r="AO49" s="2383"/>
      <c r="AP49" s="2383"/>
      <c r="AQ49" s="2383"/>
      <c r="AR49" s="2383"/>
      <c r="AS49" s="2383"/>
      <c r="AT49" s="2383"/>
      <c r="AU49" s="2383"/>
      <c r="AV49" s="2383"/>
      <c r="AW49" s="2383"/>
    </row>
    <row r="50" spans="1:49" ht="15.75" thickTop="1">
      <c r="A50" s="2348"/>
      <c r="B50" s="2348" t="s">
        <v>15</v>
      </c>
      <c r="C50" s="2349"/>
      <c r="D50" s="2349"/>
      <c r="E50" s="2349"/>
      <c r="F50" s="2349"/>
      <c r="G50" s="2349"/>
      <c r="H50" s="2349"/>
      <c r="I50" s="2349"/>
      <c r="J50" s="2349"/>
      <c r="K50" s="2349"/>
      <c r="L50" s="2349"/>
      <c r="M50" s="2349"/>
      <c r="N50" s="2349"/>
    </row>
    <row r="51" spans="1:49">
      <c r="B51" s="2384" t="s">
        <v>621</v>
      </c>
    </row>
    <row r="52" spans="1:49">
      <c r="B52" s="2385"/>
    </row>
    <row r="60" spans="1:49" ht="15.75">
      <c r="B60" s="2386"/>
      <c r="C60" s="2387"/>
      <c r="D60" s="2387"/>
      <c r="E60" s="2387"/>
      <c r="F60" s="2387"/>
      <c r="G60" s="2387"/>
      <c r="H60" s="2387"/>
      <c r="I60" s="2387"/>
      <c r="J60" s="2387"/>
      <c r="K60" s="2387"/>
      <c r="L60" s="2387"/>
      <c r="M60" s="2387"/>
    </row>
    <row r="62" spans="1:49" ht="15.75">
      <c r="B62" s="2388"/>
      <c r="C62" s="2346"/>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D7"/>
    <mergeCell ref="B8:D8"/>
  </mergeCells>
  <printOptions horizontalCentered="1" verticalCentered="1"/>
  <pageMargins left="0.24" right="0.24" top="0.5" bottom="0.5" header="0.18" footer="0.25"/>
  <pageSetup scale="67" firstPageNumber="52"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workbookViewId="0"/>
  </sheetViews>
  <sheetFormatPr defaultColWidth="8.88671875" defaultRowHeight="12.75"/>
  <cols>
    <col min="1" max="1" width="54.77734375" style="773" customWidth="1"/>
    <col min="2" max="2" width="1.6640625" style="773" customWidth="1"/>
    <col min="3" max="3" width="10.88671875" style="773" customWidth="1"/>
    <col min="4" max="4" width="1.6640625" style="773" customWidth="1"/>
    <col min="5" max="5" width="10.88671875" style="773" customWidth="1"/>
    <col min="6" max="6" width="1.6640625" style="773" customWidth="1"/>
    <col min="7" max="7" width="10.88671875" style="773" customWidth="1"/>
    <col min="8" max="8" width="1.6640625" style="773" customWidth="1"/>
    <col min="9" max="9" width="10.88671875" style="773" customWidth="1"/>
    <col min="10" max="10" width="1.6640625" style="773" customWidth="1"/>
    <col min="11" max="11" width="10.88671875" style="773" customWidth="1"/>
    <col min="12" max="12" width="1.6640625" style="773" customWidth="1"/>
    <col min="13" max="13" width="14.88671875" style="773" bestFit="1" customWidth="1"/>
    <col min="14" max="14" width="1.6640625" style="773" customWidth="1"/>
    <col min="15" max="15" width="10.88671875" style="773" customWidth="1"/>
    <col min="16" max="16" width="1.6640625" style="773" customWidth="1"/>
    <col min="17" max="17" width="13.5546875" style="773" bestFit="1" customWidth="1"/>
    <col min="18" max="18" width="1.6640625" style="773" customWidth="1"/>
    <col min="19" max="19" width="13.5546875" style="773" bestFit="1" customWidth="1"/>
    <col min="20" max="20" width="1.6640625" style="773" customWidth="1"/>
    <col min="21" max="21" width="11" style="773" customWidth="1"/>
    <col min="22" max="22" width="1.6640625" style="773" customWidth="1"/>
    <col min="23" max="23" width="10.88671875" style="773" customWidth="1"/>
    <col min="24" max="24" width="1.6640625" style="773" customWidth="1"/>
    <col min="25" max="25" width="10.88671875" style="773" customWidth="1"/>
    <col min="26" max="26" width="1.6640625" style="773" customWidth="1"/>
    <col min="27" max="27" width="14.21875" style="780" customWidth="1"/>
    <col min="28" max="28" width="3.6640625" style="773" customWidth="1"/>
    <col min="29" max="29" width="5.6640625" style="773" customWidth="1"/>
    <col min="30" max="30" width="10.33203125" style="773" customWidth="1"/>
    <col min="31" max="31" width="2.6640625" style="773" customWidth="1"/>
    <col min="32" max="16384" width="8.88671875" style="773"/>
  </cols>
  <sheetData>
    <row r="1" spans="1:29" ht="15">
      <c r="A1" s="1159" t="s">
        <v>1090</v>
      </c>
    </row>
    <row r="2" spans="1:29" ht="20.25">
      <c r="A2" s="770"/>
      <c r="B2" s="2322"/>
      <c r="C2" s="2322"/>
      <c r="D2" s="2322"/>
      <c r="E2" s="2322"/>
      <c r="F2" s="2322"/>
      <c r="G2" s="2322"/>
      <c r="H2" s="2322"/>
      <c r="I2" s="2322"/>
      <c r="J2" s="2322"/>
      <c r="K2" s="2322"/>
      <c r="L2" s="771"/>
      <c r="M2" s="771"/>
      <c r="N2" s="2322"/>
      <c r="O2" s="2322"/>
      <c r="P2" s="2322"/>
      <c r="Q2" s="2322"/>
      <c r="R2" s="2322"/>
      <c r="S2" s="2322"/>
      <c r="T2" s="2322"/>
      <c r="U2" s="2322"/>
      <c r="V2" s="2322"/>
      <c r="W2" s="2322"/>
      <c r="X2" s="2322"/>
      <c r="Y2" s="2322"/>
      <c r="Z2" s="2322"/>
      <c r="AA2" s="2323"/>
      <c r="AB2" s="2322"/>
      <c r="AC2" s="772"/>
    </row>
    <row r="3" spans="1:29" ht="15">
      <c r="A3"/>
      <c r="B3" s="1170"/>
      <c r="C3" s="1170"/>
      <c r="D3" s="1170"/>
      <c r="E3" s="1170"/>
      <c r="F3" s="1170"/>
      <c r="G3" s="1170"/>
      <c r="H3" s="1170"/>
      <c r="I3" s="1170"/>
      <c r="J3" s="1170"/>
      <c r="K3" s="1170"/>
      <c r="L3"/>
      <c r="M3" s="1170"/>
      <c r="N3" s="1170"/>
      <c r="O3" s="1170"/>
      <c r="P3" s="1170"/>
      <c r="Q3" s="1170"/>
      <c r="R3" s="1170"/>
      <c r="S3" s="1170"/>
      <c r="T3" s="1170"/>
      <c r="U3" s="1170"/>
      <c r="V3" s="1170"/>
      <c r="W3" s="1170"/>
      <c r="X3" s="1170"/>
      <c r="Y3" s="1170"/>
      <c r="Z3" s="1170"/>
      <c r="AA3" s="773"/>
      <c r="AB3" s="2322"/>
      <c r="AC3" s="772"/>
    </row>
    <row r="4" spans="1:29" ht="20.25">
      <c r="A4" s="1178" t="s">
        <v>0</v>
      </c>
      <c r="B4" s="1170"/>
      <c r="C4" s="1170"/>
      <c r="D4" s="1170"/>
      <c r="E4" s="1170"/>
      <c r="F4" s="1170"/>
      <c r="G4" s="1170"/>
      <c r="H4" s="1170"/>
      <c r="I4" s="1170"/>
      <c r="J4" s="1170"/>
      <c r="K4" s="1170"/>
      <c r="L4"/>
      <c r="M4" s="1170"/>
      <c r="N4" s="1170"/>
      <c r="O4" s="1170"/>
      <c r="P4" s="1170"/>
      <c r="Q4" s="1170"/>
      <c r="R4" s="1170"/>
      <c r="S4" s="1170"/>
      <c r="T4" s="1170"/>
      <c r="U4" s="1170"/>
      <c r="V4" s="1170"/>
      <c r="W4" s="1170"/>
      <c r="X4" s="1170"/>
      <c r="Y4" s="1170"/>
      <c r="Z4" s="1170"/>
      <c r="AA4" s="2324" t="s">
        <v>622</v>
      </c>
      <c r="AB4" s="2322"/>
      <c r="AC4" s="772"/>
    </row>
    <row r="5" spans="1:29" s="772" customFormat="1" ht="18">
      <c r="A5" s="1178" t="s">
        <v>635</v>
      </c>
      <c r="B5" s="1171"/>
      <c r="C5" s="1171"/>
      <c r="D5" s="1171"/>
      <c r="E5" s="1171"/>
      <c r="F5" s="1171"/>
      <c r="G5" s="1171"/>
      <c r="H5" s="1171"/>
      <c r="I5" s="1171"/>
      <c r="J5" s="1170"/>
      <c r="K5" s="1170"/>
      <c r="L5" s="1170"/>
      <c r="M5" s="1170"/>
      <c r="N5" s="1170"/>
      <c r="O5" s="1170"/>
      <c r="P5" s="1170"/>
      <c r="Q5" s="1170"/>
      <c r="R5" s="1170"/>
      <c r="S5" s="1170"/>
      <c r="T5" s="1170"/>
      <c r="U5" s="1170"/>
      <c r="V5" s="1170"/>
      <c r="W5" s="1170"/>
      <c r="X5" s="1170"/>
      <c r="Y5" s="1170"/>
      <c r="Z5" s="1170"/>
      <c r="AA5" s="1170"/>
      <c r="AB5" s="2322"/>
    </row>
    <row r="6" spans="1:29" s="772" customFormat="1" ht="18">
      <c r="A6" s="430" t="s">
        <v>1413</v>
      </c>
      <c r="B6" s="1171"/>
      <c r="C6" s="1171"/>
      <c r="D6" s="1171"/>
      <c r="E6" s="1171"/>
      <c r="F6" s="1171"/>
      <c r="G6" s="1171"/>
      <c r="H6" s="1171"/>
      <c r="I6" s="1171"/>
      <c r="J6" s="1170"/>
      <c r="K6" s="1170"/>
      <c r="L6" s="1170"/>
      <c r="M6" s="1170"/>
      <c r="N6" s="1170"/>
      <c r="O6" s="1170"/>
      <c r="P6" s="1170"/>
      <c r="Q6" s="1170"/>
      <c r="R6" s="1170"/>
      <c r="S6" s="1170"/>
      <c r="T6" s="1170"/>
      <c r="U6" s="1170"/>
      <c r="V6" s="1170"/>
      <c r="W6" s="1170"/>
      <c r="X6" s="1170"/>
      <c r="Y6" s="1170"/>
      <c r="Z6" s="1170"/>
      <c r="AA6" s="1170"/>
      <c r="AB6" s="2322"/>
    </row>
    <row r="7" spans="1:29" s="772" customFormat="1" ht="18">
      <c r="A7" s="1178" t="s">
        <v>983</v>
      </c>
      <c r="B7" s="1172"/>
      <c r="C7" s="1172"/>
      <c r="D7" s="1172"/>
      <c r="E7" s="1172"/>
      <c r="F7" s="1172"/>
      <c r="G7" s="1172"/>
      <c r="H7" s="1172"/>
      <c r="I7" s="1172"/>
      <c r="J7"/>
      <c r="K7"/>
      <c r="L7"/>
      <c r="M7"/>
      <c r="N7"/>
      <c r="O7"/>
      <c r="P7"/>
      <c r="Q7"/>
      <c r="R7" s="1170"/>
      <c r="S7" s="1170"/>
      <c r="T7" s="1170"/>
      <c r="U7" s="1170"/>
      <c r="V7" s="1170"/>
      <c r="W7" s="1170"/>
      <c r="X7" s="1170"/>
      <c r="Y7" s="1170"/>
      <c r="Z7" s="1170"/>
      <c r="AA7"/>
      <c r="AB7" s="2322"/>
    </row>
    <row r="8" spans="1:29" s="772" customFormat="1" ht="15.75">
      <c r="A8" s="1173"/>
      <c r="B8" s="1172"/>
      <c r="C8" s="1487"/>
      <c r="D8" s="1487"/>
      <c r="E8" s="1487"/>
      <c r="F8" s="1487"/>
      <c r="G8" s="1487"/>
      <c r="H8" s="1487"/>
      <c r="I8" s="1487"/>
      <c r="J8" s="1238"/>
      <c r="K8" s="1238"/>
      <c r="L8" s="1238"/>
      <c r="M8" s="1238"/>
      <c r="N8" s="1238"/>
      <c r="O8" s="1238"/>
      <c r="P8" s="1238"/>
      <c r="Q8" s="1238"/>
      <c r="R8" s="1238"/>
      <c r="S8" s="1238"/>
      <c r="T8" s="1238"/>
      <c r="U8" s="1238"/>
      <c r="V8" s="1238"/>
      <c r="W8" s="1238"/>
      <c r="X8" s="1238"/>
      <c r="Y8" s="1238"/>
      <c r="Z8" s="1238"/>
      <c r="AA8" s="1238"/>
      <c r="AB8" s="2322"/>
    </row>
    <row r="9" spans="1:29" s="772" customFormat="1" ht="15.75">
      <c r="A9" s="1170"/>
      <c r="B9" s="1170"/>
      <c r="C9" s="1238"/>
      <c r="D9" s="1238"/>
      <c r="E9" s="1238"/>
      <c r="F9" s="1238"/>
      <c r="G9" s="1238"/>
      <c r="H9" s="1238"/>
      <c r="I9" s="1238"/>
      <c r="J9" s="1238"/>
      <c r="K9" s="1238"/>
      <c r="L9" s="1238"/>
      <c r="M9" s="1238"/>
      <c r="N9" s="1238"/>
      <c r="O9" s="1238"/>
      <c r="P9" s="1238"/>
      <c r="Q9" s="1238"/>
      <c r="R9" s="1238"/>
      <c r="S9" s="1238"/>
      <c r="T9" s="1238"/>
      <c r="U9" s="1238"/>
      <c r="V9" s="1238"/>
      <c r="W9" s="1238"/>
      <c r="X9" s="1238"/>
      <c r="Y9" s="1238"/>
      <c r="Z9" s="1238"/>
      <c r="AA9" s="1238"/>
      <c r="AB9" s="2322"/>
    </row>
    <row r="10" spans="1:29" s="772" customFormat="1" ht="18">
      <c r="A10" s="1170"/>
      <c r="B10" s="1237"/>
      <c r="C10" s="1488">
        <v>2016</v>
      </c>
      <c r="D10" s="1488">
        <v>2016</v>
      </c>
      <c r="E10" s="1488">
        <v>2016</v>
      </c>
      <c r="F10" s="1488">
        <v>2016</v>
      </c>
      <c r="G10" s="1488">
        <v>2016</v>
      </c>
      <c r="H10" s="1488">
        <v>2016</v>
      </c>
      <c r="I10" s="1488">
        <v>2016</v>
      </c>
      <c r="J10" s="1488">
        <v>2016</v>
      </c>
      <c r="K10" s="1488">
        <v>2016</v>
      </c>
      <c r="L10" s="1488">
        <v>2016</v>
      </c>
      <c r="M10" s="1488">
        <v>2016</v>
      </c>
      <c r="N10" s="1488">
        <v>2016</v>
      </c>
      <c r="O10" s="1488">
        <v>2016</v>
      </c>
      <c r="P10" s="1488">
        <v>2016</v>
      </c>
      <c r="Q10" s="1488">
        <v>2016</v>
      </c>
      <c r="R10" s="1488">
        <v>2016</v>
      </c>
      <c r="S10" s="1488">
        <v>2016</v>
      </c>
      <c r="T10" s="1488"/>
      <c r="U10" s="1488">
        <v>2017</v>
      </c>
      <c r="V10" s="1488"/>
      <c r="W10" s="1488">
        <v>2017</v>
      </c>
      <c r="X10" s="1488"/>
      <c r="Y10" s="1488">
        <v>2017</v>
      </c>
      <c r="Z10" s="1178"/>
      <c r="AA10" s="1489" t="s">
        <v>1437</v>
      </c>
      <c r="AB10" s="2325"/>
    </row>
    <row r="11" spans="1:29" s="772" customFormat="1" ht="18">
      <c r="A11" s="1170"/>
      <c r="B11" s="1237"/>
      <c r="C11" s="1490" t="s">
        <v>128</v>
      </c>
      <c r="D11" s="1489"/>
      <c r="E11" s="1490" t="s">
        <v>129</v>
      </c>
      <c r="F11" s="1489"/>
      <c r="G11" s="1490" t="s">
        <v>130</v>
      </c>
      <c r="H11" s="1489"/>
      <c r="I11" s="1490" t="s">
        <v>131</v>
      </c>
      <c r="J11" s="1489"/>
      <c r="K11" s="1490" t="s">
        <v>132</v>
      </c>
      <c r="L11" s="1489"/>
      <c r="M11" s="1490" t="s">
        <v>147</v>
      </c>
      <c r="N11" s="1489"/>
      <c r="O11" s="1490" t="s">
        <v>148</v>
      </c>
      <c r="P11" s="1489"/>
      <c r="Q11" s="1490" t="s">
        <v>135</v>
      </c>
      <c r="R11" s="1489"/>
      <c r="S11" s="1490" t="s">
        <v>136</v>
      </c>
      <c r="T11" s="1489"/>
      <c r="U11" s="1490" t="s">
        <v>137</v>
      </c>
      <c r="V11" s="1489"/>
      <c r="W11" s="1490" t="s">
        <v>138</v>
      </c>
      <c r="X11" s="1489"/>
      <c r="Y11" s="1490" t="s">
        <v>191</v>
      </c>
      <c r="Z11" s="1178"/>
      <c r="AA11" s="1490" t="s">
        <v>636</v>
      </c>
      <c r="AB11" s="2322"/>
    </row>
    <row r="12" spans="1:29" s="772" customFormat="1" ht="18">
      <c r="A12"/>
      <c r="B12" s="1237"/>
      <c r="C12" s="1237"/>
      <c r="D12" s="1237"/>
      <c r="E12" s="1237"/>
      <c r="F12" s="1237"/>
      <c r="G12" s="1237"/>
      <c r="H12" s="1237"/>
      <c r="I12" s="1237"/>
      <c r="J12" s="1237"/>
      <c r="K12" s="1237"/>
      <c r="L12" s="1237"/>
      <c r="M12" s="1237"/>
      <c r="N12" s="1237"/>
      <c r="O12" s="1237"/>
      <c r="P12" s="1237"/>
      <c r="Q12" s="1237"/>
      <c r="R12" s="1237"/>
      <c r="S12" s="1237"/>
      <c r="T12" s="1237"/>
      <c r="U12" s="1237"/>
      <c r="V12" s="1237"/>
      <c r="W12" s="1237"/>
      <c r="X12" s="1237"/>
      <c r="Y12" s="1237"/>
      <c r="Z12" s="1237"/>
      <c r="AA12" s="1237"/>
      <c r="AB12" s="2326"/>
      <c r="AC12" s="2327"/>
    </row>
    <row r="13" spans="1:29" s="775" customFormat="1" ht="18">
      <c r="A13" s="1238" t="s">
        <v>637</v>
      </c>
      <c r="B13" s="1237"/>
      <c r="C13" s="1237"/>
      <c r="D13" s="1237"/>
      <c r="E13" s="1237"/>
      <c r="F13" s="1237"/>
      <c r="G13" s="1237"/>
      <c r="H13" s="1237"/>
      <c r="I13" s="1237"/>
      <c r="J13" s="1237"/>
      <c r="K13" s="1237"/>
      <c r="L13" s="1237"/>
      <c r="M13" s="1237"/>
      <c r="N13" s="1237"/>
      <c r="O13" s="1237"/>
      <c r="P13" s="1237"/>
      <c r="Q13" s="1237"/>
      <c r="R13" s="1237"/>
      <c r="S13" s="1237"/>
      <c r="T13" s="1237"/>
      <c r="U13" s="1237"/>
      <c r="V13" s="1237"/>
      <c r="W13" s="1237"/>
      <c r="X13" s="1237"/>
      <c r="Y13" s="1237"/>
      <c r="Z13" s="1237"/>
      <c r="AA13" s="1237"/>
      <c r="AB13" s="2326"/>
      <c r="AC13" s="774"/>
    </row>
    <row r="14" spans="1:29" s="775" customFormat="1" ht="18">
      <c r="A14" s="1170" t="s">
        <v>638</v>
      </c>
      <c r="B14" s="1237"/>
      <c r="C14" s="1541">
        <v>0</v>
      </c>
      <c r="D14" s="1541"/>
      <c r="E14" s="1541">
        <v>0</v>
      </c>
      <c r="F14" s="1541"/>
      <c r="G14" s="1542">
        <v>0</v>
      </c>
      <c r="H14" s="1541"/>
      <c r="I14" s="1542">
        <v>0</v>
      </c>
      <c r="J14" s="1543"/>
      <c r="K14" s="1542">
        <v>1</v>
      </c>
      <c r="L14" s="1541"/>
      <c r="M14" s="1542">
        <v>0</v>
      </c>
      <c r="N14" s="1543"/>
      <c r="O14" s="1542">
        <v>13</v>
      </c>
      <c r="P14" s="1543"/>
      <c r="Q14" s="1542">
        <v>0</v>
      </c>
      <c r="R14" s="1543"/>
      <c r="S14" s="1542">
        <v>0</v>
      </c>
      <c r="T14" s="1543"/>
      <c r="U14" s="1542"/>
      <c r="V14" s="1543"/>
      <c r="W14" s="1542"/>
      <c r="X14" s="1543"/>
      <c r="Y14" s="1542"/>
      <c r="Z14" s="1237"/>
      <c r="AA14" s="1555">
        <f>ROUND(SUM(C14:Z14),0)</f>
        <v>14</v>
      </c>
      <c r="AB14" s="2326"/>
      <c r="AC14" s="774"/>
    </row>
    <row r="15" spans="1:29" s="775" customFormat="1" ht="18">
      <c r="A15" s="1170" t="s">
        <v>639</v>
      </c>
      <c r="B15" s="1237"/>
      <c r="C15" s="1544">
        <v>1748</v>
      </c>
      <c r="D15" s="1545"/>
      <c r="E15" s="1545">
        <v>4817</v>
      </c>
      <c r="F15" s="1545"/>
      <c r="G15" s="1544">
        <v>5133</v>
      </c>
      <c r="H15" s="1545"/>
      <c r="I15" s="1544">
        <v>1356</v>
      </c>
      <c r="J15" s="1546"/>
      <c r="K15" s="1544">
        <v>106</v>
      </c>
      <c r="L15" s="1545"/>
      <c r="M15" s="1544">
        <v>0</v>
      </c>
      <c r="N15" s="1546"/>
      <c r="O15" s="1544">
        <v>161</v>
      </c>
      <c r="P15" s="1546"/>
      <c r="Q15" s="1547">
        <v>0</v>
      </c>
      <c r="R15" s="1546"/>
      <c r="S15" s="1547">
        <v>125</v>
      </c>
      <c r="T15" s="1546"/>
      <c r="U15" s="1547"/>
      <c r="V15" s="1546"/>
      <c r="W15" s="1547"/>
      <c r="X15" s="1546"/>
      <c r="Y15" s="1547"/>
      <c r="Z15" s="1237"/>
      <c r="AA15" s="1554">
        <f t="shared" ref="AA15:AA29" si="0">ROUND(SUM(C15:Z15),0)</f>
        <v>13446</v>
      </c>
      <c r="AB15" s="2326"/>
      <c r="AC15" s="774"/>
    </row>
    <row r="16" spans="1:29" s="775" customFormat="1" ht="18">
      <c r="A16" s="1170" t="s">
        <v>640</v>
      </c>
      <c r="B16" s="1237"/>
      <c r="C16" s="1544">
        <v>0</v>
      </c>
      <c r="D16" s="1545"/>
      <c r="E16" s="1545">
        <v>2</v>
      </c>
      <c r="F16" s="1545"/>
      <c r="G16" s="1544">
        <v>38</v>
      </c>
      <c r="H16" s="1545"/>
      <c r="I16" s="1544">
        <v>0</v>
      </c>
      <c r="J16" s="1546"/>
      <c r="K16" s="1544">
        <v>14</v>
      </c>
      <c r="L16" s="1545"/>
      <c r="M16" s="1544">
        <v>0</v>
      </c>
      <c r="N16" s="1546"/>
      <c r="O16" s="1544">
        <v>120</v>
      </c>
      <c r="P16" s="1546"/>
      <c r="Q16" s="1547">
        <v>42</v>
      </c>
      <c r="R16" s="1546"/>
      <c r="S16" s="1547">
        <v>69</v>
      </c>
      <c r="T16" s="1546"/>
      <c r="U16" s="1547"/>
      <c r="V16" s="1546"/>
      <c r="W16" s="1547"/>
      <c r="X16" s="1546"/>
      <c r="Y16" s="1547"/>
      <c r="Z16" s="1237"/>
      <c r="AA16" s="1554">
        <f t="shared" si="0"/>
        <v>285</v>
      </c>
      <c r="AB16" s="2328"/>
      <c r="AC16" s="774"/>
    </row>
    <row r="17" spans="1:29" s="775" customFormat="1" ht="18">
      <c r="A17" s="1170" t="s">
        <v>1128</v>
      </c>
      <c r="B17" s="1237"/>
      <c r="C17" s="1548">
        <v>1084</v>
      </c>
      <c r="D17" s="1545"/>
      <c r="E17" s="1547">
        <v>0</v>
      </c>
      <c r="F17" s="1545"/>
      <c r="G17" s="1544">
        <v>0</v>
      </c>
      <c r="H17" s="1545"/>
      <c r="I17" s="1544">
        <v>0</v>
      </c>
      <c r="J17" s="1546"/>
      <c r="K17" s="1544">
        <v>90</v>
      </c>
      <c r="L17" s="1545"/>
      <c r="M17" s="1544">
        <v>87</v>
      </c>
      <c r="N17" s="1546"/>
      <c r="O17" s="1547">
        <v>0</v>
      </c>
      <c r="P17" s="1546"/>
      <c r="Q17" s="1547">
        <v>0</v>
      </c>
      <c r="R17" s="1546"/>
      <c r="S17" s="1547">
        <v>0</v>
      </c>
      <c r="T17" s="1546"/>
      <c r="U17" s="1547"/>
      <c r="V17" s="1546"/>
      <c r="W17" s="1547"/>
      <c r="X17" s="1546"/>
      <c r="Y17" s="1547"/>
      <c r="Z17" s="1237"/>
      <c r="AA17" s="1554">
        <f t="shared" si="0"/>
        <v>1261</v>
      </c>
      <c r="AB17" s="2328"/>
      <c r="AC17" s="774"/>
    </row>
    <row r="18" spans="1:29" s="775" customFormat="1" ht="18">
      <c r="A18" s="1170" t="s">
        <v>641</v>
      </c>
      <c r="B18" s="1237"/>
      <c r="C18" s="1545"/>
      <c r="D18" s="1545"/>
      <c r="E18" s="1549"/>
      <c r="F18" s="1545"/>
      <c r="G18" s="1550"/>
      <c r="H18" s="1545"/>
      <c r="I18" s="1550"/>
      <c r="J18" s="1546"/>
      <c r="K18" s="1550"/>
      <c r="L18" s="1545"/>
      <c r="M18" s="1550"/>
      <c r="N18" s="1546"/>
      <c r="O18" s="1550"/>
      <c r="P18" s="1546"/>
      <c r="Q18" s="1549"/>
      <c r="R18" s="1546"/>
      <c r="S18" s="1549"/>
      <c r="T18" s="1546"/>
      <c r="U18" s="1549"/>
      <c r="V18" s="1546"/>
      <c r="W18" s="1549"/>
      <c r="X18" s="1546"/>
      <c r="Y18" s="1549"/>
      <c r="Z18" s="1237"/>
      <c r="AA18" s="1554"/>
      <c r="AB18" s="2328"/>
      <c r="AC18" s="774"/>
    </row>
    <row r="19" spans="1:29" s="775" customFormat="1" ht="18">
      <c r="A19" s="1170" t="s">
        <v>1137</v>
      </c>
      <c r="B19" s="1237"/>
      <c r="C19" s="1544">
        <v>165</v>
      </c>
      <c r="D19" s="1545"/>
      <c r="E19" s="1545">
        <v>712</v>
      </c>
      <c r="F19" s="1545"/>
      <c r="G19" s="1544">
        <v>302</v>
      </c>
      <c r="H19" s="1545"/>
      <c r="I19" s="1544">
        <v>61</v>
      </c>
      <c r="J19" s="1546"/>
      <c r="K19" s="1544">
        <v>520</v>
      </c>
      <c r="L19" s="1545"/>
      <c r="M19" s="1544">
        <v>357</v>
      </c>
      <c r="N19" s="1546"/>
      <c r="O19" s="1544">
        <v>2259</v>
      </c>
      <c r="P19" s="1546"/>
      <c r="Q19" s="1547">
        <v>454</v>
      </c>
      <c r="R19" s="1546"/>
      <c r="S19" s="1547">
        <v>475</v>
      </c>
      <c r="T19" s="1546"/>
      <c r="U19" s="1547"/>
      <c r="V19" s="1546"/>
      <c r="W19" s="1547"/>
      <c r="X19" s="1546"/>
      <c r="Y19" s="1547"/>
      <c r="Z19" s="1237"/>
      <c r="AA19" s="1554">
        <f t="shared" si="0"/>
        <v>5305</v>
      </c>
      <c r="AB19" s="2328"/>
      <c r="AC19" s="774"/>
    </row>
    <row r="20" spans="1:29" s="775" customFormat="1" ht="18">
      <c r="A20" s="1170" t="s">
        <v>642</v>
      </c>
      <c r="B20" s="1237"/>
      <c r="C20" s="1544">
        <v>0</v>
      </c>
      <c r="D20" s="1545"/>
      <c r="E20" s="1545">
        <v>0</v>
      </c>
      <c r="F20" s="1545"/>
      <c r="G20" s="1547">
        <v>0</v>
      </c>
      <c r="H20" s="1545"/>
      <c r="I20" s="1547">
        <v>0</v>
      </c>
      <c r="J20" s="1546"/>
      <c r="K20" s="1547">
        <v>0</v>
      </c>
      <c r="L20" s="1545"/>
      <c r="M20" s="1547">
        <v>0</v>
      </c>
      <c r="N20" s="1546"/>
      <c r="O20" s="1547">
        <v>0</v>
      </c>
      <c r="P20" s="1546"/>
      <c r="Q20" s="1547">
        <v>0</v>
      </c>
      <c r="R20" s="1546"/>
      <c r="S20" s="1547">
        <v>0</v>
      </c>
      <c r="T20" s="1546"/>
      <c r="U20" s="1547"/>
      <c r="V20" s="1546"/>
      <c r="W20" s="1547"/>
      <c r="X20" s="1546"/>
      <c r="Y20" s="1547"/>
      <c r="Z20" s="1237"/>
      <c r="AA20" s="1554">
        <f t="shared" si="0"/>
        <v>0</v>
      </c>
      <c r="AB20" s="2328"/>
      <c r="AC20" s="774"/>
    </row>
    <row r="21" spans="1:29" s="775" customFormat="1" ht="18">
      <c r="A21" s="1170" t="s">
        <v>643</v>
      </c>
      <c r="B21" s="1237"/>
      <c r="C21" s="1544">
        <v>0</v>
      </c>
      <c r="D21" s="1545"/>
      <c r="E21" s="1545">
        <v>0</v>
      </c>
      <c r="F21" s="1545"/>
      <c r="G21" s="1547">
        <v>0</v>
      </c>
      <c r="H21" s="1545"/>
      <c r="I21" s="1544">
        <v>0</v>
      </c>
      <c r="J21" s="1546"/>
      <c r="K21" s="1547">
        <v>0</v>
      </c>
      <c r="L21" s="1545"/>
      <c r="M21" s="1547">
        <v>0</v>
      </c>
      <c r="N21" s="1546"/>
      <c r="O21" s="1547">
        <v>0</v>
      </c>
      <c r="P21" s="1546"/>
      <c r="Q21" s="1547">
        <v>0</v>
      </c>
      <c r="R21" s="1546"/>
      <c r="S21" s="1547">
        <v>0</v>
      </c>
      <c r="T21" s="1546"/>
      <c r="U21" s="1547"/>
      <c r="V21" s="1546"/>
      <c r="W21" s="1547"/>
      <c r="X21" s="1546"/>
      <c r="Y21" s="1547"/>
      <c r="Z21" s="1237"/>
      <c r="AA21" s="1554">
        <f t="shared" si="0"/>
        <v>0</v>
      </c>
      <c r="AB21" s="2328"/>
      <c r="AC21" s="774"/>
    </row>
    <row r="22" spans="1:29" s="775" customFormat="1" ht="18">
      <c r="A22" s="1170" t="s">
        <v>644</v>
      </c>
      <c r="B22" s="1237"/>
      <c r="C22" s="1544">
        <v>17760</v>
      </c>
      <c r="D22" s="1545"/>
      <c r="E22" s="1545">
        <v>36784</v>
      </c>
      <c r="F22" s="1545"/>
      <c r="G22" s="1544">
        <v>15736</v>
      </c>
      <c r="H22" s="1545"/>
      <c r="I22" s="1544">
        <v>16679</v>
      </c>
      <c r="J22" s="1546"/>
      <c r="K22" s="1544">
        <v>38084</v>
      </c>
      <c r="L22" s="1545"/>
      <c r="M22" s="1544">
        <v>21416</v>
      </c>
      <c r="N22" s="1546"/>
      <c r="O22" s="1544">
        <v>19280</v>
      </c>
      <c r="P22" s="1546"/>
      <c r="Q22" s="1547">
        <v>17311</v>
      </c>
      <c r="R22" s="1546"/>
      <c r="S22" s="1547">
        <v>27889</v>
      </c>
      <c r="T22" s="1546"/>
      <c r="U22" s="1547"/>
      <c r="V22" s="1546"/>
      <c r="W22" s="1547"/>
      <c r="X22" s="1546"/>
      <c r="Y22" s="1547"/>
      <c r="Z22" s="1237"/>
      <c r="AA22" s="1554">
        <f t="shared" si="0"/>
        <v>210939</v>
      </c>
      <c r="AB22" s="2328"/>
      <c r="AC22" s="774"/>
    </row>
    <row r="23" spans="1:29" s="775" customFormat="1" ht="18">
      <c r="A23" s="1170" t="s">
        <v>645</v>
      </c>
      <c r="B23" s="1237"/>
      <c r="C23" s="1544">
        <v>995</v>
      </c>
      <c r="D23" s="1545"/>
      <c r="E23" s="1545">
        <v>3479</v>
      </c>
      <c r="F23" s="1545"/>
      <c r="G23" s="1544">
        <v>3603</v>
      </c>
      <c r="H23" s="1545"/>
      <c r="I23" s="1544">
        <v>1042</v>
      </c>
      <c r="J23" s="1546"/>
      <c r="K23" s="1544">
        <v>7491</v>
      </c>
      <c r="L23" s="1545"/>
      <c r="M23" s="1544">
        <v>3435</v>
      </c>
      <c r="N23" s="1546"/>
      <c r="O23" s="1544">
        <v>3368</v>
      </c>
      <c r="P23" s="1546"/>
      <c r="Q23" s="1547">
        <v>3355</v>
      </c>
      <c r="R23" s="1546"/>
      <c r="S23" s="1547">
        <v>8191</v>
      </c>
      <c r="T23" s="1546"/>
      <c r="U23" s="1547"/>
      <c r="V23" s="1546"/>
      <c r="W23" s="1547"/>
      <c r="X23" s="1546"/>
      <c r="Y23" s="1547"/>
      <c r="Z23" s="1237"/>
      <c r="AA23" s="1554">
        <f t="shared" si="0"/>
        <v>34959</v>
      </c>
      <c r="AB23" s="2328"/>
      <c r="AC23" s="774"/>
    </row>
    <row r="24" spans="1:29" s="775" customFormat="1" ht="18">
      <c r="A24" s="1170" t="s">
        <v>646</v>
      </c>
      <c r="B24" s="1237"/>
      <c r="C24" s="1550">
        <v>64</v>
      </c>
      <c r="D24" s="1545"/>
      <c r="E24" s="1545">
        <v>157</v>
      </c>
      <c r="F24" s="1545"/>
      <c r="G24" s="1544">
        <v>10</v>
      </c>
      <c r="H24" s="1545"/>
      <c r="I24" s="1544">
        <v>0</v>
      </c>
      <c r="J24" s="1546"/>
      <c r="K24" s="1544">
        <v>0</v>
      </c>
      <c r="L24" s="1545"/>
      <c r="M24" s="1544">
        <v>0</v>
      </c>
      <c r="N24" s="1546"/>
      <c r="O24" s="1544">
        <v>0</v>
      </c>
      <c r="P24" s="1546"/>
      <c r="Q24" s="1547">
        <v>-1</v>
      </c>
      <c r="R24" s="1546"/>
      <c r="S24" s="1547">
        <v>0</v>
      </c>
      <c r="T24" s="1546"/>
      <c r="U24" s="1547"/>
      <c r="V24" s="1546"/>
      <c r="W24" s="1547"/>
      <c r="X24" s="1546"/>
      <c r="Y24" s="1547"/>
      <c r="Z24" s="1237"/>
      <c r="AA24" s="1554">
        <f t="shared" si="0"/>
        <v>230</v>
      </c>
      <c r="AB24" s="2328"/>
      <c r="AC24" s="774"/>
    </row>
    <row r="25" spans="1:29" s="775" customFormat="1" ht="18">
      <c r="A25" s="1170" t="s">
        <v>647</v>
      </c>
      <c r="B25" s="1237"/>
      <c r="C25" s="1545">
        <v>1123</v>
      </c>
      <c r="D25" s="1545"/>
      <c r="E25" s="1545">
        <v>9803</v>
      </c>
      <c r="F25" s="1545"/>
      <c r="G25" s="1544">
        <v>9367</v>
      </c>
      <c r="H25" s="1545"/>
      <c r="I25" s="1544">
        <v>3550</v>
      </c>
      <c r="J25" s="1546"/>
      <c r="K25" s="1544">
        <v>4066</v>
      </c>
      <c r="L25" s="1545"/>
      <c r="M25" s="1544">
        <v>3529</v>
      </c>
      <c r="N25" s="1546"/>
      <c r="O25" s="1544">
        <v>12623</v>
      </c>
      <c r="P25" s="1546"/>
      <c r="Q25" s="1547">
        <v>6201</v>
      </c>
      <c r="R25" s="1546"/>
      <c r="S25" s="1547">
        <v>10433</v>
      </c>
      <c r="T25" s="1546"/>
      <c r="U25" s="1547"/>
      <c r="V25" s="1546"/>
      <c r="W25" s="1547"/>
      <c r="X25" s="1546"/>
      <c r="Y25" s="1547"/>
      <c r="Z25" s="1237"/>
      <c r="AA25" s="1554">
        <f t="shared" si="0"/>
        <v>60695</v>
      </c>
      <c r="AB25" s="2328"/>
      <c r="AC25" s="774"/>
    </row>
    <row r="26" spans="1:29" s="775" customFormat="1" ht="18">
      <c r="A26" s="1170" t="s">
        <v>648</v>
      </c>
      <c r="B26" s="1237"/>
      <c r="C26" s="1544">
        <v>4050</v>
      </c>
      <c r="D26" s="1545"/>
      <c r="E26" s="1545">
        <v>7079</v>
      </c>
      <c r="F26" s="1545"/>
      <c r="G26" s="1544">
        <v>5820</v>
      </c>
      <c r="H26" s="1545"/>
      <c r="I26" s="1544">
        <v>1738</v>
      </c>
      <c r="J26" s="1546"/>
      <c r="K26" s="1544">
        <v>9595</v>
      </c>
      <c r="L26" s="1545"/>
      <c r="M26" s="1544">
        <v>4804</v>
      </c>
      <c r="N26" s="1546"/>
      <c r="O26" s="1544">
        <v>6266</v>
      </c>
      <c r="P26" s="1546"/>
      <c r="Q26" s="1547">
        <v>5451</v>
      </c>
      <c r="R26" s="1546"/>
      <c r="S26" s="1547">
        <v>11684</v>
      </c>
      <c r="T26" s="1546"/>
      <c r="U26" s="1547"/>
      <c r="V26" s="1546"/>
      <c r="W26" s="1547"/>
      <c r="X26" s="1546"/>
      <c r="Y26" s="1547"/>
      <c r="Z26" s="1237"/>
      <c r="AA26" s="1554">
        <f t="shared" si="0"/>
        <v>56487</v>
      </c>
      <c r="AB26" s="2328"/>
      <c r="AC26" s="774"/>
    </row>
    <row r="27" spans="1:29" s="775" customFormat="1" ht="18">
      <c r="A27" s="1170" t="s">
        <v>649</v>
      </c>
      <c r="B27" s="1237"/>
      <c r="C27" s="1550">
        <v>404</v>
      </c>
      <c r="D27" s="1545"/>
      <c r="E27" s="1545">
        <v>1628</v>
      </c>
      <c r="F27" s="1545"/>
      <c r="G27" s="1544">
        <v>1543</v>
      </c>
      <c r="H27" s="1545"/>
      <c r="I27" s="1544">
        <v>144</v>
      </c>
      <c r="J27" s="1546"/>
      <c r="K27" s="1544">
        <v>1812</v>
      </c>
      <c r="L27" s="1545"/>
      <c r="M27" s="1544">
        <v>737</v>
      </c>
      <c r="N27" s="1546"/>
      <c r="O27" s="1544">
        <v>624</v>
      </c>
      <c r="P27" s="1546"/>
      <c r="Q27" s="1547">
        <v>1338</v>
      </c>
      <c r="R27" s="1546"/>
      <c r="S27" s="1547">
        <v>1657</v>
      </c>
      <c r="T27" s="1546"/>
      <c r="U27" s="1547"/>
      <c r="V27" s="1546"/>
      <c r="W27" s="1547"/>
      <c r="X27" s="1546"/>
      <c r="Y27" s="1547"/>
      <c r="Z27" s="1237"/>
      <c r="AA27" s="1554">
        <f t="shared" si="0"/>
        <v>9887</v>
      </c>
      <c r="AB27" s="2328"/>
      <c r="AC27" s="774"/>
    </row>
    <row r="28" spans="1:29" s="775" customFormat="1" ht="18">
      <c r="A28" s="1170" t="s">
        <v>994</v>
      </c>
      <c r="B28" s="1237"/>
      <c r="C28" s="1548">
        <v>158</v>
      </c>
      <c r="D28" s="1545"/>
      <c r="E28" s="1548">
        <v>843</v>
      </c>
      <c r="F28" s="1545"/>
      <c r="G28" s="1544">
        <v>278</v>
      </c>
      <c r="H28" s="1545"/>
      <c r="I28" s="1544">
        <v>44</v>
      </c>
      <c r="J28" s="1546"/>
      <c r="K28" s="1544">
        <v>278</v>
      </c>
      <c r="L28" s="1545"/>
      <c r="M28" s="1544">
        <v>40</v>
      </c>
      <c r="N28" s="1546"/>
      <c r="O28" s="1544">
        <v>81</v>
      </c>
      <c r="P28" s="1546"/>
      <c r="Q28" s="1547">
        <v>448</v>
      </c>
      <c r="R28" s="1546"/>
      <c r="S28" s="1547">
        <v>502</v>
      </c>
      <c r="T28" s="1546"/>
      <c r="U28" s="1547"/>
      <c r="V28" s="1546"/>
      <c r="W28" s="1547"/>
      <c r="X28" s="1546"/>
      <c r="Y28" s="1547"/>
      <c r="Z28" s="1237"/>
      <c r="AA28" s="2728">
        <f>ROUND(SUM(C28:Z28),0)</f>
        <v>2672</v>
      </c>
      <c r="AB28" s="2328"/>
      <c r="AC28" s="774"/>
    </row>
    <row r="29" spans="1:29" s="775" customFormat="1" ht="18">
      <c r="A29" s="1170" t="s">
        <v>650</v>
      </c>
      <c r="B29" s="1237"/>
      <c r="C29" s="1545">
        <v>219</v>
      </c>
      <c r="D29" s="1545"/>
      <c r="E29" s="1545">
        <v>925</v>
      </c>
      <c r="F29" s="1545"/>
      <c r="G29" s="1551">
        <v>1570</v>
      </c>
      <c r="H29" s="1545"/>
      <c r="I29" s="1551">
        <v>879</v>
      </c>
      <c r="J29" s="1546"/>
      <c r="K29" s="1551">
        <v>2113</v>
      </c>
      <c r="L29" s="1545"/>
      <c r="M29" s="1551">
        <v>1589</v>
      </c>
      <c r="N29" s="1546"/>
      <c r="O29" s="1551">
        <v>1163</v>
      </c>
      <c r="P29" s="1546"/>
      <c r="Q29" s="1552">
        <v>2089</v>
      </c>
      <c r="R29" s="1546"/>
      <c r="S29" s="1552">
        <v>167</v>
      </c>
      <c r="T29" s="1546"/>
      <c r="U29" s="1552"/>
      <c r="V29" s="1546"/>
      <c r="W29" s="1552"/>
      <c r="X29" s="1546"/>
      <c r="Y29" s="1552"/>
      <c r="Z29" s="1237"/>
      <c r="AA29" s="1554">
        <f t="shared" si="0"/>
        <v>10714</v>
      </c>
      <c r="AB29" s="2328"/>
      <c r="AC29" s="774"/>
    </row>
    <row r="30" spans="1:29" s="775" customFormat="1" ht="18">
      <c r="A30" s="1238" t="s">
        <v>993</v>
      </c>
      <c r="B30" s="1237"/>
      <c r="C30" s="1556">
        <f>ROUND(SUM(C14:C29),0)</f>
        <v>27770</v>
      </c>
      <c r="D30" s="1170"/>
      <c r="E30" s="1556">
        <f>ROUND(SUM(E14:E29),0)</f>
        <v>66229</v>
      </c>
      <c r="F30" s="1170"/>
      <c r="G30" s="1556">
        <f>ROUND(SUM(G14:G29),0)</f>
        <v>43400</v>
      </c>
      <c r="H30" s="1170"/>
      <c r="I30" s="1556">
        <f>ROUND(SUM(I14:I29),0)</f>
        <v>25493</v>
      </c>
      <c r="J30" s="1170"/>
      <c r="K30" s="1556">
        <f>ROUND(SUM(K14:K29),0)</f>
        <v>64170</v>
      </c>
      <c r="L30" s="1170"/>
      <c r="M30" s="1556">
        <f>ROUND(SUM(M14:M29),0)</f>
        <v>35994</v>
      </c>
      <c r="N30" s="1170"/>
      <c r="O30" s="1556">
        <f>ROUND(SUM(O14:O29),0)</f>
        <v>45958</v>
      </c>
      <c r="P30" s="1170"/>
      <c r="Q30" s="1556">
        <f>ROUND(SUM(Q14:Q29),0)</f>
        <v>36688</v>
      </c>
      <c r="R30" s="1170"/>
      <c r="S30" s="1556">
        <f>ROUND(SUM(S14:S29),0)</f>
        <v>61192</v>
      </c>
      <c r="T30" s="1170"/>
      <c r="U30" s="1556">
        <f>ROUND(SUM(U14:U29),0)</f>
        <v>0</v>
      </c>
      <c r="V30" s="1170"/>
      <c r="W30" s="1556">
        <f>ROUND(SUM(W14:W29),0)</f>
        <v>0</v>
      </c>
      <c r="X30" s="1170"/>
      <c r="Y30" s="1556">
        <f>ROUND(SUM(Y14:Y29),0)</f>
        <v>0</v>
      </c>
      <c r="Z30" s="1170"/>
      <c r="AA30" s="1556">
        <f>ROUND(SUM(AA14:AA29),0)</f>
        <v>406894</v>
      </c>
      <c r="AB30" s="2328"/>
      <c r="AC30" s="774"/>
    </row>
    <row r="31" spans="1:29" s="775" customFormat="1" ht="18">
      <c r="A31"/>
      <c r="B31" s="1237"/>
      <c r="C31" s="1237"/>
      <c r="D31" s="1237"/>
      <c r="E31" s="1237"/>
      <c r="F31" s="1237"/>
      <c r="G31" s="1237"/>
      <c r="H31" s="1237"/>
      <c r="I31" s="1237"/>
      <c r="J31" s="1237"/>
      <c r="K31" s="1237"/>
      <c r="L31" s="1237"/>
      <c r="M31" s="1237"/>
      <c r="N31" s="1237"/>
      <c r="O31" s="1237"/>
      <c r="P31" s="1237"/>
      <c r="Q31" s="1237"/>
      <c r="R31" s="1237"/>
      <c r="S31" s="1237"/>
      <c r="T31" s="1237"/>
      <c r="U31" s="1237"/>
      <c r="V31" s="1237"/>
      <c r="W31" s="1237"/>
      <c r="X31" s="1237"/>
      <c r="Y31" s="1237"/>
      <c r="Z31" s="1237"/>
      <c r="AA31" s="1170"/>
      <c r="AB31" s="2328"/>
      <c r="AC31" s="774"/>
    </row>
    <row r="32" spans="1:29" s="775" customFormat="1" ht="18">
      <c r="A32" s="1170"/>
      <c r="B32" s="1237"/>
      <c r="C32" s="1237"/>
      <c r="D32" s="1237"/>
      <c r="E32" s="1237"/>
      <c r="F32" s="1237"/>
      <c r="G32" s="1237"/>
      <c r="H32" s="1237"/>
      <c r="I32" s="1237"/>
      <c r="J32" s="1237"/>
      <c r="K32" s="1237"/>
      <c r="L32" s="1237"/>
      <c r="M32" s="1237"/>
      <c r="N32" s="1237"/>
      <c r="O32" s="1237"/>
      <c r="P32" s="1237"/>
      <c r="Q32" s="1237"/>
      <c r="R32" s="1237"/>
      <c r="S32" s="1237"/>
      <c r="T32" s="1237"/>
      <c r="U32" s="1237"/>
      <c r="V32" s="1237"/>
      <c r="W32" s="1237"/>
      <c r="X32" s="1237"/>
      <c r="Y32" s="1237"/>
      <c r="Z32" s="1237"/>
      <c r="AA32" s="1170"/>
      <c r="AB32" s="2328"/>
      <c r="AC32" s="774"/>
    </row>
    <row r="33" spans="1:29" s="775" customFormat="1" ht="18">
      <c r="A33" s="1238" t="s">
        <v>651</v>
      </c>
      <c r="B33" s="1237"/>
      <c r="C33" s="1237"/>
      <c r="D33" s="1237"/>
      <c r="E33" s="1237"/>
      <c r="F33" s="1237"/>
      <c r="G33" s="1237"/>
      <c r="H33" s="1237"/>
      <c r="I33" s="1237"/>
      <c r="J33" s="1237"/>
      <c r="K33" s="1237"/>
      <c r="L33" s="1237"/>
      <c r="M33" s="1237"/>
      <c r="N33" s="1237"/>
      <c r="O33" s="1237"/>
      <c r="P33" s="1237"/>
      <c r="Q33" s="1237"/>
      <c r="R33" s="1237"/>
      <c r="S33" s="1237"/>
      <c r="T33" s="1237"/>
      <c r="U33" s="1237"/>
      <c r="V33" s="1237"/>
      <c r="W33" s="1237"/>
      <c r="X33" s="1237"/>
      <c r="Y33" s="1237"/>
      <c r="Z33" s="1237"/>
      <c r="AA33" s="1170"/>
      <c r="AB33" s="2328"/>
      <c r="AC33" s="774"/>
    </row>
    <row r="34" spans="1:29" s="775" customFormat="1" ht="18">
      <c r="A34" s="1170" t="s">
        <v>641</v>
      </c>
      <c r="B34" s="1237"/>
      <c r="C34" s="1237"/>
      <c r="D34" s="1237"/>
      <c r="E34" s="1237"/>
      <c r="F34" s="1237"/>
      <c r="G34" s="1237"/>
      <c r="H34" s="1237"/>
      <c r="I34" s="1237"/>
      <c r="J34" s="1237"/>
      <c r="K34" s="1237"/>
      <c r="L34" s="1237"/>
      <c r="M34" s="1237"/>
      <c r="N34" s="1237"/>
      <c r="O34" s="1237"/>
      <c r="P34" s="1237"/>
      <c r="Q34" s="1237"/>
      <c r="R34" s="1237"/>
      <c r="S34" s="1237"/>
      <c r="T34" s="1237"/>
      <c r="U34" s="1237"/>
      <c r="V34" s="1237"/>
      <c r="W34" s="1237"/>
      <c r="X34" s="1237"/>
      <c r="Y34" s="1237"/>
      <c r="Z34" s="1237"/>
      <c r="AA34" s="1170"/>
      <c r="AB34" s="2328"/>
      <c r="AC34" s="774"/>
    </row>
    <row r="35" spans="1:29" s="775" customFormat="1" ht="18">
      <c r="A35" s="1170" t="s">
        <v>652</v>
      </c>
      <c r="B35" s="1237"/>
      <c r="C35" s="1547">
        <v>0</v>
      </c>
      <c r="D35" s="1545"/>
      <c r="E35" s="1547">
        <v>0</v>
      </c>
      <c r="F35" s="1545"/>
      <c r="G35" s="1547">
        <v>0</v>
      </c>
      <c r="H35" s="1545"/>
      <c r="I35" s="1547">
        <v>0</v>
      </c>
      <c r="J35" s="1546"/>
      <c r="K35" s="1547">
        <v>0</v>
      </c>
      <c r="L35" s="1545"/>
      <c r="M35" s="1547">
        <v>0</v>
      </c>
      <c r="N35" s="1546"/>
      <c r="O35" s="1547">
        <v>0</v>
      </c>
      <c r="P35" s="1546"/>
      <c r="Q35" s="1547">
        <v>0</v>
      </c>
      <c r="R35" s="1546"/>
      <c r="S35" s="1547">
        <v>0</v>
      </c>
      <c r="T35" s="1546"/>
      <c r="U35" s="1547"/>
      <c r="V35" s="1546"/>
      <c r="W35" s="1547"/>
      <c r="X35" s="1546"/>
      <c r="Y35" s="1547"/>
      <c r="Z35" s="1237"/>
      <c r="AA35" s="1554">
        <f>ROUND(SUM(C35:Z35),0)</f>
        <v>0</v>
      </c>
      <c r="AB35" s="2328"/>
      <c r="AC35" s="774"/>
    </row>
    <row r="36" spans="1:29" s="775" customFormat="1" ht="18">
      <c r="A36" s="1170" t="s">
        <v>1339</v>
      </c>
      <c r="B36" s="1237"/>
      <c r="C36" s="1545">
        <v>0</v>
      </c>
      <c r="D36" s="1545"/>
      <c r="E36" s="1547">
        <v>1</v>
      </c>
      <c r="F36" s="1545"/>
      <c r="G36" s="1547">
        <v>0</v>
      </c>
      <c r="H36" s="1545"/>
      <c r="I36" s="1544">
        <v>0</v>
      </c>
      <c r="J36" s="1546"/>
      <c r="K36" s="1547">
        <v>364</v>
      </c>
      <c r="L36" s="1545"/>
      <c r="M36" s="1544">
        <v>1</v>
      </c>
      <c r="N36" s="1546"/>
      <c r="O36" s="1544">
        <v>49</v>
      </c>
      <c r="P36" s="1546"/>
      <c r="Q36" s="1547">
        <v>0</v>
      </c>
      <c r="R36" s="1546"/>
      <c r="S36" s="1547">
        <v>0</v>
      </c>
      <c r="T36" s="1546"/>
      <c r="U36" s="1547"/>
      <c r="V36" s="1546"/>
      <c r="W36" s="1547"/>
      <c r="X36" s="1546"/>
      <c r="Y36" s="1547"/>
      <c r="Z36" s="1237"/>
      <c r="AA36" s="1554">
        <f>ROUND(SUM(C36:Z36),0)</f>
        <v>415</v>
      </c>
      <c r="AB36" s="2328"/>
      <c r="AC36" s="774"/>
    </row>
    <row r="37" spans="1:29" s="775" customFormat="1" ht="18">
      <c r="A37" s="1170" t="s">
        <v>653</v>
      </c>
      <c r="B37" s="1237"/>
      <c r="C37" s="1547">
        <v>0</v>
      </c>
      <c r="D37" s="1545"/>
      <c r="E37" s="1547">
        <v>0</v>
      </c>
      <c r="F37" s="1545"/>
      <c r="G37" s="1547">
        <v>0</v>
      </c>
      <c r="H37" s="1545"/>
      <c r="I37" s="1547">
        <v>0</v>
      </c>
      <c r="J37" s="1546"/>
      <c r="K37" s="1547">
        <v>0</v>
      </c>
      <c r="L37" s="1545"/>
      <c r="M37" s="1547">
        <v>0</v>
      </c>
      <c r="N37" s="1546"/>
      <c r="O37" s="1547">
        <v>0</v>
      </c>
      <c r="P37" s="1546"/>
      <c r="Q37" s="1547">
        <v>0</v>
      </c>
      <c r="R37" s="1546"/>
      <c r="S37" s="1547">
        <v>0</v>
      </c>
      <c r="T37" s="1546"/>
      <c r="U37" s="1547"/>
      <c r="V37" s="1546"/>
      <c r="W37" s="1547"/>
      <c r="X37" s="1546"/>
      <c r="Y37" s="1547"/>
      <c r="Z37" s="1237"/>
      <c r="AA37" s="1554">
        <f>ROUND(SUM(C37:Z37),0)</f>
        <v>0</v>
      </c>
      <c r="AB37" s="2328"/>
      <c r="AC37" s="774"/>
    </row>
    <row r="38" spans="1:29" s="775" customFormat="1" ht="18">
      <c r="A38" s="1170" t="s">
        <v>1128</v>
      </c>
      <c r="B38" s="1237"/>
      <c r="C38" s="1547">
        <v>0</v>
      </c>
      <c r="D38" s="1545"/>
      <c r="E38" s="1547">
        <v>0</v>
      </c>
      <c r="F38" s="1550"/>
      <c r="G38" s="1547">
        <v>0</v>
      </c>
      <c r="H38" s="1550"/>
      <c r="I38" s="1547">
        <v>0</v>
      </c>
      <c r="J38" s="1553"/>
      <c r="K38" s="1547">
        <v>0</v>
      </c>
      <c r="L38" s="1550"/>
      <c r="M38" s="1544">
        <v>0</v>
      </c>
      <c r="N38" s="1553"/>
      <c r="O38" s="1547">
        <v>0</v>
      </c>
      <c r="P38" s="1553"/>
      <c r="Q38" s="1547">
        <v>0</v>
      </c>
      <c r="R38" s="1553"/>
      <c r="S38" s="1547">
        <v>0</v>
      </c>
      <c r="T38" s="1553"/>
      <c r="U38" s="1547"/>
      <c r="V38" s="1553"/>
      <c r="W38" s="1547"/>
      <c r="X38" s="1553"/>
      <c r="Y38" s="1547"/>
      <c r="Z38" s="1237"/>
      <c r="AA38" s="1554">
        <f>ROUND(SUM(C38:Z38),0)</f>
        <v>0</v>
      </c>
      <c r="AB38" s="2328"/>
      <c r="AC38" s="774"/>
    </row>
    <row r="39" spans="1:29" s="772" customFormat="1" ht="18">
      <c r="A39" s="1170" t="s">
        <v>654</v>
      </c>
      <c r="B39" s="1237"/>
      <c r="C39" s="1552">
        <v>0</v>
      </c>
      <c r="D39" s="1545"/>
      <c r="E39" s="1552">
        <v>0</v>
      </c>
      <c r="F39" s="1545"/>
      <c r="G39" s="1552">
        <v>0</v>
      </c>
      <c r="H39" s="1545"/>
      <c r="I39" s="1547">
        <v>0</v>
      </c>
      <c r="J39" s="1546"/>
      <c r="K39" s="1547">
        <v>0</v>
      </c>
      <c r="L39" s="1545"/>
      <c r="M39" s="1547">
        <v>0</v>
      </c>
      <c r="N39" s="1546"/>
      <c r="O39" s="1547">
        <v>0</v>
      </c>
      <c r="P39" s="1546"/>
      <c r="Q39" s="1552">
        <v>0</v>
      </c>
      <c r="R39" s="1546"/>
      <c r="S39" s="1552">
        <v>0</v>
      </c>
      <c r="T39" s="1546"/>
      <c r="U39" s="1552"/>
      <c r="V39" s="1546"/>
      <c r="W39" s="1552"/>
      <c r="X39" s="1546"/>
      <c r="Y39" s="1552"/>
      <c r="Z39" s="1237"/>
      <c r="AA39" s="1554">
        <f>ROUND(SUM(C39:Z39),0)</f>
        <v>0</v>
      </c>
      <c r="AB39" s="2329"/>
      <c r="AC39" s="776"/>
    </row>
    <row r="40" spans="1:29" s="772" customFormat="1" ht="18">
      <c r="A40" s="1238" t="s">
        <v>992</v>
      </c>
      <c r="B40" s="1237"/>
      <c r="C40" s="1556">
        <f>ROUND(SUM(C35:C39),0)</f>
        <v>0</v>
      </c>
      <c r="D40" s="1170"/>
      <c r="E40" s="1556">
        <f>ROUND(SUM(E35:E39),0)</f>
        <v>1</v>
      </c>
      <c r="F40" s="1170"/>
      <c r="G40" s="1556">
        <f>ROUND(SUM(G35:G39),0)</f>
        <v>0</v>
      </c>
      <c r="H40" s="1170"/>
      <c r="I40" s="1556">
        <f>ROUND(SUM(I35:I39),0)</f>
        <v>0</v>
      </c>
      <c r="J40" s="1170"/>
      <c r="K40" s="1556">
        <f>ROUND(SUM(K35:K39),0)</f>
        <v>364</v>
      </c>
      <c r="L40" s="1170"/>
      <c r="M40" s="1556">
        <f>ROUND(SUM(M35:M39),0)</f>
        <v>1</v>
      </c>
      <c r="N40" s="1170"/>
      <c r="O40" s="1556">
        <f>ROUND(SUM(O35:O39),0)</f>
        <v>49</v>
      </c>
      <c r="P40" s="1170"/>
      <c r="Q40" s="1556">
        <f>ROUND(SUM(Q35:Q39),0)</f>
        <v>0</v>
      </c>
      <c r="R40" s="1170"/>
      <c r="S40" s="1556">
        <f>ROUND(SUM(S35:S39),0)</f>
        <v>0</v>
      </c>
      <c r="T40" s="1170"/>
      <c r="U40" s="1556">
        <f>ROUND(SUM(U35:U39),0)</f>
        <v>0</v>
      </c>
      <c r="V40" s="1170"/>
      <c r="W40" s="1556">
        <f>ROUND(SUM(W35:W39),0)</f>
        <v>0</v>
      </c>
      <c r="X40" s="1170"/>
      <c r="Y40" s="1556">
        <f>ROUND(SUM(Y35:Y39),0)</f>
        <v>0</v>
      </c>
      <c r="Z40" s="1170"/>
      <c r="AA40" s="1556">
        <f>ROUND(SUM(AA35:AA39),0)</f>
        <v>415</v>
      </c>
      <c r="AB40" s="2329"/>
      <c r="AC40" s="776"/>
    </row>
    <row r="41" spans="1:29" ht="18">
      <c r="A41" s="1170"/>
      <c r="B41" s="1237"/>
      <c r="C41" s="1237"/>
      <c r="D41" s="1237"/>
      <c r="E41" s="1237"/>
      <c r="F41" s="1237"/>
      <c r="G41" s="1237"/>
      <c r="H41" s="1237"/>
      <c r="I41" s="1237"/>
      <c r="J41" s="1237"/>
      <c r="K41" s="1237"/>
      <c r="L41" s="1237"/>
      <c r="M41" s="1237"/>
      <c r="N41" s="1237"/>
      <c r="O41" s="1237"/>
      <c r="P41" s="1237"/>
      <c r="Q41" s="1237"/>
      <c r="R41" s="1237"/>
      <c r="S41" s="1237"/>
      <c r="T41" s="1237"/>
      <c r="U41" s="1237"/>
      <c r="V41" s="1237"/>
      <c r="W41" s="1237"/>
      <c r="X41" s="1237"/>
      <c r="Y41" s="1237"/>
      <c r="Z41" s="1237"/>
      <c r="AA41" s="1170"/>
      <c r="AB41" s="2329"/>
      <c r="AC41" s="777"/>
    </row>
    <row r="42" spans="1:29" ht="18">
      <c r="A42" s="1170"/>
      <c r="B42" s="1237"/>
      <c r="C42" s="1237"/>
      <c r="D42" s="1237"/>
      <c r="E42" s="1237"/>
      <c r="F42" s="1237"/>
      <c r="G42" s="1237"/>
      <c r="H42" s="1237"/>
      <c r="I42" s="1237"/>
      <c r="J42" s="1237"/>
      <c r="K42" s="1237"/>
      <c r="L42" s="1237"/>
      <c r="M42" s="1237"/>
      <c r="N42" s="1237"/>
      <c r="O42" s="1237"/>
      <c r="P42" s="1237"/>
      <c r="Q42" s="1237"/>
      <c r="R42" s="1237"/>
      <c r="S42" s="1758"/>
      <c r="T42" s="1237"/>
      <c r="U42" s="1237"/>
      <c r="V42" s="1237"/>
      <c r="W42" s="1237"/>
      <c r="X42" s="1237"/>
      <c r="Y42" s="1237"/>
      <c r="Z42" s="1237"/>
      <c r="AA42" s="1170"/>
    </row>
    <row r="43" spans="1:29" s="779" customFormat="1" ht="18.75" thickBot="1">
      <c r="A43" s="1238" t="s">
        <v>991</v>
      </c>
      <c r="B43" s="1237"/>
      <c r="C43" s="1757">
        <f>ROUND(C30+C40,0)</f>
        <v>27770</v>
      </c>
      <c r="D43" s="1170"/>
      <c r="E43" s="1757">
        <f>ROUND(E30+E40,0)</f>
        <v>66230</v>
      </c>
      <c r="F43" s="1170"/>
      <c r="G43" s="1757">
        <f>ROUND(G30+G40,0)</f>
        <v>43400</v>
      </c>
      <c r="H43" s="1170"/>
      <c r="I43" s="1757">
        <f>ROUND(I30+I40,0)</f>
        <v>25493</v>
      </c>
      <c r="J43" s="1170"/>
      <c r="K43" s="1757">
        <f>ROUND(K30+K40,0)</f>
        <v>64534</v>
      </c>
      <c r="L43" s="1170"/>
      <c r="M43" s="1757">
        <f>ROUND(M30+M40,0)</f>
        <v>35995</v>
      </c>
      <c r="N43" s="1170"/>
      <c r="O43" s="1757">
        <f>ROUND(O30+O40,0)</f>
        <v>46007</v>
      </c>
      <c r="P43" s="1170"/>
      <c r="Q43" s="1757">
        <f>ROUND(Q30+Q40,0)</f>
        <v>36688</v>
      </c>
      <c r="R43" s="1170"/>
      <c r="S43" s="1757">
        <f>ROUND(S30+S40,0)</f>
        <v>61192</v>
      </c>
      <c r="T43" s="1170"/>
      <c r="U43" s="1757">
        <f>ROUND(U30+U40,0)</f>
        <v>0</v>
      </c>
      <c r="V43" s="1170"/>
      <c r="W43" s="1757">
        <f>ROUND(W30+W40,0)</f>
        <v>0</v>
      </c>
      <c r="X43" s="1170"/>
      <c r="Y43" s="1757">
        <f>ROUND(Y30+Y40,0)</f>
        <v>0</v>
      </c>
      <c r="Z43" s="1170"/>
      <c r="AA43" s="1757">
        <f>ROUND(AA30+AA40,0)</f>
        <v>407309</v>
      </c>
    </row>
    <row r="44" spans="1:29" ht="15.75" thickTop="1">
      <c r="A44" s="2330"/>
      <c r="C44" s="780"/>
      <c r="D44" s="780"/>
      <c r="E44" s="780"/>
      <c r="F44" s="780"/>
      <c r="G44" s="780"/>
      <c r="H44" s="780"/>
      <c r="I44" s="780"/>
      <c r="J44" s="780"/>
      <c r="K44" s="780"/>
      <c r="L44" s="780"/>
      <c r="M44" s="780"/>
      <c r="N44" s="780"/>
      <c r="O44" s="780"/>
      <c r="P44" s="780"/>
      <c r="Q44" s="780"/>
      <c r="R44" s="780"/>
      <c r="S44" s="780"/>
      <c r="T44" s="780"/>
      <c r="U44" s="780"/>
      <c r="V44" s="780"/>
      <c r="W44" s="780"/>
      <c r="X44" s="780"/>
      <c r="Y44" s="781"/>
      <c r="AA44" s="778"/>
    </row>
    <row r="45" spans="1:29" ht="13.5" thickBot="1"/>
    <row r="46" spans="1:29" ht="20.100000000000001" customHeight="1">
      <c r="A46" s="3541" t="s">
        <v>655</v>
      </c>
      <c r="B46" s="3542"/>
      <c r="C46" s="3542"/>
      <c r="D46" s="3542"/>
      <c r="E46" s="3542"/>
      <c r="F46" s="3542"/>
      <c r="G46" s="3542"/>
      <c r="H46" s="3542"/>
      <c r="I46" s="3542"/>
      <c r="J46" s="3542"/>
      <c r="K46" s="3542"/>
      <c r="L46" s="3542"/>
      <c r="M46" s="3542"/>
      <c r="N46" s="3542"/>
      <c r="O46" s="3542"/>
      <c r="P46" s="3542"/>
      <c r="Q46" s="3542"/>
      <c r="R46" s="3542"/>
      <c r="S46" s="3542"/>
      <c r="T46" s="3542"/>
      <c r="U46" s="3542"/>
      <c r="V46" s="3542"/>
      <c r="W46" s="3542"/>
      <c r="X46" s="3542"/>
      <c r="Y46" s="3542"/>
      <c r="Z46" s="3542"/>
      <c r="AA46" s="3543"/>
    </row>
    <row r="47" spans="1:29" ht="20.100000000000001" customHeight="1">
      <c r="A47" s="3544"/>
      <c r="B47" s="3545"/>
      <c r="C47" s="3545"/>
      <c r="D47" s="3545"/>
      <c r="E47" s="3545"/>
      <c r="F47" s="3545"/>
      <c r="G47" s="3545"/>
      <c r="H47" s="3545"/>
      <c r="I47" s="3545"/>
      <c r="J47" s="3545"/>
      <c r="K47" s="3545"/>
      <c r="L47" s="3545"/>
      <c r="M47" s="3545"/>
      <c r="N47" s="3545"/>
      <c r="O47" s="3545"/>
      <c r="P47" s="3545"/>
      <c r="Q47" s="3545"/>
      <c r="R47" s="3545"/>
      <c r="S47" s="3545"/>
      <c r="T47" s="3545"/>
      <c r="U47" s="3545"/>
      <c r="V47" s="3545"/>
      <c r="W47" s="3545"/>
      <c r="X47" s="3545"/>
      <c r="Y47" s="3545"/>
      <c r="Z47" s="3545"/>
      <c r="AA47" s="3546"/>
    </row>
    <row r="48" spans="1:29" ht="20.100000000000001" customHeight="1">
      <c r="A48" s="3544"/>
      <c r="B48" s="3545"/>
      <c r="C48" s="3545"/>
      <c r="D48" s="3545"/>
      <c r="E48" s="3545"/>
      <c r="F48" s="3545"/>
      <c r="G48" s="3545"/>
      <c r="H48" s="3545"/>
      <c r="I48" s="3545"/>
      <c r="J48" s="3545"/>
      <c r="K48" s="3545"/>
      <c r="L48" s="3545"/>
      <c r="M48" s="3545"/>
      <c r="N48" s="3545"/>
      <c r="O48" s="3545"/>
      <c r="P48" s="3545"/>
      <c r="Q48" s="3545"/>
      <c r="R48" s="3545"/>
      <c r="S48" s="3545"/>
      <c r="T48" s="3545"/>
      <c r="U48" s="3545"/>
      <c r="V48" s="3545"/>
      <c r="W48" s="3545"/>
      <c r="X48" s="3545"/>
      <c r="Y48" s="3545"/>
      <c r="Z48" s="3545"/>
      <c r="AA48" s="3546"/>
    </row>
    <row r="49" spans="1:27" ht="22.5" customHeight="1" thickBot="1">
      <c r="A49" s="3547"/>
      <c r="B49" s="3548"/>
      <c r="C49" s="3548"/>
      <c r="D49" s="3548"/>
      <c r="E49" s="3548"/>
      <c r="F49" s="3548"/>
      <c r="G49" s="3548"/>
      <c r="H49" s="3548"/>
      <c r="I49" s="3548"/>
      <c r="J49" s="3548"/>
      <c r="K49" s="3548"/>
      <c r="L49" s="3548"/>
      <c r="M49" s="3548"/>
      <c r="N49" s="3548"/>
      <c r="O49" s="3548"/>
      <c r="P49" s="3548"/>
      <c r="Q49" s="3548"/>
      <c r="R49" s="3548"/>
      <c r="S49" s="3548"/>
      <c r="T49" s="3548"/>
      <c r="U49" s="3548"/>
      <c r="V49" s="3548"/>
      <c r="W49" s="3548"/>
      <c r="X49" s="3548"/>
      <c r="Y49" s="3548"/>
      <c r="Z49" s="3548"/>
      <c r="AA49" s="3549"/>
    </row>
    <row r="51" spans="1:27" ht="14.45"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3" orientation="landscape" useFirstPageNumber="1" r:id="rId2"/>
  <headerFooter scaleWithDoc="0" alignWithMargins="0">
    <oddFooter>&amp;C&amp;8&amp;P</oddFooter>
  </headerFooter>
  <ignoredErrors>
    <ignoredError sqref="AA14:AA27 AA31:AA43 AA29"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3"/>
  <sheetViews>
    <sheetView showGridLines="0" zoomScale="70" zoomScaleNormal="50" workbookViewId="0"/>
  </sheetViews>
  <sheetFormatPr defaultRowHeight="15"/>
  <cols>
    <col min="1" max="1" width="3.33203125" style="2308" customWidth="1"/>
    <col min="2" max="2" width="8.88671875" style="2308" customWidth="1"/>
    <col min="3" max="3" width="2.21875" style="2319" customWidth="1"/>
    <col min="4" max="4" width="50.44140625" style="2308" customWidth="1"/>
    <col min="5" max="5" width="8.88671875" style="2319" customWidth="1"/>
    <col min="6" max="6" width="2.109375" style="1298" customWidth="1"/>
    <col min="7" max="7" width="23.88671875" style="2308" customWidth="1"/>
    <col min="8" max="8" width="2" style="2308" customWidth="1"/>
    <col min="9" max="9" width="23.88671875" style="2308" customWidth="1"/>
    <col min="10" max="10" width="2.109375" style="2319" customWidth="1"/>
    <col min="11" max="11" width="23.88671875" style="2308" customWidth="1"/>
    <col min="12" max="12" width="2.109375" style="2319" customWidth="1"/>
    <col min="13" max="13" width="20.21875" style="2308" customWidth="1"/>
    <col min="14" max="14" width="2.109375" style="2319" customWidth="1"/>
    <col min="15" max="15" width="23.88671875" style="2308" customWidth="1"/>
    <col min="16" max="16" width="6" style="2308" customWidth="1"/>
    <col min="17" max="254" width="8.88671875" style="2308"/>
    <col min="255" max="256" width="8.88671875" style="2308" customWidth="1"/>
    <col min="257" max="257" width="10.21875" style="2308" customWidth="1"/>
    <col min="258" max="258" width="2.21875" style="2308" customWidth="1"/>
    <col min="259" max="259" width="50.44140625" style="2308" customWidth="1"/>
    <col min="260" max="260" width="8.88671875" style="2308"/>
    <col min="261" max="261" width="2.109375" style="2308" customWidth="1"/>
    <col min="262" max="262" width="23.88671875" style="2308" customWidth="1"/>
    <col min="263" max="263" width="2.109375" style="2308" customWidth="1"/>
    <col min="264" max="264" width="23.88671875" style="2308" customWidth="1"/>
    <col min="265" max="265" width="2.109375" style="2308" customWidth="1"/>
    <col min="266" max="266" width="23.88671875" style="2308" customWidth="1"/>
    <col min="267" max="267" width="2.109375" style="2308" customWidth="1"/>
    <col min="268" max="268" width="23.88671875" style="2308" customWidth="1"/>
    <col min="269" max="269" width="2.109375" style="2308" customWidth="1"/>
    <col min="270" max="270" width="23.88671875" style="2308" customWidth="1"/>
    <col min="271" max="271" width="2.77734375" style="2308" bestFit="1" customWidth="1"/>
    <col min="272" max="510" width="8.88671875" style="2308"/>
    <col min="511" max="512" width="8.88671875" style="2308" customWidth="1"/>
    <col min="513" max="513" width="10.21875" style="2308" customWidth="1"/>
    <col min="514" max="514" width="2.21875" style="2308" customWidth="1"/>
    <col min="515" max="515" width="50.44140625" style="2308" customWidth="1"/>
    <col min="516" max="516" width="8.88671875" style="2308"/>
    <col min="517" max="517" width="2.109375" style="2308" customWidth="1"/>
    <col min="518" max="518" width="23.88671875" style="2308" customWidth="1"/>
    <col min="519" max="519" width="2.109375" style="2308" customWidth="1"/>
    <col min="520" max="520" width="23.88671875" style="2308" customWidth="1"/>
    <col min="521" max="521" width="2.109375" style="2308" customWidth="1"/>
    <col min="522" max="522" width="23.88671875" style="2308" customWidth="1"/>
    <col min="523" max="523" width="2.109375" style="2308" customWidth="1"/>
    <col min="524" max="524" width="23.88671875" style="2308" customWidth="1"/>
    <col min="525" max="525" width="2.109375" style="2308" customWidth="1"/>
    <col min="526" max="526" width="23.88671875" style="2308" customWidth="1"/>
    <col min="527" max="527" width="2.77734375" style="2308" bestFit="1" customWidth="1"/>
    <col min="528" max="766" width="8.88671875" style="2308"/>
    <col min="767" max="768" width="8.88671875" style="2308" customWidth="1"/>
    <col min="769" max="769" width="10.21875" style="2308" customWidth="1"/>
    <col min="770" max="770" width="2.21875" style="2308" customWidth="1"/>
    <col min="771" max="771" width="50.44140625" style="2308" customWidth="1"/>
    <col min="772" max="772" width="8.88671875" style="2308"/>
    <col min="773" max="773" width="2.109375" style="2308" customWidth="1"/>
    <col min="774" max="774" width="23.88671875" style="2308" customWidth="1"/>
    <col min="775" max="775" width="2.109375" style="2308" customWidth="1"/>
    <col min="776" max="776" width="23.88671875" style="2308" customWidth="1"/>
    <col min="777" max="777" width="2.109375" style="2308" customWidth="1"/>
    <col min="778" max="778" width="23.88671875" style="2308" customWidth="1"/>
    <col min="779" max="779" width="2.109375" style="2308" customWidth="1"/>
    <col min="780" max="780" width="23.88671875" style="2308" customWidth="1"/>
    <col min="781" max="781" width="2.109375" style="2308" customWidth="1"/>
    <col min="782" max="782" width="23.88671875" style="2308" customWidth="1"/>
    <col min="783" max="783" width="2.77734375" style="2308" bestFit="1" customWidth="1"/>
    <col min="784" max="1022" width="8.88671875" style="2308"/>
    <col min="1023" max="1024" width="8.88671875" style="2308" customWidth="1"/>
    <col min="1025" max="1025" width="10.21875" style="2308" customWidth="1"/>
    <col min="1026" max="1026" width="2.21875" style="2308" customWidth="1"/>
    <col min="1027" max="1027" width="50.44140625" style="2308" customWidth="1"/>
    <col min="1028" max="1028" width="8.88671875" style="2308"/>
    <col min="1029" max="1029" width="2.109375" style="2308" customWidth="1"/>
    <col min="1030" max="1030" width="23.88671875" style="2308" customWidth="1"/>
    <col min="1031" max="1031" width="2.109375" style="2308" customWidth="1"/>
    <col min="1032" max="1032" width="23.88671875" style="2308" customWidth="1"/>
    <col min="1033" max="1033" width="2.109375" style="2308" customWidth="1"/>
    <col min="1034" max="1034" width="23.88671875" style="2308" customWidth="1"/>
    <col min="1035" max="1035" width="2.109375" style="2308" customWidth="1"/>
    <col min="1036" max="1036" width="23.88671875" style="2308" customWidth="1"/>
    <col min="1037" max="1037" width="2.109375" style="2308" customWidth="1"/>
    <col min="1038" max="1038" width="23.88671875" style="2308" customWidth="1"/>
    <col min="1039" max="1039" width="2.77734375" style="2308" bestFit="1" customWidth="1"/>
    <col min="1040" max="1278" width="8.88671875" style="2308"/>
    <col min="1279" max="1280" width="8.88671875" style="2308" customWidth="1"/>
    <col min="1281" max="1281" width="10.21875" style="2308" customWidth="1"/>
    <col min="1282" max="1282" width="2.21875" style="2308" customWidth="1"/>
    <col min="1283" max="1283" width="50.44140625" style="2308" customWidth="1"/>
    <col min="1284" max="1284" width="8.88671875" style="2308"/>
    <col min="1285" max="1285" width="2.109375" style="2308" customWidth="1"/>
    <col min="1286" max="1286" width="23.88671875" style="2308" customWidth="1"/>
    <col min="1287" max="1287" width="2.109375" style="2308" customWidth="1"/>
    <col min="1288" max="1288" width="23.88671875" style="2308" customWidth="1"/>
    <col min="1289" max="1289" width="2.109375" style="2308" customWidth="1"/>
    <col min="1290" max="1290" width="23.88671875" style="2308" customWidth="1"/>
    <col min="1291" max="1291" width="2.109375" style="2308" customWidth="1"/>
    <col min="1292" max="1292" width="23.88671875" style="2308" customWidth="1"/>
    <col min="1293" max="1293" width="2.109375" style="2308" customWidth="1"/>
    <col min="1294" max="1294" width="23.88671875" style="2308" customWidth="1"/>
    <col min="1295" max="1295" width="2.77734375" style="2308" bestFit="1" customWidth="1"/>
    <col min="1296" max="1534" width="8.88671875" style="2308"/>
    <col min="1535" max="1536" width="8.88671875" style="2308" customWidth="1"/>
    <col min="1537" max="1537" width="10.21875" style="2308" customWidth="1"/>
    <col min="1538" max="1538" width="2.21875" style="2308" customWidth="1"/>
    <col min="1539" max="1539" width="50.44140625" style="2308" customWidth="1"/>
    <col min="1540" max="1540" width="8.88671875" style="2308"/>
    <col min="1541" max="1541" width="2.109375" style="2308" customWidth="1"/>
    <col min="1542" max="1542" width="23.88671875" style="2308" customWidth="1"/>
    <col min="1543" max="1543" width="2.109375" style="2308" customWidth="1"/>
    <col min="1544" max="1544" width="23.88671875" style="2308" customWidth="1"/>
    <col min="1545" max="1545" width="2.109375" style="2308" customWidth="1"/>
    <col min="1546" max="1546" width="23.88671875" style="2308" customWidth="1"/>
    <col min="1547" max="1547" width="2.109375" style="2308" customWidth="1"/>
    <col min="1548" max="1548" width="23.88671875" style="2308" customWidth="1"/>
    <col min="1549" max="1549" width="2.109375" style="2308" customWidth="1"/>
    <col min="1550" max="1550" width="23.88671875" style="2308" customWidth="1"/>
    <col min="1551" max="1551" width="2.77734375" style="2308" bestFit="1" customWidth="1"/>
    <col min="1552" max="1790" width="8.88671875" style="2308"/>
    <col min="1791" max="1792" width="8.88671875" style="2308" customWidth="1"/>
    <col min="1793" max="1793" width="10.21875" style="2308" customWidth="1"/>
    <col min="1794" max="1794" width="2.21875" style="2308" customWidth="1"/>
    <col min="1795" max="1795" width="50.44140625" style="2308" customWidth="1"/>
    <col min="1796" max="1796" width="8.88671875" style="2308"/>
    <col min="1797" max="1797" width="2.109375" style="2308" customWidth="1"/>
    <col min="1798" max="1798" width="23.88671875" style="2308" customWidth="1"/>
    <col min="1799" max="1799" width="2.109375" style="2308" customWidth="1"/>
    <col min="1800" max="1800" width="23.88671875" style="2308" customWidth="1"/>
    <col min="1801" max="1801" width="2.109375" style="2308" customWidth="1"/>
    <col min="1802" max="1802" width="23.88671875" style="2308" customWidth="1"/>
    <col min="1803" max="1803" width="2.109375" style="2308" customWidth="1"/>
    <col min="1804" max="1804" width="23.88671875" style="2308" customWidth="1"/>
    <col min="1805" max="1805" width="2.109375" style="2308" customWidth="1"/>
    <col min="1806" max="1806" width="23.88671875" style="2308" customWidth="1"/>
    <col min="1807" max="1807" width="2.77734375" style="2308" bestFit="1" customWidth="1"/>
    <col min="1808" max="2046" width="8.88671875" style="2308"/>
    <col min="2047" max="2048" width="8.88671875" style="2308" customWidth="1"/>
    <col min="2049" max="2049" width="10.21875" style="2308" customWidth="1"/>
    <col min="2050" max="2050" width="2.21875" style="2308" customWidth="1"/>
    <col min="2051" max="2051" width="50.44140625" style="2308" customWidth="1"/>
    <col min="2052" max="2052" width="8.88671875" style="2308"/>
    <col min="2053" max="2053" width="2.109375" style="2308" customWidth="1"/>
    <col min="2054" max="2054" width="23.88671875" style="2308" customWidth="1"/>
    <col min="2055" max="2055" width="2.109375" style="2308" customWidth="1"/>
    <col min="2056" max="2056" width="23.88671875" style="2308" customWidth="1"/>
    <col min="2057" max="2057" width="2.109375" style="2308" customWidth="1"/>
    <col min="2058" max="2058" width="23.88671875" style="2308" customWidth="1"/>
    <col min="2059" max="2059" width="2.109375" style="2308" customWidth="1"/>
    <col min="2060" max="2060" width="23.88671875" style="2308" customWidth="1"/>
    <col min="2061" max="2061" width="2.109375" style="2308" customWidth="1"/>
    <col min="2062" max="2062" width="23.88671875" style="2308" customWidth="1"/>
    <col min="2063" max="2063" width="2.77734375" style="2308" bestFit="1" customWidth="1"/>
    <col min="2064" max="2302" width="8.88671875" style="2308"/>
    <col min="2303" max="2304" width="8.88671875" style="2308" customWidth="1"/>
    <col min="2305" max="2305" width="10.21875" style="2308" customWidth="1"/>
    <col min="2306" max="2306" width="2.21875" style="2308" customWidth="1"/>
    <col min="2307" max="2307" width="50.44140625" style="2308" customWidth="1"/>
    <col min="2308" max="2308" width="8.88671875" style="2308"/>
    <col min="2309" max="2309" width="2.109375" style="2308" customWidth="1"/>
    <col min="2310" max="2310" width="23.88671875" style="2308" customWidth="1"/>
    <col min="2311" max="2311" width="2.109375" style="2308" customWidth="1"/>
    <col min="2312" max="2312" width="23.88671875" style="2308" customWidth="1"/>
    <col min="2313" max="2313" width="2.109375" style="2308" customWidth="1"/>
    <col min="2314" max="2314" width="23.88671875" style="2308" customWidth="1"/>
    <col min="2315" max="2315" width="2.109375" style="2308" customWidth="1"/>
    <col min="2316" max="2316" width="23.88671875" style="2308" customWidth="1"/>
    <col min="2317" max="2317" width="2.109375" style="2308" customWidth="1"/>
    <col min="2318" max="2318" width="23.88671875" style="2308" customWidth="1"/>
    <col min="2319" max="2319" width="2.77734375" style="2308" bestFit="1" customWidth="1"/>
    <col min="2320" max="2558" width="8.88671875" style="2308"/>
    <col min="2559" max="2560" width="8.88671875" style="2308" customWidth="1"/>
    <col min="2561" max="2561" width="10.21875" style="2308" customWidth="1"/>
    <col min="2562" max="2562" width="2.21875" style="2308" customWidth="1"/>
    <col min="2563" max="2563" width="50.44140625" style="2308" customWidth="1"/>
    <col min="2564" max="2564" width="8.88671875" style="2308"/>
    <col min="2565" max="2565" width="2.109375" style="2308" customWidth="1"/>
    <col min="2566" max="2566" width="23.88671875" style="2308" customWidth="1"/>
    <col min="2567" max="2567" width="2.109375" style="2308" customWidth="1"/>
    <col min="2568" max="2568" width="23.88671875" style="2308" customWidth="1"/>
    <col min="2569" max="2569" width="2.109375" style="2308" customWidth="1"/>
    <col min="2570" max="2570" width="23.88671875" style="2308" customWidth="1"/>
    <col min="2571" max="2571" width="2.109375" style="2308" customWidth="1"/>
    <col min="2572" max="2572" width="23.88671875" style="2308" customWidth="1"/>
    <col min="2573" max="2573" width="2.109375" style="2308" customWidth="1"/>
    <col min="2574" max="2574" width="23.88671875" style="2308" customWidth="1"/>
    <col min="2575" max="2575" width="2.77734375" style="2308" bestFit="1" customWidth="1"/>
    <col min="2576" max="2814" width="8.88671875" style="2308"/>
    <col min="2815" max="2816" width="8.88671875" style="2308" customWidth="1"/>
    <col min="2817" max="2817" width="10.21875" style="2308" customWidth="1"/>
    <col min="2818" max="2818" width="2.21875" style="2308" customWidth="1"/>
    <col min="2819" max="2819" width="50.44140625" style="2308" customWidth="1"/>
    <col min="2820" max="2820" width="8.88671875" style="2308"/>
    <col min="2821" max="2821" width="2.109375" style="2308" customWidth="1"/>
    <col min="2822" max="2822" width="23.88671875" style="2308" customWidth="1"/>
    <col min="2823" max="2823" width="2.109375" style="2308" customWidth="1"/>
    <col min="2824" max="2824" width="23.88671875" style="2308" customWidth="1"/>
    <col min="2825" max="2825" width="2.109375" style="2308" customWidth="1"/>
    <col min="2826" max="2826" width="23.88671875" style="2308" customWidth="1"/>
    <col min="2827" max="2827" width="2.109375" style="2308" customWidth="1"/>
    <col min="2828" max="2828" width="23.88671875" style="2308" customWidth="1"/>
    <col min="2829" max="2829" width="2.109375" style="2308" customWidth="1"/>
    <col min="2830" max="2830" width="23.88671875" style="2308" customWidth="1"/>
    <col min="2831" max="2831" width="2.77734375" style="2308" bestFit="1" customWidth="1"/>
    <col min="2832" max="3070" width="8.88671875" style="2308"/>
    <col min="3071" max="3072" width="8.88671875" style="2308" customWidth="1"/>
    <col min="3073" max="3073" width="10.21875" style="2308" customWidth="1"/>
    <col min="3074" max="3074" width="2.21875" style="2308" customWidth="1"/>
    <col min="3075" max="3075" width="50.44140625" style="2308" customWidth="1"/>
    <col min="3076" max="3076" width="8.88671875" style="2308"/>
    <col min="3077" max="3077" width="2.109375" style="2308" customWidth="1"/>
    <col min="3078" max="3078" width="23.88671875" style="2308" customWidth="1"/>
    <col min="3079" max="3079" width="2.109375" style="2308" customWidth="1"/>
    <col min="3080" max="3080" width="23.88671875" style="2308" customWidth="1"/>
    <col min="3081" max="3081" width="2.109375" style="2308" customWidth="1"/>
    <col min="3082" max="3082" width="23.88671875" style="2308" customWidth="1"/>
    <col min="3083" max="3083" width="2.109375" style="2308" customWidth="1"/>
    <col min="3084" max="3084" width="23.88671875" style="2308" customWidth="1"/>
    <col min="3085" max="3085" width="2.109375" style="2308" customWidth="1"/>
    <col min="3086" max="3086" width="23.88671875" style="2308" customWidth="1"/>
    <col min="3087" max="3087" width="2.77734375" style="2308" bestFit="1" customWidth="1"/>
    <col min="3088" max="3326" width="8.88671875" style="2308"/>
    <col min="3327" max="3328" width="8.88671875" style="2308" customWidth="1"/>
    <col min="3329" max="3329" width="10.21875" style="2308" customWidth="1"/>
    <col min="3330" max="3330" width="2.21875" style="2308" customWidth="1"/>
    <col min="3331" max="3331" width="50.44140625" style="2308" customWidth="1"/>
    <col min="3332" max="3332" width="8.88671875" style="2308"/>
    <col min="3333" max="3333" width="2.109375" style="2308" customWidth="1"/>
    <col min="3334" max="3334" width="23.88671875" style="2308" customWidth="1"/>
    <col min="3335" max="3335" width="2.109375" style="2308" customWidth="1"/>
    <col min="3336" max="3336" width="23.88671875" style="2308" customWidth="1"/>
    <col min="3337" max="3337" width="2.109375" style="2308" customWidth="1"/>
    <col min="3338" max="3338" width="23.88671875" style="2308" customWidth="1"/>
    <col min="3339" max="3339" width="2.109375" style="2308" customWidth="1"/>
    <col min="3340" max="3340" width="23.88671875" style="2308" customWidth="1"/>
    <col min="3341" max="3341" width="2.109375" style="2308" customWidth="1"/>
    <col min="3342" max="3342" width="23.88671875" style="2308" customWidth="1"/>
    <col min="3343" max="3343" width="2.77734375" style="2308" bestFit="1" customWidth="1"/>
    <col min="3344" max="3582" width="8.88671875" style="2308"/>
    <col min="3583" max="3584" width="8.88671875" style="2308" customWidth="1"/>
    <col min="3585" max="3585" width="10.21875" style="2308" customWidth="1"/>
    <col min="3586" max="3586" width="2.21875" style="2308" customWidth="1"/>
    <col min="3587" max="3587" width="50.44140625" style="2308" customWidth="1"/>
    <col min="3588" max="3588" width="8.88671875" style="2308"/>
    <col min="3589" max="3589" width="2.109375" style="2308" customWidth="1"/>
    <col min="3590" max="3590" width="23.88671875" style="2308" customWidth="1"/>
    <col min="3591" max="3591" width="2.109375" style="2308" customWidth="1"/>
    <col min="3592" max="3592" width="23.88671875" style="2308" customWidth="1"/>
    <col min="3593" max="3593" width="2.109375" style="2308" customWidth="1"/>
    <col min="3594" max="3594" width="23.88671875" style="2308" customWidth="1"/>
    <col min="3595" max="3595" width="2.109375" style="2308" customWidth="1"/>
    <col min="3596" max="3596" width="23.88671875" style="2308" customWidth="1"/>
    <col min="3597" max="3597" width="2.109375" style="2308" customWidth="1"/>
    <col min="3598" max="3598" width="23.88671875" style="2308" customWidth="1"/>
    <col min="3599" max="3599" width="2.77734375" style="2308" bestFit="1" customWidth="1"/>
    <col min="3600" max="3838" width="8.88671875" style="2308"/>
    <col min="3839" max="3840" width="8.88671875" style="2308" customWidth="1"/>
    <col min="3841" max="3841" width="10.21875" style="2308" customWidth="1"/>
    <col min="3842" max="3842" width="2.21875" style="2308" customWidth="1"/>
    <col min="3843" max="3843" width="50.44140625" style="2308" customWidth="1"/>
    <col min="3844" max="3844" width="8.88671875" style="2308"/>
    <col min="3845" max="3845" width="2.109375" style="2308" customWidth="1"/>
    <col min="3846" max="3846" width="23.88671875" style="2308" customWidth="1"/>
    <col min="3847" max="3847" width="2.109375" style="2308" customWidth="1"/>
    <col min="3848" max="3848" width="23.88671875" style="2308" customWidth="1"/>
    <col min="3849" max="3849" width="2.109375" style="2308" customWidth="1"/>
    <col min="3850" max="3850" width="23.88671875" style="2308" customWidth="1"/>
    <col min="3851" max="3851" width="2.109375" style="2308" customWidth="1"/>
    <col min="3852" max="3852" width="23.88671875" style="2308" customWidth="1"/>
    <col min="3853" max="3853" width="2.109375" style="2308" customWidth="1"/>
    <col min="3854" max="3854" width="23.88671875" style="2308" customWidth="1"/>
    <col min="3855" max="3855" width="2.77734375" style="2308" bestFit="1" customWidth="1"/>
    <col min="3856" max="4094" width="8.88671875" style="2308"/>
    <col min="4095" max="4096" width="8.88671875" style="2308" customWidth="1"/>
    <col min="4097" max="4097" width="10.21875" style="2308" customWidth="1"/>
    <col min="4098" max="4098" width="2.21875" style="2308" customWidth="1"/>
    <col min="4099" max="4099" width="50.44140625" style="2308" customWidth="1"/>
    <col min="4100" max="4100" width="8.88671875" style="2308"/>
    <col min="4101" max="4101" width="2.109375" style="2308" customWidth="1"/>
    <col min="4102" max="4102" width="23.88671875" style="2308" customWidth="1"/>
    <col min="4103" max="4103" width="2.109375" style="2308" customWidth="1"/>
    <col min="4104" max="4104" width="23.88671875" style="2308" customWidth="1"/>
    <col min="4105" max="4105" width="2.109375" style="2308" customWidth="1"/>
    <col min="4106" max="4106" width="23.88671875" style="2308" customWidth="1"/>
    <col min="4107" max="4107" width="2.109375" style="2308" customWidth="1"/>
    <col min="4108" max="4108" width="23.88671875" style="2308" customWidth="1"/>
    <col min="4109" max="4109" width="2.109375" style="2308" customWidth="1"/>
    <col min="4110" max="4110" width="23.88671875" style="2308" customWidth="1"/>
    <col min="4111" max="4111" width="2.77734375" style="2308" bestFit="1" customWidth="1"/>
    <col min="4112" max="4350" width="8.88671875" style="2308"/>
    <col min="4351" max="4352" width="8.88671875" style="2308" customWidth="1"/>
    <col min="4353" max="4353" width="10.21875" style="2308" customWidth="1"/>
    <col min="4354" max="4354" width="2.21875" style="2308" customWidth="1"/>
    <col min="4355" max="4355" width="50.44140625" style="2308" customWidth="1"/>
    <col min="4356" max="4356" width="8.88671875" style="2308"/>
    <col min="4357" max="4357" width="2.109375" style="2308" customWidth="1"/>
    <col min="4358" max="4358" width="23.88671875" style="2308" customWidth="1"/>
    <col min="4359" max="4359" width="2.109375" style="2308" customWidth="1"/>
    <col min="4360" max="4360" width="23.88671875" style="2308" customWidth="1"/>
    <col min="4361" max="4361" width="2.109375" style="2308" customWidth="1"/>
    <col min="4362" max="4362" width="23.88671875" style="2308" customWidth="1"/>
    <col min="4363" max="4363" width="2.109375" style="2308" customWidth="1"/>
    <col min="4364" max="4364" width="23.88671875" style="2308" customWidth="1"/>
    <col min="4365" max="4365" width="2.109375" style="2308" customWidth="1"/>
    <col min="4366" max="4366" width="23.88671875" style="2308" customWidth="1"/>
    <col min="4367" max="4367" width="2.77734375" style="2308" bestFit="1" customWidth="1"/>
    <col min="4368" max="4606" width="8.88671875" style="2308"/>
    <col min="4607" max="4608" width="8.88671875" style="2308" customWidth="1"/>
    <col min="4609" max="4609" width="10.21875" style="2308" customWidth="1"/>
    <col min="4610" max="4610" width="2.21875" style="2308" customWidth="1"/>
    <col min="4611" max="4611" width="50.44140625" style="2308" customWidth="1"/>
    <col min="4612" max="4612" width="8.88671875" style="2308"/>
    <col min="4613" max="4613" width="2.109375" style="2308" customWidth="1"/>
    <col min="4614" max="4614" width="23.88671875" style="2308" customWidth="1"/>
    <col min="4615" max="4615" width="2.109375" style="2308" customWidth="1"/>
    <col min="4616" max="4616" width="23.88671875" style="2308" customWidth="1"/>
    <col min="4617" max="4617" width="2.109375" style="2308" customWidth="1"/>
    <col min="4618" max="4618" width="23.88671875" style="2308" customWidth="1"/>
    <col min="4619" max="4619" width="2.109375" style="2308" customWidth="1"/>
    <col min="4620" max="4620" width="23.88671875" style="2308" customWidth="1"/>
    <col min="4621" max="4621" width="2.109375" style="2308" customWidth="1"/>
    <col min="4622" max="4622" width="23.88671875" style="2308" customWidth="1"/>
    <col min="4623" max="4623" width="2.77734375" style="2308" bestFit="1" customWidth="1"/>
    <col min="4624" max="4862" width="8.88671875" style="2308"/>
    <col min="4863" max="4864" width="8.88671875" style="2308" customWidth="1"/>
    <col min="4865" max="4865" width="10.21875" style="2308" customWidth="1"/>
    <col min="4866" max="4866" width="2.21875" style="2308" customWidth="1"/>
    <col min="4867" max="4867" width="50.44140625" style="2308" customWidth="1"/>
    <col min="4868" max="4868" width="8.88671875" style="2308"/>
    <col min="4869" max="4869" width="2.109375" style="2308" customWidth="1"/>
    <col min="4870" max="4870" width="23.88671875" style="2308" customWidth="1"/>
    <col min="4871" max="4871" width="2.109375" style="2308" customWidth="1"/>
    <col min="4872" max="4872" width="23.88671875" style="2308" customWidth="1"/>
    <col min="4873" max="4873" width="2.109375" style="2308" customWidth="1"/>
    <col min="4874" max="4874" width="23.88671875" style="2308" customWidth="1"/>
    <col min="4875" max="4875" width="2.109375" style="2308" customWidth="1"/>
    <col min="4876" max="4876" width="23.88671875" style="2308" customWidth="1"/>
    <col min="4877" max="4877" width="2.109375" style="2308" customWidth="1"/>
    <col min="4878" max="4878" width="23.88671875" style="2308" customWidth="1"/>
    <col min="4879" max="4879" width="2.77734375" style="2308" bestFit="1" customWidth="1"/>
    <col min="4880" max="5118" width="8.88671875" style="2308"/>
    <col min="5119" max="5120" width="8.88671875" style="2308" customWidth="1"/>
    <col min="5121" max="5121" width="10.21875" style="2308" customWidth="1"/>
    <col min="5122" max="5122" width="2.21875" style="2308" customWidth="1"/>
    <col min="5123" max="5123" width="50.44140625" style="2308" customWidth="1"/>
    <col min="5124" max="5124" width="8.88671875" style="2308"/>
    <col min="5125" max="5125" width="2.109375" style="2308" customWidth="1"/>
    <col min="5126" max="5126" width="23.88671875" style="2308" customWidth="1"/>
    <col min="5127" max="5127" width="2.109375" style="2308" customWidth="1"/>
    <col min="5128" max="5128" width="23.88671875" style="2308" customWidth="1"/>
    <col min="5129" max="5129" width="2.109375" style="2308" customWidth="1"/>
    <col min="5130" max="5130" width="23.88671875" style="2308" customWidth="1"/>
    <col min="5131" max="5131" width="2.109375" style="2308" customWidth="1"/>
    <col min="5132" max="5132" width="23.88671875" style="2308" customWidth="1"/>
    <col min="5133" max="5133" width="2.109375" style="2308" customWidth="1"/>
    <col min="5134" max="5134" width="23.88671875" style="2308" customWidth="1"/>
    <col min="5135" max="5135" width="2.77734375" style="2308" bestFit="1" customWidth="1"/>
    <col min="5136" max="5374" width="8.88671875" style="2308"/>
    <col min="5375" max="5376" width="8.88671875" style="2308" customWidth="1"/>
    <col min="5377" max="5377" width="10.21875" style="2308" customWidth="1"/>
    <col min="5378" max="5378" width="2.21875" style="2308" customWidth="1"/>
    <col min="5379" max="5379" width="50.44140625" style="2308" customWidth="1"/>
    <col min="5380" max="5380" width="8.88671875" style="2308"/>
    <col min="5381" max="5381" width="2.109375" style="2308" customWidth="1"/>
    <col min="5382" max="5382" width="23.88671875" style="2308" customWidth="1"/>
    <col min="5383" max="5383" width="2.109375" style="2308" customWidth="1"/>
    <col min="5384" max="5384" width="23.88671875" style="2308" customWidth="1"/>
    <col min="5385" max="5385" width="2.109375" style="2308" customWidth="1"/>
    <col min="5386" max="5386" width="23.88671875" style="2308" customWidth="1"/>
    <col min="5387" max="5387" width="2.109375" style="2308" customWidth="1"/>
    <col min="5388" max="5388" width="23.88671875" style="2308" customWidth="1"/>
    <col min="5389" max="5389" width="2.109375" style="2308" customWidth="1"/>
    <col min="5390" max="5390" width="23.88671875" style="2308" customWidth="1"/>
    <col min="5391" max="5391" width="2.77734375" style="2308" bestFit="1" customWidth="1"/>
    <col min="5392" max="5630" width="8.88671875" style="2308"/>
    <col min="5631" max="5632" width="8.88671875" style="2308" customWidth="1"/>
    <col min="5633" max="5633" width="10.21875" style="2308" customWidth="1"/>
    <col min="5634" max="5634" width="2.21875" style="2308" customWidth="1"/>
    <col min="5635" max="5635" width="50.44140625" style="2308" customWidth="1"/>
    <col min="5636" max="5636" width="8.88671875" style="2308"/>
    <col min="5637" max="5637" width="2.109375" style="2308" customWidth="1"/>
    <col min="5638" max="5638" width="23.88671875" style="2308" customWidth="1"/>
    <col min="5639" max="5639" width="2.109375" style="2308" customWidth="1"/>
    <col min="5640" max="5640" width="23.88671875" style="2308" customWidth="1"/>
    <col min="5641" max="5641" width="2.109375" style="2308" customWidth="1"/>
    <col min="5642" max="5642" width="23.88671875" style="2308" customWidth="1"/>
    <col min="5643" max="5643" width="2.109375" style="2308" customWidth="1"/>
    <col min="5644" max="5644" width="23.88671875" style="2308" customWidth="1"/>
    <col min="5645" max="5645" width="2.109375" style="2308" customWidth="1"/>
    <col min="5646" max="5646" width="23.88671875" style="2308" customWidth="1"/>
    <col min="5647" max="5647" width="2.77734375" style="2308" bestFit="1" customWidth="1"/>
    <col min="5648" max="5886" width="8.88671875" style="2308"/>
    <col min="5887" max="5888" width="8.88671875" style="2308" customWidth="1"/>
    <col min="5889" max="5889" width="10.21875" style="2308" customWidth="1"/>
    <col min="5890" max="5890" width="2.21875" style="2308" customWidth="1"/>
    <col min="5891" max="5891" width="50.44140625" style="2308" customWidth="1"/>
    <col min="5892" max="5892" width="8.88671875" style="2308"/>
    <col min="5893" max="5893" width="2.109375" style="2308" customWidth="1"/>
    <col min="5894" max="5894" width="23.88671875" style="2308" customWidth="1"/>
    <col min="5895" max="5895" width="2.109375" style="2308" customWidth="1"/>
    <col min="5896" max="5896" width="23.88671875" style="2308" customWidth="1"/>
    <col min="5897" max="5897" width="2.109375" style="2308" customWidth="1"/>
    <col min="5898" max="5898" width="23.88671875" style="2308" customWidth="1"/>
    <col min="5899" max="5899" width="2.109375" style="2308" customWidth="1"/>
    <col min="5900" max="5900" width="23.88671875" style="2308" customWidth="1"/>
    <col min="5901" max="5901" width="2.109375" style="2308" customWidth="1"/>
    <col min="5902" max="5902" width="23.88671875" style="2308" customWidth="1"/>
    <col min="5903" max="5903" width="2.77734375" style="2308" bestFit="1" customWidth="1"/>
    <col min="5904" max="6142" width="8.88671875" style="2308"/>
    <col min="6143" max="6144" width="8.88671875" style="2308" customWidth="1"/>
    <col min="6145" max="6145" width="10.21875" style="2308" customWidth="1"/>
    <col min="6146" max="6146" width="2.21875" style="2308" customWidth="1"/>
    <col min="6147" max="6147" width="50.44140625" style="2308" customWidth="1"/>
    <col min="6148" max="6148" width="8.88671875" style="2308"/>
    <col min="6149" max="6149" width="2.109375" style="2308" customWidth="1"/>
    <col min="6150" max="6150" width="23.88671875" style="2308" customWidth="1"/>
    <col min="6151" max="6151" width="2.109375" style="2308" customWidth="1"/>
    <col min="6152" max="6152" width="23.88671875" style="2308" customWidth="1"/>
    <col min="6153" max="6153" width="2.109375" style="2308" customWidth="1"/>
    <col min="6154" max="6154" width="23.88671875" style="2308" customWidth="1"/>
    <col min="6155" max="6155" width="2.109375" style="2308" customWidth="1"/>
    <col min="6156" max="6156" width="23.88671875" style="2308" customWidth="1"/>
    <col min="6157" max="6157" width="2.109375" style="2308" customWidth="1"/>
    <col min="6158" max="6158" width="23.88671875" style="2308" customWidth="1"/>
    <col min="6159" max="6159" width="2.77734375" style="2308" bestFit="1" customWidth="1"/>
    <col min="6160" max="6398" width="8.88671875" style="2308"/>
    <col min="6399" max="6400" width="8.88671875" style="2308" customWidth="1"/>
    <col min="6401" max="6401" width="10.21875" style="2308" customWidth="1"/>
    <col min="6402" max="6402" width="2.21875" style="2308" customWidth="1"/>
    <col min="6403" max="6403" width="50.44140625" style="2308" customWidth="1"/>
    <col min="6404" max="6404" width="8.88671875" style="2308"/>
    <col min="6405" max="6405" width="2.109375" style="2308" customWidth="1"/>
    <col min="6406" max="6406" width="23.88671875" style="2308" customWidth="1"/>
    <col min="6407" max="6407" width="2.109375" style="2308" customWidth="1"/>
    <col min="6408" max="6408" width="23.88671875" style="2308" customWidth="1"/>
    <col min="6409" max="6409" width="2.109375" style="2308" customWidth="1"/>
    <col min="6410" max="6410" width="23.88671875" style="2308" customWidth="1"/>
    <col min="6411" max="6411" width="2.109375" style="2308" customWidth="1"/>
    <col min="6412" max="6412" width="23.88671875" style="2308" customWidth="1"/>
    <col min="6413" max="6413" width="2.109375" style="2308" customWidth="1"/>
    <col min="6414" max="6414" width="23.88671875" style="2308" customWidth="1"/>
    <col min="6415" max="6415" width="2.77734375" style="2308" bestFit="1" customWidth="1"/>
    <col min="6416" max="6654" width="8.88671875" style="2308"/>
    <col min="6655" max="6656" width="8.88671875" style="2308" customWidth="1"/>
    <col min="6657" max="6657" width="10.21875" style="2308" customWidth="1"/>
    <col min="6658" max="6658" width="2.21875" style="2308" customWidth="1"/>
    <col min="6659" max="6659" width="50.44140625" style="2308" customWidth="1"/>
    <col min="6660" max="6660" width="8.88671875" style="2308"/>
    <col min="6661" max="6661" width="2.109375" style="2308" customWidth="1"/>
    <col min="6662" max="6662" width="23.88671875" style="2308" customWidth="1"/>
    <col min="6663" max="6663" width="2.109375" style="2308" customWidth="1"/>
    <col min="6664" max="6664" width="23.88671875" style="2308" customWidth="1"/>
    <col min="6665" max="6665" width="2.109375" style="2308" customWidth="1"/>
    <col min="6666" max="6666" width="23.88671875" style="2308" customWidth="1"/>
    <col min="6667" max="6667" width="2.109375" style="2308" customWidth="1"/>
    <col min="6668" max="6668" width="23.88671875" style="2308" customWidth="1"/>
    <col min="6669" max="6669" width="2.109375" style="2308" customWidth="1"/>
    <col min="6670" max="6670" width="23.88671875" style="2308" customWidth="1"/>
    <col min="6671" max="6671" width="2.77734375" style="2308" bestFit="1" customWidth="1"/>
    <col min="6672" max="6910" width="8.88671875" style="2308"/>
    <col min="6911" max="6912" width="8.88671875" style="2308" customWidth="1"/>
    <col min="6913" max="6913" width="10.21875" style="2308" customWidth="1"/>
    <col min="6914" max="6914" width="2.21875" style="2308" customWidth="1"/>
    <col min="6915" max="6915" width="50.44140625" style="2308" customWidth="1"/>
    <col min="6916" max="6916" width="8.88671875" style="2308"/>
    <col min="6917" max="6917" width="2.109375" style="2308" customWidth="1"/>
    <col min="6918" max="6918" width="23.88671875" style="2308" customWidth="1"/>
    <col min="6919" max="6919" width="2.109375" style="2308" customWidth="1"/>
    <col min="6920" max="6920" width="23.88671875" style="2308" customWidth="1"/>
    <col min="6921" max="6921" width="2.109375" style="2308" customWidth="1"/>
    <col min="6922" max="6922" width="23.88671875" style="2308" customWidth="1"/>
    <col min="6923" max="6923" width="2.109375" style="2308" customWidth="1"/>
    <col min="6924" max="6924" width="23.88671875" style="2308" customWidth="1"/>
    <col min="6925" max="6925" width="2.109375" style="2308" customWidth="1"/>
    <col min="6926" max="6926" width="23.88671875" style="2308" customWidth="1"/>
    <col min="6927" max="6927" width="2.77734375" style="2308" bestFit="1" customWidth="1"/>
    <col min="6928" max="7166" width="8.88671875" style="2308"/>
    <col min="7167" max="7168" width="8.88671875" style="2308" customWidth="1"/>
    <col min="7169" max="7169" width="10.21875" style="2308" customWidth="1"/>
    <col min="7170" max="7170" width="2.21875" style="2308" customWidth="1"/>
    <col min="7171" max="7171" width="50.44140625" style="2308" customWidth="1"/>
    <col min="7172" max="7172" width="8.88671875" style="2308"/>
    <col min="7173" max="7173" width="2.109375" style="2308" customWidth="1"/>
    <col min="7174" max="7174" width="23.88671875" style="2308" customWidth="1"/>
    <col min="7175" max="7175" width="2.109375" style="2308" customWidth="1"/>
    <col min="7176" max="7176" width="23.88671875" style="2308" customWidth="1"/>
    <col min="7177" max="7177" width="2.109375" style="2308" customWidth="1"/>
    <col min="7178" max="7178" width="23.88671875" style="2308" customWidth="1"/>
    <col min="7179" max="7179" width="2.109375" style="2308" customWidth="1"/>
    <col min="7180" max="7180" width="23.88671875" style="2308" customWidth="1"/>
    <col min="7181" max="7181" width="2.109375" style="2308" customWidth="1"/>
    <col min="7182" max="7182" width="23.88671875" style="2308" customWidth="1"/>
    <col min="7183" max="7183" width="2.77734375" style="2308" bestFit="1" customWidth="1"/>
    <col min="7184" max="7422" width="8.88671875" style="2308"/>
    <col min="7423" max="7424" width="8.88671875" style="2308" customWidth="1"/>
    <col min="7425" max="7425" width="10.21875" style="2308" customWidth="1"/>
    <col min="7426" max="7426" width="2.21875" style="2308" customWidth="1"/>
    <col min="7427" max="7427" width="50.44140625" style="2308" customWidth="1"/>
    <col min="7428" max="7428" width="8.88671875" style="2308"/>
    <col min="7429" max="7429" width="2.109375" style="2308" customWidth="1"/>
    <col min="7430" max="7430" width="23.88671875" style="2308" customWidth="1"/>
    <col min="7431" max="7431" width="2.109375" style="2308" customWidth="1"/>
    <col min="7432" max="7432" width="23.88671875" style="2308" customWidth="1"/>
    <col min="7433" max="7433" width="2.109375" style="2308" customWidth="1"/>
    <col min="7434" max="7434" width="23.88671875" style="2308" customWidth="1"/>
    <col min="7435" max="7435" width="2.109375" style="2308" customWidth="1"/>
    <col min="7436" max="7436" width="23.88671875" style="2308" customWidth="1"/>
    <col min="7437" max="7437" width="2.109375" style="2308" customWidth="1"/>
    <col min="7438" max="7438" width="23.88671875" style="2308" customWidth="1"/>
    <col min="7439" max="7439" width="2.77734375" style="2308" bestFit="1" customWidth="1"/>
    <col min="7440" max="7678" width="8.88671875" style="2308"/>
    <col min="7679" max="7680" width="8.88671875" style="2308" customWidth="1"/>
    <col min="7681" max="7681" width="10.21875" style="2308" customWidth="1"/>
    <col min="7682" max="7682" width="2.21875" style="2308" customWidth="1"/>
    <col min="7683" max="7683" width="50.44140625" style="2308" customWidth="1"/>
    <col min="7684" max="7684" width="8.88671875" style="2308"/>
    <col min="7685" max="7685" width="2.109375" style="2308" customWidth="1"/>
    <col min="7686" max="7686" width="23.88671875" style="2308" customWidth="1"/>
    <col min="7687" max="7687" width="2.109375" style="2308" customWidth="1"/>
    <col min="7688" max="7688" width="23.88671875" style="2308" customWidth="1"/>
    <col min="7689" max="7689" width="2.109375" style="2308" customWidth="1"/>
    <col min="7690" max="7690" width="23.88671875" style="2308" customWidth="1"/>
    <col min="7691" max="7691" width="2.109375" style="2308" customWidth="1"/>
    <col min="7692" max="7692" width="23.88671875" style="2308" customWidth="1"/>
    <col min="7693" max="7693" width="2.109375" style="2308" customWidth="1"/>
    <col min="7694" max="7694" width="23.88671875" style="2308" customWidth="1"/>
    <col min="7695" max="7695" width="2.77734375" style="2308" bestFit="1" customWidth="1"/>
    <col min="7696" max="7934" width="8.88671875" style="2308"/>
    <col min="7935" max="7936" width="8.88671875" style="2308" customWidth="1"/>
    <col min="7937" max="7937" width="10.21875" style="2308" customWidth="1"/>
    <col min="7938" max="7938" width="2.21875" style="2308" customWidth="1"/>
    <col min="7939" max="7939" width="50.44140625" style="2308" customWidth="1"/>
    <col min="7940" max="7940" width="8.88671875" style="2308"/>
    <col min="7941" max="7941" width="2.109375" style="2308" customWidth="1"/>
    <col min="7942" max="7942" width="23.88671875" style="2308" customWidth="1"/>
    <col min="7943" max="7943" width="2.109375" style="2308" customWidth="1"/>
    <col min="7944" max="7944" width="23.88671875" style="2308" customWidth="1"/>
    <col min="7945" max="7945" width="2.109375" style="2308" customWidth="1"/>
    <col min="7946" max="7946" width="23.88671875" style="2308" customWidth="1"/>
    <col min="7947" max="7947" width="2.109375" style="2308" customWidth="1"/>
    <col min="7948" max="7948" width="23.88671875" style="2308" customWidth="1"/>
    <col min="7949" max="7949" width="2.109375" style="2308" customWidth="1"/>
    <col min="7950" max="7950" width="23.88671875" style="2308" customWidth="1"/>
    <col min="7951" max="7951" width="2.77734375" style="2308" bestFit="1" customWidth="1"/>
    <col min="7952" max="8190" width="8.88671875" style="2308"/>
    <col min="8191" max="8192" width="8.88671875" style="2308" customWidth="1"/>
    <col min="8193" max="8193" width="10.21875" style="2308" customWidth="1"/>
    <col min="8194" max="8194" width="2.21875" style="2308" customWidth="1"/>
    <col min="8195" max="8195" width="50.44140625" style="2308" customWidth="1"/>
    <col min="8196" max="8196" width="8.88671875" style="2308"/>
    <col min="8197" max="8197" width="2.109375" style="2308" customWidth="1"/>
    <col min="8198" max="8198" width="23.88671875" style="2308" customWidth="1"/>
    <col min="8199" max="8199" width="2.109375" style="2308" customWidth="1"/>
    <col min="8200" max="8200" width="23.88671875" style="2308" customWidth="1"/>
    <col min="8201" max="8201" width="2.109375" style="2308" customWidth="1"/>
    <col min="8202" max="8202" width="23.88671875" style="2308" customWidth="1"/>
    <col min="8203" max="8203" width="2.109375" style="2308" customWidth="1"/>
    <col min="8204" max="8204" width="23.88671875" style="2308" customWidth="1"/>
    <col min="8205" max="8205" width="2.109375" style="2308" customWidth="1"/>
    <col min="8206" max="8206" width="23.88671875" style="2308" customWidth="1"/>
    <col min="8207" max="8207" width="2.77734375" style="2308" bestFit="1" customWidth="1"/>
    <col min="8208" max="8446" width="8.88671875" style="2308"/>
    <col min="8447" max="8448" width="8.88671875" style="2308" customWidth="1"/>
    <col min="8449" max="8449" width="10.21875" style="2308" customWidth="1"/>
    <col min="8450" max="8450" width="2.21875" style="2308" customWidth="1"/>
    <col min="8451" max="8451" width="50.44140625" style="2308" customWidth="1"/>
    <col min="8452" max="8452" width="8.88671875" style="2308"/>
    <col min="8453" max="8453" width="2.109375" style="2308" customWidth="1"/>
    <col min="8454" max="8454" width="23.88671875" style="2308" customWidth="1"/>
    <col min="8455" max="8455" width="2.109375" style="2308" customWidth="1"/>
    <col min="8456" max="8456" width="23.88671875" style="2308" customWidth="1"/>
    <col min="8457" max="8457" width="2.109375" style="2308" customWidth="1"/>
    <col min="8458" max="8458" width="23.88671875" style="2308" customWidth="1"/>
    <col min="8459" max="8459" width="2.109375" style="2308" customWidth="1"/>
    <col min="8460" max="8460" width="23.88671875" style="2308" customWidth="1"/>
    <col min="8461" max="8461" width="2.109375" style="2308" customWidth="1"/>
    <col min="8462" max="8462" width="23.88671875" style="2308" customWidth="1"/>
    <col min="8463" max="8463" width="2.77734375" style="2308" bestFit="1" customWidth="1"/>
    <col min="8464" max="8702" width="8.88671875" style="2308"/>
    <col min="8703" max="8704" width="8.88671875" style="2308" customWidth="1"/>
    <col min="8705" max="8705" width="10.21875" style="2308" customWidth="1"/>
    <col min="8706" max="8706" width="2.21875" style="2308" customWidth="1"/>
    <col min="8707" max="8707" width="50.44140625" style="2308" customWidth="1"/>
    <col min="8708" max="8708" width="8.88671875" style="2308"/>
    <col min="8709" max="8709" width="2.109375" style="2308" customWidth="1"/>
    <col min="8710" max="8710" width="23.88671875" style="2308" customWidth="1"/>
    <col min="8711" max="8711" width="2.109375" style="2308" customWidth="1"/>
    <col min="8712" max="8712" width="23.88671875" style="2308" customWidth="1"/>
    <col min="8713" max="8713" width="2.109375" style="2308" customWidth="1"/>
    <col min="8714" max="8714" width="23.88671875" style="2308" customWidth="1"/>
    <col min="8715" max="8715" width="2.109375" style="2308" customWidth="1"/>
    <col min="8716" max="8716" width="23.88671875" style="2308" customWidth="1"/>
    <col min="8717" max="8717" width="2.109375" style="2308" customWidth="1"/>
    <col min="8718" max="8718" width="23.88671875" style="2308" customWidth="1"/>
    <col min="8719" max="8719" width="2.77734375" style="2308" bestFit="1" customWidth="1"/>
    <col min="8720" max="8958" width="8.88671875" style="2308"/>
    <col min="8959" max="8960" width="8.88671875" style="2308" customWidth="1"/>
    <col min="8961" max="8961" width="10.21875" style="2308" customWidth="1"/>
    <col min="8962" max="8962" width="2.21875" style="2308" customWidth="1"/>
    <col min="8963" max="8963" width="50.44140625" style="2308" customWidth="1"/>
    <col min="8964" max="8964" width="8.88671875" style="2308"/>
    <col min="8965" max="8965" width="2.109375" style="2308" customWidth="1"/>
    <col min="8966" max="8966" width="23.88671875" style="2308" customWidth="1"/>
    <col min="8967" max="8967" width="2.109375" style="2308" customWidth="1"/>
    <col min="8968" max="8968" width="23.88671875" style="2308" customWidth="1"/>
    <col min="8969" max="8969" width="2.109375" style="2308" customWidth="1"/>
    <col min="8970" max="8970" width="23.88671875" style="2308" customWidth="1"/>
    <col min="8971" max="8971" width="2.109375" style="2308" customWidth="1"/>
    <col min="8972" max="8972" width="23.88671875" style="2308" customWidth="1"/>
    <col min="8973" max="8973" width="2.109375" style="2308" customWidth="1"/>
    <col min="8974" max="8974" width="23.88671875" style="2308" customWidth="1"/>
    <col min="8975" max="8975" width="2.77734375" style="2308" bestFit="1" customWidth="1"/>
    <col min="8976" max="9214" width="8.88671875" style="2308"/>
    <col min="9215" max="9216" width="8.88671875" style="2308" customWidth="1"/>
    <col min="9217" max="9217" width="10.21875" style="2308" customWidth="1"/>
    <col min="9218" max="9218" width="2.21875" style="2308" customWidth="1"/>
    <col min="9219" max="9219" width="50.44140625" style="2308" customWidth="1"/>
    <col min="9220" max="9220" width="8.88671875" style="2308"/>
    <col min="9221" max="9221" width="2.109375" style="2308" customWidth="1"/>
    <col min="9222" max="9222" width="23.88671875" style="2308" customWidth="1"/>
    <col min="9223" max="9223" width="2.109375" style="2308" customWidth="1"/>
    <col min="9224" max="9224" width="23.88671875" style="2308" customWidth="1"/>
    <col min="9225" max="9225" width="2.109375" style="2308" customWidth="1"/>
    <col min="9226" max="9226" width="23.88671875" style="2308" customWidth="1"/>
    <col min="9227" max="9227" width="2.109375" style="2308" customWidth="1"/>
    <col min="9228" max="9228" width="23.88671875" style="2308" customWidth="1"/>
    <col min="9229" max="9229" width="2.109375" style="2308" customWidth="1"/>
    <col min="9230" max="9230" width="23.88671875" style="2308" customWidth="1"/>
    <col min="9231" max="9231" width="2.77734375" style="2308" bestFit="1" customWidth="1"/>
    <col min="9232" max="9470" width="8.88671875" style="2308"/>
    <col min="9471" max="9472" width="8.88671875" style="2308" customWidth="1"/>
    <col min="9473" max="9473" width="10.21875" style="2308" customWidth="1"/>
    <col min="9474" max="9474" width="2.21875" style="2308" customWidth="1"/>
    <col min="9475" max="9475" width="50.44140625" style="2308" customWidth="1"/>
    <col min="9476" max="9476" width="8.88671875" style="2308"/>
    <col min="9477" max="9477" width="2.109375" style="2308" customWidth="1"/>
    <col min="9478" max="9478" width="23.88671875" style="2308" customWidth="1"/>
    <col min="9479" max="9479" width="2.109375" style="2308" customWidth="1"/>
    <col min="9480" max="9480" width="23.88671875" style="2308" customWidth="1"/>
    <col min="9481" max="9481" width="2.109375" style="2308" customWidth="1"/>
    <col min="9482" max="9482" width="23.88671875" style="2308" customWidth="1"/>
    <col min="9483" max="9483" width="2.109375" style="2308" customWidth="1"/>
    <col min="9484" max="9484" width="23.88671875" style="2308" customWidth="1"/>
    <col min="9485" max="9485" width="2.109375" style="2308" customWidth="1"/>
    <col min="9486" max="9486" width="23.88671875" style="2308" customWidth="1"/>
    <col min="9487" max="9487" width="2.77734375" style="2308" bestFit="1" customWidth="1"/>
    <col min="9488" max="9726" width="8.88671875" style="2308"/>
    <col min="9727" max="9728" width="8.88671875" style="2308" customWidth="1"/>
    <col min="9729" max="9729" width="10.21875" style="2308" customWidth="1"/>
    <col min="9730" max="9730" width="2.21875" style="2308" customWidth="1"/>
    <col min="9731" max="9731" width="50.44140625" style="2308" customWidth="1"/>
    <col min="9732" max="9732" width="8.88671875" style="2308"/>
    <col min="9733" max="9733" width="2.109375" style="2308" customWidth="1"/>
    <col min="9734" max="9734" width="23.88671875" style="2308" customWidth="1"/>
    <col min="9735" max="9735" width="2.109375" style="2308" customWidth="1"/>
    <col min="9736" max="9736" width="23.88671875" style="2308" customWidth="1"/>
    <col min="9737" max="9737" width="2.109375" style="2308" customWidth="1"/>
    <col min="9738" max="9738" width="23.88671875" style="2308" customWidth="1"/>
    <col min="9739" max="9739" width="2.109375" style="2308" customWidth="1"/>
    <col min="9740" max="9740" width="23.88671875" style="2308" customWidth="1"/>
    <col min="9741" max="9741" width="2.109375" style="2308" customWidth="1"/>
    <col min="9742" max="9742" width="23.88671875" style="2308" customWidth="1"/>
    <col min="9743" max="9743" width="2.77734375" style="2308" bestFit="1" customWidth="1"/>
    <col min="9744" max="9982" width="8.88671875" style="2308"/>
    <col min="9983" max="9984" width="8.88671875" style="2308" customWidth="1"/>
    <col min="9985" max="9985" width="10.21875" style="2308" customWidth="1"/>
    <col min="9986" max="9986" width="2.21875" style="2308" customWidth="1"/>
    <col min="9987" max="9987" width="50.44140625" style="2308" customWidth="1"/>
    <col min="9988" max="9988" width="8.88671875" style="2308"/>
    <col min="9989" max="9989" width="2.109375" style="2308" customWidth="1"/>
    <col min="9990" max="9990" width="23.88671875" style="2308" customWidth="1"/>
    <col min="9991" max="9991" width="2.109375" style="2308" customWidth="1"/>
    <col min="9992" max="9992" width="23.88671875" style="2308" customWidth="1"/>
    <col min="9993" max="9993" width="2.109375" style="2308" customWidth="1"/>
    <col min="9994" max="9994" width="23.88671875" style="2308" customWidth="1"/>
    <col min="9995" max="9995" width="2.109375" style="2308" customWidth="1"/>
    <col min="9996" max="9996" width="23.88671875" style="2308" customWidth="1"/>
    <col min="9997" max="9997" width="2.109375" style="2308" customWidth="1"/>
    <col min="9998" max="9998" width="23.88671875" style="2308" customWidth="1"/>
    <col min="9999" max="9999" width="2.77734375" style="2308" bestFit="1" customWidth="1"/>
    <col min="10000" max="10238" width="8.88671875" style="2308"/>
    <col min="10239" max="10240" width="8.88671875" style="2308" customWidth="1"/>
    <col min="10241" max="10241" width="10.21875" style="2308" customWidth="1"/>
    <col min="10242" max="10242" width="2.21875" style="2308" customWidth="1"/>
    <col min="10243" max="10243" width="50.44140625" style="2308" customWidth="1"/>
    <col min="10244" max="10244" width="8.88671875" style="2308"/>
    <col min="10245" max="10245" width="2.109375" style="2308" customWidth="1"/>
    <col min="10246" max="10246" width="23.88671875" style="2308" customWidth="1"/>
    <col min="10247" max="10247" width="2.109375" style="2308" customWidth="1"/>
    <col min="10248" max="10248" width="23.88671875" style="2308" customWidth="1"/>
    <col min="10249" max="10249" width="2.109375" style="2308" customWidth="1"/>
    <col min="10250" max="10250" width="23.88671875" style="2308" customWidth="1"/>
    <col min="10251" max="10251" width="2.109375" style="2308" customWidth="1"/>
    <col min="10252" max="10252" width="23.88671875" style="2308" customWidth="1"/>
    <col min="10253" max="10253" width="2.109375" style="2308" customWidth="1"/>
    <col min="10254" max="10254" width="23.88671875" style="2308" customWidth="1"/>
    <col min="10255" max="10255" width="2.77734375" style="2308" bestFit="1" customWidth="1"/>
    <col min="10256" max="10494" width="8.88671875" style="2308"/>
    <col min="10495" max="10496" width="8.88671875" style="2308" customWidth="1"/>
    <col min="10497" max="10497" width="10.21875" style="2308" customWidth="1"/>
    <col min="10498" max="10498" width="2.21875" style="2308" customWidth="1"/>
    <col min="10499" max="10499" width="50.44140625" style="2308" customWidth="1"/>
    <col min="10500" max="10500" width="8.88671875" style="2308"/>
    <col min="10501" max="10501" width="2.109375" style="2308" customWidth="1"/>
    <col min="10502" max="10502" width="23.88671875" style="2308" customWidth="1"/>
    <col min="10503" max="10503" width="2.109375" style="2308" customWidth="1"/>
    <col min="10504" max="10504" width="23.88671875" style="2308" customWidth="1"/>
    <col min="10505" max="10505" width="2.109375" style="2308" customWidth="1"/>
    <col min="10506" max="10506" width="23.88671875" style="2308" customWidth="1"/>
    <col min="10507" max="10507" width="2.109375" style="2308" customWidth="1"/>
    <col min="10508" max="10508" width="23.88671875" style="2308" customWidth="1"/>
    <col min="10509" max="10509" width="2.109375" style="2308" customWidth="1"/>
    <col min="10510" max="10510" width="23.88671875" style="2308" customWidth="1"/>
    <col min="10511" max="10511" width="2.77734375" style="2308" bestFit="1" customWidth="1"/>
    <col min="10512" max="10750" width="8.88671875" style="2308"/>
    <col min="10751" max="10752" width="8.88671875" style="2308" customWidth="1"/>
    <col min="10753" max="10753" width="10.21875" style="2308" customWidth="1"/>
    <col min="10754" max="10754" width="2.21875" style="2308" customWidth="1"/>
    <col min="10755" max="10755" width="50.44140625" style="2308" customWidth="1"/>
    <col min="10756" max="10756" width="8.88671875" style="2308"/>
    <col min="10757" max="10757" width="2.109375" style="2308" customWidth="1"/>
    <col min="10758" max="10758" width="23.88671875" style="2308" customWidth="1"/>
    <col min="10759" max="10759" width="2.109375" style="2308" customWidth="1"/>
    <col min="10760" max="10760" width="23.88671875" style="2308" customWidth="1"/>
    <col min="10761" max="10761" width="2.109375" style="2308" customWidth="1"/>
    <col min="10762" max="10762" width="23.88671875" style="2308" customWidth="1"/>
    <col min="10763" max="10763" width="2.109375" style="2308" customWidth="1"/>
    <col min="10764" max="10764" width="23.88671875" style="2308" customWidth="1"/>
    <col min="10765" max="10765" width="2.109375" style="2308" customWidth="1"/>
    <col min="10766" max="10766" width="23.88671875" style="2308" customWidth="1"/>
    <col min="10767" max="10767" width="2.77734375" style="2308" bestFit="1" customWidth="1"/>
    <col min="10768" max="11006" width="8.88671875" style="2308"/>
    <col min="11007" max="11008" width="8.88671875" style="2308" customWidth="1"/>
    <col min="11009" max="11009" width="10.21875" style="2308" customWidth="1"/>
    <col min="11010" max="11010" width="2.21875" style="2308" customWidth="1"/>
    <col min="11011" max="11011" width="50.44140625" style="2308" customWidth="1"/>
    <col min="11012" max="11012" width="8.88671875" style="2308"/>
    <col min="11013" max="11013" width="2.109375" style="2308" customWidth="1"/>
    <col min="11014" max="11014" width="23.88671875" style="2308" customWidth="1"/>
    <col min="11015" max="11015" width="2.109375" style="2308" customWidth="1"/>
    <col min="11016" max="11016" width="23.88671875" style="2308" customWidth="1"/>
    <col min="11017" max="11017" width="2.109375" style="2308" customWidth="1"/>
    <col min="11018" max="11018" width="23.88671875" style="2308" customWidth="1"/>
    <col min="11019" max="11019" width="2.109375" style="2308" customWidth="1"/>
    <col min="11020" max="11020" width="23.88671875" style="2308" customWidth="1"/>
    <col min="11021" max="11021" width="2.109375" style="2308" customWidth="1"/>
    <col min="11022" max="11022" width="23.88671875" style="2308" customWidth="1"/>
    <col min="11023" max="11023" width="2.77734375" style="2308" bestFit="1" customWidth="1"/>
    <col min="11024" max="11262" width="8.88671875" style="2308"/>
    <col min="11263" max="11264" width="8.88671875" style="2308" customWidth="1"/>
    <col min="11265" max="11265" width="10.21875" style="2308" customWidth="1"/>
    <col min="11266" max="11266" width="2.21875" style="2308" customWidth="1"/>
    <col min="11267" max="11267" width="50.44140625" style="2308" customWidth="1"/>
    <col min="11268" max="11268" width="8.88671875" style="2308"/>
    <col min="11269" max="11269" width="2.109375" style="2308" customWidth="1"/>
    <col min="11270" max="11270" width="23.88671875" style="2308" customWidth="1"/>
    <col min="11271" max="11271" width="2.109375" style="2308" customWidth="1"/>
    <col min="11272" max="11272" width="23.88671875" style="2308" customWidth="1"/>
    <col min="11273" max="11273" width="2.109375" style="2308" customWidth="1"/>
    <col min="11274" max="11274" width="23.88671875" style="2308" customWidth="1"/>
    <col min="11275" max="11275" width="2.109375" style="2308" customWidth="1"/>
    <col min="11276" max="11276" width="23.88671875" style="2308" customWidth="1"/>
    <col min="11277" max="11277" width="2.109375" style="2308" customWidth="1"/>
    <col min="11278" max="11278" width="23.88671875" style="2308" customWidth="1"/>
    <col min="11279" max="11279" width="2.77734375" style="2308" bestFit="1" customWidth="1"/>
    <col min="11280" max="11518" width="8.88671875" style="2308"/>
    <col min="11519" max="11520" width="8.88671875" style="2308" customWidth="1"/>
    <col min="11521" max="11521" width="10.21875" style="2308" customWidth="1"/>
    <col min="11522" max="11522" width="2.21875" style="2308" customWidth="1"/>
    <col min="11523" max="11523" width="50.44140625" style="2308" customWidth="1"/>
    <col min="11524" max="11524" width="8.88671875" style="2308"/>
    <col min="11525" max="11525" width="2.109375" style="2308" customWidth="1"/>
    <col min="11526" max="11526" width="23.88671875" style="2308" customWidth="1"/>
    <col min="11527" max="11527" width="2.109375" style="2308" customWidth="1"/>
    <col min="11528" max="11528" width="23.88671875" style="2308" customWidth="1"/>
    <col min="11529" max="11529" width="2.109375" style="2308" customWidth="1"/>
    <col min="11530" max="11530" width="23.88671875" style="2308" customWidth="1"/>
    <col min="11531" max="11531" width="2.109375" style="2308" customWidth="1"/>
    <col min="11532" max="11532" width="23.88671875" style="2308" customWidth="1"/>
    <col min="11533" max="11533" width="2.109375" style="2308" customWidth="1"/>
    <col min="11534" max="11534" width="23.88671875" style="2308" customWidth="1"/>
    <col min="11535" max="11535" width="2.77734375" style="2308" bestFit="1" customWidth="1"/>
    <col min="11536" max="11774" width="8.88671875" style="2308"/>
    <col min="11775" max="11776" width="8.88671875" style="2308" customWidth="1"/>
    <col min="11777" max="11777" width="10.21875" style="2308" customWidth="1"/>
    <col min="11778" max="11778" width="2.21875" style="2308" customWidth="1"/>
    <col min="11779" max="11779" width="50.44140625" style="2308" customWidth="1"/>
    <col min="11780" max="11780" width="8.88671875" style="2308"/>
    <col min="11781" max="11781" width="2.109375" style="2308" customWidth="1"/>
    <col min="11782" max="11782" width="23.88671875" style="2308" customWidth="1"/>
    <col min="11783" max="11783" width="2.109375" style="2308" customWidth="1"/>
    <col min="11784" max="11784" width="23.88671875" style="2308" customWidth="1"/>
    <col min="11785" max="11785" width="2.109375" style="2308" customWidth="1"/>
    <col min="11786" max="11786" width="23.88671875" style="2308" customWidth="1"/>
    <col min="11787" max="11787" width="2.109375" style="2308" customWidth="1"/>
    <col min="11788" max="11788" width="23.88671875" style="2308" customWidth="1"/>
    <col min="11789" max="11789" width="2.109375" style="2308" customWidth="1"/>
    <col min="11790" max="11790" width="23.88671875" style="2308" customWidth="1"/>
    <col min="11791" max="11791" width="2.77734375" style="2308" bestFit="1" customWidth="1"/>
    <col min="11792" max="12030" width="8.88671875" style="2308"/>
    <col min="12031" max="12032" width="8.88671875" style="2308" customWidth="1"/>
    <col min="12033" max="12033" width="10.21875" style="2308" customWidth="1"/>
    <col min="12034" max="12034" width="2.21875" style="2308" customWidth="1"/>
    <col min="12035" max="12035" width="50.44140625" style="2308" customWidth="1"/>
    <col min="12036" max="12036" width="8.88671875" style="2308"/>
    <col min="12037" max="12037" width="2.109375" style="2308" customWidth="1"/>
    <col min="12038" max="12038" width="23.88671875" style="2308" customWidth="1"/>
    <col min="12039" max="12039" width="2.109375" style="2308" customWidth="1"/>
    <col min="12040" max="12040" width="23.88671875" style="2308" customWidth="1"/>
    <col min="12041" max="12041" width="2.109375" style="2308" customWidth="1"/>
    <col min="12042" max="12042" width="23.88671875" style="2308" customWidth="1"/>
    <col min="12043" max="12043" width="2.109375" style="2308" customWidth="1"/>
    <col min="12044" max="12044" width="23.88671875" style="2308" customWidth="1"/>
    <col min="12045" max="12045" width="2.109375" style="2308" customWidth="1"/>
    <col min="12046" max="12046" width="23.88671875" style="2308" customWidth="1"/>
    <col min="12047" max="12047" width="2.77734375" style="2308" bestFit="1" customWidth="1"/>
    <col min="12048" max="12286" width="8.88671875" style="2308"/>
    <col min="12287" max="12288" width="8.88671875" style="2308" customWidth="1"/>
    <col min="12289" max="12289" width="10.21875" style="2308" customWidth="1"/>
    <col min="12290" max="12290" width="2.21875" style="2308" customWidth="1"/>
    <col min="12291" max="12291" width="50.44140625" style="2308" customWidth="1"/>
    <col min="12292" max="12292" width="8.88671875" style="2308"/>
    <col min="12293" max="12293" width="2.109375" style="2308" customWidth="1"/>
    <col min="12294" max="12294" width="23.88671875" style="2308" customWidth="1"/>
    <col min="12295" max="12295" width="2.109375" style="2308" customWidth="1"/>
    <col min="12296" max="12296" width="23.88671875" style="2308" customWidth="1"/>
    <col min="12297" max="12297" width="2.109375" style="2308" customWidth="1"/>
    <col min="12298" max="12298" width="23.88671875" style="2308" customWidth="1"/>
    <col min="12299" max="12299" width="2.109375" style="2308" customWidth="1"/>
    <col min="12300" max="12300" width="23.88671875" style="2308" customWidth="1"/>
    <col min="12301" max="12301" width="2.109375" style="2308" customWidth="1"/>
    <col min="12302" max="12302" width="23.88671875" style="2308" customWidth="1"/>
    <col min="12303" max="12303" width="2.77734375" style="2308" bestFit="1" customWidth="1"/>
    <col min="12304" max="12542" width="8.88671875" style="2308"/>
    <col min="12543" max="12544" width="8.88671875" style="2308" customWidth="1"/>
    <col min="12545" max="12545" width="10.21875" style="2308" customWidth="1"/>
    <col min="12546" max="12546" width="2.21875" style="2308" customWidth="1"/>
    <col min="12547" max="12547" width="50.44140625" style="2308" customWidth="1"/>
    <col min="12548" max="12548" width="8.88671875" style="2308"/>
    <col min="12549" max="12549" width="2.109375" style="2308" customWidth="1"/>
    <col min="12550" max="12550" width="23.88671875" style="2308" customWidth="1"/>
    <col min="12551" max="12551" width="2.109375" style="2308" customWidth="1"/>
    <col min="12552" max="12552" width="23.88671875" style="2308" customWidth="1"/>
    <col min="12553" max="12553" width="2.109375" style="2308" customWidth="1"/>
    <col min="12554" max="12554" width="23.88671875" style="2308" customWidth="1"/>
    <col min="12555" max="12555" width="2.109375" style="2308" customWidth="1"/>
    <col min="12556" max="12556" width="23.88671875" style="2308" customWidth="1"/>
    <col min="12557" max="12557" width="2.109375" style="2308" customWidth="1"/>
    <col min="12558" max="12558" width="23.88671875" style="2308" customWidth="1"/>
    <col min="12559" max="12559" width="2.77734375" style="2308" bestFit="1" customWidth="1"/>
    <col min="12560" max="12798" width="8.88671875" style="2308"/>
    <col min="12799" max="12800" width="8.88671875" style="2308" customWidth="1"/>
    <col min="12801" max="12801" width="10.21875" style="2308" customWidth="1"/>
    <col min="12802" max="12802" width="2.21875" style="2308" customWidth="1"/>
    <col min="12803" max="12803" width="50.44140625" style="2308" customWidth="1"/>
    <col min="12804" max="12804" width="8.88671875" style="2308"/>
    <col min="12805" max="12805" width="2.109375" style="2308" customWidth="1"/>
    <col min="12806" max="12806" width="23.88671875" style="2308" customWidth="1"/>
    <col min="12807" max="12807" width="2.109375" style="2308" customWidth="1"/>
    <col min="12808" max="12808" width="23.88671875" style="2308" customWidth="1"/>
    <col min="12809" max="12809" width="2.109375" style="2308" customWidth="1"/>
    <col min="12810" max="12810" width="23.88671875" style="2308" customWidth="1"/>
    <col min="12811" max="12811" width="2.109375" style="2308" customWidth="1"/>
    <col min="12812" max="12812" width="23.88671875" style="2308" customWidth="1"/>
    <col min="12813" max="12813" width="2.109375" style="2308" customWidth="1"/>
    <col min="12814" max="12814" width="23.88671875" style="2308" customWidth="1"/>
    <col min="12815" max="12815" width="2.77734375" style="2308" bestFit="1" customWidth="1"/>
    <col min="12816" max="13054" width="8.88671875" style="2308"/>
    <col min="13055" max="13056" width="8.88671875" style="2308" customWidth="1"/>
    <col min="13057" max="13057" width="10.21875" style="2308" customWidth="1"/>
    <col min="13058" max="13058" width="2.21875" style="2308" customWidth="1"/>
    <col min="13059" max="13059" width="50.44140625" style="2308" customWidth="1"/>
    <col min="13060" max="13060" width="8.88671875" style="2308"/>
    <col min="13061" max="13061" width="2.109375" style="2308" customWidth="1"/>
    <col min="13062" max="13062" width="23.88671875" style="2308" customWidth="1"/>
    <col min="13063" max="13063" width="2.109375" style="2308" customWidth="1"/>
    <col min="13064" max="13064" width="23.88671875" style="2308" customWidth="1"/>
    <col min="13065" max="13065" width="2.109375" style="2308" customWidth="1"/>
    <col min="13066" max="13066" width="23.88671875" style="2308" customWidth="1"/>
    <col min="13067" max="13067" width="2.109375" style="2308" customWidth="1"/>
    <col min="13068" max="13068" width="23.88671875" style="2308" customWidth="1"/>
    <col min="13069" max="13069" width="2.109375" style="2308" customWidth="1"/>
    <col min="13070" max="13070" width="23.88671875" style="2308" customWidth="1"/>
    <col min="13071" max="13071" width="2.77734375" style="2308" bestFit="1" customWidth="1"/>
    <col min="13072" max="13310" width="8.88671875" style="2308"/>
    <col min="13311" max="13312" width="8.88671875" style="2308" customWidth="1"/>
    <col min="13313" max="13313" width="10.21875" style="2308" customWidth="1"/>
    <col min="13314" max="13314" width="2.21875" style="2308" customWidth="1"/>
    <col min="13315" max="13315" width="50.44140625" style="2308" customWidth="1"/>
    <col min="13316" max="13316" width="8.88671875" style="2308"/>
    <col min="13317" max="13317" width="2.109375" style="2308" customWidth="1"/>
    <col min="13318" max="13318" width="23.88671875" style="2308" customWidth="1"/>
    <col min="13319" max="13319" width="2.109375" style="2308" customWidth="1"/>
    <col min="13320" max="13320" width="23.88671875" style="2308" customWidth="1"/>
    <col min="13321" max="13321" width="2.109375" style="2308" customWidth="1"/>
    <col min="13322" max="13322" width="23.88671875" style="2308" customWidth="1"/>
    <col min="13323" max="13323" width="2.109375" style="2308" customWidth="1"/>
    <col min="13324" max="13324" width="23.88671875" style="2308" customWidth="1"/>
    <col min="13325" max="13325" width="2.109375" style="2308" customWidth="1"/>
    <col min="13326" max="13326" width="23.88671875" style="2308" customWidth="1"/>
    <col min="13327" max="13327" width="2.77734375" style="2308" bestFit="1" customWidth="1"/>
    <col min="13328" max="13566" width="8.88671875" style="2308"/>
    <col min="13567" max="13568" width="8.88671875" style="2308" customWidth="1"/>
    <col min="13569" max="13569" width="10.21875" style="2308" customWidth="1"/>
    <col min="13570" max="13570" width="2.21875" style="2308" customWidth="1"/>
    <col min="13571" max="13571" width="50.44140625" style="2308" customWidth="1"/>
    <col min="13572" max="13572" width="8.88671875" style="2308"/>
    <col min="13573" max="13573" width="2.109375" style="2308" customWidth="1"/>
    <col min="13574" max="13574" width="23.88671875" style="2308" customWidth="1"/>
    <col min="13575" max="13575" width="2.109375" style="2308" customWidth="1"/>
    <col min="13576" max="13576" width="23.88671875" style="2308" customWidth="1"/>
    <col min="13577" max="13577" width="2.109375" style="2308" customWidth="1"/>
    <col min="13578" max="13578" width="23.88671875" style="2308" customWidth="1"/>
    <col min="13579" max="13579" width="2.109375" style="2308" customWidth="1"/>
    <col min="13580" max="13580" width="23.88671875" style="2308" customWidth="1"/>
    <col min="13581" max="13581" width="2.109375" style="2308" customWidth="1"/>
    <col min="13582" max="13582" width="23.88671875" style="2308" customWidth="1"/>
    <col min="13583" max="13583" width="2.77734375" style="2308" bestFit="1" customWidth="1"/>
    <col min="13584" max="13822" width="8.88671875" style="2308"/>
    <col min="13823" max="13824" width="8.88671875" style="2308" customWidth="1"/>
    <col min="13825" max="13825" width="10.21875" style="2308" customWidth="1"/>
    <col min="13826" max="13826" width="2.21875" style="2308" customWidth="1"/>
    <col min="13827" max="13827" width="50.44140625" style="2308" customWidth="1"/>
    <col min="13828" max="13828" width="8.88671875" style="2308"/>
    <col min="13829" max="13829" width="2.109375" style="2308" customWidth="1"/>
    <col min="13830" max="13830" width="23.88671875" style="2308" customWidth="1"/>
    <col min="13831" max="13831" width="2.109375" style="2308" customWidth="1"/>
    <col min="13832" max="13832" width="23.88671875" style="2308" customWidth="1"/>
    <col min="13833" max="13833" width="2.109375" style="2308" customWidth="1"/>
    <col min="13834" max="13834" width="23.88671875" style="2308" customWidth="1"/>
    <col min="13835" max="13835" width="2.109375" style="2308" customWidth="1"/>
    <col min="13836" max="13836" width="23.88671875" style="2308" customWidth="1"/>
    <col min="13837" max="13837" width="2.109375" style="2308" customWidth="1"/>
    <col min="13838" max="13838" width="23.88671875" style="2308" customWidth="1"/>
    <col min="13839" max="13839" width="2.77734375" style="2308" bestFit="1" customWidth="1"/>
    <col min="13840" max="14078" width="8.88671875" style="2308"/>
    <col min="14079" max="14080" width="8.88671875" style="2308" customWidth="1"/>
    <col min="14081" max="14081" width="10.21875" style="2308" customWidth="1"/>
    <col min="14082" max="14082" width="2.21875" style="2308" customWidth="1"/>
    <col min="14083" max="14083" width="50.44140625" style="2308" customWidth="1"/>
    <col min="14084" max="14084" width="8.88671875" style="2308"/>
    <col min="14085" max="14085" width="2.109375" style="2308" customWidth="1"/>
    <col min="14086" max="14086" width="23.88671875" style="2308" customWidth="1"/>
    <col min="14087" max="14087" width="2.109375" style="2308" customWidth="1"/>
    <col min="14088" max="14088" width="23.88671875" style="2308" customWidth="1"/>
    <col min="14089" max="14089" width="2.109375" style="2308" customWidth="1"/>
    <col min="14090" max="14090" width="23.88671875" style="2308" customWidth="1"/>
    <col min="14091" max="14091" width="2.109375" style="2308" customWidth="1"/>
    <col min="14092" max="14092" width="23.88671875" style="2308" customWidth="1"/>
    <col min="14093" max="14093" width="2.109375" style="2308" customWidth="1"/>
    <col min="14094" max="14094" width="23.88671875" style="2308" customWidth="1"/>
    <col min="14095" max="14095" width="2.77734375" style="2308" bestFit="1" customWidth="1"/>
    <col min="14096" max="14334" width="8.88671875" style="2308"/>
    <col min="14335" max="14336" width="8.88671875" style="2308" customWidth="1"/>
    <col min="14337" max="14337" width="10.21875" style="2308" customWidth="1"/>
    <col min="14338" max="14338" width="2.21875" style="2308" customWidth="1"/>
    <col min="14339" max="14339" width="50.44140625" style="2308" customWidth="1"/>
    <col min="14340" max="14340" width="8.88671875" style="2308"/>
    <col min="14341" max="14341" width="2.109375" style="2308" customWidth="1"/>
    <col min="14342" max="14342" width="23.88671875" style="2308" customWidth="1"/>
    <col min="14343" max="14343" width="2.109375" style="2308" customWidth="1"/>
    <col min="14344" max="14344" width="23.88671875" style="2308" customWidth="1"/>
    <col min="14345" max="14345" width="2.109375" style="2308" customWidth="1"/>
    <col min="14346" max="14346" width="23.88671875" style="2308" customWidth="1"/>
    <col min="14347" max="14347" width="2.109375" style="2308" customWidth="1"/>
    <col min="14348" max="14348" width="23.88671875" style="2308" customWidth="1"/>
    <col min="14349" max="14349" width="2.109375" style="2308" customWidth="1"/>
    <col min="14350" max="14350" width="23.88671875" style="2308" customWidth="1"/>
    <col min="14351" max="14351" width="2.77734375" style="2308" bestFit="1" customWidth="1"/>
    <col min="14352" max="14590" width="8.88671875" style="2308"/>
    <col min="14591" max="14592" width="8.88671875" style="2308" customWidth="1"/>
    <col min="14593" max="14593" width="10.21875" style="2308" customWidth="1"/>
    <col min="14594" max="14594" width="2.21875" style="2308" customWidth="1"/>
    <col min="14595" max="14595" width="50.44140625" style="2308" customWidth="1"/>
    <col min="14596" max="14596" width="8.88671875" style="2308"/>
    <col min="14597" max="14597" width="2.109375" style="2308" customWidth="1"/>
    <col min="14598" max="14598" width="23.88671875" style="2308" customWidth="1"/>
    <col min="14599" max="14599" width="2.109375" style="2308" customWidth="1"/>
    <col min="14600" max="14600" width="23.88671875" style="2308" customWidth="1"/>
    <col min="14601" max="14601" width="2.109375" style="2308" customWidth="1"/>
    <col min="14602" max="14602" width="23.88671875" style="2308" customWidth="1"/>
    <col min="14603" max="14603" width="2.109375" style="2308" customWidth="1"/>
    <col min="14604" max="14604" width="23.88671875" style="2308" customWidth="1"/>
    <col min="14605" max="14605" width="2.109375" style="2308" customWidth="1"/>
    <col min="14606" max="14606" width="23.88671875" style="2308" customWidth="1"/>
    <col min="14607" max="14607" width="2.77734375" style="2308" bestFit="1" customWidth="1"/>
    <col min="14608" max="14846" width="8.88671875" style="2308"/>
    <col min="14847" max="14848" width="8.88671875" style="2308" customWidth="1"/>
    <col min="14849" max="14849" width="10.21875" style="2308" customWidth="1"/>
    <col min="14850" max="14850" width="2.21875" style="2308" customWidth="1"/>
    <col min="14851" max="14851" width="50.44140625" style="2308" customWidth="1"/>
    <col min="14852" max="14852" width="8.88671875" style="2308"/>
    <col min="14853" max="14853" width="2.109375" style="2308" customWidth="1"/>
    <col min="14854" max="14854" width="23.88671875" style="2308" customWidth="1"/>
    <col min="14855" max="14855" width="2.109375" style="2308" customWidth="1"/>
    <col min="14856" max="14856" width="23.88671875" style="2308" customWidth="1"/>
    <col min="14857" max="14857" width="2.109375" style="2308" customWidth="1"/>
    <col min="14858" max="14858" width="23.88671875" style="2308" customWidth="1"/>
    <col min="14859" max="14859" width="2.109375" style="2308" customWidth="1"/>
    <col min="14860" max="14860" width="23.88671875" style="2308" customWidth="1"/>
    <col min="14861" max="14861" width="2.109375" style="2308" customWidth="1"/>
    <col min="14862" max="14862" width="23.88671875" style="2308" customWidth="1"/>
    <col min="14863" max="14863" width="2.77734375" style="2308" bestFit="1" customWidth="1"/>
    <col min="14864" max="15102" width="8.88671875" style="2308"/>
    <col min="15103" max="15104" width="8.88671875" style="2308" customWidth="1"/>
    <col min="15105" max="15105" width="10.21875" style="2308" customWidth="1"/>
    <col min="15106" max="15106" width="2.21875" style="2308" customWidth="1"/>
    <col min="15107" max="15107" width="50.44140625" style="2308" customWidth="1"/>
    <col min="15108" max="15108" width="8.88671875" style="2308"/>
    <col min="15109" max="15109" width="2.109375" style="2308" customWidth="1"/>
    <col min="15110" max="15110" width="23.88671875" style="2308" customWidth="1"/>
    <col min="15111" max="15111" width="2.109375" style="2308" customWidth="1"/>
    <col min="15112" max="15112" width="23.88671875" style="2308" customWidth="1"/>
    <col min="15113" max="15113" width="2.109375" style="2308" customWidth="1"/>
    <col min="15114" max="15114" width="23.88671875" style="2308" customWidth="1"/>
    <col min="15115" max="15115" width="2.109375" style="2308" customWidth="1"/>
    <col min="15116" max="15116" width="23.88671875" style="2308" customWidth="1"/>
    <col min="15117" max="15117" width="2.109375" style="2308" customWidth="1"/>
    <col min="15118" max="15118" width="23.88671875" style="2308" customWidth="1"/>
    <col min="15119" max="15119" width="2.77734375" style="2308" bestFit="1" customWidth="1"/>
    <col min="15120" max="15358" width="8.88671875" style="2308"/>
    <col min="15359" max="15360" width="8.88671875" style="2308" customWidth="1"/>
    <col min="15361" max="15361" width="10.21875" style="2308" customWidth="1"/>
    <col min="15362" max="15362" width="2.21875" style="2308" customWidth="1"/>
    <col min="15363" max="15363" width="50.44140625" style="2308" customWidth="1"/>
    <col min="15364" max="15364" width="8.88671875" style="2308"/>
    <col min="15365" max="15365" width="2.109375" style="2308" customWidth="1"/>
    <col min="15366" max="15366" width="23.88671875" style="2308" customWidth="1"/>
    <col min="15367" max="15367" width="2.109375" style="2308" customWidth="1"/>
    <col min="15368" max="15368" width="23.88671875" style="2308" customWidth="1"/>
    <col min="15369" max="15369" width="2.109375" style="2308" customWidth="1"/>
    <col min="15370" max="15370" width="23.88671875" style="2308" customWidth="1"/>
    <col min="15371" max="15371" width="2.109375" style="2308" customWidth="1"/>
    <col min="15372" max="15372" width="23.88671875" style="2308" customWidth="1"/>
    <col min="15373" max="15373" width="2.109375" style="2308" customWidth="1"/>
    <col min="15374" max="15374" width="23.88671875" style="2308" customWidth="1"/>
    <col min="15375" max="15375" width="2.77734375" style="2308" bestFit="1" customWidth="1"/>
    <col min="15376" max="15614" width="8.88671875" style="2308"/>
    <col min="15615" max="15616" width="8.88671875" style="2308" customWidth="1"/>
    <col min="15617" max="15617" width="10.21875" style="2308" customWidth="1"/>
    <col min="15618" max="15618" width="2.21875" style="2308" customWidth="1"/>
    <col min="15619" max="15619" width="50.44140625" style="2308" customWidth="1"/>
    <col min="15620" max="15620" width="8.88671875" style="2308"/>
    <col min="15621" max="15621" width="2.109375" style="2308" customWidth="1"/>
    <col min="15622" max="15622" width="23.88671875" style="2308" customWidth="1"/>
    <col min="15623" max="15623" width="2.109375" style="2308" customWidth="1"/>
    <col min="15624" max="15624" width="23.88671875" style="2308" customWidth="1"/>
    <col min="15625" max="15625" width="2.109375" style="2308" customWidth="1"/>
    <col min="15626" max="15626" width="23.88671875" style="2308" customWidth="1"/>
    <col min="15627" max="15627" width="2.109375" style="2308" customWidth="1"/>
    <col min="15628" max="15628" width="23.88671875" style="2308" customWidth="1"/>
    <col min="15629" max="15629" width="2.109375" style="2308" customWidth="1"/>
    <col min="15630" max="15630" width="23.88671875" style="2308" customWidth="1"/>
    <col min="15631" max="15631" width="2.77734375" style="2308" bestFit="1" customWidth="1"/>
    <col min="15632" max="15870" width="8.88671875" style="2308"/>
    <col min="15871" max="15872" width="8.88671875" style="2308" customWidth="1"/>
    <col min="15873" max="15873" width="10.21875" style="2308" customWidth="1"/>
    <col min="15874" max="15874" width="2.21875" style="2308" customWidth="1"/>
    <col min="15875" max="15875" width="50.44140625" style="2308" customWidth="1"/>
    <col min="15876" max="15876" width="8.88671875" style="2308"/>
    <col min="15877" max="15877" width="2.109375" style="2308" customWidth="1"/>
    <col min="15878" max="15878" width="23.88671875" style="2308" customWidth="1"/>
    <col min="15879" max="15879" width="2.109375" style="2308" customWidth="1"/>
    <col min="15880" max="15880" width="23.88671875" style="2308" customWidth="1"/>
    <col min="15881" max="15881" width="2.109375" style="2308" customWidth="1"/>
    <col min="15882" max="15882" width="23.88671875" style="2308" customWidth="1"/>
    <col min="15883" max="15883" width="2.109375" style="2308" customWidth="1"/>
    <col min="15884" max="15884" width="23.88671875" style="2308" customWidth="1"/>
    <col min="15885" max="15885" width="2.109375" style="2308" customWidth="1"/>
    <col min="15886" max="15886" width="23.88671875" style="2308" customWidth="1"/>
    <col min="15887" max="15887" width="2.77734375" style="2308" bestFit="1" customWidth="1"/>
    <col min="15888" max="16126" width="8.88671875" style="2308"/>
    <col min="16127" max="16128" width="8.88671875" style="2308" customWidth="1"/>
    <col min="16129" max="16129" width="10.21875" style="2308" customWidth="1"/>
    <col min="16130" max="16130" width="2.21875" style="2308" customWidth="1"/>
    <col min="16131" max="16131" width="50.44140625" style="2308" customWidth="1"/>
    <col min="16132" max="16132" width="8.88671875" style="2308"/>
    <col min="16133" max="16133" width="2.109375" style="2308" customWidth="1"/>
    <col min="16134" max="16134" width="23.88671875" style="2308" customWidth="1"/>
    <col min="16135" max="16135" width="2.109375" style="2308" customWidth="1"/>
    <col min="16136" max="16136" width="23.88671875" style="2308" customWidth="1"/>
    <col min="16137" max="16137" width="2.109375" style="2308" customWidth="1"/>
    <col min="16138" max="16138" width="23.88671875" style="2308" customWidth="1"/>
    <col min="16139" max="16139" width="2.109375" style="2308" customWidth="1"/>
    <col min="16140" max="16140" width="23.88671875" style="2308" customWidth="1"/>
    <col min="16141" max="16141" width="2.109375" style="2308" customWidth="1"/>
    <col min="16142" max="16142" width="23.88671875" style="2308" customWidth="1"/>
    <col min="16143" max="16143" width="2.77734375" style="2308" bestFit="1" customWidth="1"/>
    <col min="16144" max="16384" width="8.88671875" style="2308"/>
  </cols>
  <sheetData>
    <row r="1" spans="2:16" ht="15.75">
      <c r="B1" s="1792"/>
      <c r="C1" s="2306"/>
      <c r="D1" s="1159" t="s">
        <v>1090</v>
      </c>
      <c r="E1" s="2306"/>
      <c r="F1" s="2307"/>
      <c r="G1" s="1792"/>
      <c r="H1" s="1792"/>
      <c r="I1" s="1792"/>
      <c r="J1" s="2306"/>
      <c r="L1" s="2306"/>
      <c r="M1" s="1792"/>
      <c r="N1" s="2306"/>
      <c r="P1" s="1263"/>
    </row>
    <row r="2" spans="2:16" ht="15.75">
      <c r="B2" s="1792"/>
      <c r="C2" s="2306"/>
      <c r="D2" s="1792"/>
      <c r="E2" s="2306"/>
      <c r="F2" s="2307"/>
      <c r="G2" s="1792"/>
      <c r="H2" s="1792"/>
      <c r="I2" s="1792"/>
      <c r="J2" s="2306"/>
      <c r="K2" s="2540"/>
      <c r="L2" s="2306"/>
      <c r="M2" s="1792"/>
      <c r="N2" s="2306"/>
      <c r="O2" s="2540" t="s">
        <v>634</v>
      </c>
      <c r="P2" s="1263"/>
    </row>
    <row r="3" spans="2:16" ht="15.75">
      <c r="B3" s="1792"/>
      <c r="C3" s="2306"/>
      <c r="D3" s="1792"/>
      <c r="E3" s="2306"/>
      <c r="F3" s="2307"/>
      <c r="G3" s="1792"/>
      <c r="H3" s="1792"/>
      <c r="I3" s="1792"/>
      <c r="J3" s="2306"/>
      <c r="K3" s="1264"/>
      <c r="L3" s="2306"/>
      <c r="M3" s="1792"/>
      <c r="N3" s="2306"/>
      <c r="O3" s="1264"/>
      <c r="P3" s="1265"/>
    </row>
    <row r="4" spans="2:16" ht="18">
      <c r="B4" s="1186"/>
      <c r="C4" s="1266"/>
      <c r="D4" s="1192" t="s">
        <v>0</v>
      </c>
      <c r="E4" s="1266"/>
      <c r="F4" s="1266"/>
      <c r="G4"/>
      <c r="H4"/>
      <c r="I4"/>
      <c r="J4" s="1188"/>
      <c r="K4" s="2541"/>
      <c r="L4" s="1267"/>
      <c r="M4" s="1188"/>
      <c r="N4" s="1188"/>
      <c r="O4" s="2541"/>
      <c r="P4" s="1268"/>
    </row>
    <row r="5" spans="2:16" ht="18">
      <c r="B5" s="1186"/>
      <c r="C5" s="1266"/>
      <c r="D5" s="1192" t="s">
        <v>1475</v>
      </c>
      <c r="E5" s="1266"/>
      <c r="F5" s="1266"/>
      <c r="G5"/>
      <c r="H5"/>
      <c r="I5"/>
      <c r="J5" s="1189"/>
      <c r="K5" s="1189"/>
      <c r="L5" s="1267"/>
      <c r="M5" s="1189"/>
      <c r="N5" s="1189"/>
      <c r="O5" s="1189"/>
      <c r="P5" s="1269"/>
    </row>
    <row r="6" spans="2:16" ht="15.75">
      <c r="B6" s="1186"/>
      <c r="C6" s="1266"/>
      <c r="D6" s="1187"/>
      <c r="E6" s="1266"/>
      <c r="F6" s="1266"/>
      <c r="G6"/>
      <c r="H6"/>
      <c r="I6"/>
      <c r="J6" s="1190"/>
      <c r="K6" s="1190"/>
      <c r="L6" s="1267"/>
      <c r="M6" s="1190"/>
      <c r="N6" s="1190"/>
      <c r="O6" s="1190"/>
      <c r="P6" s="1270"/>
    </row>
    <row r="7" spans="2:16" ht="15.75">
      <c r="B7" s="1186"/>
      <c r="C7" s="1271"/>
      <c r="D7" s="1185"/>
      <c r="E7" s="1272"/>
      <c r="F7" s="1272"/>
      <c r="G7"/>
      <c r="H7"/>
      <c r="I7"/>
      <c r="J7" s="1191"/>
      <c r="K7" s="1191"/>
      <c r="L7" s="1267"/>
      <c r="M7" s="1191"/>
      <c r="N7" s="1191"/>
      <c r="O7" s="1191"/>
      <c r="P7" s="1273"/>
    </row>
    <row r="8" spans="2:16" s="965" customFormat="1" ht="16.5" thickBot="1">
      <c r="B8" s="1193" t="s">
        <v>657</v>
      </c>
      <c r="C8" s="1575"/>
      <c r="D8" s="1194" t="s">
        <v>658</v>
      </c>
      <c r="E8" s="1194"/>
      <c r="F8" s="1194"/>
      <c r="G8" s="2309">
        <v>42674</v>
      </c>
      <c r="H8" s="1577"/>
      <c r="I8" s="2309">
        <v>42704</v>
      </c>
      <c r="J8" s="1577"/>
      <c r="K8" s="3465">
        <v>42735</v>
      </c>
      <c r="L8" s="1576"/>
      <c r="M8" s="1576" t="s">
        <v>659</v>
      </c>
      <c r="N8" s="1577"/>
      <c r="O8" s="3465">
        <v>42766</v>
      </c>
      <c r="P8" s="1275"/>
    </row>
    <row r="9" spans="2:16" s="965" customFormat="1" ht="15.75">
      <c r="B9" s="1363"/>
      <c r="C9" s="1277"/>
      <c r="D9" s="3160" t="s">
        <v>150</v>
      </c>
      <c r="E9" s="1274"/>
      <c r="F9" s="1274"/>
      <c r="G9" s="1579"/>
      <c r="H9" s="1579"/>
      <c r="I9" s="1579"/>
      <c r="J9" s="1579"/>
      <c r="K9" s="1579"/>
      <c r="L9" s="1578"/>
      <c r="M9" s="1579"/>
      <c r="N9" s="1579"/>
      <c r="O9" s="1579"/>
      <c r="P9" s="1279"/>
    </row>
    <row r="10" spans="2:16" s="965" customFormat="1" ht="15.75">
      <c r="B10" s="2719">
        <v>10050</v>
      </c>
      <c r="C10" s="1363"/>
      <c r="D10" s="1196" t="s">
        <v>1091</v>
      </c>
      <c r="E10"/>
      <c r="F10" s="1580"/>
      <c r="G10" s="2310">
        <v>0</v>
      </c>
      <c r="H10" s="1581"/>
      <c r="I10" s="2310">
        <v>0</v>
      </c>
      <c r="J10" s="1581"/>
      <c r="K10" s="2310">
        <v>0</v>
      </c>
      <c r="L10" s="1581"/>
      <c r="M10" s="2310">
        <v>0</v>
      </c>
      <c r="N10" s="1581"/>
      <c r="O10" s="2310">
        <v>0</v>
      </c>
      <c r="P10" s="1280" t="s">
        <v>960</v>
      </c>
    </row>
    <row r="11" spans="2:16" s="965" customFormat="1" ht="16.5" thickBot="1">
      <c r="B11" s="1198"/>
      <c r="C11" s="1277"/>
      <c r="D11" s="3161" t="s">
        <v>660</v>
      </c>
      <c r="E11" s="1274"/>
      <c r="F11" s="1274"/>
      <c r="G11" s="2722">
        <f>ROUND(SUM(G10),2)</f>
        <v>0</v>
      </c>
      <c r="H11" s="2723"/>
      <c r="I11" s="2722">
        <f>ROUND(SUM(I10),2)</f>
        <v>0</v>
      </c>
      <c r="J11" s="2723"/>
      <c r="K11" s="2722">
        <f>ROUND(SUM(K10),2)</f>
        <v>0</v>
      </c>
      <c r="L11" s="2723"/>
      <c r="M11" s="2722">
        <f>ROUND(SUM(M10),2)</f>
        <v>0</v>
      </c>
      <c r="N11" s="2723"/>
      <c r="O11" s="2722">
        <f>ROUND(SUM(O10),2)</f>
        <v>0</v>
      </c>
      <c r="P11" s="1280"/>
    </row>
    <row r="12" spans="2:16" s="965" customFormat="1" ht="16.5" thickTop="1">
      <c r="B12" s="1198"/>
      <c r="C12" s="1281"/>
      <c r="D12" s="1200"/>
      <c r="E12" s="1220"/>
      <c r="F12" s="1220"/>
      <c r="G12" s="1219"/>
      <c r="H12" s="1219"/>
      <c r="I12" s="1219"/>
      <c r="J12" s="1219"/>
      <c r="K12" s="1219"/>
      <c r="L12" s="1582"/>
      <c r="M12" s="1219"/>
      <c r="N12" s="1219"/>
      <c r="O12" s="1219"/>
      <c r="P12" s="1212"/>
    </row>
    <row r="13" spans="2:16" s="965" customFormat="1" ht="15.75">
      <c r="B13" s="1198"/>
      <c r="C13" s="1277"/>
      <c r="D13" s="3160" t="s">
        <v>661</v>
      </c>
      <c r="E13" s="1274"/>
      <c r="F13" s="1274"/>
      <c r="G13" s="1584"/>
      <c r="H13" s="1584"/>
      <c r="I13" s="1584"/>
      <c r="J13" s="1584"/>
      <c r="K13" s="1584"/>
      <c r="L13" s="1583"/>
      <c r="M13" s="1584"/>
      <c r="N13" s="1584"/>
      <c r="O13" s="1584"/>
      <c r="P13" s="1212"/>
    </row>
    <row r="14" spans="2:16" s="965" customFormat="1" ht="15.75">
      <c r="B14" s="2719">
        <v>30051</v>
      </c>
      <c r="C14" s="1792"/>
      <c r="D14" s="1196" t="s">
        <v>662</v>
      </c>
      <c r="E14" s="1792"/>
      <c r="F14" s="1793">
        <v>227042324.13</v>
      </c>
      <c r="G14" s="3023">
        <v>161508589.38999999</v>
      </c>
      <c r="H14" s="1793"/>
      <c r="I14" s="3023">
        <v>92461663.480000004</v>
      </c>
      <c r="J14" s="1793"/>
      <c r="K14" s="3023">
        <v>93696955.170000002</v>
      </c>
      <c r="L14" s="1793"/>
      <c r="M14" s="2311">
        <f>ROUND(SUM(O14)-SUM(K14),2)</f>
        <v>-93696955.170000002</v>
      </c>
      <c r="N14" s="1793"/>
      <c r="O14" s="3023">
        <v>0</v>
      </c>
      <c r="P14" s="1280"/>
    </row>
    <row r="15" spans="2:16" s="965" customFormat="1" ht="15.75">
      <c r="B15" s="2719">
        <v>30101</v>
      </c>
      <c r="C15" s="1792"/>
      <c r="D15" s="1196" t="s">
        <v>663</v>
      </c>
      <c r="E15" s="1792"/>
      <c r="F15" s="1793">
        <v>0</v>
      </c>
      <c r="G15" s="3023">
        <v>0</v>
      </c>
      <c r="H15" s="1793"/>
      <c r="I15" s="3023">
        <v>0</v>
      </c>
      <c r="J15" s="1793"/>
      <c r="K15" s="3023">
        <v>0</v>
      </c>
      <c r="L15" s="1793"/>
      <c r="M15" s="2311">
        <f t="shared" ref="M15:M78" si="0">ROUND(SUM(O15)-SUM(K15),2)</f>
        <v>0</v>
      </c>
      <c r="N15" s="1793"/>
      <c r="O15" s="3023">
        <v>0</v>
      </c>
      <c r="P15" s="1212"/>
    </row>
    <row r="16" spans="2:16" s="965" customFormat="1" ht="15.75">
      <c r="B16" s="2719">
        <v>30102</v>
      </c>
      <c r="C16" s="1792"/>
      <c r="D16" s="1196" t="s">
        <v>664</v>
      </c>
      <c r="E16" s="1792"/>
      <c r="F16" s="1793">
        <v>0</v>
      </c>
      <c r="G16" s="3023">
        <v>0</v>
      </c>
      <c r="H16" s="1793"/>
      <c r="I16" s="3023">
        <v>0</v>
      </c>
      <c r="J16" s="1793"/>
      <c r="K16" s="3023">
        <v>0</v>
      </c>
      <c r="L16" s="1793"/>
      <c r="M16" s="2311">
        <f t="shared" si="0"/>
        <v>0</v>
      </c>
      <c r="N16" s="1793"/>
      <c r="O16" s="3023">
        <v>0</v>
      </c>
      <c r="P16" s="1212"/>
    </row>
    <row r="17" spans="2:16" s="965" customFormat="1" ht="15.75">
      <c r="B17" s="2719">
        <v>30103</v>
      </c>
      <c r="C17" s="1792"/>
      <c r="D17" s="1196" t="s">
        <v>665</v>
      </c>
      <c r="E17" s="1792"/>
      <c r="F17" s="1793">
        <v>0</v>
      </c>
      <c r="G17" s="3023">
        <v>0</v>
      </c>
      <c r="H17" s="1793"/>
      <c r="I17" s="3023">
        <v>0</v>
      </c>
      <c r="J17" s="1793"/>
      <c r="K17" s="3023">
        <v>0</v>
      </c>
      <c r="L17" s="1793"/>
      <c r="M17" s="2311">
        <f t="shared" si="0"/>
        <v>0</v>
      </c>
      <c r="N17" s="1793"/>
      <c r="O17" s="3023">
        <v>0</v>
      </c>
      <c r="P17" s="1212"/>
    </row>
    <row r="18" spans="2:16" s="965" customFormat="1" ht="15.75">
      <c r="B18" s="2719">
        <v>30104</v>
      </c>
      <c r="C18" s="1792"/>
      <c r="D18" s="1196" t="s">
        <v>666</v>
      </c>
      <c r="E18" s="1792"/>
      <c r="F18" s="1793">
        <v>140390.18</v>
      </c>
      <c r="G18" s="3023">
        <v>0</v>
      </c>
      <c r="H18" s="1793"/>
      <c r="I18" s="3023">
        <v>0</v>
      </c>
      <c r="J18" s="1793"/>
      <c r="K18" s="3023">
        <v>0</v>
      </c>
      <c r="L18" s="1793"/>
      <c r="M18" s="2311">
        <f t="shared" si="0"/>
        <v>0</v>
      </c>
      <c r="N18" s="1793"/>
      <c r="O18" s="3023">
        <v>0</v>
      </c>
      <c r="P18" s="1212"/>
    </row>
    <row r="19" spans="2:16" s="965" customFormat="1" ht="15.75">
      <c r="B19" s="2719">
        <v>30105</v>
      </c>
      <c r="C19" s="1792"/>
      <c r="D19" s="1196" t="s">
        <v>667</v>
      </c>
      <c r="E19" s="1792"/>
      <c r="F19" s="1793">
        <v>0</v>
      </c>
      <c r="G19" s="3023">
        <v>0</v>
      </c>
      <c r="H19" s="1793"/>
      <c r="I19" s="3023">
        <v>0</v>
      </c>
      <c r="J19" s="1793"/>
      <c r="K19" s="3023">
        <v>0</v>
      </c>
      <c r="L19" s="1793"/>
      <c r="M19" s="2311">
        <f t="shared" si="0"/>
        <v>0</v>
      </c>
      <c r="N19" s="1793"/>
      <c r="O19" s="3023">
        <v>0</v>
      </c>
      <c r="P19" s="1212"/>
    </row>
    <row r="20" spans="2:16" s="965" customFormat="1" ht="15.75">
      <c r="B20" s="2719">
        <v>30106</v>
      </c>
      <c r="C20" s="1792"/>
      <c r="D20" s="1196" t="s">
        <v>1150</v>
      </c>
      <c r="E20" s="1792"/>
      <c r="F20" s="1793">
        <v>0</v>
      </c>
      <c r="G20" s="3023">
        <v>0</v>
      </c>
      <c r="H20" s="1793"/>
      <c r="I20" s="3023">
        <v>0</v>
      </c>
      <c r="J20" s="1793"/>
      <c r="K20" s="3023">
        <v>0</v>
      </c>
      <c r="L20" s="1793"/>
      <c r="M20" s="2311">
        <f t="shared" si="0"/>
        <v>0</v>
      </c>
      <c r="N20" s="1793"/>
      <c r="O20" s="3023">
        <v>0</v>
      </c>
      <c r="P20" s="1212"/>
    </row>
    <row r="21" spans="2:16" s="965" customFormat="1" ht="15.75">
      <c r="B21" s="2719">
        <v>30107</v>
      </c>
      <c r="C21" s="1792"/>
      <c r="D21" s="1196" t="s">
        <v>668</v>
      </c>
      <c r="E21" s="1792"/>
      <c r="F21" s="1793">
        <v>0</v>
      </c>
      <c r="G21" s="3023">
        <v>0</v>
      </c>
      <c r="H21" s="1793"/>
      <c r="I21" s="3023">
        <v>0</v>
      </c>
      <c r="J21" s="1793"/>
      <c r="K21" s="3023">
        <v>0</v>
      </c>
      <c r="L21" s="1793"/>
      <c r="M21" s="2311">
        <f t="shared" si="0"/>
        <v>0</v>
      </c>
      <c r="N21" s="1793"/>
      <c r="O21" s="3023">
        <v>0</v>
      </c>
      <c r="P21" s="1212"/>
    </row>
    <row r="22" spans="2:16" s="965" customFormat="1" ht="15.75">
      <c r="B22" s="2719">
        <v>30108</v>
      </c>
      <c r="C22" s="1792"/>
      <c r="D22" s="1196" t="s">
        <v>1151</v>
      </c>
      <c r="E22" s="1792"/>
      <c r="F22" s="1793">
        <v>0</v>
      </c>
      <c r="G22" s="3023">
        <v>0</v>
      </c>
      <c r="H22" s="1793"/>
      <c r="I22" s="3023">
        <v>0</v>
      </c>
      <c r="J22" s="1793"/>
      <c r="K22" s="3023">
        <v>0</v>
      </c>
      <c r="L22" s="1793"/>
      <c r="M22" s="2311">
        <f t="shared" si="0"/>
        <v>0</v>
      </c>
      <c r="N22" s="1793"/>
      <c r="O22" s="3023">
        <v>0</v>
      </c>
      <c r="P22" s="1212"/>
    </row>
    <row r="23" spans="2:16" s="965" customFormat="1" ht="15.75">
      <c r="B23" s="2719">
        <v>30109</v>
      </c>
      <c r="C23" s="1792"/>
      <c r="D23" s="1196" t="s">
        <v>669</v>
      </c>
      <c r="E23" s="1792"/>
      <c r="F23" s="1793">
        <v>0</v>
      </c>
      <c r="G23" s="3023">
        <v>0</v>
      </c>
      <c r="H23" s="1793"/>
      <c r="I23" s="3023">
        <v>0</v>
      </c>
      <c r="J23" s="1793"/>
      <c r="K23" s="3023">
        <v>0</v>
      </c>
      <c r="L23" s="1793"/>
      <c r="M23" s="2311">
        <f t="shared" si="0"/>
        <v>0</v>
      </c>
      <c r="N23" s="1793"/>
      <c r="O23" s="3023">
        <v>0</v>
      </c>
      <c r="P23" s="1212"/>
    </row>
    <row r="24" spans="2:16" s="965" customFormat="1" ht="15.75">
      <c r="B24" s="2719">
        <v>30110</v>
      </c>
      <c r="C24" s="1792"/>
      <c r="D24" s="1196" t="s">
        <v>670</v>
      </c>
      <c r="E24" s="1792"/>
      <c r="F24" s="1793">
        <v>0</v>
      </c>
      <c r="G24" s="3023">
        <v>0</v>
      </c>
      <c r="H24" s="1793"/>
      <c r="I24" s="3023">
        <v>0</v>
      </c>
      <c r="J24" s="1793"/>
      <c r="K24" s="3023">
        <v>0</v>
      </c>
      <c r="L24" s="1793"/>
      <c r="M24" s="2311">
        <f t="shared" si="0"/>
        <v>0</v>
      </c>
      <c r="N24" s="1793"/>
      <c r="O24" s="3023">
        <v>0</v>
      </c>
      <c r="P24" s="1212"/>
    </row>
    <row r="25" spans="2:16" s="965" customFormat="1" ht="15.75">
      <c r="B25" s="2719">
        <v>30111</v>
      </c>
      <c r="C25" s="1792"/>
      <c r="D25" s="1196" t="s">
        <v>671</v>
      </c>
      <c r="E25" s="1792"/>
      <c r="F25" s="1793">
        <v>0</v>
      </c>
      <c r="G25" s="3023">
        <v>0</v>
      </c>
      <c r="H25" s="1793"/>
      <c r="I25" s="3023">
        <v>0</v>
      </c>
      <c r="J25" s="1793"/>
      <c r="K25" s="3023">
        <v>0</v>
      </c>
      <c r="L25" s="1793"/>
      <c r="M25" s="2311">
        <f t="shared" si="0"/>
        <v>0</v>
      </c>
      <c r="N25" s="1793"/>
      <c r="O25" s="3023">
        <v>0</v>
      </c>
      <c r="P25" s="1212"/>
    </row>
    <row r="26" spans="2:16" s="965" customFormat="1" ht="15.75">
      <c r="B26" s="2719">
        <v>30112</v>
      </c>
      <c r="C26" s="1792"/>
      <c r="D26" s="1196" t="s">
        <v>672</v>
      </c>
      <c r="E26" s="1792"/>
      <c r="F26" s="1793">
        <v>0</v>
      </c>
      <c r="G26" s="3023">
        <v>0</v>
      </c>
      <c r="H26" s="1793"/>
      <c r="I26" s="3023">
        <v>0</v>
      </c>
      <c r="J26" s="1793"/>
      <c r="K26" s="3023">
        <v>0</v>
      </c>
      <c r="L26" s="1793"/>
      <c r="M26" s="2311">
        <f t="shared" si="0"/>
        <v>0</v>
      </c>
      <c r="N26" s="1793"/>
      <c r="O26" s="3023">
        <v>0</v>
      </c>
      <c r="P26" s="1212"/>
    </row>
    <row r="27" spans="2:16" s="965" customFormat="1" ht="15.75">
      <c r="B27" s="2719">
        <v>30113</v>
      </c>
      <c r="C27" s="1792"/>
      <c r="D27" s="1196" t="s">
        <v>673</v>
      </c>
      <c r="E27" s="1792"/>
      <c r="F27" s="1793">
        <v>0</v>
      </c>
      <c r="G27" s="3023">
        <v>0</v>
      </c>
      <c r="H27" s="1793"/>
      <c r="I27" s="3023">
        <v>0</v>
      </c>
      <c r="J27" s="1793"/>
      <c r="K27" s="3023">
        <v>0</v>
      </c>
      <c r="L27" s="1793"/>
      <c r="M27" s="2311">
        <f t="shared" si="0"/>
        <v>0</v>
      </c>
      <c r="N27" s="1793"/>
      <c r="O27" s="3023">
        <v>0</v>
      </c>
      <c r="P27" s="1212"/>
    </row>
    <row r="28" spans="2:16" s="965" customFormat="1" ht="15.75">
      <c r="B28" s="2719">
        <v>30114</v>
      </c>
      <c r="C28" s="1792"/>
      <c r="D28" s="1196" t="s">
        <v>674</v>
      </c>
      <c r="E28" s="1792"/>
      <c r="F28" s="1793">
        <v>0</v>
      </c>
      <c r="G28" s="3023">
        <v>0</v>
      </c>
      <c r="H28" s="1793"/>
      <c r="I28" s="3023">
        <v>0</v>
      </c>
      <c r="J28" s="1793"/>
      <c r="K28" s="3023">
        <v>0</v>
      </c>
      <c r="L28" s="1793"/>
      <c r="M28" s="2311">
        <f t="shared" si="0"/>
        <v>0</v>
      </c>
      <c r="N28" s="1793"/>
      <c r="O28" s="3023">
        <v>0</v>
      </c>
      <c r="P28" s="1212"/>
    </row>
    <row r="29" spans="2:16" s="965" customFormat="1" ht="15.75">
      <c r="B29" s="2719">
        <v>30115</v>
      </c>
      <c r="C29" s="1792"/>
      <c r="D29" s="1196" t="s">
        <v>675</v>
      </c>
      <c r="E29" s="1792"/>
      <c r="F29" s="1793">
        <v>0</v>
      </c>
      <c r="G29" s="3023">
        <v>0</v>
      </c>
      <c r="H29" s="1793"/>
      <c r="I29" s="3023">
        <v>0</v>
      </c>
      <c r="J29" s="1793"/>
      <c r="K29" s="3023">
        <v>0</v>
      </c>
      <c r="L29" s="1793"/>
      <c r="M29" s="2311">
        <f t="shared" si="0"/>
        <v>0</v>
      </c>
      <c r="N29" s="1793"/>
      <c r="O29" s="3023">
        <v>0</v>
      </c>
      <c r="P29" s="1212"/>
    </row>
    <row r="30" spans="2:16" s="965" customFormat="1" ht="15.75">
      <c r="B30" s="2719">
        <v>30116</v>
      </c>
      <c r="C30" s="1792"/>
      <c r="D30" s="1196" t="s">
        <v>676</v>
      </c>
      <c r="E30" s="1792"/>
      <c r="F30" s="1793">
        <v>0</v>
      </c>
      <c r="G30" s="3023">
        <v>0</v>
      </c>
      <c r="H30" s="1793"/>
      <c r="I30" s="3023">
        <v>0</v>
      </c>
      <c r="J30" s="1793"/>
      <c r="K30" s="3023">
        <v>0</v>
      </c>
      <c r="L30" s="1793"/>
      <c r="M30" s="2311">
        <f t="shared" si="0"/>
        <v>0</v>
      </c>
      <c r="N30" s="1793"/>
      <c r="O30" s="3023">
        <v>0</v>
      </c>
      <c r="P30" s="1212"/>
    </row>
    <row r="31" spans="2:16" s="965" customFormat="1" ht="15.75">
      <c r="B31" s="2719">
        <v>30117</v>
      </c>
      <c r="C31" s="1792"/>
      <c r="D31" s="1196" t="s">
        <v>677</v>
      </c>
      <c r="E31" s="1792"/>
      <c r="F31" s="1793">
        <v>0</v>
      </c>
      <c r="G31" s="3023">
        <v>0</v>
      </c>
      <c r="H31" s="1793"/>
      <c r="I31" s="3023">
        <v>0</v>
      </c>
      <c r="J31" s="1793"/>
      <c r="K31" s="3023">
        <v>0</v>
      </c>
      <c r="L31" s="1793"/>
      <c r="M31" s="2311">
        <f t="shared" si="0"/>
        <v>0</v>
      </c>
      <c r="N31" s="1793"/>
      <c r="O31" s="3023">
        <v>0</v>
      </c>
      <c r="P31" s="1212"/>
    </row>
    <row r="32" spans="2:16" s="965" customFormat="1" ht="15.75">
      <c r="B32" s="2719">
        <v>30118</v>
      </c>
      <c r="C32" s="1792"/>
      <c r="D32" s="1196" t="s">
        <v>678</v>
      </c>
      <c r="E32" s="1792"/>
      <c r="F32" s="1793">
        <v>0</v>
      </c>
      <c r="G32" s="3023">
        <v>0</v>
      </c>
      <c r="H32" s="1793"/>
      <c r="I32" s="3023">
        <v>0</v>
      </c>
      <c r="J32" s="1793"/>
      <c r="K32" s="3023">
        <v>0</v>
      </c>
      <c r="L32" s="1793"/>
      <c r="M32" s="2311">
        <f t="shared" si="0"/>
        <v>0</v>
      </c>
      <c r="N32" s="1793"/>
      <c r="O32" s="3023">
        <v>0</v>
      </c>
      <c r="P32" s="1212"/>
    </row>
    <row r="33" spans="2:16" s="965" customFormat="1" ht="15.75">
      <c r="B33" s="2719">
        <v>30119</v>
      </c>
      <c r="C33" s="1792"/>
      <c r="D33" s="1196" t="s">
        <v>679</v>
      </c>
      <c r="E33" s="1792"/>
      <c r="F33" s="1793">
        <v>0</v>
      </c>
      <c r="G33" s="3023">
        <v>0</v>
      </c>
      <c r="H33" s="1793"/>
      <c r="I33" s="3023">
        <v>0</v>
      </c>
      <c r="J33" s="1793"/>
      <c r="K33" s="3023">
        <v>0</v>
      </c>
      <c r="L33" s="1793"/>
      <c r="M33" s="2311">
        <f t="shared" si="0"/>
        <v>0</v>
      </c>
      <c r="N33" s="1793"/>
      <c r="O33" s="3023">
        <v>0</v>
      </c>
      <c r="P33" s="1212"/>
    </row>
    <row r="34" spans="2:16" s="965" customFormat="1" ht="15.75">
      <c r="B34" s="2719">
        <v>30120</v>
      </c>
      <c r="C34" s="1792"/>
      <c r="D34" s="1196" t="s">
        <v>680</v>
      </c>
      <c r="E34" s="1792"/>
      <c r="F34" s="1793">
        <v>0</v>
      </c>
      <c r="G34" s="3023">
        <v>0</v>
      </c>
      <c r="H34" s="1793"/>
      <c r="I34" s="3023">
        <v>0</v>
      </c>
      <c r="J34" s="1793"/>
      <c r="K34" s="3023">
        <v>0</v>
      </c>
      <c r="L34" s="1793"/>
      <c r="M34" s="2311">
        <f t="shared" si="0"/>
        <v>0</v>
      </c>
      <c r="N34" s="1793"/>
      <c r="O34" s="3023">
        <v>0</v>
      </c>
      <c r="P34" s="1212"/>
    </row>
    <row r="35" spans="2:16" s="965" customFormat="1" ht="15.75">
      <c r="B35" s="2719">
        <v>30121</v>
      </c>
      <c r="C35" s="1792"/>
      <c r="D35" s="1196" t="s">
        <v>681</v>
      </c>
      <c r="E35" s="1792"/>
      <c r="F35" s="1793">
        <v>0</v>
      </c>
      <c r="G35" s="3023">
        <v>0</v>
      </c>
      <c r="H35" s="1793"/>
      <c r="I35" s="3023">
        <v>0</v>
      </c>
      <c r="J35" s="1793"/>
      <c r="K35" s="3023">
        <v>0</v>
      </c>
      <c r="L35" s="1793"/>
      <c r="M35" s="2311">
        <f t="shared" si="0"/>
        <v>0</v>
      </c>
      <c r="N35" s="1793"/>
      <c r="O35" s="3023">
        <v>0</v>
      </c>
      <c r="P35" s="1212"/>
    </row>
    <row r="36" spans="2:16" s="965" customFormat="1" ht="15.75">
      <c r="B36" s="2719">
        <v>30122</v>
      </c>
      <c r="C36" s="1792"/>
      <c r="D36" s="1196" t="s">
        <v>682</v>
      </c>
      <c r="E36" s="1792"/>
      <c r="F36" s="1793">
        <v>0</v>
      </c>
      <c r="G36" s="3023">
        <v>0</v>
      </c>
      <c r="H36" s="1793"/>
      <c r="I36" s="3023">
        <v>0</v>
      </c>
      <c r="J36" s="1793"/>
      <c r="K36" s="3023">
        <v>0</v>
      </c>
      <c r="L36" s="1793"/>
      <c r="M36" s="2311">
        <f t="shared" si="0"/>
        <v>0</v>
      </c>
      <c r="N36" s="1793"/>
      <c r="O36" s="3023">
        <v>0</v>
      </c>
      <c r="P36" s="1212"/>
    </row>
    <row r="37" spans="2:16" s="965" customFormat="1" ht="15.75">
      <c r="B37" s="2719">
        <v>30123</v>
      </c>
      <c r="C37" s="1792"/>
      <c r="D37" s="1196" t="s">
        <v>683</v>
      </c>
      <c r="E37" s="1792"/>
      <c r="F37" s="1793">
        <v>0</v>
      </c>
      <c r="G37" s="3023">
        <v>0</v>
      </c>
      <c r="H37" s="1793"/>
      <c r="I37" s="3023">
        <v>0</v>
      </c>
      <c r="J37" s="1793"/>
      <c r="K37" s="3023">
        <v>0</v>
      </c>
      <c r="L37" s="1793"/>
      <c r="M37" s="2311">
        <f t="shared" si="0"/>
        <v>0</v>
      </c>
      <c r="N37" s="1793"/>
      <c r="O37" s="3023">
        <v>0</v>
      </c>
      <c r="P37" s="1212"/>
    </row>
    <row r="38" spans="2:16" s="965" customFormat="1" ht="15.75">
      <c r="B38" s="2719">
        <v>30124</v>
      </c>
      <c r="C38" s="1792"/>
      <c r="D38" s="1196" t="s">
        <v>684</v>
      </c>
      <c r="E38" s="1792"/>
      <c r="F38" s="1793">
        <v>0</v>
      </c>
      <c r="G38" s="3023">
        <v>0</v>
      </c>
      <c r="H38" s="1793"/>
      <c r="I38" s="3023">
        <v>0</v>
      </c>
      <c r="J38" s="1793"/>
      <c r="K38" s="3023">
        <v>0</v>
      </c>
      <c r="L38" s="1793"/>
      <c r="M38" s="2311">
        <f t="shared" si="0"/>
        <v>0</v>
      </c>
      <c r="N38" s="1793"/>
      <c r="O38" s="3023">
        <v>0</v>
      </c>
      <c r="P38" s="1212"/>
    </row>
    <row r="39" spans="2:16" s="965" customFormat="1" ht="15.75">
      <c r="B39" s="2719">
        <v>30125</v>
      </c>
      <c r="C39" s="1792"/>
      <c r="D39" s="1196" t="s">
        <v>685</v>
      </c>
      <c r="E39" s="1792"/>
      <c r="F39" s="1793">
        <v>0</v>
      </c>
      <c r="G39" s="3023">
        <v>0</v>
      </c>
      <c r="H39" s="1793"/>
      <c r="I39" s="3023">
        <v>0</v>
      </c>
      <c r="J39" s="1793"/>
      <c r="K39" s="3023">
        <v>0</v>
      </c>
      <c r="L39" s="1793"/>
      <c r="M39" s="2311">
        <f t="shared" si="0"/>
        <v>0</v>
      </c>
      <c r="N39" s="1793"/>
      <c r="O39" s="3023">
        <v>0</v>
      </c>
      <c r="P39" s="1212"/>
    </row>
    <row r="40" spans="2:16" s="965" customFormat="1" ht="15.75">
      <c r="B40" s="2719">
        <v>30126</v>
      </c>
      <c r="C40" s="1792"/>
      <c r="D40" s="1196" t="s">
        <v>686</v>
      </c>
      <c r="E40" s="1792"/>
      <c r="F40" s="1793">
        <v>0</v>
      </c>
      <c r="G40" s="3023">
        <v>0</v>
      </c>
      <c r="H40" s="1793"/>
      <c r="I40" s="3023">
        <v>0</v>
      </c>
      <c r="J40" s="1793"/>
      <c r="K40" s="3023">
        <v>0</v>
      </c>
      <c r="L40" s="1793"/>
      <c r="M40" s="2311">
        <f t="shared" si="0"/>
        <v>0</v>
      </c>
      <c r="N40" s="1793"/>
      <c r="O40" s="3023">
        <v>0</v>
      </c>
      <c r="P40" s="1212"/>
    </row>
    <row r="41" spans="2:16" s="965" customFormat="1" ht="15.75">
      <c r="B41" s="2719">
        <v>30127</v>
      </c>
      <c r="C41" s="1792"/>
      <c r="D41" s="1196" t="s">
        <v>687</v>
      </c>
      <c r="E41" s="1792"/>
      <c r="F41" s="1793">
        <v>0</v>
      </c>
      <c r="G41" s="3023">
        <v>0</v>
      </c>
      <c r="H41" s="1793"/>
      <c r="I41" s="3023">
        <v>0</v>
      </c>
      <c r="J41" s="1793"/>
      <c r="K41" s="3023">
        <v>0</v>
      </c>
      <c r="L41" s="1793"/>
      <c r="M41" s="2311">
        <f t="shared" si="0"/>
        <v>0</v>
      </c>
      <c r="N41" s="1793"/>
      <c r="O41" s="3023">
        <v>0</v>
      </c>
      <c r="P41" s="1212"/>
    </row>
    <row r="42" spans="2:16" s="965" customFormat="1" ht="15.75">
      <c r="B42" s="2719">
        <v>30128</v>
      </c>
      <c r="C42" s="1792"/>
      <c r="D42" s="1196" t="s">
        <v>688</v>
      </c>
      <c r="E42" s="1792"/>
      <c r="F42" s="1793">
        <v>0</v>
      </c>
      <c r="G42" s="3023">
        <v>0</v>
      </c>
      <c r="H42" s="1793"/>
      <c r="I42" s="3023">
        <v>0</v>
      </c>
      <c r="J42" s="1793"/>
      <c r="K42" s="3023">
        <v>0</v>
      </c>
      <c r="L42" s="1793"/>
      <c r="M42" s="2311">
        <f t="shared" si="0"/>
        <v>0</v>
      </c>
      <c r="N42" s="1793"/>
      <c r="O42" s="3023">
        <v>0</v>
      </c>
      <c r="P42" s="1212"/>
    </row>
    <row r="43" spans="2:16" s="965" customFormat="1" ht="15.75">
      <c r="B43" s="2719">
        <v>30129</v>
      </c>
      <c r="C43" s="1792"/>
      <c r="D43" s="1196" t="s">
        <v>689</v>
      </c>
      <c r="E43" s="1792"/>
      <c r="F43" s="1793">
        <v>0</v>
      </c>
      <c r="G43" s="3023">
        <v>0</v>
      </c>
      <c r="H43" s="1793"/>
      <c r="I43" s="3023">
        <v>0</v>
      </c>
      <c r="J43" s="1793"/>
      <c r="K43" s="3023">
        <v>0</v>
      </c>
      <c r="L43" s="1793"/>
      <c r="M43" s="2311">
        <f t="shared" si="0"/>
        <v>0</v>
      </c>
      <c r="N43" s="1793"/>
      <c r="O43" s="3023">
        <v>0</v>
      </c>
      <c r="P43" s="1212"/>
    </row>
    <row r="44" spans="2:16" s="965" customFormat="1" ht="15.75">
      <c r="B44" s="2719">
        <v>30130</v>
      </c>
      <c r="C44" s="1792"/>
      <c r="D44" s="1196" t="s">
        <v>690</v>
      </c>
      <c r="E44" s="1792"/>
      <c r="F44" s="1793">
        <v>0</v>
      </c>
      <c r="G44" s="3023">
        <v>0</v>
      </c>
      <c r="H44" s="1793"/>
      <c r="I44" s="3023">
        <v>0</v>
      </c>
      <c r="J44" s="1793"/>
      <c r="K44" s="3023">
        <v>0</v>
      </c>
      <c r="L44" s="1793"/>
      <c r="M44" s="2311">
        <f t="shared" si="0"/>
        <v>0</v>
      </c>
      <c r="N44" s="1793"/>
      <c r="O44" s="3023">
        <v>0</v>
      </c>
      <c r="P44" s="1212"/>
    </row>
    <row r="45" spans="2:16" s="965" customFormat="1" ht="15.75">
      <c r="B45" s="2719">
        <v>30131</v>
      </c>
      <c r="C45" s="1792"/>
      <c r="D45" s="1196" t="s">
        <v>691</v>
      </c>
      <c r="E45" s="1792"/>
      <c r="F45" s="1793">
        <v>0</v>
      </c>
      <c r="G45" s="3023">
        <v>0</v>
      </c>
      <c r="H45" s="1793"/>
      <c r="I45" s="3023">
        <v>0</v>
      </c>
      <c r="J45" s="1793"/>
      <c r="K45" s="3023">
        <v>0</v>
      </c>
      <c r="L45" s="1793"/>
      <c r="M45" s="2311">
        <f t="shared" si="0"/>
        <v>0</v>
      </c>
      <c r="N45" s="1793"/>
      <c r="O45" s="3023">
        <v>0</v>
      </c>
      <c r="P45" s="1212"/>
    </row>
    <row r="46" spans="2:16" s="965" customFormat="1" ht="15.75">
      <c r="B46" s="2719">
        <v>30132</v>
      </c>
      <c r="C46" s="1792"/>
      <c r="D46" s="1196" t="s">
        <v>692</v>
      </c>
      <c r="E46" s="1792"/>
      <c r="F46" s="1793">
        <v>0</v>
      </c>
      <c r="G46" s="3023">
        <v>0</v>
      </c>
      <c r="H46" s="1793"/>
      <c r="I46" s="3023">
        <v>0</v>
      </c>
      <c r="J46" s="1793"/>
      <c r="K46" s="3023">
        <v>0</v>
      </c>
      <c r="L46" s="1793"/>
      <c r="M46" s="2311">
        <f t="shared" si="0"/>
        <v>0</v>
      </c>
      <c r="N46" s="1793"/>
      <c r="O46" s="3023">
        <v>0</v>
      </c>
      <c r="P46" s="1212"/>
    </row>
    <row r="47" spans="2:16" s="965" customFormat="1" ht="15.75">
      <c r="B47" s="2719">
        <v>30133</v>
      </c>
      <c r="C47" s="1792"/>
      <c r="D47" s="1196" t="s">
        <v>693</v>
      </c>
      <c r="E47" s="1792"/>
      <c r="F47" s="1793">
        <v>0</v>
      </c>
      <c r="G47" s="3023">
        <v>0</v>
      </c>
      <c r="H47" s="1793"/>
      <c r="I47" s="3023">
        <v>0</v>
      </c>
      <c r="J47" s="1793"/>
      <c r="K47" s="3023">
        <v>0</v>
      </c>
      <c r="L47" s="1793"/>
      <c r="M47" s="2311">
        <f t="shared" si="0"/>
        <v>0</v>
      </c>
      <c r="N47" s="1793"/>
      <c r="O47" s="3023">
        <v>0</v>
      </c>
      <c r="P47" s="1212"/>
    </row>
    <row r="48" spans="2:16" s="965" customFormat="1" ht="15.75">
      <c r="B48" s="2719">
        <v>30134</v>
      </c>
      <c r="C48" s="1792"/>
      <c r="D48" s="1196" t="s">
        <v>694</v>
      </c>
      <c r="E48" s="1792"/>
      <c r="F48" s="1793">
        <v>0</v>
      </c>
      <c r="G48" s="3023">
        <v>0</v>
      </c>
      <c r="H48" s="1793"/>
      <c r="I48" s="3023">
        <v>0</v>
      </c>
      <c r="J48" s="1793"/>
      <c r="K48" s="3023">
        <v>0</v>
      </c>
      <c r="L48" s="1793"/>
      <c r="M48" s="2311">
        <f t="shared" si="0"/>
        <v>0</v>
      </c>
      <c r="N48" s="1793"/>
      <c r="O48" s="3023">
        <v>0</v>
      </c>
      <c r="P48" s="1212"/>
    </row>
    <row r="49" spans="2:16" s="965" customFormat="1" ht="15.75">
      <c r="B49" s="2719">
        <v>30135</v>
      </c>
      <c r="C49" s="1792"/>
      <c r="D49" s="1196" t="s">
        <v>695</v>
      </c>
      <c r="E49" s="1792"/>
      <c r="F49" s="1793">
        <v>0</v>
      </c>
      <c r="G49" s="3023">
        <v>0</v>
      </c>
      <c r="H49" s="1793"/>
      <c r="I49" s="3023">
        <v>0</v>
      </c>
      <c r="J49" s="1793"/>
      <c r="K49" s="3023">
        <v>0</v>
      </c>
      <c r="L49" s="1793"/>
      <c r="M49" s="2311">
        <f t="shared" si="0"/>
        <v>0</v>
      </c>
      <c r="N49" s="1793"/>
      <c r="O49" s="3023">
        <v>0</v>
      </c>
      <c r="P49" s="1212"/>
    </row>
    <row r="50" spans="2:16" s="965" customFormat="1" ht="15.75">
      <c r="B50" s="2719">
        <v>30136</v>
      </c>
      <c r="C50" s="1792"/>
      <c r="D50" s="1196" t="s">
        <v>696</v>
      </c>
      <c r="E50" s="1792"/>
      <c r="F50" s="1793">
        <v>0</v>
      </c>
      <c r="G50" s="3023">
        <v>0</v>
      </c>
      <c r="H50" s="1793"/>
      <c r="I50" s="3023">
        <v>0</v>
      </c>
      <c r="J50" s="1793"/>
      <c r="K50" s="3023">
        <v>0</v>
      </c>
      <c r="L50" s="1793"/>
      <c r="M50" s="2311">
        <f t="shared" si="0"/>
        <v>0</v>
      </c>
      <c r="N50" s="1793"/>
      <c r="O50" s="3023">
        <v>0</v>
      </c>
      <c r="P50" s="1212"/>
    </row>
    <row r="51" spans="2:16" s="965" customFormat="1" ht="15.75">
      <c r="B51" s="2719">
        <v>30137</v>
      </c>
      <c r="C51" s="1792"/>
      <c r="D51" s="1196" t="s">
        <v>697</v>
      </c>
      <c r="E51" s="1792"/>
      <c r="F51" s="1793">
        <v>2867.69</v>
      </c>
      <c r="G51" s="3023">
        <v>0</v>
      </c>
      <c r="H51" s="1793"/>
      <c r="I51" s="3023">
        <v>0</v>
      </c>
      <c r="J51" s="1793"/>
      <c r="K51" s="3023">
        <v>0</v>
      </c>
      <c r="L51" s="1793"/>
      <c r="M51" s="2311">
        <f t="shared" si="0"/>
        <v>0</v>
      </c>
      <c r="N51" s="1793"/>
      <c r="O51" s="3023">
        <v>0</v>
      </c>
      <c r="P51" s="1212"/>
    </row>
    <row r="52" spans="2:16" s="965" customFormat="1" ht="15.75">
      <c r="B52" s="2719">
        <v>30138</v>
      </c>
      <c r="C52" s="1792"/>
      <c r="D52" s="1196" t="s">
        <v>698</v>
      </c>
      <c r="E52" s="1792"/>
      <c r="F52" s="1793">
        <v>0</v>
      </c>
      <c r="G52" s="3023">
        <v>0</v>
      </c>
      <c r="H52" s="1793"/>
      <c r="I52" s="3023">
        <v>0</v>
      </c>
      <c r="J52" s="1793"/>
      <c r="K52" s="3023">
        <v>0</v>
      </c>
      <c r="L52" s="1793"/>
      <c r="M52" s="2311">
        <f t="shared" si="0"/>
        <v>0</v>
      </c>
      <c r="N52" s="1793"/>
      <c r="O52" s="3023">
        <v>0</v>
      </c>
      <c r="P52" s="1212"/>
    </row>
    <row r="53" spans="2:16" s="965" customFormat="1" ht="15.75">
      <c r="B53" s="2719">
        <v>30139</v>
      </c>
      <c r="C53" s="1792"/>
      <c r="D53" s="1196" t="s">
        <v>699</v>
      </c>
      <c r="E53" s="1792"/>
      <c r="F53" s="1793">
        <v>0</v>
      </c>
      <c r="G53" s="3023">
        <v>0</v>
      </c>
      <c r="H53" s="1793"/>
      <c r="I53" s="3023">
        <v>0</v>
      </c>
      <c r="J53" s="1793"/>
      <c r="K53" s="3023">
        <v>0</v>
      </c>
      <c r="L53" s="1793"/>
      <c r="M53" s="2311">
        <f t="shared" si="0"/>
        <v>0</v>
      </c>
      <c r="N53" s="1793"/>
      <c r="O53" s="3023">
        <v>0</v>
      </c>
      <c r="P53" s="1212"/>
    </row>
    <row r="54" spans="2:16" s="965" customFormat="1" ht="15.75">
      <c r="B54" s="2719">
        <v>30140</v>
      </c>
      <c r="C54" s="1792"/>
      <c r="D54" s="1196" t="s">
        <v>700</v>
      </c>
      <c r="E54" s="1792"/>
      <c r="F54" s="1793">
        <v>0</v>
      </c>
      <c r="G54" s="3023">
        <v>0</v>
      </c>
      <c r="H54" s="1793"/>
      <c r="I54" s="3023">
        <v>0</v>
      </c>
      <c r="J54" s="1793"/>
      <c r="K54" s="3023">
        <v>0</v>
      </c>
      <c r="L54" s="1793"/>
      <c r="M54" s="2311">
        <f t="shared" si="0"/>
        <v>0</v>
      </c>
      <c r="N54" s="1793"/>
      <c r="O54" s="3023">
        <v>0</v>
      </c>
      <c r="P54" s="1212"/>
    </row>
    <row r="55" spans="2:16" s="965" customFormat="1" ht="15.75">
      <c r="B55" s="2719">
        <v>30141</v>
      </c>
      <c r="C55" s="1792"/>
      <c r="D55" s="1196" t="s">
        <v>701</v>
      </c>
      <c r="E55" s="1792"/>
      <c r="F55" s="1793">
        <v>0</v>
      </c>
      <c r="G55" s="3023">
        <v>0</v>
      </c>
      <c r="H55" s="1793"/>
      <c r="I55" s="3023">
        <v>0</v>
      </c>
      <c r="J55" s="1793"/>
      <c r="K55" s="3023">
        <v>0</v>
      </c>
      <c r="L55" s="1793"/>
      <c r="M55" s="2311">
        <f t="shared" si="0"/>
        <v>0</v>
      </c>
      <c r="N55" s="1793"/>
      <c r="O55" s="3023">
        <v>0</v>
      </c>
      <c r="P55" s="1212"/>
    </row>
    <row r="56" spans="2:16" s="965" customFormat="1" ht="15.75">
      <c r="B56" s="2719">
        <v>30142</v>
      </c>
      <c r="C56" s="1792"/>
      <c r="D56" s="1196" t="s">
        <v>702</v>
      </c>
      <c r="E56" s="1792"/>
      <c r="F56" s="1793">
        <v>0</v>
      </c>
      <c r="G56" s="3023">
        <v>0</v>
      </c>
      <c r="H56" s="1793"/>
      <c r="I56" s="3023">
        <v>0</v>
      </c>
      <c r="J56" s="1793"/>
      <c r="K56" s="3023">
        <v>0</v>
      </c>
      <c r="L56" s="1793"/>
      <c r="M56" s="2311">
        <f t="shared" si="0"/>
        <v>0</v>
      </c>
      <c r="N56" s="1793"/>
      <c r="O56" s="3023">
        <v>0</v>
      </c>
      <c r="P56" s="1212"/>
    </row>
    <row r="57" spans="2:16" s="965" customFormat="1" ht="15.75">
      <c r="B57" s="2719">
        <v>30143</v>
      </c>
      <c r="C57" s="1792"/>
      <c r="D57" s="1196" t="s">
        <v>703</v>
      </c>
      <c r="E57" s="1792"/>
      <c r="F57" s="1793">
        <v>0</v>
      </c>
      <c r="G57" s="3023">
        <v>0</v>
      </c>
      <c r="H57" s="1793"/>
      <c r="I57" s="3023">
        <v>0</v>
      </c>
      <c r="J57" s="1793"/>
      <c r="K57" s="3023">
        <v>0</v>
      </c>
      <c r="L57" s="1793"/>
      <c r="M57" s="2311">
        <f t="shared" si="0"/>
        <v>0</v>
      </c>
      <c r="N57" s="1793"/>
      <c r="O57" s="3023">
        <v>0</v>
      </c>
      <c r="P57" s="1212"/>
    </row>
    <row r="58" spans="2:16" s="965" customFormat="1" ht="15.75">
      <c r="B58" s="2719">
        <v>30144</v>
      </c>
      <c r="C58" s="1792"/>
      <c r="D58" s="1196" t="s">
        <v>704</v>
      </c>
      <c r="E58" s="1792"/>
      <c r="F58" s="1793">
        <v>0</v>
      </c>
      <c r="G58" s="3023">
        <v>0</v>
      </c>
      <c r="H58" s="1793"/>
      <c r="I58" s="3023">
        <v>0</v>
      </c>
      <c r="J58" s="1793"/>
      <c r="K58" s="3023">
        <v>0</v>
      </c>
      <c r="L58" s="1793"/>
      <c r="M58" s="2311">
        <f t="shared" si="0"/>
        <v>0</v>
      </c>
      <c r="N58" s="1793"/>
      <c r="O58" s="3023">
        <v>0</v>
      </c>
      <c r="P58" s="1212"/>
    </row>
    <row r="59" spans="2:16" s="965" customFormat="1" ht="15.75">
      <c r="B59" s="2719">
        <v>30145</v>
      </c>
      <c r="C59" s="1792"/>
      <c r="D59" s="1196" t="s">
        <v>705</v>
      </c>
      <c r="E59" s="1792"/>
      <c r="F59" s="1793">
        <v>0</v>
      </c>
      <c r="G59" s="3023">
        <v>0</v>
      </c>
      <c r="H59" s="1793"/>
      <c r="I59" s="3023">
        <v>0</v>
      </c>
      <c r="J59" s="1793"/>
      <c r="K59" s="3023">
        <v>0</v>
      </c>
      <c r="L59" s="1793"/>
      <c r="M59" s="2311">
        <f t="shared" si="0"/>
        <v>0</v>
      </c>
      <c r="N59" s="1793"/>
      <c r="O59" s="3023">
        <v>0</v>
      </c>
      <c r="P59" s="1212"/>
    </row>
    <row r="60" spans="2:16" s="965" customFormat="1" ht="15.75">
      <c r="B60" s="2719">
        <v>30146</v>
      </c>
      <c r="C60" s="1792"/>
      <c r="D60" s="1196" t="s">
        <v>706</v>
      </c>
      <c r="E60" s="1792"/>
      <c r="F60" s="1793">
        <v>0</v>
      </c>
      <c r="G60" s="3023">
        <v>0</v>
      </c>
      <c r="H60" s="1793"/>
      <c r="I60" s="3023">
        <v>0</v>
      </c>
      <c r="J60" s="1793"/>
      <c r="K60" s="3023">
        <v>0</v>
      </c>
      <c r="L60" s="1793"/>
      <c r="M60" s="2311">
        <f t="shared" si="0"/>
        <v>0</v>
      </c>
      <c r="N60" s="1793"/>
      <c r="O60" s="3023">
        <v>0</v>
      </c>
      <c r="P60" s="1212"/>
    </row>
    <row r="61" spans="2:16" s="965" customFormat="1" ht="15.75">
      <c r="B61" s="2719">
        <v>30147</v>
      </c>
      <c r="C61" s="1792"/>
      <c r="D61" s="1196" t="s">
        <v>707</v>
      </c>
      <c r="E61" s="1792"/>
      <c r="F61" s="1793">
        <v>0</v>
      </c>
      <c r="G61" s="3023">
        <v>0</v>
      </c>
      <c r="H61" s="1793"/>
      <c r="I61" s="3023">
        <v>0</v>
      </c>
      <c r="J61" s="1793"/>
      <c r="K61" s="3023">
        <v>0</v>
      </c>
      <c r="L61" s="1793"/>
      <c r="M61" s="2311">
        <f t="shared" si="0"/>
        <v>0</v>
      </c>
      <c r="N61" s="1793"/>
      <c r="O61" s="3023">
        <v>0</v>
      </c>
      <c r="P61" s="1212"/>
    </row>
    <row r="62" spans="2:16" s="965" customFormat="1" ht="15.75">
      <c r="B62" s="2719">
        <v>30148</v>
      </c>
      <c r="C62" s="1792"/>
      <c r="D62" s="1196" t="s">
        <v>708</v>
      </c>
      <c r="E62" s="1792"/>
      <c r="F62" s="1793">
        <v>0</v>
      </c>
      <c r="G62" s="3023">
        <v>0</v>
      </c>
      <c r="H62" s="1793"/>
      <c r="I62" s="3023">
        <v>0</v>
      </c>
      <c r="J62" s="1793"/>
      <c r="K62" s="3023">
        <v>0</v>
      </c>
      <c r="L62" s="1793"/>
      <c r="M62" s="2311">
        <f t="shared" si="0"/>
        <v>0</v>
      </c>
      <c r="N62" s="1793"/>
      <c r="O62" s="3023">
        <v>0</v>
      </c>
      <c r="P62" s="1212"/>
    </row>
    <row r="63" spans="2:16" s="965" customFormat="1" ht="15.75">
      <c r="B63" s="2719">
        <v>30149</v>
      </c>
      <c r="C63" s="1792"/>
      <c r="D63" s="1196" t="s">
        <v>709</v>
      </c>
      <c r="E63" s="1792"/>
      <c r="F63" s="1793">
        <v>0</v>
      </c>
      <c r="G63" s="3023">
        <v>0</v>
      </c>
      <c r="H63" s="1793"/>
      <c r="I63" s="3023">
        <v>0</v>
      </c>
      <c r="J63" s="1793"/>
      <c r="K63" s="3023">
        <v>0</v>
      </c>
      <c r="L63" s="1793"/>
      <c r="M63" s="2311">
        <f t="shared" si="0"/>
        <v>0</v>
      </c>
      <c r="N63" s="1793"/>
      <c r="O63" s="3023">
        <v>0</v>
      </c>
      <c r="P63" s="1212"/>
    </row>
    <row r="64" spans="2:16" s="965" customFormat="1" ht="15.75">
      <c r="B64" s="2719">
        <v>30150</v>
      </c>
      <c r="C64" s="1792"/>
      <c r="D64" s="1196" t="s">
        <v>710</v>
      </c>
      <c r="E64" s="1792"/>
      <c r="F64" s="1793">
        <v>0</v>
      </c>
      <c r="G64" s="3023">
        <v>0</v>
      </c>
      <c r="H64" s="1793"/>
      <c r="I64" s="3023">
        <v>0</v>
      </c>
      <c r="J64" s="1793"/>
      <c r="K64" s="3023">
        <v>0</v>
      </c>
      <c r="L64" s="1793"/>
      <c r="M64" s="2311">
        <f t="shared" si="0"/>
        <v>0</v>
      </c>
      <c r="N64" s="1793"/>
      <c r="O64" s="3023">
        <v>0</v>
      </c>
      <c r="P64" s="1212"/>
    </row>
    <row r="65" spans="2:16" s="965" customFormat="1" ht="15.75">
      <c r="B65" s="2719">
        <v>30151</v>
      </c>
      <c r="C65" s="1792"/>
      <c r="D65" s="1196" t="s">
        <v>711</v>
      </c>
      <c r="E65" s="1792"/>
      <c r="F65" s="1793">
        <v>0</v>
      </c>
      <c r="G65" s="3023">
        <v>0</v>
      </c>
      <c r="H65" s="1793"/>
      <c r="I65" s="3023">
        <v>0</v>
      </c>
      <c r="J65" s="1793"/>
      <c r="K65" s="3023">
        <v>0</v>
      </c>
      <c r="L65" s="1793"/>
      <c r="M65" s="2311">
        <f t="shared" si="0"/>
        <v>0</v>
      </c>
      <c r="N65" s="1793"/>
      <c r="O65" s="3023">
        <v>0</v>
      </c>
      <c r="P65" s="1212"/>
    </row>
    <row r="66" spans="2:16" s="965" customFormat="1" ht="15.75">
      <c r="B66" s="2719">
        <v>30152</v>
      </c>
      <c r="C66" s="1792"/>
      <c r="D66" s="1196" t="s">
        <v>712</v>
      </c>
      <c r="E66" s="1792"/>
      <c r="F66" s="1793">
        <v>0</v>
      </c>
      <c r="G66" s="3023">
        <v>0</v>
      </c>
      <c r="H66" s="1793"/>
      <c r="I66" s="3023">
        <v>0</v>
      </c>
      <c r="J66" s="1793"/>
      <c r="K66" s="3023">
        <v>0</v>
      </c>
      <c r="L66" s="1793"/>
      <c r="M66" s="2311">
        <f t="shared" si="0"/>
        <v>0</v>
      </c>
      <c r="N66" s="1793"/>
      <c r="O66" s="3023">
        <v>0</v>
      </c>
      <c r="P66" s="1212"/>
    </row>
    <row r="67" spans="2:16" s="965" customFormat="1" ht="15.75">
      <c r="B67" s="2719">
        <v>30153</v>
      </c>
      <c r="C67" s="1792"/>
      <c r="D67" s="1196" t="s">
        <v>713</v>
      </c>
      <c r="E67" s="1792"/>
      <c r="F67" s="1793">
        <v>0</v>
      </c>
      <c r="G67" s="3023">
        <v>0</v>
      </c>
      <c r="H67" s="1793"/>
      <c r="I67" s="3023">
        <v>0</v>
      </c>
      <c r="J67" s="1793"/>
      <c r="K67" s="3023">
        <v>0</v>
      </c>
      <c r="L67" s="1793"/>
      <c r="M67" s="2311">
        <f t="shared" si="0"/>
        <v>0</v>
      </c>
      <c r="N67" s="1793"/>
      <c r="O67" s="3023">
        <v>0</v>
      </c>
      <c r="P67" s="1212"/>
    </row>
    <row r="68" spans="2:16" s="965" customFormat="1" ht="15.75">
      <c r="B68" s="2719">
        <v>30154</v>
      </c>
      <c r="C68" s="1792"/>
      <c r="D68" s="1196" t="s">
        <v>714</v>
      </c>
      <c r="E68" s="1792"/>
      <c r="F68" s="1793">
        <v>0</v>
      </c>
      <c r="G68" s="3023">
        <v>0</v>
      </c>
      <c r="H68" s="1793"/>
      <c r="I68" s="3023">
        <v>0</v>
      </c>
      <c r="J68" s="1793"/>
      <c r="K68" s="3023">
        <v>0</v>
      </c>
      <c r="L68" s="1793"/>
      <c r="M68" s="2311">
        <f t="shared" si="0"/>
        <v>0</v>
      </c>
      <c r="N68" s="1793"/>
      <c r="O68" s="3023">
        <v>0</v>
      </c>
      <c r="P68" s="1212"/>
    </row>
    <row r="69" spans="2:16" s="965" customFormat="1" ht="15.75">
      <c r="B69" s="2719">
        <v>30351</v>
      </c>
      <c r="C69" s="1792"/>
      <c r="D69" s="1196" t="s">
        <v>715</v>
      </c>
      <c r="E69" s="1792"/>
      <c r="F69" s="1793">
        <v>72792259.140000001</v>
      </c>
      <c r="G69" s="3023">
        <v>39908822.060000002</v>
      </c>
      <c r="H69" s="1793"/>
      <c r="I69" s="3023">
        <v>51297708.770000003</v>
      </c>
      <c r="J69" s="1793"/>
      <c r="K69" s="3023">
        <v>65881080.649999999</v>
      </c>
      <c r="L69" s="1793"/>
      <c r="M69" s="2311">
        <f t="shared" si="0"/>
        <v>11141395.74</v>
      </c>
      <c r="N69" s="1793"/>
      <c r="O69" s="3023">
        <v>77022476.390000001</v>
      </c>
      <c r="P69" s="1212"/>
    </row>
    <row r="70" spans="2:16" s="965" customFormat="1" ht="15.75">
      <c r="B70" s="2719">
        <v>30501</v>
      </c>
      <c r="C70" s="1792"/>
      <c r="D70" s="1196" t="s">
        <v>716</v>
      </c>
      <c r="E70" s="1792"/>
      <c r="F70" s="1793">
        <v>169.29</v>
      </c>
      <c r="G70" s="3023">
        <v>0</v>
      </c>
      <c r="H70" s="1793"/>
      <c r="I70" s="3023">
        <v>0</v>
      </c>
      <c r="J70" s="1793"/>
      <c r="K70" s="3023">
        <v>0</v>
      </c>
      <c r="L70" s="1793"/>
      <c r="M70" s="2311">
        <f t="shared" si="0"/>
        <v>0</v>
      </c>
      <c r="N70" s="1793"/>
      <c r="O70" s="3023">
        <v>0</v>
      </c>
      <c r="P70" s="1212"/>
    </row>
    <row r="71" spans="2:16" s="965" customFormat="1" ht="15.75">
      <c r="B71" s="2719">
        <v>30502</v>
      </c>
      <c r="C71" s="1792"/>
      <c r="D71" s="1196" t="s">
        <v>717</v>
      </c>
      <c r="E71" s="1792"/>
      <c r="F71" s="1793">
        <v>0</v>
      </c>
      <c r="G71" s="3023">
        <v>0</v>
      </c>
      <c r="H71" s="1793"/>
      <c r="I71" s="3023">
        <v>0</v>
      </c>
      <c r="J71" s="1793"/>
      <c r="K71" s="3023">
        <v>0</v>
      </c>
      <c r="L71" s="1793"/>
      <c r="M71" s="2311">
        <f t="shared" si="0"/>
        <v>0</v>
      </c>
      <c r="N71" s="1793"/>
      <c r="O71" s="3023">
        <v>0</v>
      </c>
      <c r="P71" s="1212"/>
    </row>
    <row r="72" spans="2:16" s="965" customFormat="1" ht="15.75">
      <c r="B72" s="2719">
        <v>30503</v>
      </c>
      <c r="C72" s="1792"/>
      <c r="D72" s="1196" t="s">
        <v>718</v>
      </c>
      <c r="E72" s="1792"/>
      <c r="F72" s="1793">
        <v>0</v>
      </c>
      <c r="G72" s="3023">
        <v>0</v>
      </c>
      <c r="H72" s="1793"/>
      <c r="I72" s="3023">
        <v>0</v>
      </c>
      <c r="J72" s="1793"/>
      <c r="K72" s="3023">
        <v>0</v>
      </c>
      <c r="L72" s="1793"/>
      <c r="M72" s="2311">
        <f t="shared" si="0"/>
        <v>0</v>
      </c>
      <c r="N72" s="1793"/>
      <c r="O72" s="3023">
        <v>0</v>
      </c>
      <c r="P72" s="1212"/>
    </row>
    <row r="73" spans="2:16" s="965" customFormat="1" ht="15.75">
      <c r="B73" s="2719">
        <v>30504</v>
      </c>
      <c r="C73" s="1792"/>
      <c r="D73" s="1201" t="s">
        <v>719</v>
      </c>
      <c r="E73" s="1792"/>
      <c r="F73" s="1793">
        <v>0</v>
      </c>
      <c r="G73" s="3023">
        <v>0</v>
      </c>
      <c r="H73" s="1793"/>
      <c r="I73" s="3023">
        <v>0</v>
      </c>
      <c r="J73" s="1793"/>
      <c r="K73" s="3023">
        <v>0</v>
      </c>
      <c r="L73" s="1793"/>
      <c r="M73" s="2311">
        <f t="shared" si="0"/>
        <v>0</v>
      </c>
      <c r="N73" s="1793"/>
      <c r="O73" s="3023">
        <v>0</v>
      </c>
      <c r="P73" s="1212"/>
    </row>
    <row r="74" spans="2:16" s="965" customFormat="1" ht="15.75">
      <c r="B74" s="2719">
        <v>31506</v>
      </c>
      <c r="C74" s="1202"/>
      <c r="D74" s="1203" t="s">
        <v>720</v>
      </c>
      <c r="E74" s="1204"/>
      <c r="F74" s="1793">
        <v>109849194.79000001</v>
      </c>
      <c r="G74" s="3023">
        <v>128720516.67</v>
      </c>
      <c r="H74" s="1793"/>
      <c r="I74" s="3023">
        <v>139703358.28</v>
      </c>
      <c r="J74" s="1793"/>
      <c r="K74" s="3023">
        <v>163163317.75999999</v>
      </c>
      <c r="L74" s="1793"/>
      <c r="M74" s="2311">
        <f t="shared" si="0"/>
        <v>11366073.23</v>
      </c>
      <c r="N74" s="1793"/>
      <c r="O74" s="3023">
        <v>174529390.99000001</v>
      </c>
      <c r="P74" s="1212"/>
    </row>
    <row r="75" spans="2:16" s="965" customFormat="1" ht="15.75">
      <c r="B75" s="2719">
        <v>31701</v>
      </c>
      <c r="C75" s="1792"/>
      <c r="D75" s="1196" t="s">
        <v>721</v>
      </c>
      <c r="E75" s="1792"/>
      <c r="F75" s="1793">
        <v>7423246.6200000001</v>
      </c>
      <c r="G75" s="3023">
        <v>16107829.09</v>
      </c>
      <c r="H75" s="1793"/>
      <c r="I75" s="3023">
        <v>17740051.670000002</v>
      </c>
      <c r="J75" s="1793"/>
      <c r="K75" s="3023">
        <v>20308507.600000001</v>
      </c>
      <c r="L75" s="1793"/>
      <c r="M75" s="2311">
        <f t="shared" si="0"/>
        <v>2259022.96</v>
      </c>
      <c r="N75" s="1793"/>
      <c r="O75" s="3023">
        <v>22567530.559999999</v>
      </c>
      <c r="P75" s="1212"/>
    </row>
    <row r="76" spans="2:16" s="965" customFormat="1" ht="15.75">
      <c r="B76" s="2719">
        <v>31801</v>
      </c>
      <c r="C76" s="1792"/>
      <c r="D76" s="1196" t="s">
        <v>722</v>
      </c>
      <c r="E76" s="1792"/>
      <c r="F76" s="1793">
        <v>13150846.050000001</v>
      </c>
      <c r="G76" s="3023">
        <v>13630607.539999999</v>
      </c>
      <c r="H76" s="1793"/>
      <c r="I76" s="3023">
        <v>13630607.539999999</v>
      </c>
      <c r="J76" s="1793"/>
      <c r="K76" s="3023">
        <v>13630607.539999999</v>
      </c>
      <c r="L76" s="1793"/>
      <c r="M76" s="2311">
        <f t="shared" si="0"/>
        <v>0</v>
      </c>
      <c r="N76" s="1793"/>
      <c r="O76" s="3023">
        <v>13630607.539999999</v>
      </c>
      <c r="P76" s="1212"/>
    </row>
    <row r="77" spans="2:16" s="965" customFormat="1" ht="15.75">
      <c r="B77" s="2719">
        <v>31851</v>
      </c>
      <c r="C77" s="1792"/>
      <c r="D77" s="1201" t="s">
        <v>723</v>
      </c>
      <c r="E77" s="1792"/>
      <c r="F77" s="1793">
        <v>0</v>
      </c>
      <c r="G77" s="3023">
        <v>46865527.539999999</v>
      </c>
      <c r="H77" s="1793"/>
      <c r="I77" s="3023">
        <v>53231385.539999999</v>
      </c>
      <c r="J77" s="1793"/>
      <c r="K77" s="3023">
        <v>53731018.539999999</v>
      </c>
      <c r="L77" s="1793"/>
      <c r="M77" s="2311">
        <f t="shared" si="0"/>
        <v>0</v>
      </c>
      <c r="N77" s="1793"/>
      <c r="O77" s="3023">
        <v>53731018.539999999</v>
      </c>
      <c r="P77" s="1212"/>
    </row>
    <row r="78" spans="2:16" s="965" customFormat="1" ht="15.75">
      <c r="B78" s="2719">
        <v>31852</v>
      </c>
      <c r="C78" s="1792"/>
      <c r="D78" s="1196" t="s">
        <v>724</v>
      </c>
      <c r="E78" s="1792"/>
      <c r="F78" s="1793">
        <v>40679225.310000002</v>
      </c>
      <c r="G78" s="3023">
        <v>42233521.890000001</v>
      </c>
      <c r="H78" s="1793"/>
      <c r="I78" s="3023">
        <v>48423521.890000001</v>
      </c>
      <c r="J78" s="1793"/>
      <c r="K78" s="3023">
        <v>48423521.890000001</v>
      </c>
      <c r="L78" s="1793"/>
      <c r="M78" s="2311">
        <f t="shared" si="0"/>
        <v>0</v>
      </c>
      <c r="N78" s="1793"/>
      <c r="O78" s="3023">
        <v>48423521.890000001</v>
      </c>
      <c r="P78" s="1212"/>
    </row>
    <row r="79" spans="2:16" s="965" customFormat="1" ht="15.75">
      <c r="B79" s="2719">
        <v>31853</v>
      </c>
      <c r="C79" s="1792"/>
      <c r="D79" s="1201" t="s">
        <v>725</v>
      </c>
      <c r="E79" s="1792"/>
      <c r="F79" s="1793">
        <v>76297899.909999996</v>
      </c>
      <c r="G79" s="3023">
        <v>122301229.84999999</v>
      </c>
      <c r="H79" s="1793"/>
      <c r="I79" s="3023">
        <v>122301229.84999999</v>
      </c>
      <c r="J79" s="1793"/>
      <c r="K79" s="3023">
        <v>122301229.84999999</v>
      </c>
      <c r="L79" s="1793"/>
      <c r="M79" s="2311">
        <f t="shared" ref="M79:M97" si="1">ROUND(SUM(O79)-SUM(K79),2)</f>
        <v>15750000</v>
      </c>
      <c r="N79" s="1793"/>
      <c r="O79" s="3023">
        <v>138051229.84999999</v>
      </c>
      <c r="P79" s="1212"/>
    </row>
    <row r="80" spans="2:16" s="965" customFormat="1" ht="15.75">
      <c r="B80" s="2719">
        <v>31854</v>
      </c>
      <c r="C80" s="1792"/>
      <c r="D80" s="1196" t="s">
        <v>726</v>
      </c>
      <c r="E80" s="1792"/>
      <c r="F80" s="1793">
        <v>0</v>
      </c>
      <c r="G80" s="3023">
        <v>0</v>
      </c>
      <c r="H80" s="1793"/>
      <c r="I80" s="3023">
        <v>0</v>
      </c>
      <c r="J80" s="1793"/>
      <c r="K80" s="3023">
        <v>0</v>
      </c>
      <c r="L80" s="1793"/>
      <c r="M80" s="2311">
        <f t="shared" si="1"/>
        <v>0</v>
      </c>
      <c r="N80" s="1793"/>
      <c r="O80" s="3023">
        <v>0</v>
      </c>
      <c r="P80" s="1212"/>
    </row>
    <row r="81" spans="2:16" s="965" customFormat="1" ht="15.75">
      <c r="B81" s="2719">
        <v>31951</v>
      </c>
      <c r="C81" s="1792"/>
      <c r="D81" s="1201" t="s">
        <v>727</v>
      </c>
      <c r="E81" s="1792"/>
      <c r="F81" s="1793">
        <v>12348115.710000001</v>
      </c>
      <c r="G81" s="3023">
        <v>12627887.24</v>
      </c>
      <c r="H81" s="1793"/>
      <c r="I81" s="3023">
        <v>12538510.48</v>
      </c>
      <c r="J81" s="1793"/>
      <c r="K81" s="3023">
        <v>12538510.48</v>
      </c>
      <c r="L81" s="1793"/>
      <c r="M81" s="2311">
        <f t="shared" si="1"/>
        <v>0</v>
      </c>
      <c r="N81" s="1793"/>
      <c r="O81" s="3023">
        <v>12538510.48</v>
      </c>
      <c r="P81" s="1212"/>
    </row>
    <row r="82" spans="2:16" s="965" customFormat="1" ht="15.75">
      <c r="B82" s="2719">
        <v>32213</v>
      </c>
      <c r="C82" s="1792"/>
      <c r="D82" s="1196" t="s">
        <v>728</v>
      </c>
      <c r="E82" s="1792"/>
      <c r="F82" s="1793">
        <v>153750</v>
      </c>
      <c r="G82" s="3023">
        <v>153750</v>
      </c>
      <c r="H82" s="1793"/>
      <c r="I82" s="3023">
        <v>153750</v>
      </c>
      <c r="J82" s="1793"/>
      <c r="K82" s="3023">
        <v>153750</v>
      </c>
      <c r="L82" s="1793"/>
      <c r="M82" s="2311">
        <f t="shared" si="1"/>
        <v>0</v>
      </c>
      <c r="N82" s="1793"/>
      <c r="O82" s="3023">
        <v>153750</v>
      </c>
      <c r="P82" s="1212"/>
    </row>
    <row r="83" spans="2:16" s="965" customFormat="1" ht="15.75">
      <c r="B83" s="2719">
        <v>32215</v>
      </c>
      <c r="C83" s="1792"/>
      <c r="D83" s="1196" t="s">
        <v>1416</v>
      </c>
      <c r="E83" s="1792"/>
      <c r="F83" s="1793"/>
      <c r="G83" s="3023">
        <v>53430.02</v>
      </c>
      <c r="H83" s="1793"/>
      <c r="I83" s="3023">
        <v>53455.09</v>
      </c>
      <c r="J83" s="1793"/>
      <c r="K83" s="3023">
        <v>53480.01</v>
      </c>
      <c r="L83" s="1793"/>
      <c r="M83" s="2311">
        <f t="shared" si="1"/>
        <v>26.81</v>
      </c>
      <c r="N83" s="1793"/>
      <c r="O83" s="3023">
        <v>53506.82</v>
      </c>
      <c r="P83" s="1212"/>
    </row>
    <row r="84" spans="2:16" s="965" customFormat="1" ht="15.75">
      <c r="B84" s="2719">
        <v>32301</v>
      </c>
      <c r="C84" s="1792"/>
      <c r="D84" s="1201" t="s">
        <v>729</v>
      </c>
      <c r="E84" s="1204"/>
      <c r="F84" s="1793">
        <v>0</v>
      </c>
      <c r="G84" s="3023">
        <v>0</v>
      </c>
      <c r="H84" s="1793"/>
      <c r="I84" s="3023">
        <v>0</v>
      </c>
      <c r="J84" s="1793"/>
      <c r="K84" s="3023">
        <v>0</v>
      </c>
      <c r="L84" s="1793"/>
      <c r="M84" s="2311">
        <f t="shared" si="1"/>
        <v>0</v>
      </c>
      <c r="N84" s="1793"/>
      <c r="O84" s="3023">
        <v>0</v>
      </c>
      <c r="P84" s="1212"/>
    </row>
    <row r="85" spans="2:16" s="965" customFormat="1" ht="15.75">
      <c r="B85" s="2719">
        <v>32302</v>
      </c>
      <c r="C85" s="1792"/>
      <c r="D85" s="1201" t="s">
        <v>1152</v>
      </c>
      <c r="E85" s="1204"/>
      <c r="F85" s="1793">
        <v>0</v>
      </c>
      <c r="G85" s="3023">
        <v>0</v>
      </c>
      <c r="H85" s="1793"/>
      <c r="I85" s="3023">
        <v>0</v>
      </c>
      <c r="J85" s="1793"/>
      <c r="K85" s="3023">
        <v>0</v>
      </c>
      <c r="L85" s="1793"/>
      <c r="M85" s="2311">
        <f t="shared" si="1"/>
        <v>0</v>
      </c>
      <c r="N85" s="1793"/>
      <c r="O85" s="3023">
        <v>0</v>
      </c>
      <c r="P85" s="1212"/>
    </row>
    <row r="86" spans="2:16" s="965" customFormat="1" ht="15.75">
      <c r="B86" s="2719">
        <v>32303</v>
      </c>
      <c r="C86" s="1792"/>
      <c r="D86" s="1196" t="s">
        <v>730</v>
      </c>
      <c r="E86" s="1204"/>
      <c r="F86" s="1793">
        <v>87723047.260000005</v>
      </c>
      <c r="G86" s="3023">
        <v>157591524.84999999</v>
      </c>
      <c r="H86" s="1793"/>
      <c r="I86" s="3023">
        <v>160273697.50999999</v>
      </c>
      <c r="J86" s="1793"/>
      <c r="K86" s="3023">
        <v>164651471.50999999</v>
      </c>
      <c r="L86" s="1793"/>
      <c r="M86" s="2311">
        <f t="shared" si="1"/>
        <v>-1114583.72</v>
      </c>
      <c r="N86" s="1793"/>
      <c r="O86" s="3023">
        <v>163536887.78999999</v>
      </c>
      <c r="P86" s="1212"/>
    </row>
    <row r="87" spans="2:16" s="965" customFormat="1" ht="15.75">
      <c r="B87" s="2719">
        <v>32304</v>
      </c>
      <c r="C87" s="1792"/>
      <c r="D87" s="1196" t="s">
        <v>1153</v>
      </c>
      <c r="E87" s="1204"/>
      <c r="F87" s="1793">
        <v>0</v>
      </c>
      <c r="G87" s="3023">
        <v>0</v>
      </c>
      <c r="H87" s="1793"/>
      <c r="I87" s="3023">
        <v>0</v>
      </c>
      <c r="J87" s="1793"/>
      <c r="K87" s="3023">
        <v>0</v>
      </c>
      <c r="L87" s="1793"/>
      <c r="M87" s="2311">
        <f t="shared" si="1"/>
        <v>0</v>
      </c>
      <c r="N87" s="1793"/>
      <c r="O87" s="3023">
        <v>0</v>
      </c>
      <c r="P87" s="1212"/>
    </row>
    <row r="88" spans="2:16" s="965" customFormat="1" ht="15.75">
      <c r="B88" s="2719">
        <v>32305</v>
      </c>
      <c r="C88" s="1792"/>
      <c r="D88" s="1196" t="s">
        <v>731</v>
      </c>
      <c r="E88" s="1204"/>
      <c r="F88" s="1793">
        <v>172362230.61000001</v>
      </c>
      <c r="G88" s="3023">
        <v>225251309.47999999</v>
      </c>
      <c r="H88" s="1793"/>
      <c r="I88" s="3023">
        <v>229241309.47999999</v>
      </c>
      <c r="J88" s="1793"/>
      <c r="K88" s="3023">
        <v>231919309.47999999</v>
      </c>
      <c r="L88" s="1793"/>
      <c r="M88" s="2311">
        <f t="shared" si="1"/>
        <v>3341248.4</v>
      </c>
      <c r="N88" s="1793"/>
      <c r="O88" s="3023">
        <v>235260557.88</v>
      </c>
      <c r="P88" s="1212"/>
    </row>
    <row r="89" spans="2:16" s="965" customFormat="1" ht="15.75">
      <c r="B89" s="2719">
        <v>32306</v>
      </c>
      <c r="C89" s="1792"/>
      <c r="D89" s="1201" t="s">
        <v>732</v>
      </c>
      <c r="E89" s="1204"/>
      <c r="F89" s="1793">
        <v>26767629.280000001</v>
      </c>
      <c r="G89" s="3023">
        <v>25499702.489999998</v>
      </c>
      <c r="H89" s="1793"/>
      <c r="I89" s="3023">
        <v>25499702.489999998</v>
      </c>
      <c r="J89" s="1793"/>
      <c r="K89" s="3023">
        <v>22350698.170000002</v>
      </c>
      <c r="L89" s="1793"/>
      <c r="M89" s="2311">
        <f t="shared" si="1"/>
        <v>-3228132.46</v>
      </c>
      <c r="N89" s="1793"/>
      <c r="O89" s="3023">
        <v>19122565.710000001</v>
      </c>
      <c r="P89" s="1212"/>
    </row>
    <row r="90" spans="2:16" s="965" customFormat="1" ht="15.75">
      <c r="B90" s="2719">
        <v>32307</v>
      </c>
      <c r="C90" s="1792"/>
      <c r="D90" s="1201" t="s">
        <v>733</v>
      </c>
      <c r="E90" s="1204"/>
      <c r="F90" s="1793">
        <v>5430710.0300000003</v>
      </c>
      <c r="G90" s="3023">
        <v>6345493.3200000003</v>
      </c>
      <c r="H90" s="1793"/>
      <c r="I90" s="3023">
        <v>6345493.3200000003</v>
      </c>
      <c r="J90" s="1793"/>
      <c r="K90" s="3023">
        <v>5216248.34</v>
      </c>
      <c r="L90" s="1793"/>
      <c r="M90" s="2311">
        <f t="shared" si="1"/>
        <v>-1738270.23</v>
      </c>
      <c r="N90" s="1793"/>
      <c r="O90" s="3023">
        <v>3477978.11</v>
      </c>
      <c r="P90" s="1212"/>
    </row>
    <row r="91" spans="2:16" s="965" customFormat="1" ht="15.75">
      <c r="B91" s="2719">
        <v>32308</v>
      </c>
      <c r="C91" s="1792"/>
      <c r="D91" s="1201" t="s">
        <v>734</v>
      </c>
      <c r="E91" s="1204"/>
      <c r="F91" s="1793">
        <v>539890.44999999995</v>
      </c>
      <c r="G91" s="3023">
        <v>556276.88</v>
      </c>
      <c r="H91" s="1793"/>
      <c r="I91" s="3023">
        <v>821776.88</v>
      </c>
      <c r="J91" s="1793"/>
      <c r="K91" s="3023">
        <v>600664.89</v>
      </c>
      <c r="L91" s="1793"/>
      <c r="M91" s="2311">
        <f t="shared" si="1"/>
        <v>-429080.99</v>
      </c>
      <c r="N91" s="1793"/>
      <c r="O91" s="3023">
        <v>171583.9</v>
      </c>
      <c r="P91" s="1212"/>
    </row>
    <row r="92" spans="2:16" s="965" customFormat="1" ht="15.75">
      <c r="B92" s="2719">
        <v>32309</v>
      </c>
      <c r="C92" s="1792"/>
      <c r="D92" s="1201" t="s">
        <v>735</v>
      </c>
      <c r="E92" s="1204"/>
      <c r="F92" s="1793">
        <v>104401100.42</v>
      </c>
      <c r="G92" s="3023">
        <v>32882499.210000001</v>
      </c>
      <c r="H92" s="1793"/>
      <c r="I92" s="3023">
        <v>36912272.619999997</v>
      </c>
      <c r="J92" s="1793"/>
      <c r="K92" s="3023">
        <v>38464477.229999997</v>
      </c>
      <c r="L92" s="1793"/>
      <c r="M92" s="2311">
        <f t="shared" si="1"/>
        <v>10026006.029999999</v>
      </c>
      <c r="N92" s="1793"/>
      <c r="O92" s="3023">
        <v>48490483.259999998</v>
      </c>
      <c r="P92" s="1212"/>
    </row>
    <row r="93" spans="2:16" s="965" customFormat="1" ht="15.75">
      <c r="B93" s="2719">
        <v>32310</v>
      </c>
      <c r="C93" s="1792"/>
      <c r="D93" s="1201" t="s">
        <v>736</v>
      </c>
      <c r="E93" s="1204"/>
      <c r="F93" s="1793">
        <v>0</v>
      </c>
      <c r="G93" s="3023">
        <v>0</v>
      </c>
      <c r="H93" s="1793"/>
      <c r="I93" s="3023">
        <v>0</v>
      </c>
      <c r="J93" s="1793"/>
      <c r="K93" s="3023">
        <v>0</v>
      </c>
      <c r="L93" s="1793"/>
      <c r="M93" s="2311">
        <f t="shared" si="1"/>
        <v>0</v>
      </c>
      <c r="N93" s="1793"/>
      <c r="O93" s="3023">
        <v>0</v>
      </c>
      <c r="P93" s="1212"/>
    </row>
    <row r="94" spans="2:16" s="965" customFormat="1" ht="17.25">
      <c r="B94" s="2719">
        <v>32311</v>
      </c>
      <c r="C94" s="1792"/>
      <c r="D94" s="1794" t="s">
        <v>737</v>
      </c>
      <c r="E94" s="1204"/>
      <c r="F94" s="1793">
        <v>2486315.4700000002</v>
      </c>
      <c r="G94" s="3023">
        <v>447106.05</v>
      </c>
      <c r="H94" s="1793"/>
      <c r="I94" s="3023">
        <v>843511.99</v>
      </c>
      <c r="J94" s="1793"/>
      <c r="K94" s="3023">
        <v>921049.59999999998</v>
      </c>
      <c r="L94" s="1793"/>
      <c r="M94" s="2311">
        <f t="shared" si="1"/>
        <v>197150.38</v>
      </c>
      <c r="N94" s="1793"/>
      <c r="O94" s="3023">
        <v>1118199.98</v>
      </c>
      <c r="P94" s="1212"/>
    </row>
    <row r="95" spans="2:16" s="965" customFormat="1" ht="15.75">
      <c r="B95" s="2719">
        <v>32351</v>
      </c>
      <c r="C95" s="1792"/>
      <c r="D95" s="1201" t="s">
        <v>738</v>
      </c>
      <c r="E95" s="1204"/>
      <c r="F95" s="1793">
        <v>11110.01</v>
      </c>
      <c r="G95" s="3023">
        <v>0</v>
      </c>
      <c r="H95" s="1793"/>
      <c r="I95" s="3023">
        <v>0</v>
      </c>
      <c r="J95" s="1793"/>
      <c r="K95" s="3023">
        <v>0</v>
      </c>
      <c r="L95" s="1793"/>
      <c r="M95" s="2311">
        <f t="shared" si="1"/>
        <v>0</v>
      </c>
      <c r="N95" s="1793"/>
      <c r="O95" s="3023">
        <v>0</v>
      </c>
      <c r="P95" s="1212"/>
    </row>
    <row r="96" spans="2:16" s="965" customFormat="1" ht="15.75">
      <c r="B96" s="2719">
        <v>32352</v>
      </c>
      <c r="C96" s="1792"/>
      <c r="D96" s="1196" t="s">
        <v>739</v>
      </c>
      <c r="E96" s="1204"/>
      <c r="F96" s="1793">
        <v>65245293.57</v>
      </c>
      <c r="G96" s="3023">
        <v>90664666.230000004</v>
      </c>
      <c r="H96" s="1793"/>
      <c r="I96" s="3023">
        <v>114635162.58</v>
      </c>
      <c r="J96" s="1793"/>
      <c r="K96" s="3023">
        <v>139388794.77000001</v>
      </c>
      <c r="L96" s="1793"/>
      <c r="M96" s="2311">
        <f t="shared" si="1"/>
        <v>24727352.91</v>
      </c>
      <c r="N96" s="1793"/>
      <c r="O96" s="3023">
        <v>164116147.68000001</v>
      </c>
      <c r="P96" s="1284"/>
    </row>
    <row r="97" spans="2:16" s="965" customFormat="1" ht="15.75">
      <c r="B97" s="2719">
        <v>33001</v>
      </c>
      <c r="C97" s="1792"/>
      <c r="D97" s="1196" t="s">
        <v>740</v>
      </c>
      <c r="E97" s="1204"/>
      <c r="F97" s="1793">
        <v>10000000</v>
      </c>
      <c r="G97" s="3023">
        <v>49167988.399999999</v>
      </c>
      <c r="H97" s="1793"/>
      <c r="I97" s="3023">
        <v>50353713.539999999</v>
      </c>
      <c r="J97" s="1793"/>
      <c r="K97" s="3023">
        <v>48585949.079999998</v>
      </c>
      <c r="L97" s="1793"/>
      <c r="M97" s="2311">
        <f t="shared" si="1"/>
        <v>1599978.87</v>
      </c>
      <c r="N97" s="1793"/>
      <c r="O97" s="3023">
        <v>50185927.950000003</v>
      </c>
      <c r="P97" s="1212"/>
    </row>
    <row r="98" spans="2:16" s="965" customFormat="1" ht="16.5" thickBot="1">
      <c r="B98" s="1587"/>
      <c r="C98" s="1588"/>
      <c r="D98" s="3161" t="s">
        <v>741</v>
      </c>
      <c r="E98" s="1274"/>
      <c r="F98" s="1274"/>
      <c r="G98" s="2313">
        <f>ROUND(SUM(G14:G97),2)</f>
        <v>1172518278.2</v>
      </c>
      <c r="H98"/>
      <c r="I98" s="2313">
        <f>ROUND(SUM(I14:I97),2)</f>
        <v>1176461883</v>
      </c>
      <c r="J98"/>
      <c r="K98" s="2313">
        <f>ROUND(SUM(K14:K97),2)</f>
        <v>1245980642.5599999</v>
      </c>
      <c r="L98"/>
      <c r="M98" s="2313">
        <f>ROUND(SUM(M14:M97),2)</f>
        <v>-19798767.239999998</v>
      </c>
      <c r="N98"/>
      <c r="O98" s="2313">
        <f>ROUND(SUM(O14:O97),2)</f>
        <v>1226181875.3199999</v>
      </c>
      <c r="P98" s="1212"/>
    </row>
    <row r="99" spans="2:16" s="965" customFormat="1" ht="16.5" thickTop="1">
      <c r="B99" s="1589"/>
      <c r="C99" s="1589"/>
      <c r="D99" s="1590"/>
      <c r="E99" s="1279"/>
      <c r="F99" s="1279"/>
      <c r="G99" s="3102"/>
      <c r="H99" s="1592"/>
      <c r="I99" s="3102"/>
      <c r="J99" s="1592"/>
      <c r="K99" s="3102"/>
      <c r="L99" s="1170"/>
      <c r="M99" s="1591"/>
      <c r="N99" s="1592"/>
      <c r="O99" s="3102"/>
      <c r="P99" s="1285"/>
    </row>
    <row r="100" spans="2:16" s="965" customFormat="1" ht="15.75">
      <c r="B100" s="1363"/>
      <c r="C100" s="1588"/>
      <c r="D100" s="3162" t="s">
        <v>742</v>
      </c>
      <c r="E100" s="1593"/>
      <c r="F100" s="1593"/>
      <c r="G100" s="3103"/>
      <c r="H100" s="1594"/>
      <c r="I100" s="3103"/>
      <c r="J100" s="1594"/>
      <c r="K100" s="3103"/>
      <c r="L100" s="1585"/>
      <c r="M100" s="2760"/>
      <c r="N100" s="1594"/>
      <c r="O100" s="3103"/>
      <c r="P100" s="1279"/>
    </row>
    <row r="101" spans="2:16" s="965" customFormat="1" ht="15.75">
      <c r="B101" s="2719">
        <v>20452</v>
      </c>
      <c r="C101" s="1363"/>
      <c r="D101" s="1196" t="s">
        <v>743</v>
      </c>
      <c r="E101"/>
      <c r="F101" s="1363"/>
      <c r="G101" s="3023">
        <v>0</v>
      </c>
      <c r="H101" s="1585"/>
      <c r="I101" s="3023">
        <v>0</v>
      </c>
      <c r="J101" s="1585"/>
      <c r="K101" s="3023">
        <v>0</v>
      </c>
      <c r="L101" s="1585"/>
      <c r="M101" s="2311">
        <f t="shared" ref="M101:M164" si="2">ROUND(SUM(O101)-SUM(K101),2)</f>
        <v>0</v>
      </c>
      <c r="N101" s="1585"/>
      <c r="O101" s="3023">
        <v>0</v>
      </c>
      <c r="P101" s="1212"/>
    </row>
    <row r="102" spans="2:16" s="965" customFormat="1" ht="15.75">
      <c r="B102" s="2719">
        <v>20501</v>
      </c>
      <c r="C102" s="1596"/>
      <c r="D102" s="1196" t="s">
        <v>744</v>
      </c>
      <c r="E102" s="1586"/>
      <c r="F102" s="1586"/>
      <c r="G102" s="3023">
        <v>0</v>
      </c>
      <c r="H102" s="1585"/>
      <c r="I102" s="3023">
        <v>0</v>
      </c>
      <c r="J102" s="1585"/>
      <c r="K102" s="3023">
        <v>0</v>
      </c>
      <c r="L102" s="1585"/>
      <c r="M102" s="2311">
        <f t="shared" si="2"/>
        <v>0</v>
      </c>
      <c r="N102" s="1585"/>
      <c r="O102" s="3023">
        <v>0</v>
      </c>
      <c r="P102" s="1212"/>
    </row>
    <row r="103" spans="2:16" s="965" customFormat="1" ht="15.75">
      <c r="B103" s="2719">
        <v>20810</v>
      </c>
      <c r="C103" s="1202"/>
      <c r="D103" s="1206" t="s">
        <v>745</v>
      </c>
      <c r="E103" s="1204"/>
      <c r="F103" s="1204"/>
      <c r="G103" s="3023">
        <v>0</v>
      </c>
      <c r="H103" s="1585"/>
      <c r="I103" s="3023">
        <v>0</v>
      </c>
      <c r="J103" s="1585"/>
      <c r="K103" s="3023">
        <v>14449636.24</v>
      </c>
      <c r="L103" s="1585"/>
      <c r="M103" s="2311">
        <f t="shared" si="2"/>
        <v>12378186.390000001</v>
      </c>
      <c r="N103" s="1585"/>
      <c r="O103" s="3023">
        <v>26827822.629999999</v>
      </c>
      <c r="P103" s="1212"/>
    </row>
    <row r="104" spans="2:16" s="965" customFormat="1" ht="15.75">
      <c r="B104" s="2719">
        <v>20818</v>
      </c>
      <c r="C104" s="1202"/>
      <c r="D104" s="1206" t="s">
        <v>746</v>
      </c>
      <c r="E104" s="1204"/>
      <c r="F104" s="1204"/>
      <c r="G104" s="3023">
        <v>0</v>
      </c>
      <c r="H104" s="1585"/>
      <c r="I104" s="3023">
        <v>0</v>
      </c>
      <c r="J104" s="1585"/>
      <c r="K104" s="3023">
        <v>0</v>
      </c>
      <c r="L104" s="1585"/>
      <c r="M104" s="2311">
        <f t="shared" si="2"/>
        <v>0</v>
      </c>
      <c r="N104" s="1585"/>
      <c r="O104" s="3023">
        <v>0</v>
      </c>
      <c r="P104" s="1212"/>
    </row>
    <row r="105" spans="2:16" s="965" customFormat="1" ht="15.75">
      <c r="B105" s="2719">
        <v>20901</v>
      </c>
      <c r="C105" s="1202"/>
      <c r="D105" s="1206" t="s">
        <v>747</v>
      </c>
      <c r="E105" s="1204"/>
      <c r="F105" s="1204"/>
      <c r="G105" s="3023">
        <v>1141537728.6600001</v>
      </c>
      <c r="H105" s="1585"/>
      <c r="I105" s="3023">
        <v>1007235090.15</v>
      </c>
      <c r="J105" s="1585"/>
      <c r="K105" s="3023">
        <v>869828926.76999998</v>
      </c>
      <c r="L105" s="1585"/>
      <c r="M105" s="2311">
        <f t="shared" si="2"/>
        <v>-173299265.06999999</v>
      </c>
      <c r="N105" s="1585"/>
      <c r="O105" s="3023">
        <v>696529661.70000005</v>
      </c>
      <c r="P105" s="1212"/>
    </row>
    <row r="106" spans="2:16" s="965" customFormat="1" ht="15.75">
      <c r="B106" s="2719">
        <v>20904</v>
      </c>
      <c r="C106" s="1199"/>
      <c r="D106" s="1207" t="s">
        <v>748</v>
      </c>
      <c r="E106" s="1211"/>
      <c r="F106" s="1211"/>
      <c r="G106" s="3023">
        <v>0</v>
      </c>
      <c r="H106" s="1585"/>
      <c r="I106" s="3023">
        <v>0</v>
      </c>
      <c r="J106" s="1585"/>
      <c r="K106" s="3023">
        <v>0</v>
      </c>
      <c r="L106" s="1585"/>
      <c r="M106" s="2311">
        <f t="shared" si="2"/>
        <v>0</v>
      </c>
      <c r="N106" s="1585"/>
      <c r="O106" s="3023">
        <v>0</v>
      </c>
      <c r="P106" s="1212"/>
    </row>
    <row r="107" spans="2:16" s="965" customFormat="1" ht="15.75">
      <c r="B107" s="2719">
        <v>21001</v>
      </c>
      <c r="C107" s="1202"/>
      <c r="D107" s="1208" t="s">
        <v>749</v>
      </c>
      <c r="E107" s="1204"/>
      <c r="F107" s="1204"/>
      <c r="G107" s="3023">
        <v>0</v>
      </c>
      <c r="H107" s="1585"/>
      <c r="I107" s="3023">
        <v>0</v>
      </c>
      <c r="J107" s="1585"/>
      <c r="K107" s="3023">
        <v>0</v>
      </c>
      <c r="L107" s="1585"/>
      <c r="M107" s="2311">
        <f t="shared" si="2"/>
        <v>0</v>
      </c>
      <c r="N107" s="1585"/>
      <c r="O107" s="3023">
        <v>0</v>
      </c>
      <c r="P107" s="1212"/>
    </row>
    <row r="108" spans="2:16" s="965" customFormat="1" ht="15.75">
      <c r="B108" s="2719">
        <v>21002</v>
      </c>
      <c r="C108" s="1202"/>
      <c r="D108" s="1206" t="s">
        <v>750</v>
      </c>
      <c r="E108" s="1204"/>
      <c r="F108" s="1204"/>
      <c r="G108" s="3023">
        <v>3746134.47</v>
      </c>
      <c r="H108" s="1585"/>
      <c r="I108" s="3023">
        <v>3911404.63</v>
      </c>
      <c r="J108" s="1585"/>
      <c r="K108" s="3023">
        <v>4014381.03</v>
      </c>
      <c r="L108" s="1585"/>
      <c r="M108" s="2311">
        <f t="shared" si="2"/>
        <v>24042.94</v>
      </c>
      <c r="N108" s="1585"/>
      <c r="O108" s="3023">
        <v>4038423.97</v>
      </c>
      <c r="P108" s="1212"/>
    </row>
    <row r="109" spans="2:16" s="965" customFormat="1" ht="15.75">
      <c r="B109" s="2719">
        <v>21061</v>
      </c>
      <c r="C109" s="1202"/>
      <c r="D109" s="1206" t="s">
        <v>751</v>
      </c>
      <c r="E109" s="1204"/>
      <c r="F109" s="1204"/>
      <c r="G109" s="3023">
        <v>0</v>
      </c>
      <c r="H109" s="1585"/>
      <c r="I109" s="3023">
        <v>0</v>
      </c>
      <c r="J109" s="1585"/>
      <c r="K109" s="3023">
        <v>0</v>
      </c>
      <c r="L109" s="1585"/>
      <c r="M109" s="2311">
        <f t="shared" si="2"/>
        <v>0</v>
      </c>
      <c r="N109" s="1585"/>
      <c r="O109" s="3023">
        <v>0</v>
      </c>
      <c r="P109" s="1212"/>
    </row>
    <row r="110" spans="2:16" s="965" customFormat="1" ht="15.75">
      <c r="B110" s="2719">
        <v>21065</v>
      </c>
      <c r="C110" s="1202"/>
      <c r="D110" s="1206" t="s">
        <v>752</v>
      </c>
      <c r="E110" s="1204"/>
      <c r="F110" s="1204"/>
      <c r="G110" s="3023">
        <v>0</v>
      </c>
      <c r="H110" s="1585"/>
      <c r="I110" s="3023">
        <v>717331.59</v>
      </c>
      <c r="J110" s="1585"/>
      <c r="K110" s="3023">
        <v>1398873.71</v>
      </c>
      <c r="L110" s="1585"/>
      <c r="M110" s="2311">
        <f t="shared" si="2"/>
        <v>1737448.45</v>
      </c>
      <c r="N110" s="1585"/>
      <c r="O110" s="3023">
        <v>3136322.16</v>
      </c>
      <c r="P110" s="1212"/>
    </row>
    <row r="111" spans="2:16" s="965" customFormat="1" ht="15.75">
      <c r="B111" s="2719">
        <v>21066</v>
      </c>
      <c r="C111" s="1202"/>
      <c r="D111" s="1203" t="s">
        <v>753</v>
      </c>
      <c r="E111" s="1204"/>
      <c r="F111" s="1204"/>
      <c r="G111" s="3023">
        <v>3916373.14</v>
      </c>
      <c r="H111" s="1585"/>
      <c r="I111" s="3023">
        <v>3705535.32</v>
      </c>
      <c r="J111" s="1585"/>
      <c r="K111" s="3023">
        <v>3849507.88</v>
      </c>
      <c r="L111" s="1585"/>
      <c r="M111" s="2311">
        <f t="shared" si="2"/>
        <v>445008.83</v>
      </c>
      <c r="N111" s="1585"/>
      <c r="O111" s="3023">
        <v>4294516.71</v>
      </c>
      <c r="P111" s="1212"/>
    </row>
    <row r="112" spans="2:16" s="965" customFormat="1" ht="15.75">
      <c r="B112" s="2719">
        <v>21067</v>
      </c>
      <c r="C112" s="1202"/>
      <c r="D112" s="1203" t="s">
        <v>754</v>
      </c>
      <c r="E112" s="1204"/>
      <c r="F112" s="1204"/>
      <c r="G112" s="3023">
        <v>7415072.3200000003</v>
      </c>
      <c r="H112" s="1585"/>
      <c r="I112" s="3023">
        <v>6375989.3799999999</v>
      </c>
      <c r="J112" s="1585"/>
      <c r="K112" s="3023">
        <v>5772739.0999999996</v>
      </c>
      <c r="L112" s="1585"/>
      <c r="M112" s="2311">
        <f t="shared" si="2"/>
        <v>495772.88</v>
      </c>
      <c r="N112" s="1585"/>
      <c r="O112" s="3023">
        <v>6268511.9800000004</v>
      </c>
      <c r="P112" s="1212"/>
    </row>
    <row r="113" spans="2:16" s="965" customFormat="1" ht="15.75">
      <c r="B113" s="2719">
        <v>21077</v>
      </c>
      <c r="C113" s="1202"/>
      <c r="D113" s="1206" t="s">
        <v>755</v>
      </c>
      <c r="E113" s="1204"/>
      <c r="F113" s="1204"/>
      <c r="G113" s="3023">
        <v>0</v>
      </c>
      <c r="H113" s="1585"/>
      <c r="I113" s="3023">
        <v>0</v>
      </c>
      <c r="J113" s="1585"/>
      <c r="K113" s="3023">
        <v>0</v>
      </c>
      <c r="L113" s="1585"/>
      <c r="M113" s="2311">
        <f t="shared" si="2"/>
        <v>0</v>
      </c>
      <c r="N113" s="1585"/>
      <c r="O113" s="3023">
        <v>0</v>
      </c>
      <c r="P113" s="1212"/>
    </row>
    <row r="114" spans="2:16" s="965" customFormat="1" ht="15.75">
      <c r="B114" s="2719">
        <v>21081</v>
      </c>
      <c r="C114" s="1202"/>
      <c r="D114" s="1203" t="s">
        <v>756</v>
      </c>
      <c r="E114" s="1204"/>
      <c r="F114" s="1204"/>
      <c r="G114" s="3023">
        <v>30023270.559999999</v>
      </c>
      <c r="H114" s="1585"/>
      <c r="I114" s="3023">
        <v>31229408.960000001</v>
      </c>
      <c r="J114" s="1585"/>
      <c r="K114" s="3023">
        <v>30800323.18</v>
      </c>
      <c r="L114" s="1585"/>
      <c r="M114" s="2311">
        <f t="shared" si="2"/>
        <v>3040040.49</v>
      </c>
      <c r="N114" s="1585"/>
      <c r="O114" s="3023">
        <v>33840363.670000002</v>
      </c>
      <c r="P114" s="1212"/>
    </row>
    <row r="115" spans="2:16" s="965" customFormat="1" ht="15.75">
      <c r="B115" s="2719">
        <v>21082</v>
      </c>
      <c r="C115" s="1202"/>
      <c r="D115" s="1206" t="s">
        <v>757</v>
      </c>
      <c r="E115" s="1204"/>
      <c r="F115" s="1204"/>
      <c r="G115" s="3023">
        <v>17413960.030000001</v>
      </c>
      <c r="H115" s="1585"/>
      <c r="I115" s="3023">
        <v>17841122.710000001</v>
      </c>
      <c r="J115" s="1585"/>
      <c r="K115" s="3023">
        <v>17776147.609999999</v>
      </c>
      <c r="L115" s="1585"/>
      <c r="M115" s="2311">
        <f t="shared" si="2"/>
        <v>27878.49</v>
      </c>
      <c r="N115" s="1585"/>
      <c r="O115" s="3023">
        <v>17804026.100000001</v>
      </c>
      <c r="P115" s="1212"/>
    </row>
    <row r="116" spans="2:16" s="965" customFormat="1" ht="15.75">
      <c r="B116" s="2719">
        <v>21084</v>
      </c>
      <c r="C116" s="1202"/>
      <c r="D116" s="1206" t="s">
        <v>758</v>
      </c>
      <c r="E116" s="1204"/>
      <c r="F116" s="1204"/>
      <c r="G116" s="3023">
        <v>0</v>
      </c>
      <c r="H116" s="1585"/>
      <c r="I116" s="3023">
        <v>0</v>
      </c>
      <c r="J116" s="1585"/>
      <c r="K116" s="3023">
        <v>0</v>
      </c>
      <c r="L116" s="1585"/>
      <c r="M116" s="2311">
        <f t="shared" si="2"/>
        <v>0</v>
      </c>
      <c r="N116" s="1585"/>
      <c r="O116" s="3023">
        <v>0</v>
      </c>
      <c r="P116" s="1212"/>
    </row>
    <row r="117" spans="2:16" s="965" customFormat="1" ht="15.75">
      <c r="B117" s="2719">
        <v>21087</v>
      </c>
      <c r="C117" s="1202"/>
      <c r="D117" s="1206" t="s">
        <v>759</v>
      </c>
      <c r="E117" s="1204"/>
      <c r="F117" s="1204"/>
      <c r="G117" s="3023">
        <v>0</v>
      </c>
      <c r="H117" s="1585"/>
      <c r="I117" s="3023">
        <v>18186.55</v>
      </c>
      <c r="J117" s="1585"/>
      <c r="K117" s="3023">
        <v>18186.55</v>
      </c>
      <c r="L117" s="1585"/>
      <c r="M117" s="2311">
        <f t="shared" si="2"/>
        <v>0</v>
      </c>
      <c r="N117" s="1585"/>
      <c r="O117" s="3023">
        <v>18186.55</v>
      </c>
      <c r="P117" s="1212"/>
    </row>
    <row r="118" spans="2:16" s="965" customFormat="1" ht="15.75">
      <c r="B118" s="2719">
        <v>21201</v>
      </c>
      <c r="C118" s="1202"/>
      <c r="D118" s="1206" t="s">
        <v>760</v>
      </c>
      <c r="E118" s="1204"/>
      <c r="F118" s="1204"/>
      <c r="G118" s="3023">
        <v>449243.06</v>
      </c>
      <c r="H118" s="1585"/>
      <c r="I118" s="3023">
        <v>590920.34</v>
      </c>
      <c r="J118" s="1585"/>
      <c r="K118" s="3023">
        <v>635881.76</v>
      </c>
      <c r="L118" s="1585"/>
      <c r="M118" s="2311">
        <f t="shared" si="2"/>
        <v>133939.16</v>
      </c>
      <c r="N118" s="1585"/>
      <c r="O118" s="3023">
        <v>769820.92</v>
      </c>
      <c r="P118" s="1212"/>
    </row>
    <row r="119" spans="2:16" s="965" customFormat="1" ht="15.75">
      <c r="B119" s="2719">
        <v>21202</v>
      </c>
      <c r="C119" s="1202"/>
      <c r="D119" s="1206" t="s">
        <v>761</v>
      </c>
      <c r="E119" s="1204"/>
      <c r="F119" s="1204"/>
      <c r="G119" s="3023">
        <v>139645.25</v>
      </c>
      <c r="H119" s="1585"/>
      <c r="I119" s="3023">
        <v>160802.21</v>
      </c>
      <c r="J119" s="1585"/>
      <c r="K119" s="3023">
        <v>175337.88</v>
      </c>
      <c r="L119" s="1585"/>
      <c r="M119" s="2311">
        <f t="shared" si="2"/>
        <v>69261.73</v>
      </c>
      <c r="N119" s="1585"/>
      <c r="O119" s="3023">
        <v>244599.61</v>
      </c>
      <c r="P119" s="1212"/>
    </row>
    <row r="120" spans="2:16" s="965" customFormat="1" ht="15.75">
      <c r="B120" s="2719">
        <v>21203</v>
      </c>
      <c r="C120" s="1202"/>
      <c r="D120" s="1206" t="s">
        <v>762</v>
      </c>
      <c r="E120" s="1204"/>
      <c r="F120" s="1204"/>
      <c r="G120" s="3023">
        <v>10195714.18</v>
      </c>
      <c r="H120" s="1585"/>
      <c r="I120" s="3023">
        <v>13071558.800000001</v>
      </c>
      <c r="J120" s="1585"/>
      <c r="K120" s="3023">
        <v>13895340.529999999</v>
      </c>
      <c r="L120" s="1585"/>
      <c r="M120" s="2311">
        <f t="shared" si="2"/>
        <v>2468359.5699999998</v>
      </c>
      <c r="N120" s="1585"/>
      <c r="O120" s="3023">
        <v>16363700.1</v>
      </c>
      <c r="P120" s="1212"/>
    </row>
    <row r="121" spans="2:16" s="965" customFormat="1" ht="15.75">
      <c r="B121" s="2719">
        <v>21204</v>
      </c>
      <c r="C121" s="1202"/>
      <c r="D121" s="1206" t="s">
        <v>763</v>
      </c>
      <c r="E121" s="1204"/>
      <c r="F121" s="1204"/>
      <c r="G121" s="3023">
        <v>0</v>
      </c>
      <c r="H121" s="1585"/>
      <c r="I121" s="3023">
        <v>0</v>
      </c>
      <c r="J121" s="1585"/>
      <c r="K121" s="3023">
        <v>0</v>
      </c>
      <c r="L121" s="1585"/>
      <c r="M121" s="2311">
        <f t="shared" si="2"/>
        <v>0</v>
      </c>
      <c r="N121" s="1585"/>
      <c r="O121" s="3023">
        <v>0</v>
      </c>
      <c r="P121" s="1212"/>
    </row>
    <row r="122" spans="2:16" s="965" customFormat="1" ht="15.75">
      <c r="B122" s="2719">
        <v>21205</v>
      </c>
      <c r="C122" s="1202"/>
      <c r="D122" s="1206" t="s">
        <v>764</v>
      </c>
      <c r="E122" s="1204"/>
      <c r="F122" s="1204"/>
      <c r="G122" s="3023">
        <v>0</v>
      </c>
      <c r="H122" s="1585"/>
      <c r="I122" s="3023">
        <v>0</v>
      </c>
      <c r="J122" s="1585"/>
      <c r="K122" s="3023">
        <v>0</v>
      </c>
      <c r="L122" s="1585"/>
      <c r="M122" s="2311">
        <f t="shared" si="2"/>
        <v>0</v>
      </c>
      <c r="N122" s="1585"/>
      <c r="O122" s="3023">
        <v>0</v>
      </c>
      <c r="P122" s="1212"/>
    </row>
    <row r="123" spans="2:16" s="965" customFormat="1" ht="15.75">
      <c r="B123" s="2719">
        <v>21401</v>
      </c>
      <c r="C123" s="1202"/>
      <c r="D123" s="1203" t="s">
        <v>765</v>
      </c>
      <c r="E123" s="1204"/>
      <c r="F123" s="1204"/>
      <c r="G123" s="3023">
        <v>0</v>
      </c>
      <c r="H123" s="1585"/>
      <c r="I123" s="3023">
        <v>0</v>
      </c>
      <c r="J123" s="1585"/>
      <c r="K123" s="3023">
        <v>0</v>
      </c>
      <c r="L123" s="1585"/>
      <c r="M123" s="2311">
        <f t="shared" si="2"/>
        <v>0</v>
      </c>
      <c r="N123" s="1585"/>
      <c r="O123" s="3023">
        <v>0</v>
      </c>
      <c r="P123" s="1212"/>
    </row>
    <row r="124" spans="2:16" s="965" customFormat="1" ht="15.75">
      <c r="B124" s="2719">
        <v>21402</v>
      </c>
      <c r="C124" s="1202"/>
      <c r="D124" s="1203" t="s">
        <v>766</v>
      </c>
      <c r="E124" s="1204"/>
      <c r="F124" s="1204"/>
      <c r="G124" s="3023">
        <v>0</v>
      </c>
      <c r="H124" s="1585"/>
      <c r="I124" s="3023">
        <v>182877083.49000001</v>
      </c>
      <c r="J124" s="1585"/>
      <c r="K124" s="3023">
        <v>570731664.45000005</v>
      </c>
      <c r="L124" s="1585"/>
      <c r="M124" s="2311">
        <f t="shared" si="2"/>
        <v>-207715309.19999999</v>
      </c>
      <c r="N124" s="1585"/>
      <c r="O124" s="3023">
        <v>363016355.25</v>
      </c>
      <c r="P124" s="1212"/>
    </row>
    <row r="125" spans="2:16" s="965" customFormat="1" ht="15.75">
      <c r="B125" s="2719">
        <v>21451</v>
      </c>
      <c r="C125" s="1202"/>
      <c r="D125" s="1203" t="s">
        <v>767</v>
      </c>
      <c r="E125" s="1204"/>
      <c r="F125" s="1204"/>
      <c r="G125" s="3023">
        <v>17194157.899999999</v>
      </c>
      <c r="H125" s="1585"/>
      <c r="I125" s="3023">
        <v>17746930.27</v>
      </c>
      <c r="J125" s="1585"/>
      <c r="K125" s="3023">
        <v>18101939</v>
      </c>
      <c r="L125" s="1585"/>
      <c r="M125" s="2311">
        <f t="shared" si="2"/>
        <v>1175042.18</v>
      </c>
      <c r="N125" s="1585"/>
      <c r="O125" s="3023">
        <v>19276981.18</v>
      </c>
      <c r="P125" s="1212"/>
    </row>
    <row r="126" spans="2:16" s="965" customFormat="1" ht="15.75">
      <c r="B126" s="2719">
        <v>21452</v>
      </c>
      <c r="C126" s="1202"/>
      <c r="D126" s="1206" t="s">
        <v>768</v>
      </c>
      <c r="E126" s="1204"/>
      <c r="F126" s="1204"/>
      <c r="G126" s="3023">
        <v>0</v>
      </c>
      <c r="H126" s="1585"/>
      <c r="I126" s="3023">
        <v>0</v>
      </c>
      <c r="J126" s="1585"/>
      <c r="K126" s="3023">
        <v>0</v>
      </c>
      <c r="L126" s="1585"/>
      <c r="M126" s="2311">
        <f t="shared" si="2"/>
        <v>0</v>
      </c>
      <c r="N126" s="1585"/>
      <c r="O126" s="3023">
        <v>0</v>
      </c>
      <c r="P126" s="1212"/>
    </row>
    <row r="127" spans="2:16" s="965" customFormat="1" ht="15.75">
      <c r="B127" s="2719">
        <v>21902</v>
      </c>
      <c r="C127" s="1202"/>
      <c r="D127" s="1203" t="s">
        <v>1417</v>
      </c>
      <c r="E127" s="1204"/>
      <c r="F127" s="1204"/>
      <c r="G127" s="3023">
        <v>0</v>
      </c>
      <c r="H127" s="1585"/>
      <c r="I127" s="3023">
        <v>0</v>
      </c>
      <c r="J127" s="1585"/>
      <c r="K127" s="3023">
        <v>0</v>
      </c>
      <c r="L127" s="1585"/>
      <c r="M127" s="2311">
        <f t="shared" si="2"/>
        <v>0</v>
      </c>
      <c r="N127" s="1585"/>
      <c r="O127" s="3023">
        <v>0</v>
      </c>
      <c r="P127" s="1212"/>
    </row>
    <row r="128" spans="2:16" s="965" customFormat="1" ht="17.25">
      <c r="B128" s="2719">
        <v>21905</v>
      </c>
      <c r="C128" s="1202"/>
      <c r="D128" s="1597" t="s">
        <v>1423</v>
      </c>
      <c r="E128" s="1204"/>
      <c r="F128" s="1204"/>
      <c r="G128" s="3023">
        <v>23642544.18</v>
      </c>
      <c r="H128" s="1585"/>
      <c r="I128" s="3023">
        <v>27579532.170000002</v>
      </c>
      <c r="J128" s="1585"/>
      <c r="K128" s="3023">
        <v>8885389.8399999999</v>
      </c>
      <c r="L128" s="1585"/>
      <c r="M128" s="2311">
        <f t="shared" si="2"/>
        <v>-8885389.8399999999</v>
      </c>
      <c r="N128" s="1585"/>
      <c r="O128" s="3023">
        <v>0</v>
      </c>
      <c r="P128" s="1212"/>
    </row>
    <row r="129" spans="2:16" s="965" customFormat="1" ht="15.75">
      <c r="B129" s="2719">
        <v>21907</v>
      </c>
      <c r="C129" s="1202"/>
      <c r="D129" s="1206" t="s">
        <v>769</v>
      </c>
      <c r="E129" s="1204"/>
      <c r="F129" s="1204"/>
      <c r="G129" s="3023">
        <v>58171943.950000003</v>
      </c>
      <c r="H129" s="1585"/>
      <c r="I129" s="3023">
        <v>87883046.620000005</v>
      </c>
      <c r="J129" s="1585"/>
      <c r="K129" s="3023">
        <v>0</v>
      </c>
      <c r="L129" s="1585"/>
      <c r="M129" s="2311">
        <f t="shared" si="2"/>
        <v>0</v>
      </c>
      <c r="N129" s="1585"/>
      <c r="O129" s="3023">
        <v>0</v>
      </c>
      <c r="P129" s="1212"/>
    </row>
    <row r="130" spans="2:16" s="965" customFormat="1" ht="15.75">
      <c r="B130" s="2719">
        <v>21909</v>
      </c>
      <c r="C130" s="1202"/>
      <c r="D130" s="1206" t="s">
        <v>770</v>
      </c>
      <c r="E130" s="1204"/>
      <c r="F130" s="1204"/>
      <c r="G130" s="3023">
        <v>0</v>
      </c>
      <c r="H130" s="1585"/>
      <c r="I130" s="3023">
        <v>0</v>
      </c>
      <c r="J130" s="1585"/>
      <c r="K130" s="3023">
        <v>0</v>
      </c>
      <c r="L130" s="1585"/>
      <c r="M130" s="2311">
        <f t="shared" si="2"/>
        <v>0</v>
      </c>
      <c r="N130" s="1585"/>
      <c r="O130" s="3023">
        <v>0</v>
      </c>
      <c r="P130" s="1212"/>
    </row>
    <row r="131" spans="2:16" s="965" customFormat="1" ht="15.75">
      <c r="B131" s="2719">
        <v>21911</v>
      </c>
      <c r="C131" s="1202"/>
      <c r="D131" s="1206" t="s">
        <v>771</v>
      </c>
      <c r="E131" s="1204"/>
      <c r="F131" s="1204"/>
      <c r="G131" s="3023">
        <v>299555.03999999998</v>
      </c>
      <c r="H131" s="1585"/>
      <c r="I131" s="3023">
        <v>493341.66</v>
      </c>
      <c r="J131" s="1585"/>
      <c r="K131" s="3023">
        <v>806791.49</v>
      </c>
      <c r="L131" s="1585"/>
      <c r="M131" s="2311">
        <f t="shared" si="2"/>
        <v>-503239.24</v>
      </c>
      <c r="N131" s="1585"/>
      <c r="O131" s="3023">
        <v>303552.25</v>
      </c>
      <c r="P131" s="1212"/>
    </row>
    <row r="132" spans="2:16" s="965" customFormat="1" ht="15.75">
      <c r="B132" s="2719">
        <v>21912</v>
      </c>
      <c r="C132" s="1202"/>
      <c r="D132" s="1203" t="s">
        <v>772</v>
      </c>
      <c r="E132" s="1204"/>
      <c r="F132" s="1204"/>
      <c r="G132" s="3023">
        <v>4908888.03</v>
      </c>
      <c r="H132" s="1585"/>
      <c r="I132" s="3023">
        <v>5368011.29</v>
      </c>
      <c r="J132" s="1585"/>
      <c r="K132" s="3023">
        <v>5246341.1500000004</v>
      </c>
      <c r="L132" s="1585"/>
      <c r="M132" s="2311">
        <f t="shared" si="2"/>
        <v>-259526.34</v>
      </c>
      <c r="N132" s="1585"/>
      <c r="O132" s="3023">
        <v>4986814.8099999996</v>
      </c>
      <c r="P132" s="1212"/>
    </row>
    <row r="133" spans="2:16" s="965" customFormat="1" ht="15.75">
      <c r="B133" s="2719">
        <v>21913</v>
      </c>
      <c r="C133" s="1202"/>
      <c r="D133" s="1206" t="s">
        <v>1086</v>
      </c>
      <c r="E133" s="1204"/>
      <c r="F133" s="1204"/>
      <c r="G133" s="3023">
        <v>17570429.170000002</v>
      </c>
      <c r="H133" s="1585"/>
      <c r="I133" s="3023">
        <v>19837382.489999998</v>
      </c>
      <c r="J133" s="1585"/>
      <c r="K133" s="3023">
        <v>20990729.600000001</v>
      </c>
      <c r="L133" s="1585"/>
      <c r="M133" s="2311">
        <f t="shared" si="2"/>
        <v>487818.57</v>
      </c>
      <c r="N133" s="1585"/>
      <c r="O133" s="3023">
        <v>21478548.170000002</v>
      </c>
      <c r="P133" s="1212"/>
    </row>
    <row r="134" spans="2:16" s="965" customFormat="1" ht="15.75">
      <c r="B134" s="2719">
        <v>21937</v>
      </c>
      <c r="C134" s="1202"/>
      <c r="D134" s="1206" t="s">
        <v>773</v>
      </c>
      <c r="E134" s="1204"/>
      <c r="F134" s="1204"/>
      <c r="G134" s="3023">
        <v>881134.14</v>
      </c>
      <c r="H134" s="1585"/>
      <c r="I134" s="3023">
        <v>5368903.8200000003</v>
      </c>
      <c r="J134" s="1585"/>
      <c r="K134" s="3023">
        <v>238210.84</v>
      </c>
      <c r="L134" s="1585"/>
      <c r="M134" s="2311">
        <f t="shared" si="2"/>
        <v>292684.61</v>
      </c>
      <c r="N134" s="1585"/>
      <c r="O134" s="3023">
        <v>530895.44999999995</v>
      </c>
      <c r="P134" s="1212"/>
    </row>
    <row r="135" spans="2:16" s="965" customFormat="1" ht="15.75">
      <c r="B135" s="2719">
        <v>21945</v>
      </c>
      <c r="C135" s="1202"/>
      <c r="D135" s="1203" t="s">
        <v>774</v>
      </c>
      <c r="E135" s="1204"/>
      <c r="F135" s="1204"/>
      <c r="G135" s="3023">
        <v>0</v>
      </c>
      <c r="H135" s="1585"/>
      <c r="I135" s="3023">
        <v>0</v>
      </c>
      <c r="J135" s="1585"/>
      <c r="K135" s="3023">
        <v>0</v>
      </c>
      <c r="L135" s="1585"/>
      <c r="M135" s="2311">
        <f t="shared" si="2"/>
        <v>0</v>
      </c>
      <c r="N135" s="1585"/>
      <c r="O135" s="3023">
        <v>0</v>
      </c>
      <c r="P135" s="1212"/>
    </row>
    <row r="136" spans="2:16" s="965" customFormat="1" ht="15.75">
      <c r="B136" s="2719">
        <v>21959</v>
      </c>
      <c r="C136" s="1202"/>
      <c r="D136" s="1206" t="s">
        <v>775</v>
      </c>
      <c r="E136" s="1204"/>
      <c r="F136" s="1204"/>
      <c r="G136" s="3023">
        <v>170097.78</v>
      </c>
      <c r="H136" s="1585"/>
      <c r="I136" s="3023">
        <v>388462.23</v>
      </c>
      <c r="J136" s="1585"/>
      <c r="K136" s="3023">
        <v>0</v>
      </c>
      <c r="L136" s="1585"/>
      <c r="M136" s="2311">
        <f t="shared" si="2"/>
        <v>0</v>
      </c>
      <c r="N136" s="1585"/>
      <c r="O136" s="3023">
        <v>0</v>
      </c>
      <c r="P136" s="1212"/>
    </row>
    <row r="137" spans="2:16" s="965" customFormat="1" ht="15.75">
      <c r="B137" s="2719">
        <v>21962</v>
      </c>
      <c r="C137" s="1202"/>
      <c r="D137" s="1206" t="s">
        <v>776</v>
      </c>
      <c r="E137" s="1204"/>
      <c r="F137" s="1204"/>
      <c r="G137" s="3023">
        <v>8388930.2799999993</v>
      </c>
      <c r="H137" s="1585"/>
      <c r="I137" s="3023">
        <v>8875306.6500000004</v>
      </c>
      <c r="J137" s="1585"/>
      <c r="K137" s="3023">
        <v>10449558.619999999</v>
      </c>
      <c r="L137" s="1585"/>
      <c r="M137" s="2311">
        <f t="shared" si="2"/>
        <v>23847.09</v>
      </c>
      <c r="N137" s="1585"/>
      <c r="O137" s="3023">
        <v>10473405.710000001</v>
      </c>
      <c r="P137" s="1212"/>
    </row>
    <row r="138" spans="2:16" s="965" customFormat="1" ht="15.75">
      <c r="B138" s="2719">
        <v>21978</v>
      </c>
      <c r="C138" s="1202"/>
      <c r="D138" s="1203" t="s">
        <v>777</v>
      </c>
      <c r="E138" s="1204"/>
      <c r="F138" s="1204"/>
      <c r="G138" s="3023">
        <v>73538.179999999993</v>
      </c>
      <c r="H138" s="1585"/>
      <c r="I138" s="3023">
        <v>987771.2</v>
      </c>
      <c r="J138" s="1585"/>
      <c r="K138" s="3023">
        <v>0</v>
      </c>
      <c r="L138" s="1585"/>
      <c r="M138" s="2311">
        <f t="shared" si="2"/>
        <v>0</v>
      </c>
      <c r="N138" s="1585"/>
      <c r="O138" s="3023">
        <v>0</v>
      </c>
      <c r="P138" s="1212"/>
    </row>
    <row r="139" spans="2:16" s="965" customFormat="1" ht="15.75">
      <c r="B139" s="2719">
        <v>21979</v>
      </c>
      <c r="C139" s="1202"/>
      <c r="D139" s="1203" t="s">
        <v>778</v>
      </c>
      <c r="E139" s="1204"/>
      <c r="F139" s="1204"/>
      <c r="G139" s="3023">
        <v>0</v>
      </c>
      <c r="H139" s="1585"/>
      <c r="I139" s="3023">
        <v>0</v>
      </c>
      <c r="J139" s="1585"/>
      <c r="K139" s="3023">
        <v>0</v>
      </c>
      <c r="L139" s="1585"/>
      <c r="M139" s="2311">
        <f t="shared" si="2"/>
        <v>0</v>
      </c>
      <c r="N139" s="1585"/>
      <c r="O139" s="3023">
        <v>0</v>
      </c>
      <c r="P139" s="1212"/>
    </row>
    <row r="140" spans="2:16" s="965" customFormat="1" ht="15.75">
      <c r="B140" s="2719">
        <v>21989</v>
      </c>
      <c r="C140" s="1202"/>
      <c r="D140" s="1203" t="s">
        <v>779</v>
      </c>
      <c r="E140" s="1204"/>
      <c r="F140" s="1204"/>
      <c r="G140" s="3023">
        <v>0</v>
      </c>
      <c r="H140" s="1585"/>
      <c r="I140" s="3023">
        <v>0</v>
      </c>
      <c r="J140" s="1585"/>
      <c r="K140" s="3023">
        <v>0</v>
      </c>
      <c r="L140" s="1585"/>
      <c r="M140" s="2311">
        <f t="shared" si="2"/>
        <v>0</v>
      </c>
      <c r="N140" s="1585"/>
      <c r="O140" s="3023">
        <v>0</v>
      </c>
      <c r="P140" s="1212"/>
    </row>
    <row r="141" spans="2:16" s="965" customFormat="1" ht="15.75">
      <c r="B141" s="2719">
        <v>22003</v>
      </c>
      <c r="C141" s="1202"/>
      <c r="D141" s="1203" t="s">
        <v>780</v>
      </c>
      <c r="E141" s="1204"/>
      <c r="F141" s="1204"/>
      <c r="G141" s="3023">
        <v>0</v>
      </c>
      <c r="H141" s="1585"/>
      <c r="I141" s="3023">
        <v>0</v>
      </c>
      <c r="J141" s="1585"/>
      <c r="K141" s="3023">
        <v>0</v>
      </c>
      <c r="L141" s="1585"/>
      <c r="M141" s="2311">
        <f t="shared" si="2"/>
        <v>0</v>
      </c>
      <c r="N141" s="1585"/>
      <c r="O141" s="3023">
        <v>0</v>
      </c>
      <c r="P141" s="1212"/>
    </row>
    <row r="142" spans="2:16" s="965" customFormat="1" ht="15.75">
      <c r="B142" s="2719">
        <v>22004</v>
      </c>
      <c r="C142" s="1202"/>
      <c r="D142" s="1206" t="s">
        <v>781</v>
      </c>
      <c r="E142" s="1204"/>
      <c r="F142" s="1204"/>
      <c r="G142" s="3023">
        <v>0</v>
      </c>
      <c r="H142" s="1585"/>
      <c r="I142" s="3023">
        <v>0</v>
      </c>
      <c r="J142" s="1585"/>
      <c r="K142" s="3023">
        <v>0</v>
      </c>
      <c r="L142" s="1585"/>
      <c r="M142" s="2311">
        <f t="shared" si="2"/>
        <v>0</v>
      </c>
      <c r="N142" s="1585"/>
      <c r="O142" s="3023">
        <v>0</v>
      </c>
      <c r="P142" s="1212"/>
    </row>
    <row r="143" spans="2:16" s="965" customFormat="1" ht="15.75">
      <c r="B143" s="2719">
        <v>22006</v>
      </c>
      <c r="C143" s="1202"/>
      <c r="D143" s="1203" t="s">
        <v>782</v>
      </c>
      <c r="E143" s="1204"/>
      <c r="F143" s="1204"/>
      <c r="G143" s="3023">
        <v>773089.69</v>
      </c>
      <c r="H143" s="1585"/>
      <c r="I143" s="3023">
        <v>820467.87</v>
      </c>
      <c r="J143" s="1585"/>
      <c r="K143" s="3023">
        <v>828515.27</v>
      </c>
      <c r="L143" s="1585"/>
      <c r="M143" s="2311">
        <f t="shared" si="2"/>
        <v>1570.96</v>
      </c>
      <c r="N143" s="1585"/>
      <c r="O143" s="3023">
        <v>830086.23</v>
      </c>
      <c r="P143" s="1212"/>
    </row>
    <row r="144" spans="2:16" s="965" customFormat="1" ht="15.75">
      <c r="B144" s="2719">
        <v>22007</v>
      </c>
      <c r="C144" s="1202"/>
      <c r="D144" s="1206" t="s">
        <v>783</v>
      </c>
      <c r="E144" s="1204"/>
      <c r="F144" s="1204"/>
      <c r="G144" s="3023">
        <v>0</v>
      </c>
      <c r="H144" s="1585"/>
      <c r="I144" s="3023">
        <v>0</v>
      </c>
      <c r="J144" s="1585"/>
      <c r="K144" s="3023">
        <v>0</v>
      </c>
      <c r="L144" s="1585"/>
      <c r="M144" s="2311">
        <f t="shared" si="2"/>
        <v>0</v>
      </c>
      <c r="N144" s="1585"/>
      <c r="O144" s="3023">
        <v>0</v>
      </c>
      <c r="P144" s="1212"/>
    </row>
    <row r="145" spans="2:16" s="965" customFormat="1" ht="15.75">
      <c r="B145" s="2719">
        <v>22009</v>
      </c>
      <c r="C145" s="1202"/>
      <c r="D145" s="1206" t="s">
        <v>784</v>
      </c>
      <c r="E145" s="1204"/>
      <c r="F145" s="1204"/>
      <c r="G145" s="3023">
        <v>205771.42</v>
      </c>
      <c r="H145" s="1585"/>
      <c r="I145" s="3023">
        <v>177575.36</v>
      </c>
      <c r="J145" s="1585"/>
      <c r="K145" s="3023">
        <v>173393.32</v>
      </c>
      <c r="L145" s="1585"/>
      <c r="M145" s="2311">
        <f t="shared" si="2"/>
        <v>47965.07</v>
      </c>
      <c r="N145" s="1585"/>
      <c r="O145" s="3023">
        <v>221358.39</v>
      </c>
      <c r="P145" s="1212"/>
    </row>
    <row r="146" spans="2:16" s="965" customFormat="1" ht="15.75">
      <c r="B146" s="2719">
        <v>22032</v>
      </c>
      <c r="C146" s="1202"/>
      <c r="D146" s="1206" t="s">
        <v>785</v>
      </c>
      <c r="E146" s="1204"/>
      <c r="F146" s="1204"/>
      <c r="G146" s="3023">
        <v>7519394.1900000004</v>
      </c>
      <c r="H146" s="1585"/>
      <c r="I146" s="3023">
        <v>8132096.3799999999</v>
      </c>
      <c r="J146" s="1585"/>
      <c r="K146" s="3023">
        <v>9731192.6600000001</v>
      </c>
      <c r="L146" s="1585"/>
      <c r="M146" s="2311">
        <f t="shared" si="2"/>
        <v>1206805.47</v>
      </c>
      <c r="N146" s="1585"/>
      <c r="O146" s="3023">
        <v>10937998.130000001</v>
      </c>
      <c r="P146" s="1212"/>
    </row>
    <row r="147" spans="2:16" s="965" customFormat="1" ht="15.75">
      <c r="B147" s="2719">
        <v>22034</v>
      </c>
      <c r="C147" s="1202"/>
      <c r="D147" s="1206" t="s">
        <v>786</v>
      </c>
      <c r="E147" s="1204"/>
      <c r="F147" s="1204"/>
      <c r="G147" s="3023">
        <v>0</v>
      </c>
      <c r="H147" s="1585"/>
      <c r="I147" s="3023">
        <v>0</v>
      </c>
      <c r="J147" s="1585"/>
      <c r="K147" s="3023">
        <v>0</v>
      </c>
      <c r="L147" s="1585"/>
      <c r="M147" s="2311">
        <f t="shared" si="2"/>
        <v>0</v>
      </c>
      <c r="N147" s="1585"/>
      <c r="O147" s="3023">
        <v>0</v>
      </c>
      <c r="P147" s="1212"/>
    </row>
    <row r="148" spans="2:16" s="965" customFormat="1" ht="15.75">
      <c r="B148" s="2719">
        <v>22036</v>
      </c>
      <c r="C148" s="1202"/>
      <c r="D148" s="1206" t="s">
        <v>787</v>
      </c>
      <c r="E148" s="1204"/>
      <c r="F148" s="1204"/>
      <c r="G148" s="3023">
        <v>0</v>
      </c>
      <c r="H148" s="1585"/>
      <c r="I148" s="3023">
        <v>0</v>
      </c>
      <c r="J148" s="1585"/>
      <c r="K148" s="3023">
        <v>0</v>
      </c>
      <c r="L148" s="1585"/>
      <c r="M148" s="2311">
        <f t="shared" si="2"/>
        <v>0</v>
      </c>
      <c r="N148" s="1585"/>
      <c r="O148" s="3023">
        <v>0</v>
      </c>
      <c r="P148" s="1212"/>
    </row>
    <row r="149" spans="2:16" s="965" customFormat="1" ht="15.75">
      <c r="B149" s="2719">
        <v>22039</v>
      </c>
      <c r="C149" s="1202"/>
      <c r="D149" s="1206" t="s">
        <v>788</v>
      </c>
      <c r="E149" s="1204"/>
      <c r="F149" s="1204"/>
      <c r="G149" s="3023">
        <v>176327.99</v>
      </c>
      <c r="H149" s="1585"/>
      <c r="I149" s="3023">
        <v>760570.14</v>
      </c>
      <c r="J149" s="1585"/>
      <c r="K149" s="3023">
        <v>935685.95</v>
      </c>
      <c r="L149" s="1585"/>
      <c r="M149" s="2311">
        <f t="shared" si="2"/>
        <v>-395252.94</v>
      </c>
      <c r="N149" s="1585"/>
      <c r="O149" s="3023">
        <v>540433.01</v>
      </c>
      <c r="P149" s="1212"/>
    </row>
    <row r="150" spans="2:16" s="965" customFormat="1" ht="15.75">
      <c r="B150" s="2719">
        <v>22046</v>
      </c>
      <c r="C150" s="1202"/>
      <c r="D150" s="1206" t="s">
        <v>789</v>
      </c>
      <c r="E150" s="1204"/>
      <c r="F150" s="1204"/>
      <c r="G150" s="3023">
        <v>62387578.119999997</v>
      </c>
      <c r="H150" s="1585"/>
      <c r="I150" s="3023">
        <v>63250513.539999999</v>
      </c>
      <c r="J150" s="1585"/>
      <c r="K150" s="3023">
        <v>63256225.759999998</v>
      </c>
      <c r="L150" s="1585"/>
      <c r="M150" s="2311">
        <f t="shared" si="2"/>
        <v>1353886.04</v>
      </c>
      <c r="N150" s="1585"/>
      <c r="O150" s="3023">
        <v>64610111.799999997</v>
      </c>
      <c r="P150" s="1212"/>
    </row>
    <row r="151" spans="2:16" s="965" customFormat="1" ht="15.75">
      <c r="B151" s="2719">
        <v>22053</v>
      </c>
      <c r="C151" s="1202"/>
      <c r="D151" s="1206" t="s">
        <v>790</v>
      </c>
      <c r="E151" s="1204"/>
      <c r="F151" s="1204"/>
      <c r="G151" s="3023">
        <v>2228727.5</v>
      </c>
      <c r="H151" s="1585"/>
      <c r="I151" s="3023">
        <v>2691270.92</v>
      </c>
      <c r="J151" s="1585"/>
      <c r="K151" s="3023">
        <v>3968614.6</v>
      </c>
      <c r="L151" s="1585"/>
      <c r="M151" s="2311">
        <f t="shared" si="2"/>
        <v>421555.57</v>
      </c>
      <c r="N151" s="1585"/>
      <c r="O151" s="3023">
        <v>4390170.17</v>
      </c>
      <c r="P151" s="1212"/>
    </row>
    <row r="152" spans="2:16" s="965" customFormat="1" ht="15.75">
      <c r="B152" s="2719">
        <v>22054</v>
      </c>
      <c r="C152" s="1202"/>
      <c r="D152" s="1206" t="s">
        <v>791</v>
      </c>
      <c r="E152" s="1204"/>
      <c r="F152" s="1204"/>
      <c r="G152" s="3023">
        <v>8255553.5300000003</v>
      </c>
      <c r="H152" s="1585"/>
      <c r="I152" s="3023">
        <v>8148853.5800000001</v>
      </c>
      <c r="J152" s="1585"/>
      <c r="K152" s="3023">
        <v>8024801.6399999997</v>
      </c>
      <c r="L152" s="1585"/>
      <c r="M152" s="2311">
        <f t="shared" si="2"/>
        <v>-89944.91</v>
      </c>
      <c r="N152" s="1585"/>
      <c r="O152" s="3023">
        <v>7934856.7300000004</v>
      </c>
      <c r="P152" s="1212"/>
    </row>
    <row r="153" spans="2:16" s="965" customFormat="1" ht="15.75">
      <c r="B153" s="2719">
        <v>22055</v>
      </c>
      <c r="C153" s="1202"/>
      <c r="D153" s="1206" t="s">
        <v>792</v>
      </c>
      <c r="E153" s="1204"/>
      <c r="F153" s="1204"/>
      <c r="G153" s="3023">
        <v>2178607.5299999998</v>
      </c>
      <c r="H153" s="1585"/>
      <c r="I153" s="3023">
        <v>1504527.29</v>
      </c>
      <c r="J153" s="1585"/>
      <c r="K153" s="3023">
        <v>7500528.8099999996</v>
      </c>
      <c r="L153" s="1585"/>
      <c r="M153" s="2311">
        <f t="shared" si="2"/>
        <v>-412336.62</v>
      </c>
      <c r="N153" s="1585"/>
      <c r="O153" s="3023">
        <v>7088192.1900000004</v>
      </c>
      <c r="P153" s="1212"/>
    </row>
    <row r="154" spans="2:16" s="965" customFormat="1" ht="15.75">
      <c r="B154" s="2719">
        <v>22056</v>
      </c>
      <c r="C154" s="1202"/>
      <c r="D154" s="1206" t="s">
        <v>793</v>
      </c>
      <c r="E154" s="1204"/>
      <c r="F154" s="1204"/>
      <c r="G154" s="3023">
        <v>1054154.6599999999</v>
      </c>
      <c r="H154" s="1585"/>
      <c r="I154" s="3023">
        <v>1333111.8700000001</v>
      </c>
      <c r="J154" s="1585"/>
      <c r="K154" s="3023">
        <v>1518765.37</v>
      </c>
      <c r="L154" s="1585"/>
      <c r="M154" s="2311">
        <f t="shared" si="2"/>
        <v>414669.36</v>
      </c>
      <c r="N154" s="1585"/>
      <c r="O154" s="3023">
        <v>1933434.73</v>
      </c>
      <c r="P154" s="1212"/>
    </row>
    <row r="155" spans="2:16" s="965" customFormat="1" ht="15.75">
      <c r="B155" s="2719">
        <v>22062</v>
      </c>
      <c r="C155" s="1202"/>
      <c r="D155" s="1206" t="s">
        <v>794</v>
      </c>
      <c r="E155" s="1204"/>
      <c r="F155" s="1204"/>
      <c r="G155" s="3023">
        <v>0</v>
      </c>
      <c r="H155" s="1585"/>
      <c r="I155" s="3023">
        <v>0</v>
      </c>
      <c r="J155" s="1585"/>
      <c r="K155" s="3023">
        <v>0</v>
      </c>
      <c r="L155" s="1585"/>
      <c r="M155" s="2311">
        <f t="shared" si="2"/>
        <v>0</v>
      </c>
      <c r="N155" s="1585"/>
      <c r="O155" s="3023">
        <v>0</v>
      </c>
      <c r="P155" s="1212"/>
    </row>
    <row r="156" spans="2:16" s="965" customFormat="1" ht="15.75">
      <c r="B156" s="2719">
        <v>22063</v>
      </c>
      <c r="C156" s="1202"/>
      <c r="D156" s="1206" t="s">
        <v>795</v>
      </c>
      <c r="E156" s="1204"/>
      <c r="F156" s="1204"/>
      <c r="G156" s="3023">
        <v>1871453.2</v>
      </c>
      <c r="H156" s="1585"/>
      <c r="I156" s="3023">
        <v>2892764.56</v>
      </c>
      <c r="J156" s="1585"/>
      <c r="K156" s="3023">
        <v>2119652.44</v>
      </c>
      <c r="L156" s="1585"/>
      <c r="M156" s="2311">
        <f t="shared" si="2"/>
        <v>-95771.58</v>
      </c>
      <c r="N156" s="1585"/>
      <c r="O156" s="3023">
        <v>2023880.86</v>
      </c>
      <c r="P156" s="1212"/>
    </row>
    <row r="157" spans="2:16" s="965" customFormat="1" ht="15.75">
      <c r="B157" s="2719">
        <v>22078</v>
      </c>
      <c r="C157" s="1202"/>
      <c r="D157" s="1206" t="s">
        <v>796</v>
      </c>
      <c r="E157" s="1204"/>
      <c r="F157" s="1204"/>
      <c r="G157" s="3023">
        <v>863456.19</v>
      </c>
      <c r="H157" s="1585"/>
      <c r="I157" s="3023">
        <v>932508.16000000003</v>
      </c>
      <c r="J157" s="1585"/>
      <c r="K157" s="3023">
        <v>0</v>
      </c>
      <c r="L157" s="1585"/>
      <c r="M157" s="2311">
        <f t="shared" si="2"/>
        <v>0</v>
      </c>
      <c r="N157" s="1585"/>
      <c r="O157" s="3023">
        <v>0</v>
      </c>
      <c r="P157" s="1212"/>
    </row>
    <row r="158" spans="2:16" s="965" customFormat="1" ht="15.75">
      <c r="B158" s="2719">
        <v>22085</v>
      </c>
      <c r="C158" s="1202"/>
      <c r="D158" s="1206" t="s">
        <v>797</v>
      </c>
      <c r="E158" s="1204"/>
      <c r="F158" s="1204"/>
      <c r="G158" s="3023">
        <v>5318239.58</v>
      </c>
      <c r="H158" s="1585"/>
      <c r="I158" s="3023">
        <v>5870986.7199999997</v>
      </c>
      <c r="J158" s="1585"/>
      <c r="K158" s="3023">
        <v>6228251.1100000003</v>
      </c>
      <c r="L158" s="1585"/>
      <c r="M158" s="2311">
        <f t="shared" si="2"/>
        <v>376157.3</v>
      </c>
      <c r="N158" s="1585"/>
      <c r="O158" s="3023">
        <v>6604408.4100000001</v>
      </c>
      <c r="P158" s="1212"/>
    </row>
    <row r="159" spans="2:16" s="965" customFormat="1" ht="15.75">
      <c r="B159" s="2719">
        <v>22087</v>
      </c>
      <c r="C159" s="1202"/>
      <c r="D159" s="1203" t="s">
        <v>798</v>
      </c>
      <c r="E159" s="1204"/>
      <c r="F159" s="1204"/>
      <c r="G159" s="3023">
        <v>646762.72</v>
      </c>
      <c r="H159" s="1585"/>
      <c r="I159" s="3023">
        <v>646762.72</v>
      </c>
      <c r="J159" s="1585"/>
      <c r="K159" s="3023">
        <v>646762.72</v>
      </c>
      <c r="L159" s="1585"/>
      <c r="M159" s="2311">
        <f t="shared" si="2"/>
        <v>0</v>
      </c>
      <c r="N159" s="1585"/>
      <c r="O159" s="3023">
        <v>646762.72</v>
      </c>
      <c r="P159" s="1212"/>
    </row>
    <row r="160" spans="2:16" s="965" customFormat="1" ht="15.75">
      <c r="B160" s="2719">
        <v>22090</v>
      </c>
      <c r="C160" s="1202"/>
      <c r="D160" s="1206" t="s">
        <v>799</v>
      </c>
      <c r="E160" s="1204"/>
      <c r="F160" s="1204"/>
      <c r="G160" s="3023">
        <v>4377138.21</v>
      </c>
      <c r="H160" s="1585"/>
      <c r="I160" s="3023">
        <v>4721677.75</v>
      </c>
      <c r="J160" s="1585"/>
      <c r="K160" s="3023">
        <v>4968995.03</v>
      </c>
      <c r="L160" s="1585"/>
      <c r="M160" s="2311">
        <f t="shared" si="2"/>
        <v>247458.36</v>
      </c>
      <c r="N160" s="1585"/>
      <c r="O160" s="3023">
        <v>5216453.3899999997</v>
      </c>
      <c r="P160" s="1212"/>
    </row>
    <row r="161" spans="2:16" s="965" customFormat="1" ht="15.75">
      <c r="B161" s="2719">
        <v>22100</v>
      </c>
      <c r="C161" s="1202"/>
      <c r="D161" s="1206" t="s">
        <v>800</v>
      </c>
      <c r="E161" s="1204"/>
      <c r="F161" s="1204"/>
      <c r="G161" s="3023">
        <v>1122131.25</v>
      </c>
      <c r="H161" s="1585"/>
      <c r="I161" s="3023">
        <v>1640941.07</v>
      </c>
      <c r="J161" s="1585"/>
      <c r="K161" s="3023">
        <v>1859544.26</v>
      </c>
      <c r="L161" s="1585"/>
      <c r="M161" s="2311">
        <f t="shared" si="2"/>
        <v>4575.18</v>
      </c>
      <c r="N161" s="1585"/>
      <c r="O161" s="3023">
        <v>1864119.44</v>
      </c>
      <c r="P161" s="1212"/>
    </row>
    <row r="162" spans="2:16" s="965" customFormat="1" ht="15.75">
      <c r="B162" s="2719">
        <v>22130</v>
      </c>
      <c r="C162" s="1202"/>
      <c r="D162" s="1203" t="s">
        <v>801</v>
      </c>
      <c r="E162" s="1204"/>
      <c r="F162" s="1204"/>
      <c r="G162" s="3023">
        <v>0</v>
      </c>
      <c r="H162" s="1585"/>
      <c r="I162" s="3023">
        <v>0</v>
      </c>
      <c r="J162" s="1585"/>
      <c r="K162" s="3023">
        <v>0</v>
      </c>
      <c r="L162" s="1585"/>
      <c r="M162" s="2311">
        <f t="shared" si="2"/>
        <v>0</v>
      </c>
      <c r="N162" s="1585"/>
      <c r="O162" s="3023">
        <v>0</v>
      </c>
      <c r="P162" s="1212"/>
    </row>
    <row r="163" spans="2:16" s="965" customFormat="1" ht="15.75">
      <c r="B163" s="2719">
        <v>22135</v>
      </c>
      <c r="C163" s="1202"/>
      <c r="D163" s="1203" t="s">
        <v>802</v>
      </c>
      <c r="E163" s="1204"/>
      <c r="F163" s="1204"/>
      <c r="G163" s="3023">
        <v>0</v>
      </c>
      <c r="H163" s="1585"/>
      <c r="I163" s="3023">
        <v>0</v>
      </c>
      <c r="J163" s="1585"/>
      <c r="K163" s="3023">
        <v>0</v>
      </c>
      <c r="L163" s="1585"/>
      <c r="M163" s="2311">
        <f t="shared" si="2"/>
        <v>0</v>
      </c>
      <c r="N163" s="1585"/>
      <c r="O163" s="3023">
        <v>0</v>
      </c>
      <c r="P163" s="1212"/>
    </row>
    <row r="164" spans="2:16" s="965" customFormat="1" ht="15.75">
      <c r="B164" s="2719">
        <v>22144</v>
      </c>
      <c r="C164" s="1202"/>
      <c r="D164" s="1206" t="s">
        <v>803</v>
      </c>
      <c r="E164" s="1204"/>
      <c r="F164" s="1204"/>
      <c r="G164" s="3023">
        <v>0</v>
      </c>
      <c r="H164" s="1585"/>
      <c r="I164" s="3023">
        <v>0</v>
      </c>
      <c r="J164" s="1585"/>
      <c r="K164" s="3023">
        <v>0</v>
      </c>
      <c r="L164" s="1585"/>
      <c r="M164" s="2311">
        <f t="shared" si="2"/>
        <v>0</v>
      </c>
      <c r="N164" s="1585"/>
      <c r="O164" s="3023">
        <v>0</v>
      </c>
      <c r="P164" s="1212"/>
    </row>
    <row r="165" spans="2:16" s="965" customFormat="1" ht="15.75">
      <c r="B165" s="2719">
        <v>22151</v>
      </c>
      <c r="C165" s="1202"/>
      <c r="D165" s="1203" t="s">
        <v>804</v>
      </c>
      <c r="E165" s="1204"/>
      <c r="F165" s="1204"/>
      <c r="G165" s="3023">
        <v>267520.31</v>
      </c>
      <c r="H165" s="1585"/>
      <c r="I165" s="3023">
        <v>75719.83</v>
      </c>
      <c r="J165" s="1585"/>
      <c r="K165" s="3023">
        <v>102672.32000000001</v>
      </c>
      <c r="L165" s="1585"/>
      <c r="M165" s="2311">
        <f t="shared" ref="M165:M177" si="3">ROUND(SUM(O165)-SUM(K165),2)</f>
        <v>85559.3</v>
      </c>
      <c r="N165" s="1585"/>
      <c r="O165" s="3023">
        <v>188231.62</v>
      </c>
      <c r="P165" s="1212"/>
    </row>
    <row r="166" spans="2:16" s="965" customFormat="1" ht="15.75">
      <c r="B166" s="2719">
        <v>22156</v>
      </c>
      <c r="C166" s="1202"/>
      <c r="D166" s="1203" t="s">
        <v>805</v>
      </c>
      <c r="E166" s="1204"/>
      <c r="F166" s="1204"/>
      <c r="G166" s="3023">
        <v>1503563.7</v>
      </c>
      <c r="H166" s="1585"/>
      <c r="I166" s="3023">
        <v>4636275.63</v>
      </c>
      <c r="J166" s="1585"/>
      <c r="K166" s="3023">
        <v>0</v>
      </c>
      <c r="L166" s="1585"/>
      <c r="M166" s="2311">
        <f t="shared" si="3"/>
        <v>0</v>
      </c>
      <c r="N166" s="1585"/>
      <c r="O166" s="3023">
        <v>0</v>
      </c>
      <c r="P166" s="1212"/>
    </row>
    <row r="167" spans="2:16" s="965" customFormat="1" ht="15.75">
      <c r="B167" s="2719">
        <v>22158</v>
      </c>
      <c r="C167" s="1202"/>
      <c r="D167" s="1206" t="s">
        <v>806</v>
      </c>
      <c r="E167" s="1204"/>
      <c r="F167" s="1204"/>
      <c r="G167" s="3023">
        <v>487091.72</v>
      </c>
      <c r="H167" s="1585"/>
      <c r="I167" s="3023">
        <v>450419.82</v>
      </c>
      <c r="J167" s="1585"/>
      <c r="K167" s="3023">
        <v>433837.44</v>
      </c>
      <c r="L167" s="1585"/>
      <c r="M167" s="2311">
        <f t="shared" si="3"/>
        <v>-10072.379999999999</v>
      </c>
      <c r="N167" s="1585"/>
      <c r="O167" s="3023">
        <v>423765.06</v>
      </c>
      <c r="P167" s="1212"/>
    </row>
    <row r="168" spans="2:16" s="965" customFormat="1" ht="15.75">
      <c r="B168" s="2719">
        <v>22168</v>
      </c>
      <c r="C168" s="1202"/>
      <c r="D168" s="1206" t="s">
        <v>807</v>
      </c>
      <c r="E168" s="1204"/>
      <c r="F168" s="1204"/>
      <c r="G168" s="3023">
        <v>0</v>
      </c>
      <c r="H168" s="1585"/>
      <c r="I168" s="3023">
        <v>0</v>
      </c>
      <c r="J168" s="1585"/>
      <c r="K168" s="3023">
        <v>0</v>
      </c>
      <c r="L168" s="1585"/>
      <c r="M168" s="2311">
        <f t="shared" si="3"/>
        <v>0</v>
      </c>
      <c r="N168" s="1585"/>
      <c r="O168" s="3023">
        <v>0</v>
      </c>
      <c r="P168" s="1212"/>
    </row>
    <row r="169" spans="2:16" s="965" customFormat="1" ht="15.75">
      <c r="B169" s="2719">
        <v>22654</v>
      </c>
      <c r="C169" s="1202"/>
      <c r="D169" s="1203" t="s">
        <v>808</v>
      </c>
      <c r="E169" s="1204"/>
      <c r="F169" s="1204"/>
      <c r="G169" s="3023">
        <v>19489583.649999999</v>
      </c>
      <c r="H169" s="1585"/>
      <c r="I169" s="3023">
        <v>19498725.190000001</v>
      </c>
      <c r="J169" s="1585"/>
      <c r="K169" s="3023">
        <v>19507812.239999998</v>
      </c>
      <c r="L169" s="1585"/>
      <c r="M169" s="2311">
        <f t="shared" si="3"/>
        <v>9776</v>
      </c>
      <c r="N169" s="1585"/>
      <c r="O169" s="3023">
        <v>19517588.239999998</v>
      </c>
      <c r="P169" s="1212"/>
    </row>
    <row r="170" spans="2:16" s="965" customFormat="1" ht="15.75">
      <c r="B170" s="2719">
        <v>22751</v>
      </c>
      <c r="C170" s="1202"/>
      <c r="D170" s="1203" t="s">
        <v>1473</v>
      </c>
      <c r="E170" s="1204"/>
      <c r="F170" s="1204"/>
      <c r="G170" s="3023">
        <v>0</v>
      </c>
      <c r="H170" s="1585"/>
      <c r="I170" s="3023">
        <v>0</v>
      </c>
      <c r="J170" s="1585"/>
      <c r="K170" s="3023">
        <v>0</v>
      </c>
      <c r="L170" s="1585"/>
      <c r="M170" s="2311">
        <f t="shared" si="3"/>
        <v>259790.6</v>
      </c>
      <c r="N170" s="1585"/>
      <c r="O170" s="3023">
        <v>259790.6</v>
      </c>
      <c r="P170" s="1212"/>
    </row>
    <row r="171" spans="2:16" s="965" customFormat="1" ht="15.75">
      <c r="B171" s="2719">
        <v>22802</v>
      </c>
      <c r="C171" s="1202"/>
      <c r="D171" s="1206" t="s">
        <v>809</v>
      </c>
      <c r="E171" s="1204"/>
      <c r="F171" s="1204"/>
      <c r="G171" s="3023">
        <v>0</v>
      </c>
      <c r="H171" s="1585"/>
      <c r="I171" s="3023">
        <v>0</v>
      </c>
      <c r="J171" s="1585"/>
      <c r="K171" s="3023">
        <v>0</v>
      </c>
      <c r="L171" s="1585"/>
      <c r="M171" s="2311">
        <f t="shared" si="3"/>
        <v>0</v>
      </c>
      <c r="N171" s="1585"/>
      <c r="O171" s="3023">
        <v>0</v>
      </c>
      <c r="P171" s="1212"/>
    </row>
    <row r="172" spans="2:16" s="965" customFormat="1" ht="15.75">
      <c r="B172" s="2719">
        <v>23001</v>
      </c>
      <c r="C172" s="1202"/>
      <c r="D172" s="1203" t="s">
        <v>810</v>
      </c>
      <c r="E172" s="1204"/>
      <c r="F172" s="1204"/>
      <c r="G172" s="3023">
        <v>8831498.7599999998</v>
      </c>
      <c r="H172" s="1585"/>
      <c r="I172" s="3023">
        <v>9194091.9199999999</v>
      </c>
      <c r="J172" s="1585"/>
      <c r="K172" s="3023">
        <v>9374297.3900000006</v>
      </c>
      <c r="L172" s="1585"/>
      <c r="M172" s="2311">
        <f t="shared" si="3"/>
        <v>10762.34</v>
      </c>
      <c r="N172" s="1585"/>
      <c r="O172" s="3023">
        <v>9385059.7300000004</v>
      </c>
      <c r="P172" s="1212"/>
    </row>
    <row r="173" spans="2:16" s="965" customFormat="1" ht="15.75">
      <c r="B173" s="2719">
        <v>23101</v>
      </c>
      <c r="C173" s="1202"/>
      <c r="D173" s="1206" t="s">
        <v>811</v>
      </c>
      <c r="E173" s="1204"/>
      <c r="F173" s="1204"/>
      <c r="G173" s="3023">
        <v>0</v>
      </c>
      <c r="H173" s="1585"/>
      <c r="I173" s="3023">
        <v>0</v>
      </c>
      <c r="J173" s="1585"/>
      <c r="K173" s="3023">
        <v>0</v>
      </c>
      <c r="L173" s="1585"/>
      <c r="M173" s="2311">
        <f t="shared" si="3"/>
        <v>0</v>
      </c>
      <c r="N173" s="1585"/>
      <c r="O173" s="3023">
        <v>0</v>
      </c>
      <c r="P173" s="1212"/>
    </row>
    <row r="174" spans="2:16" s="965" customFormat="1" ht="15.75">
      <c r="B174" s="2719">
        <v>23102</v>
      </c>
      <c r="C174" s="1202"/>
      <c r="D174" s="1206" t="s">
        <v>812</v>
      </c>
      <c r="E174" s="1204"/>
      <c r="F174" s="1204"/>
      <c r="G174" s="3023">
        <v>5984237.6200000001</v>
      </c>
      <c r="H174" s="1585"/>
      <c r="I174" s="3023">
        <v>5984237.6200000001</v>
      </c>
      <c r="J174" s="1585"/>
      <c r="K174" s="3023">
        <v>5984237.6200000001</v>
      </c>
      <c r="L174" s="1585"/>
      <c r="M174" s="2311">
        <f t="shared" si="3"/>
        <v>0</v>
      </c>
      <c r="N174" s="1585"/>
      <c r="O174" s="3023">
        <v>5984237.6200000001</v>
      </c>
      <c r="P174" s="1212"/>
    </row>
    <row r="175" spans="2:16" s="965" customFormat="1" ht="15.75">
      <c r="B175" s="2719">
        <v>23151</v>
      </c>
      <c r="C175" s="1202"/>
      <c r="D175" s="1203" t="s">
        <v>813</v>
      </c>
      <c r="E175" s="1204"/>
      <c r="F175" s="1204"/>
      <c r="G175" s="3023">
        <v>41272837.539999999</v>
      </c>
      <c r="H175" s="1585"/>
      <c r="I175" s="3023">
        <v>44379546.509999998</v>
      </c>
      <c r="J175" s="1585"/>
      <c r="K175" s="3023">
        <v>46654602.670000002</v>
      </c>
      <c r="L175" s="1585"/>
      <c r="M175" s="2311">
        <f t="shared" si="3"/>
        <v>2177872.9500000002</v>
      </c>
      <c r="N175" s="1585"/>
      <c r="O175" s="3023">
        <v>48832475.619999997</v>
      </c>
      <c r="P175" s="1212"/>
    </row>
    <row r="176" spans="2:16" s="965" customFormat="1" ht="15.75">
      <c r="B176" s="1195">
        <v>23701</v>
      </c>
      <c r="C176" s="1202"/>
      <c r="D176" s="1203" t="s">
        <v>1061</v>
      </c>
      <c r="E176" s="1204"/>
      <c r="F176" s="1204"/>
      <c r="G176" s="3023">
        <v>0</v>
      </c>
      <c r="H176" s="1585"/>
      <c r="I176" s="3023">
        <v>0</v>
      </c>
      <c r="J176" s="1585"/>
      <c r="K176" s="3023">
        <v>0</v>
      </c>
      <c r="L176" s="1585"/>
      <c r="M176" s="2311">
        <f t="shared" si="3"/>
        <v>0</v>
      </c>
      <c r="N176" s="1585"/>
      <c r="O176" s="3023">
        <v>0</v>
      </c>
      <c r="P176" s="1212"/>
    </row>
    <row r="177" spans="2:16" s="965" customFormat="1" ht="15.75">
      <c r="B177" s="1195">
        <v>23702</v>
      </c>
      <c r="C177" s="1202"/>
      <c r="D177" s="1206" t="s">
        <v>1062</v>
      </c>
      <c r="E177" s="1204"/>
      <c r="F177" s="1204"/>
      <c r="G177" s="3023">
        <v>3434954.75</v>
      </c>
      <c r="H177" s="1585"/>
      <c r="I177" s="3023">
        <v>3535345.23</v>
      </c>
      <c r="J177" s="1585"/>
      <c r="K177" s="3023">
        <v>3690455.94</v>
      </c>
      <c r="L177" s="1585"/>
      <c r="M177" s="2311">
        <f t="shared" si="3"/>
        <v>205568.62</v>
      </c>
      <c r="N177" s="1585"/>
      <c r="O177" s="3023">
        <v>3896024.56</v>
      </c>
      <c r="P177" s="1212"/>
    </row>
    <row r="178" spans="2:16" s="965" customFormat="1" ht="16.5" thickBot="1">
      <c r="B178" s="1587"/>
      <c r="C178" s="1277"/>
      <c r="D178" s="3161" t="s">
        <v>814</v>
      </c>
      <c r="E178" s="1274"/>
      <c r="F178" s="1274"/>
      <c r="G178" s="2313">
        <f>ROUND(SUM(G101:G177),2)</f>
        <v>1526388034.1500001</v>
      </c>
      <c r="H178"/>
      <c r="I178" s="2313">
        <f>ROUND(SUM(I101:I177),2)</f>
        <v>1633542112.21</v>
      </c>
      <c r="J178"/>
      <c r="K178" s="2313">
        <f>ROUND(SUM(K101:K177),2)</f>
        <v>1795574751.79</v>
      </c>
      <c r="L178"/>
      <c r="M178" s="2313">
        <f>ROUND(SUM(M101:M177),2)</f>
        <v>-362042803.62</v>
      </c>
      <c r="N178"/>
      <c r="O178" s="2313">
        <f>ROUND(SUM(O101:O177),2)</f>
        <v>1433531948.1700001</v>
      </c>
      <c r="P178" s="1212"/>
    </row>
    <row r="179" spans="2:16" s="965" customFormat="1" ht="16.5" thickTop="1">
      <c r="B179" s="1598"/>
      <c r="C179" s="1589"/>
      <c r="D179" s="1599"/>
      <c r="E179" s="1202"/>
      <c r="F179" s="1202"/>
      <c r="G179" s="3023"/>
      <c r="H179" s="1527"/>
      <c r="I179" s="3023"/>
      <c r="J179" s="1527"/>
      <c r="K179" s="3023"/>
      <c r="L179" s="1585"/>
      <c r="M179" s="2311"/>
      <c r="N179" s="1527"/>
      <c r="O179" s="3023"/>
      <c r="P179" s="1212"/>
    </row>
    <row r="180" spans="2:16" s="965" customFormat="1" ht="15.75">
      <c r="B180" s="1598"/>
      <c r="C180" s="1277"/>
      <c r="D180" s="3161" t="s">
        <v>815</v>
      </c>
      <c r="E180" s="1274"/>
      <c r="F180" s="1274"/>
      <c r="G180" s="3023"/>
      <c r="H180" s="1594"/>
      <c r="I180" s="3023"/>
      <c r="J180" s="1594"/>
      <c r="K180" s="3023"/>
      <c r="L180" s="1585"/>
      <c r="M180" s="2312"/>
      <c r="N180" s="1594"/>
      <c r="O180" s="3023"/>
      <c r="P180" s="1212"/>
    </row>
    <row r="181" spans="2:16" s="965" customFormat="1" ht="15.75">
      <c r="B181" s="1600" t="s">
        <v>816</v>
      </c>
      <c r="C181" s="1601"/>
      <c r="D181" s="1203" t="s">
        <v>817</v>
      </c>
      <c r="E181" s="1602"/>
      <c r="F181" s="1602"/>
      <c r="G181" s="3023">
        <v>20684562.039999999</v>
      </c>
      <c r="H181" s="1793"/>
      <c r="I181" s="3023">
        <v>6351782.0600000005</v>
      </c>
      <c r="J181" s="1793"/>
      <c r="K181" s="3023">
        <v>5757920.6699999999</v>
      </c>
      <c r="L181" s="1793"/>
      <c r="M181" s="2311">
        <f t="shared" ref="M181:M190" si="4">ROUND(SUM(O181)-SUM(K181),2)</f>
        <v>17093711.829999998</v>
      </c>
      <c r="N181" s="1793"/>
      <c r="O181" s="3023">
        <v>22851632.5</v>
      </c>
      <c r="P181" s="1212"/>
    </row>
    <row r="182" spans="2:16" s="965" customFormat="1" ht="15.75">
      <c r="B182" s="1600" t="s">
        <v>818</v>
      </c>
      <c r="C182" s="1601"/>
      <c r="D182" s="1203" t="s">
        <v>819</v>
      </c>
      <c r="E182" s="1602"/>
      <c r="F182" s="1602"/>
      <c r="G182" s="3023">
        <v>162270256.91</v>
      </c>
      <c r="H182" s="1793"/>
      <c r="I182" s="3023">
        <v>536358151.81</v>
      </c>
      <c r="J182" s="1793"/>
      <c r="K182" s="3023">
        <v>29589381.84</v>
      </c>
      <c r="L182" s="1793"/>
      <c r="M182" s="2311">
        <f t="shared" si="4"/>
        <v>423798551.35000002</v>
      </c>
      <c r="N182" s="1793"/>
      <c r="O182" s="3023">
        <v>453387933.18999994</v>
      </c>
      <c r="P182" s="1212"/>
    </row>
    <row r="183" spans="2:16" s="965" customFormat="1" ht="15.75">
      <c r="B183" s="1600" t="s">
        <v>820</v>
      </c>
      <c r="C183" s="1601"/>
      <c r="D183" s="1206" t="s">
        <v>821</v>
      </c>
      <c r="E183" s="1602"/>
      <c r="F183" s="1602"/>
      <c r="G183" s="3023">
        <v>27039550.809999999</v>
      </c>
      <c r="H183" s="1793"/>
      <c r="I183" s="3023">
        <v>13051954.719999999</v>
      </c>
      <c r="J183" s="1793"/>
      <c r="K183" s="3023">
        <v>16657683.720000001</v>
      </c>
      <c r="L183" s="1793"/>
      <c r="M183" s="2311">
        <f t="shared" si="4"/>
        <v>20669962.16</v>
      </c>
      <c r="N183" s="1793"/>
      <c r="O183" s="3023">
        <v>37327645.879999995</v>
      </c>
      <c r="P183" s="1212"/>
    </row>
    <row r="184" spans="2:16" s="965" customFormat="1" ht="15.75">
      <c r="B184" s="1600" t="s">
        <v>822</v>
      </c>
      <c r="C184" s="1206"/>
      <c r="D184" s="1203" t="s">
        <v>823</v>
      </c>
      <c r="E184" s="1602"/>
      <c r="F184" s="1602"/>
      <c r="G184" s="3023">
        <v>355325393.06</v>
      </c>
      <c r="H184" s="1793"/>
      <c r="I184" s="3023">
        <v>439178385.79000008</v>
      </c>
      <c r="J184" s="1793"/>
      <c r="K184" s="3023">
        <v>501223294.07000005</v>
      </c>
      <c r="L184" s="1793"/>
      <c r="M184" s="2311">
        <f t="shared" si="4"/>
        <v>-150910659.49000001</v>
      </c>
      <c r="N184" s="1793"/>
      <c r="O184" s="3023">
        <v>350312634.57999998</v>
      </c>
      <c r="P184" s="1212"/>
    </row>
    <row r="185" spans="2:16" s="965" customFormat="1" ht="15.75">
      <c r="B185" s="2719">
        <v>31351</v>
      </c>
      <c r="C185" s="1206"/>
      <c r="D185" s="1209" t="s">
        <v>824</v>
      </c>
      <c r="E185" s="1602"/>
      <c r="F185" s="1602"/>
      <c r="G185" s="3023">
        <v>7066993.7699999996</v>
      </c>
      <c r="H185" s="1793"/>
      <c r="I185" s="3023">
        <v>7100881.7699999996</v>
      </c>
      <c r="J185" s="1793"/>
      <c r="K185" s="3023">
        <v>7617460.9699999997</v>
      </c>
      <c r="L185" s="1793"/>
      <c r="M185" s="2311">
        <f t="shared" si="4"/>
        <v>129991.58</v>
      </c>
      <c r="N185" s="1793"/>
      <c r="O185" s="3023">
        <v>7747452.5499999998</v>
      </c>
      <c r="P185" s="1285"/>
    </row>
    <row r="186" spans="2:16" s="965" customFormat="1" ht="15.75">
      <c r="B186" s="2550">
        <v>31354</v>
      </c>
      <c r="C186" s="1603"/>
      <c r="D186" s="1196" t="s">
        <v>825</v>
      </c>
      <c r="E186" s="1602"/>
      <c r="F186" s="1602"/>
      <c r="G186" s="3023">
        <v>379405057.62</v>
      </c>
      <c r="H186" s="1793"/>
      <c r="I186" s="3023">
        <v>328931944.88999999</v>
      </c>
      <c r="J186" s="1793"/>
      <c r="K186" s="3023">
        <v>283639677.79000002</v>
      </c>
      <c r="L186" s="1793"/>
      <c r="M186" s="2311">
        <f t="shared" si="4"/>
        <v>-17220349.5</v>
      </c>
      <c r="N186" s="1793"/>
      <c r="O186" s="3023">
        <v>266419328.28999999</v>
      </c>
      <c r="P186" s="1276"/>
    </row>
    <row r="187" spans="2:16" s="965" customFormat="1" ht="15.75">
      <c r="B187" s="1287" t="s">
        <v>826</v>
      </c>
      <c r="C187" s="1202"/>
      <c r="D187" s="1209" t="s">
        <v>827</v>
      </c>
      <c r="E187" s="1602"/>
      <c r="F187" s="1602"/>
      <c r="G187" s="3023">
        <v>131085301.78</v>
      </c>
      <c r="H187" s="1793"/>
      <c r="I187" s="3023">
        <v>167096335.45000002</v>
      </c>
      <c r="J187" s="1793"/>
      <c r="K187" s="3023">
        <v>159269936.76000002</v>
      </c>
      <c r="L187" s="1793"/>
      <c r="M187" s="2311">
        <f t="shared" si="4"/>
        <v>77091753.099999994</v>
      </c>
      <c r="N187" s="1793"/>
      <c r="O187" s="3023">
        <v>236361689.85999998</v>
      </c>
      <c r="P187" s="1276"/>
    </row>
    <row r="188" spans="2:16" s="965" customFormat="1" ht="15.75">
      <c r="B188" s="1604" t="s">
        <v>1063</v>
      </c>
      <c r="C188" s="1199"/>
      <c r="D188" s="1209" t="s">
        <v>1064</v>
      </c>
      <c r="E188" s="1197"/>
      <c r="F188" s="1197"/>
      <c r="G188" s="3023">
        <v>14737297.199999999</v>
      </c>
      <c r="H188" s="1793"/>
      <c r="I188" s="3023">
        <v>34551111.980000004</v>
      </c>
      <c r="J188" s="1793"/>
      <c r="K188" s="3023">
        <v>12928308.17</v>
      </c>
      <c r="L188" s="1793"/>
      <c r="M188" s="2311">
        <f t="shared" si="4"/>
        <v>-1071682.6200000001</v>
      </c>
      <c r="N188" s="1793"/>
      <c r="O188" s="3023">
        <v>11856625.550000001</v>
      </c>
      <c r="P188" s="1286"/>
    </row>
    <row r="189" spans="2:16" s="965" customFormat="1" ht="15.75">
      <c r="B189" s="2720">
        <v>25950</v>
      </c>
      <c r="C189" s="1199"/>
      <c r="D189" s="1209" t="s">
        <v>828</v>
      </c>
      <c r="E189" s="1210"/>
      <c r="F189" s="1210"/>
      <c r="G189" s="3023">
        <v>0</v>
      </c>
      <c r="H189" s="1793"/>
      <c r="I189" s="3023">
        <v>0</v>
      </c>
      <c r="J189" s="1793"/>
      <c r="K189" s="3023">
        <v>0</v>
      </c>
      <c r="L189" s="1793"/>
      <c r="M189" s="2311">
        <f t="shared" si="4"/>
        <v>0</v>
      </c>
      <c r="N189" s="1793"/>
      <c r="O189" s="3023">
        <v>0</v>
      </c>
      <c r="P189" s="1286"/>
    </row>
    <row r="190" spans="2:16" s="965" customFormat="1" ht="15.75">
      <c r="B190" s="1604" t="s">
        <v>1418</v>
      </c>
      <c r="C190" s="1199"/>
      <c r="D190" s="1207" t="s">
        <v>1065</v>
      </c>
      <c r="E190" s="1197"/>
      <c r="F190" s="1197"/>
      <c r="G190" s="3023">
        <v>2876451.68</v>
      </c>
      <c r="H190" s="1793"/>
      <c r="I190" s="3023">
        <v>1283829.77</v>
      </c>
      <c r="J190" s="1793"/>
      <c r="K190" s="3023">
        <v>1990363.14</v>
      </c>
      <c r="L190" s="1793"/>
      <c r="M190" s="2311">
        <f t="shared" si="4"/>
        <v>-804465.67</v>
      </c>
      <c r="N190" s="1793"/>
      <c r="O190" s="3023">
        <v>1185897.47</v>
      </c>
      <c r="P190" s="1286"/>
    </row>
    <row r="191" spans="2:16" s="965" customFormat="1" ht="16.5" thickBot="1">
      <c r="B191" s="1288"/>
      <c r="C191" s="1281"/>
      <c r="D191" s="3161" t="s">
        <v>829</v>
      </c>
      <c r="E191" s="1200"/>
      <c r="F191" s="1200"/>
      <c r="G191" s="2313">
        <f>ROUND(SUM(G181:G190),2)</f>
        <v>1100490864.8699999</v>
      </c>
      <c r="H191"/>
      <c r="I191" s="2313">
        <f>ROUND(SUM(I181:I190),2)</f>
        <v>1533904378.24</v>
      </c>
      <c r="J191"/>
      <c r="K191" s="2313">
        <f>ROUND(SUM(K181:K190),2)</f>
        <v>1018674027.13</v>
      </c>
      <c r="L191"/>
      <c r="M191" s="2313">
        <f>ROUND(SUM(M181:M190),2)</f>
        <v>368776812.74000001</v>
      </c>
      <c r="N191"/>
      <c r="O191" s="2313">
        <f>ROUND(SUM(O181:O190),2)</f>
        <v>1387450839.8699999</v>
      </c>
      <c r="P191" s="1774" t="s">
        <v>117</v>
      </c>
    </row>
    <row r="192" spans="2:16" s="965" customFormat="1" ht="16.5" thickTop="1">
      <c r="B192" s="1587"/>
      <c r="C192" s="1281"/>
      <c r="D192" s="1211"/>
      <c r="E192" s="1200"/>
      <c r="F192" s="1200"/>
      <c r="G192" s="3104"/>
      <c r="H192" s="1594"/>
      <c r="I192" s="3104"/>
      <c r="J192" s="1594"/>
      <c r="K192" s="3104"/>
      <c r="L192" s="1605"/>
      <c r="M192" s="2312"/>
      <c r="N192" s="1594"/>
      <c r="O192" s="3104"/>
      <c r="P192" s="1287"/>
    </row>
    <row r="193" spans="2:16" s="965" customFormat="1" ht="15.75">
      <c r="B193" s="1598"/>
      <c r="C193" s="1281"/>
      <c r="D193" s="3160" t="s">
        <v>830</v>
      </c>
      <c r="E193" s="1200"/>
      <c r="F193" s="1200"/>
      <c r="G193" s="3023"/>
      <c r="H193" s="1594"/>
      <c r="I193" s="3023"/>
      <c r="J193" s="1594"/>
      <c r="K193" s="3023"/>
      <c r="L193" s="1585"/>
      <c r="M193" s="2312"/>
      <c r="N193" s="1594"/>
      <c r="O193" s="3023"/>
      <c r="P193" s="1221"/>
    </row>
    <row r="194" spans="2:16" s="965" customFormat="1" ht="15.75">
      <c r="B194" s="2721">
        <v>60201</v>
      </c>
      <c r="C194" s="1277"/>
      <c r="D194" s="1203" t="s">
        <v>831</v>
      </c>
      <c r="E194" s="1200"/>
      <c r="F194" s="1200"/>
      <c r="G194" s="3023">
        <v>0</v>
      </c>
      <c r="H194" s="1585"/>
      <c r="I194" s="3023">
        <v>0</v>
      </c>
      <c r="J194" s="1585"/>
      <c r="K194" s="3023">
        <v>0</v>
      </c>
      <c r="L194" s="1585"/>
      <c r="M194" s="2311">
        <f t="shared" ref="M194:M195" si="5">ROUND(SUM(O194)-SUM(K194),2)</f>
        <v>0</v>
      </c>
      <c r="N194" s="1585"/>
      <c r="O194" s="3023">
        <v>0</v>
      </c>
      <c r="P194" s="1221"/>
    </row>
    <row r="195" spans="2:16" s="965" customFormat="1" ht="15.75">
      <c r="B195" s="2719">
        <v>60901</v>
      </c>
      <c r="C195" s="1202"/>
      <c r="D195" s="1206" t="s">
        <v>1092</v>
      </c>
      <c r="E195" s="1204"/>
      <c r="F195" s="1204"/>
      <c r="G195" s="3023">
        <v>0</v>
      </c>
      <c r="H195" s="1585"/>
      <c r="I195" s="3023">
        <v>0</v>
      </c>
      <c r="J195" s="1585"/>
      <c r="K195" s="3023">
        <v>0</v>
      </c>
      <c r="L195" s="1585"/>
      <c r="M195" s="2311">
        <f t="shared" si="5"/>
        <v>0</v>
      </c>
      <c r="N195" s="1585"/>
      <c r="O195" s="3023">
        <v>0</v>
      </c>
      <c r="P195" s="1221"/>
    </row>
    <row r="196" spans="2:16" s="965" customFormat="1" ht="16.5" thickBot="1">
      <c r="B196" s="1195"/>
      <c r="C196" s="1277"/>
      <c r="D196" s="3160" t="s">
        <v>832</v>
      </c>
      <c r="E196" s="1200"/>
      <c r="F196" s="1200"/>
      <c r="G196" s="2313">
        <f>ROUND(SUM(G194:G195),2)</f>
        <v>0</v>
      </c>
      <c r="H196" s="1631"/>
      <c r="I196" s="2313">
        <f>ROUND(SUM(I194:I195),2)</f>
        <v>0</v>
      </c>
      <c r="J196" s="1631"/>
      <c r="K196" s="2313">
        <f>ROUND(SUM(K194:K195),2)</f>
        <v>0</v>
      </c>
      <c r="L196" s="1631"/>
      <c r="M196" s="2313">
        <f>ROUND(SUM(M194:M195),2)</f>
        <v>0</v>
      </c>
      <c r="N196" s="1631"/>
      <c r="O196" s="2313">
        <f>ROUND(SUM(O194:O195),2)</f>
        <v>0</v>
      </c>
      <c r="P196" s="1212"/>
    </row>
    <row r="197" spans="2:16" s="965" customFormat="1" ht="16.5" thickTop="1">
      <c r="B197" s="1195"/>
      <c r="C197" s="1289"/>
      <c r="D197" s="1289"/>
      <c r="E197" s="1290"/>
      <c r="F197" s="1290"/>
      <c r="G197" s="3023"/>
      <c r="H197" s="1527"/>
      <c r="I197" s="3023"/>
      <c r="J197" s="1527"/>
      <c r="K197" s="3023"/>
      <c r="L197" s="1585"/>
      <c r="M197" s="2311"/>
      <c r="N197" s="1527"/>
      <c r="O197" s="3023"/>
      <c r="P197" s="1198"/>
    </row>
    <row r="198" spans="2:16" s="965" customFormat="1" ht="15.75">
      <c r="B198" s="1195"/>
      <c r="C198" s="1588"/>
      <c r="D198" s="3160" t="s">
        <v>833</v>
      </c>
      <c r="E198" s="1593"/>
      <c r="F198" s="1593"/>
      <c r="G198" s="3023"/>
      <c r="H198" s="1282"/>
      <c r="I198" s="3023"/>
      <c r="J198" s="1282"/>
      <c r="K198" s="3023"/>
      <c r="L198" s="1585"/>
      <c r="M198" s="2314"/>
      <c r="N198" s="1282"/>
      <c r="O198" s="3023"/>
      <c r="P198" s="1287"/>
    </row>
    <row r="199" spans="2:16" s="965" customFormat="1" ht="15.75">
      <c r="B199" s="2719">
        <v>50318</v>
      </c>
      <c r="C199" s="1589"/>
      <c r="D199" s="1207" t="s">
        <v>834</v>
      </c>
      <c r="E199" s="1279"/>
      <c r="F199" s="1279"/>
      <c r="G199" s="3023">
        <v>0</v>
      </c>
      <c r="H199" s="1606"/>
      <c r="I199" s="3023">
        <v>0</v>
      </c>
      <c r="J199" s="1606"/>
      <c r="K199" s="3023">
        <v>0</v>
      </c>
      <c r="L199" s="1606"/>
      <c r="M199" s="2311">
        <f t="shared" ref="M199:M200" si="6">ROUND(SUM(O199)-SUM(K199),2)</f>
        <v>0</v>
      </c>
      <c r="N199" s="1606"/>
      <c r="O199" s="3023">
        <v>0</v>
      </c>
      <c r="P199" s="1221"/>
    </row>
    <row r="200" spans="2:16" s="965" customFormat="1" ht="15.75">
      <c r="B200" s="2719">
        <v>50327</v>
      </c>
      <c r="C200" s="1589"/>
      <c r="D200" s="1207" t="s">
        <v>1464</v>
      </c>
      <c r="E200" s="1279"/>
      <c r="F200" s="1279"/>
      <c r="G200" s="3023">
        <v>0</v>
      </c>
      <c r="H200" s="1606"/>
      <c r="I200" s="3023">
        <v>17102.669999999998</v>
      </c>
      <c r="J200" s="1606"/>
      <c r="K200" s="3023">
        <v>28666.07</v>
      </c>
      <c r="L200" s="1606"/>
      <c r="M200" s="2311">
        <f t="shared" si="6"/>
        <v>-26371.61</v>
      </c>
      <c r="N200" s="1606"/>
      <c r="O200" s="3023">
        <v>2294.46</v>
      </c>
      <c r="P200" s="1221"/>
    </row>
    <row r="201" spans="2:16" s="965" customFormat="1" ht="16.5" thickBot="1">
      <c r="B201" s="1205"/>
      <c r="C201" s="1277"/>
      <c r="D201" s="3161" t="s">
        <v>835</v>
      </c>
      <c r="E201" s="1274"/>
      <c r="F201" s="1274"/>
      <c r="G201" s="2761">
        <f>ROUND(SUM(G199:G200),2)</f>
        <v>0</v>
      </c>
      <c r="H201" s="1631"/>
      <c r="I201" s="2761">
        <f>ROUND(SUM(I199:I200),2)</f>
        <v>17102.669999999998</v>
      </c>
      <c r="J201" s="1631"/>
      <c r="K201" s="2761">
        <f>ROUND(SUM(K199:K200),2)</f>
        <v>28666.07</v>
      </c>
      <c r="L201" s="1631"/>
      <c r="M201" s="2761">
        <f>ROUND(SUM(M199:M200),2)</f>
        <v>-26371.61</v>
      </c>
      <c r="N201" s="1631"/>
      <c r="O201" s="2761">
        <f>ROUND(SUM(O199:O200),2)</f>
        <v>2294.46</v>
      </c>
      <c r="P201" s="1285"/>
    </row>
    <row r="202" spans="2:16" s="965" customFormat="1" ht="16.5" thickTop="1">
      <c r="B202" s="1589"/>
      <c r="C202" s="1589"/>
      <c r="D202" s="1607"/>
      <c r="E202" s="1279"/>
      <c r="F202" s="1279"/>
      <c r="G202" s="3105"/>
      <c r="H202" s="1608"/>
      <c r="I202" s="3105"/>
      <c r="J202" s="1608"/>
      <c r="K202" s="3105"/>
      <c r="L202" s="1595"/>
      <c r="M202" s="2762"/>
      <c r="N202" s="1608"/>
      <c r="O202" s="3105"/>
      <c r="P202" s="1288"/>
    </row>
    <row r="203" spans="2:16" s="965" customFormat="1" ht="15.75">
      <c r="B203" s="1363"/>
      <c r="C203" s="1277"/>
      <c r="D203" s="3160" t="s">
        <v>227</v>
      </c>
      <c r="E203" s="1274"/>
      <c r="F203" s="1274"/>
      <c r="G203" s="3103"/>
      <c r="H203" s="1594"/>
      <c r="I203" s="3103"/>
      <c r="J203" s="1594"/>
      <c r="K203" s="3103"/>
      <c r="L203" s="1585"/>
      <c r="M203" s="2760"/>
      <c r="N203" s="1594"/>
      <c r="O203" s="3103"/>
      <c r="P203" s="1279"/>
    </row>
    <row r="204" spans="2:16" s="965" customFormat="1" ht="15.75">
      <c r="B204" s="2719">
        <v>55001</v>
      </c>
      <c r="C204" s="1589"/>
      <c r="D204" s="1207" t="s">
        <v>836</v>
      </c>
      <c r="E204" s="1279"/>
      <c r="F204" s="1279"/>
      <c r="G204" s="3023">
        <v>1680035.96</v>
      </c>
      <c r="H204" s="1793"/>
      <c r="I204" s="3023">
        <v>1862300.63</v>
      </c>
      <c r="J204" s="1793"/>
      <c r="K204" s="3023">
        <v>1120260.7</v>
      </c>
      <c r="L204" s="1793"/>
      <c r="M204" s="2311">
        <f t="shared" ref="M204:M245" si="7">ROUND(SUM(O204)-SUM(K204),2)</f>
        <v>135694.01999999999</v>
      </c>
      <c r="N204" s="1793"/>
      <c r="O204" s="3023">
        <v>1255954.72</v>
      </c>
      <c r="P204" s="1284"/>
    </row>
    <row r="205" spans="2:16" s="965" customFormat="1" ht="15.75">
      <c r="B205" s="2719">
        <v>55002</v>
      </c>
      <c r="C205" s="1202"/>
      <c r="D205" s="1206" t="s">
        <v>837</v>
      </c>
      <c r="E205" s="1204"/>
      <c r="F205" s="1204"/>
      <c r="G205" s="3023">
        <v>0</v>
      </c>
      <c r="H205" s="1793"/>
      <c r="I205" s="3023">
        <v>0</v>
      </c>
      <c r="J205" s="1793"/>
      <c r="K205" s="3023">
        <v>0</v>
      </c>
      <c r="L205" s="1793"/>
      <c r="M205" s="2311">
        <f t="shared" si="7"/>
        <v>0</v>
      </c>
      <c r="N205" s="1793"/>
      <c r="O205" s="3023">
        <v>0</v>
      </c>
      <c r="P205" s="1212"/>
    </row>
    <row r="206" spans="2:16" s="965" customFormat="1" ht="15.75">
      <c r="B206" s="2719">
        <v>55003</v>
      </c>
      <c r="C206" s="1202"/>
      <c r="D206" s="1207" t="s">
        <v>838</v>
      </c>
      <c r="E206" s="1204"/>
      <c r="F206" s="1204"/>
      <c r="G206" s="3023">
        <v>2950107.97</v>
      </c>
      <c r="H206" s="1793"/>
      <c r="I206" s="3023">
        <v>3310194.08</v>
      </c>
      <c r="J206" s="1793"/>
      <c r="K206" s="3023">
        <v>3588283.95</v>
      </c>
      <c r="L206" s="1793"/>
      <c r="M206" s="2311">
        <f t="shared" si="7"/>
        <v>-130841.59</v>
      </c>
      <c r="N206" s="1793"/>
      <c r="O206" s="3023">
        <v>3457442.36</v>
      </c>
      <c r="P206" s="1212"/>
    </row>
    <row r="207" spans="2:16" s="965" customFormat="1" ht="15.75">
      <c r="B207" s="2719">
        <v>55004</v>
      </c>
      <c r="C207" s="1199"/>
      <c r="D207" s="1609" t="s">
        <v>839</v>
      </c>
      <c r="E207" s="1211"/>
      <c r="F207" s="1211"/>
      <c r="G207" s="3023">
        <v>0</v>
      </c>
      <c r="H207" s="1793"/>
      <c r="I207" s="3023">
        <v>130089.63</v>
      </c>
      <c r="J207" s="1793"/>
      <c r="K207" s="3023">
        <v>0</v>
      </c>
      <c r="L207" s="1793"/>
      <c r="M207" s="2311">
        <f t="shared" si="7"/>
        <v>0</v>
      </c>
      <c r="N207" s="1793"/>
      <c r="O207" s="3023">
        <v>0</v>
      </c>
      <c r="P207" s="1212"/>
    </row>
    <row r="208" spans="2:16" s="965" customFormat="1" ht="15.75">
      <c r="B208" s="2719">
        <v>55005</v>
      </c>
      <c r="C208" s="1202"/>
      <c r="D208" s="1207" t="s">
        <v>840</v>
      </c>
      <c r="E208" s="1204"/>
      <c r="F208" s="1204"/>
      <c r="G208" s="3023">
        <v>0</v>
      </c>
      <c r="H208" s="1793"/>
      <c r="I208" s="3023">
        <v>0</v>
      </c>
      <c r="J208" s="1793"/>
      <c r="K208" s="3023">
        <v>0</v>
      </c>
      <c r="L208" s="1793"/>
      <c r="M208" s="2311">
        <f t="shared" si="7"/>
        <v>0</v>
      </c>
      <c r="N208" s="1793"/>
      <c r="O208" s="3023">
        <v>0</v>
      </c>
      <c r="P208" s="1212"/>
    </row>
    <row r="209" spans="2:16" s="965" customFormat="1" ht="15.75">
      <c r="B209" s="2719">
        <v>55006</v>
      </c>
      <c r="C209" s="1199"/>
      <c r="D209" s="1207" t="s">
        <v>841</v>
      </c>
      <c r="E209" s="1211"/>
      <c r="F209" s="1211"/>
      <c r="G209" s="3023">
        <v>0</v>
      </c>
      <c r="H209" s="1793"/>
      <c r="I209" s="3023">
        <v>0</v>
      </c>
      <c r="J209" s="1793"/>
      <c r="K209" s="3023">
        <v>0</v>
      </c>
      <c r="L209" s="1793"/>
      <c r="M209" s="2311">
        <f t="shared" si="7"/>
        <v>0</v>
      </c>
      <c r="N209" s="1793"/>
      <c r="O209" s="3023">
        <v>0</v>
      </c>
      <c r="P209" s="1212"/>
    </row>
    <row r="210" spans="2:16" s="965" customFormat="1" ht="15.75">
      <c r="B210" s="2719">
        <v>55007</v>
      </c>
      <c r="C210" s="1596"/>
      <c r="D210" s="1196" t="s">
        <v>842</v>
      </c>
      <c r="E210" s="1586"/>
      <c r="F210" s="1586"/>
      <c r="G210" s="3023">
        <v>377100.87</v>
      </c>
      <c r="H210" s="1793"/>
      <c r="I210" s="3023">
        <v>215930.09</v>
      </c>
      <c r="J210" s="1793"/>
      <c r="K210" s="3023">
        <v>372238.88</v>
      </c>
      <c r="L210" s="1793"/>
      <c r="M210" s="2311">
        <f t="shared" si="7"/>
        <v>-39635.480000000003</v>
      </c>
      <c r="N210" s="1793"/>
      <c r="O210" s="3023">
        <v>332603.40000000002</v>
      </c>
      <c r="P210" s="1284"/>
    </row>
    <row r="211" spans="2:16" s="965" customFormat="1" ht="15.75">
      <c r="B211" s="2719">
        <v>55008</v>
      </c>
      <c r="C211" s="1202"/>
      <c r="D211" s="1209" t="s">
        <v>843</v>
      </c>
      <c r="E211" s="1204"/>
      <c r="F211" s="1204"/>
      <c r="G211" s="3023">
        <v>23153850.059999999</v>
      </c>
      <c r="H211" s="1793"/>
      <c r="I211" s="3023">
        <v>18605320.420000002</v>
      </c>
      <c r="J211" s="1793"/>
      <c r="K211" s="3023">
        <v>15244417.24</v>
      </c>
      <c r="L211" s="1793"/>
      <c r="M211" s="2311">
        <f t="shared" si="7"/>
        <v>5521736.75</v>
      </c>
      <c r="N211" s="1793"/>
      <c r="O211" s="3023">
        <v>20766153.989999998</v>
      </c>
      <c r="P211" s="1285"/>
    </row>
    <row r="212" spans="2:16" s="965" customFormat="1" ht="15.75">
      <c r="B212" s="2550">
        <v>55009</v>
      </c>
      <c r="C212" s="1596"/>
      <c r="D212" s="1196" t="s">
        <v>844</v>
      </c>
      <c r="E212" s="1586"/>
      <c r="F212" s="1586"/>
      <c r="G212" s="3023">
        <v>0</v>
      </c>
      <c r="H212" s="1793"/>
      <c r="I212" s="3023">
        <v>0</v>
      </c>
      <c r="J212" s="1793"/>
      <c r="K212" s="3023">
        <v>0</v>
      </c>
      <c r="L212" s="1793"/>
      <c r="M212" s="2311">
        <f t="shared" si="7"/>
        <v>0</v>
      </c>
      <c r="N212" s="1793"/>
      <c r="O212" s="3023">
        <v>0</v>
      </c>
      <c r="P212" s="1279"/>
    </row>
    <row r="213" spans="2:16" s="965" customFormat="1" ht="15.75">
      <c r="B213" s="2550">
        <v>55010</v>
      </c>
      <c r="C213" s="1202"/>
      <c r="D213" s="1207" t="s">
        <v>1093</v>
      </c>
      <c r="E213" s="1204"/>
      <c r="F213" s="1204"/>
      <c r="G213" s="3023">
        <v>0</v>
      </c>
      <c r="H213" s="1793"/>
      <c r="I213" s="3023">
        <v>0</v>
      </c>
      <c r="J213" s="1793"/>
      <c r="K213" s="3023">
        <v>0</v>
      </c>
      <c r="L213" s="1793"/>
      <c r="M213" s="2311">
        <f t="shared" si="7"/>
        <v>0</v>
      </c>
      <c r="N213" s="1793"/>
      <c r="O213" s="3023">
        <v>0</v>
      </c>
      <c r="P213" s="1279"/>
    </row>
    <row r="214" spans="2:16" s="965" customFormat="1" ht="15.75">
      <c r="B214" s="2719">
        <v>55011</v>
      </c>
      <c r="C214" s="1596"/>
      <c r="D214" s="1196" t="s">
        <v>845</v>
      </c>
      <c r="E214" s="1586"/>
      <c r="F214" s="1586"/>
      <c r="G214" s="3023">
        <v>41201.15</v>
      </c>
      <c r="H214" s="1793"/>
      <c r="I214" s="3023">
        <v>0</v>
      </c>
      <c r="J214" s="1793"/>
      <c r="K214" s="3023">
        <v>0</v>
      </c>
      <c r="L214" s="1793"/>
      <c r="M214" s="2311">
        <f t="shared" si="7"/>
        <v>0</v>
      </c>
      <c r="N214" s="1793"/>
      <c r="O214" s="3023">
        <v>0</v>
      </c>
      <c r="P214" s="1212"/>
    </row>
    <row r="215" spans="2:16" s="965" customFormat="1" ht="15.75">
      <c r="B215" s="2719">
        <v>55012</v>
      </c>
      <c r="C215" s="1202"/>
      <c r="D215" s="1203" t="s">
        <v>846</v>
      </c>
      <c r="E215" s="1204"/>
      <c r="F215" s="1204"/>
      <c r="G215" s="3023">
        <v>231967.19</v>
      </c>
      <c r="H215" s="1793"/>
      <c r="I215" s="3023">
        <v>232018.27</v>
      </c>
      <c r="J215" s="1793"/>
      <c r="K215" s="3023">
        <v>224450.27</v>
      </c>
      <c r="L215" s="1793"/>
      <c r="M215" s="2311">
        <f t="shared" si="7"/>
        <v>-677.35</v>
      </c>
      <c r="N215" s="1793"/>
      <c r="O215" s="3023">
        <v>223772.92</v>
      </c>
      <c r="P215" s="1212"/>
    </row>
    <row r="216" spans="2:16" s="965" customFormat="1" ht="15.75">
      <c r="B216" s="2719">
        <v>55013</v>
      </c>
      <c r="C216" s="1202"/>
      <c r="D216" s="1206" t="s">
        <v>847</v>
      </c>
      <c r="E216" s="1204"/>
      <c r="F216" s="1204"/>
      <c r="G216" s="3023">
        <v>0</v>
      </c>
      <c r="H216" s="1793"/>
      <c r="I216" s="3023">
        <v>0</v>
      </c>
      <c r="J216" s="1793"/>
      <c r="K216" s="3023">
        <v>0</v>
      </c>
      <c r="L216" s="1793"/>
      <c r="M216" s="2311">
        <f t="shared" si="7"/>
        <v>0</v>
      </c>
      <c r="N216" s="1793"/>
      <c r="O216" s="3023">
        <v>0</v>
      </c>
      <c r="P216" s="1212"/>
    </row>
    <row r="217" spans="2:16" s="965" customFormat="1" ht="15.75">
      <c r="B217" s="2719">
        <v>55014</v>
      </c>
      <c r="C217" s="1202"/>
      <c r="D217" s="1203" t="s">
        <v>848</v>
      </c>
      <c r="E217" s="1204"/>
      <c r="F217" s="1204"/>
      <c r="G217" s="3023">
        <v>0</v>
      </c>
      <c r="H217" s="1793"/>
      <c r="I217" s="3023">
        <v>0</v>
      </c>
      <c r="J217" s="1793"/>
      <c r="K217" s="3023">
        <v>0</v>
      </c>
      <c r="L217" s="1793"/>
      <c r="M217" s="2311">
        <f t="shared" si="7"/>
        <v>0</v>
      </c>
      <c r="N217" s="1793"/>
      <c r="O217" s="3023">
        <v>0</v>
      </c>
      <c r="P217" s="1212"/>
    </row>
    <row r="218" spans="2:16" s="965" customFormat="1" ht="15.75">
      <c r="B218" s="2719">
        <v>55015</v>
      </c>
      <c r="C218" s="1202"/>
      <c r="D218" s="1206" t="s">
        <v>849</v>
      </c>
      <c r="E218" s="1204"/>
      <c r="F218" s="1204"/>
      <c r="G218" s="3023">
        <v>0</v>
      </c>
      <c r="H218" s="1793"/>
      <c r="I218" s="3023">
        <v>0</v>
      </c>
      <c r="J218" s="1793"/>
      <c r="K218" s="3023">
        <v>0</v>
      </c>
      <c r="L218" s="1793"/>
      <c r="M218" s="2311">
        <f t="shared" si="7"/>
        <v>0</v>
      </c>
      <c r="N218" s="1793"/>
      <c r="O218" s="3023">
        <v>0</v>
      </c>
      <c r="P218" s="1212"/>
    </row>
    <row r="219" spans="2:16" s="965" customFormat="1" ht="15.75">
      <c r="B219" s="2719">
        <v>55016</v>
      </c>
      <c r="C219" s="1202"/>
      <c r="D219" s="1206" t="s">
        <v>850</v>
      </c>
      <c r="E219" s="1204"/>
      <c r="F219" s="1204"/>
      <c r="G219" s="3023">
        <v>26961.54</v>
      </c>
      <c r="H219" s="1793"/>
      <c r="I219" s="3023">
        <v>26961.54</v>
      </c>
      <c r="J219" s="1793"/>
      <c r="K219" s="3023">
        <v>26961.54</v>
      </c>
      <c r="L219" s="1793"/>
      <c r="M219" s="2311">
        <f t="shared" si="7"/>
        <v>0</v>
      </c>
      <c r="N219" s="1793"/>
      <c r="O219" s="3023">
        <v>26961.54</v>
      </c>
      <c r="P219" s="1212"/>
    </row>
    <row r="220" spans="2:16" s="965" customFormat="1" ht="15.75">
      <c r="B220" s="2719">
        <v>55017</v>
      </c>
      <c r="C220" s="1202"/>
      <c r="D220" s="1206" t="s">
        <v>851</v>
      </c>
      <c r="E220" s="1204"/>
      <c r="F220" s="1204"/>
      <c r="G220" s="3023">
        <v>517507.85</v>
      </c>
      <c r="H220" s="1793"/>
      <c r="I220" s="3023">
        <v>623764.29</v>
      </c>
      <c r="J220" s="1793"/>
      <c r="K220" s="3023">
        <v>458573.92</v>
      </c>
      <c r="L220" s="1793"/>
      <c r="M220" s="2311">
        <f t="shared" si="7"/>
        <v>-28987.66</v>
      </c>
      <c r="N220" s="1793"/>
      <c r="O220" s="3023">
        <v>429586.26</v>
      </c>
      <c r="P220" s="1212"/>
    </row>
    <row r="221" spans="2:16" s="965" customFormat="1" ht="15.75">
      <c r="B221" s="2719">
        <v>55018</v>
      </c>
      <c r="C221" s="1202"/>
      <c r="D221" s="1206" t="s">
        <v>852</v>
      </c>
      <c r="E221" s="1204"/>
      <c r="F221" s="1204"/>
      <c r="G221" s="3023">
        <v>0</v>
      </c>
      <c r="H221" s="1793"/>
      <c r="I221" s="3023">
        <v>0</v>
      </c>
      <c r="J221" s="1793"/>
      <c r="K221" s="3023">
        <v>0</v>
      </c>
      <c r="L221" s="1793"/>
      <c r="M221" s="2311">
        <f t="shared" si="7"/>
        <v>0</v>
      </c>
      <c r="N221" s="1793"/>
      <c r="O221" s="3023">
        <v>0</v>
      </c>
      <c r="P221" s="1212"/>
    </row>
    <row r="222" spans="2:16" s="965" customFormat="1" ht="15.75">
      <c r="B222" s="2719">
        <v>55019</v>
      </c>
      <c r="C222" s="1202"/>
      <c r="D222" s="1206" t="s">
        <v>853</v>
      </c>
      <c r="E222" s="1204"/>
      <c r="F222" s="1204"/>
      <c r="G222" s="3023">
        <v>0</v>
      </c>
      <c r="H222" s="1793"/>
      <c r="I222" s="3023">
        <v>0</v>
      </c>
      <c r="J222" s="1793"/>
      <c r="K222" s="3023">
        <v>0</v>
      </c>
      <c r="L222" s="1793"/>
      <c r="M222" s="2311">
        <f t="shared" si="7"/>
        <v>0</v>
      </c>
      <c r="N222" s="1793"/>
      <c r="O222" s="3023">
        <v>0</v>
      </c>
      <c r="P222" s="1212"/>
    </row>
    <row r="223" spans="2:16" s="965" customFormat="1" ht="15.75">
      <c r="B223" s="2719">
        <v>55020</v>
      </c>
      <c r="C223" s="1202"/>
      <c r="D223" s="1206" t="s">
        <v>854</v>
      </c>
      <c r="E223" s="1204"/>
      <c r="F223" s="1204"/>
      <c r="G223" s="3023">
        <v>64058786.560000002</v>
      </c>
      <c r="H223" s="1793"/>
      <c r="I223" s="3023">
        <v>75760440.689999998</v>
      </c>
      <c r="J223" s="1793"/>
      <c r="K223" s="3023">
        <v>72080680.700000003</v>
      </c>
      <c r="L223" s="1793"/>
      <c r="M223" s="2311">
        <f t="shared" si="7"/>
        <v>1904425.9</v>
      </c>
      <c r="N223" s="1793"/>
      <c r="O223" s="3023">
        <v>73985106.599999994</v>
      </c>
      <c r="P223" s="1212"/>
    </row>
    <row r="224" spans="2:16" s="965" customFormat="1" ht="15.75">
      <c r="B224" s="2719">
        <v>55021</v>
      </c>
      <c r="C224" s="1202"/>
      <c r="D224" s="1206" t="s">
        <v>855</v>
      </c>
      <c r="E224" s="1204"/>
      <c r="F224" s="1204"/>
      <c r="G224" s="3023">
        <v>4507744.5199999996</v>
      </c>
      <c r="H224" s="1793"/>
      <c r="I224" s="3023">
        <v>4467849.38</v>
      </c>
      <c r="J224" s="1793"/>
      <c r="K224" s="3023">
        <v>4800722.9400000004</v>
      </c>
      <c r="L224" s="1793"/>
      <c r="M224" s="2311">
        <f t="shared" si="7"/>
        <v>-1811.36</v>
      </c>
      <c r="N224" s="1793"/>
      <c r="O224" s="3023">
        <v>4798911.58</v>
      </c>
      <c r="P224" s="1212"/>
    </row>
    <row r="225" spans="2:16" s="965" customFormat="1" ht="15.75">
      <c r="B225" s="2719">
        <v>55022</v>
      </c>
      <c r="C225" s="1202"/>
      <c r="D225" s="1203" t="s">
        <v>856</v>
      </c>
      <c r="E225" s="1204"/>
      <c r="F225" s="1204"/>
      <c r="G225" s="3023">
        <v>0</v>
      </c>
      <c r="H225" s="1793"/>
      <c r="I225" s="3023">
        <v>0</v>
      </c>
      <c r="J225" s="1793"/>
      <c r="K225" s="3023">
        <v>0</v>
      </c>
      <c r="L225" s="1793"/>
      <c r="M225" s="2311">
        <f t="shared" si="7"/>
        <v>0</v>
      </c>
      <c r="N225" s="1793"/>
      <c r="O225" s="3023">
        <v>0</v>
      </c>
      <c r="P225" s="1212"/>
    </row>
    <row r="226" spans="2:16" s="965" customFormat="1" ht="15.75">
      <c r="B226" s="2719">
        <v>55052</v>
      </c>
      <c r="C226" s="1202"/>
      <c r="D226" s="1203" t="s">
        <v>857</v>
      </c>
      <c r="E226" s="1204"/>
      <c r="F226" s="1204"/>
      <c r="G226" s="3023">
        <v>0</v>
      </c>
      <c r="H226" s="1793"/>
      <c r="I226" s="3023">
        <v>0</v>
      </c>
      <c r="J226" s="1793"/>
      <c r="K226" s="3023">
        <v>0</v>
      </c>
      <c r="L226" s="1793"/>
      <c r="M226" s="2311">
        <f t="shared" si="7"/>
        <v>0</v>
      </c>
      <c r="N226" s="1793"/>
      <c r="O226" s="3023">
        <v>0</v>
      </c>
      <c r="P226" s="1212"/>
    </row>
    <row r="227" spans="2:16" s="965" customFormat="1" ht="15.75">
      <c r="B227" s="2719">
        <v>55053</v>
      </c>
      <c r="C227" s="1202"/>
      <c r="D227" s="1206" t="s">
        <v>858</v>
      </c>
      <c r="E227" s="1204"/>
      <c r="F227" s="1204"/>
      <c r="G227" s="3023">
        <v>0</v>
      </c>
      <c r="H227" s="1793"/>
      <c r="I227" s="3023">
        <v>0</v>
      </c>
      <c r="J227" s="1793"/>
      <c r="K227" s="3023">
        <v>0</v>
      </c>
      <c r="L227" s="1793"/>
      <c r="M227" s="2311">
        <f t="shared" si="7"/>
        <v>0</v>
      </c>
      <c r="N227" s="1793"/>
      <c r="O227" s="3023">
        <v>0</v>
      </c>
      <c r="P227" s="1212"/>
    </row>
    <row r="228" spans="2:16" s="965" customFormat="1" ht="15.75">
      <c r="B228" s="2719">
        <v>55056</v>
      </c>
      <c r="C228" s="1202"/>
      <c r="D228" s="1206" t="s">
        <v>859</v>
      </c>
      <c r="E228" s="1204"/>
      <c r="F228" s="1204"/>
      <c r="G228" s="3023">
        <v>67862.009999999995</v>
      </c>
      <c r="H228" s="1793"/>
      <c r="I228" s="3023">
        <v>214003.61</v>
      </c>
      <c r="J228" s="1793"/>
      <c r="K228" s="3023">
        <v>253500.02</v>
      </c>
      <c r="L228" s="1793"/>
      <c r="M228" s="2311">
        <f t="shared" si="7"/>
        <v>-185845.27</v>
      </c>
      <c r="N228" s="1793"/>
      <c r="O228" s="3023">
        <v>67654.75</v>
      </c>
      <c r="P228" s="1212"/>
    </row>
    <row r="229" spans="2:16" s="965" customFormat="1" ht="15.75">
      <c r="B229" s="2719">
        <v>55057</v>
      </c>
      <c r="C229" s="1202"/>
      <c r="D229" s="1206" t="s">
        <v>860</v>
      </c>
      <c r="E229" s="1204"/>
      <c r="F229" s="1204"/>
      <c r="G229" s="3023">
        <v>384117.59</v>
      </c>
      <c r="H229" s="1793"/>
      <c r="I229" s="3023">
        <v>71815.12</v>
      </c>
      <c r="J229" s="1793"/>
      <c r="K229" s="3023">
        <v>0</v>
      </c>
      <c r="L229" s="1793"/>
      <c r="M229" s="2311">
        <f t="shared" si="7"/>
        <v>57291.8</v>
      </c>
      <c r="N229" s="1793"/>
      <c r="O229" s="3023">
        <v>57291.8</v>
      </c>
      <c r="P229" s="1212"/>
    </row>
    <row r="230" spans="2:16" s="965" customFormat="1" ht="15.75">
      <c r="B230" s="2719">
        <v>55058</v>
      </c>
      <c r="C230" s="1202"/>
      <c r="D230" s="1206" t="s">
        <v>861</v>
      </c>
      <c r="E230" s="1204"/>
      <c r="F230" s="1204"/>
      <c r="G230" s="3023">
        <v>5233767.43</v>
      </c>
      <c r="H230" s="1793"/>
      <c r="I230" s="3023">
        <v>5611888.0999999996</v>
      </c>
      <c r="J230" s="1793"/>
      <c r="K230" s="3023">
        <v>6011869.2800000003</v>
      </c>
      <c r="L230" s="1793"/>
      <c r="M230" s="2311">
        <f t="shared" si="7"/>
        <v>148153.54</v>
      </c>
      <c r="N230" s="1793"/>
      <c r="O230" s="3023">
        <v>6160022.8200000003</v>
      </c>
      <c r="P230" s="1212"/>
    </row>
    <row r="231" spans="2:16" s="965" customFormat="1" ht="15.75">
      <c r="B231" s="2719">
        <v>55059</v>
      </c>
      <c r="C231" s="1202"/>
      <c r="D231" s="1207" t="s">
        <v>1472</v>
      </c>
      <c r="E231" s="1204"/>
      <c r="F231" s="1204"/>
      <c r="G231" s="3023">
        <v>11554263.449999999</v>
      </c>
      <c r="H231" s="1793"/>
      <c r="I231" s="3023">
        <v>11535863.449999999</v>
      </c>
      <c r="J231" s="1793"/>
      <c r="K231" s="3023">
        <v>11535863.449999999</v>
      </c>
      <c r="L231" s="1793"/>
      <c r="M231" s="2311">
        <f t="shared" si="7"/>
        <v>383797.88</v>
      </c>
      <c r="N231" s="1793"/>
      <c r="O231" s="3023">
        <v>11919661.33</v>
      </c>
      <c r="P231" s="1212"/>
    </row>
    <row r="232" spans="2:16" s="965" customFormat="1" ht="15.75">
      <c r="B232" s="2719">
        <v>55060</v>
      </c>
      <c r="C232" s="1202"/>
      <c r="D232" s="1203" t="s">
        <v>862</v>
      </c>
      <c r="E232" s="1204"/>
      <c r="F232" s="1204"/>
      <c r="G232" s="3023">
        <v>0</v>
      </c>
      <c r="H232" s="1793"/>
      <c r="I232" s="3023">
        <v>650433.4</v>
      </c>
      <c r="J232" s="1793"/>
      <c r="K232" s="3023">
        <v>0</v>
      </c>
      <c r="L232" s="1793"/>
      <c r="M232" s="2311">
        <f t="shared" si="7"/>
        <v>0</v>
      </c>
      <c r="N232" s="1793"/>
      <c r="O232" s="3023">
        <v>0</v>
      </c>
      <c r="P232" s="1212"/>
    </row>
    <row r="233" spans="2:16" s="965" customFormat="1" ht="15.75">
      <c r="B233" s="2719">
        <v>55061</v>
      </c>
      <c r="C233" s="1202"/>
      <c r="D233" s="1203" t="s">
        <v>863</v>
      </c>
      <c r="E233" s="1204"/>
      <c r="F233" s="1204"/>
      <c r="G233" s="3023">
        <v>5798178.5499999998</v>
      </c>
      <c r="H233" s="1793"/>
      <c r="I233" s="3023">
        <v>5781057.1900000004</v>
      </c>
      <c r="J233" s="1793"/>
      <c r="K233" s="3023">
        <v>5778264.1900000004</v>
      </c>
      <c r="L233" s="1793"/>
      <c r="M233" s="2311">
        <f t="shared" si="7"/>
        <v>-2847676.58</v>
      </c>
      <c r="N233" s="1793"/>
      <c r="O233" s="3023">
        <v>2930587.61</v>
      </c>
      <c r="P233" s="1212"/>
    </row>
    <row r="234" spans="2:16" s="965" customFormat="1" ht="15.75">
      <c r="B234" s="2719">
        <v>55062</v>
      </c>
      <c r="C234" s="1202"/>
      <c r="D234" s="1206" t="s">
        <v>864</v>
      </c>
      <c r="E234" s="1204"/>
      <c r="F234" s="1204"/>
      <c r="G234" s="3023">
        <v>52338552.490000002</v>
      </c>
      <c r="H234" s="1793"/>
      <c r="I234" s="3023">
        <v>52338552.490000002</v>
      </c>
      <c r="J234" s="1793"/>
      <c r="K234" s="3023">
        <v>52338552.490000002</v>
      </c>
      <c r="L234" s="1793"/>
      <c r="M234" s="2311">
        <f t="shared" si="7"/>
        <v>-5985.07</v>
      </c>
      <c r="N234" s="1793"/>
      <c r="O234" s="3023">
        <v>52332567.420000002</v>
      </c>
      <c r="P234" s="1212"/>
    </row>
    <row r="235" spans="2:16" s="965" customFormat="1" ht="15.75">
      <c r="B235" s="2719">
        <v>55066</v>
      </c>
      <c r="C235" s="1202"/>
      <c r="D235" s="1206" t="s">
        <v>865</v>
      </c>
      <c r="E235" s="1204"/>
      <c r="F235" s="1204"/>
      <c r="G235" s="3023">
        <v>1261584.27</v>
      </c>
      <c r="H235" s="1793"/>
      <c r="I235" s="3023">
        <v>1261584.27</v>
      </c>
      <c r="J235" s="1793"/>
      <c r="K235" s="3023">
        <v>1261584.27</v>
      </c>
      <c r="L235" s="1793"/>
      <c r="M235" s="2311">
        <f t="shared" si="7"/>
        <v>0</v>
      </c>
      <c r="N235" s="1793"/>
      <c r="O235" s="3023">
        <v>1261584.27</v>
      </c>
      <c r="P235" s="1212"/>
    </row>
    <row r="236" spans="2:16" s="965" customFormat="1" ht="15.75">
      <c r="B236" s="2719">
        <v>55067</v>
      </c>
      <c r="C236" s="1202"/>
      <c r="D236" s="1206" t="s">
        <v>866</v>
      </c>
      <c r="E236" s="1204"/>
      <c r="F236" s="1204"/>
      <c r="G236" s="3023">
        <v>167682.6</v>
      </c>
      <c r="H236" s="1793"/>
      <c r="I236" s="3023">
        <v>223823.05</v>
      </c>
      <c r="J236" s="1793"/>
      <c r="K236" s="3023">
        <v>261253.91</v>
      </c>
      <c r="L236" s="1793"/>
      <c r="M236" s="2311">
        <f t="shared" si="7"/>
        <v>-10788.87</v>
      </c>
      <c r="N236" s="1793"/>
      <c r="O236" s="3023">
        <v>250465.04</v>
      </c>
      <c r="P236" s="1212"/>
    </row>
    <row r="237" spans="2:16" s="965" customFormat="1" ht="15.75">
      <c r="B237" s="2719">
        <v>55069</v>
      </c>
      <c r="C237" s="1202"/>
      <c r="D237" s="1206" t="s">
        <v>867</v>
      </c>
      <c r="E237" s="1204"/>
      <c r="F237" s="1204"/>
      <c r="G237" s="3023">
        <v>11491597.91</v>
      </c>
      <c r="H237" s="1793"/>
      <c r="I237" s="3023">
        <v>10950585.189999999</v>
      </c>
      <c r="J237" s="1793"/>
      <c r="K237" s="3023">
        <v>37126954.840000004</v>
      </c>
      <c r="L237" s="1793"/>
      <c r="M237" s="2311">
        <f t="shared" si="7"/>
        <v>-1903133.34</v>
      </c>
      <c r="N237" s="1793"/>
      <c r="O237" s="3023">
        <v>35223821.5</v>
      </c>
      <c r="P237" s="1212"/>
    </row>
    <row r="238" spans="2:16" s="965" customFormat="1" ht="15.75">
      <c r="B238" s="1195">
        <v>55071</v>
      </c>
      <c r="C238" s="1202"/>
      <c r="D238" s="1206" t="s">
        <v>1066</v>
      </c>
      <c r="E238" s="1204"/>
      <c r="F238" s="1204"/>
      <c r="G238" s="3023">
        <v>1011181.3</v>
      </c>
      <c r="H238" s="1793"/>
      <c r="I238" s="3023">
        <v>1194049.69</v>
      </c>
      <c r="J238" s="1793"/>
      <c r="K238" s="3023">
        <v>475858.83</v>
      </c>
      <c r="L238" s="1793"/>
      <c r="M238" s="2311">
        <f t="shared" si="7"/>
        <v>100263.13</v>
      </c>
      <c r="N238" s="1793"/>
      <c r="O238" s="3023">
        <v>576121.96</v>
      </c>
      <c r="P238" s="1212"/>
    </row>
    <row r="239" spans="2:16" s="965" customFormat="1" ht="15.75">
      <c r="B239" s="2719">
        <v>55072</v>
      </c>
      <c r="C239" s="1202"/>
      <c r="D239" s="1206" t="s">
        <v>1067</v>
      </c>
      <c r="E239" s="1204"/>
      <c r="F239" s="1204"/>
      <c r="G239" s="3023">
        <v>2039600.13</v>
      </c>
      <c r="H239" s="1793"/>
      <c r="I239" s="3023">
        <v>696350.54</v>
      </c>
      <c r="J239" s="1793"/>
      <c r="K239" s="3023">
        <v>1151785.96</v>
      </c>
      <c r="L239" s="1793"/>
      <c r="M239" s="2311">
        <f t="shared" si="7"/>
        <v>385834.5</v>
      </c>
      <c r="N239" s="1793"/>
      <c r="O239" s="3023">
        <v>1537620.46</v>
      </c>
      <c r="P239" s="1212"/>
    </row>
    <row r="240" spans="2:16" s="965" customFormat="1" ht="15.75">
      <c r="B240" s="1195">
        <v>55073</v>
      </c>
      <c r="C240" s="1202"/>
      <c r="D240" s="1206" t="s">
        <v>1068</v>
      </c>
      <c r="E240" s="1204"/>
      <c r="F240" s="1204"/>
      <c r="G240" s="3023">
        <v>0</v>
      </c>
      <c r="H240" s="1793"/>
      <c r="I240" s="3023">
        <v>0</v>
      </c>
      <c r="J240" s="1793"/>
      <c r="K240" s="3023">
        <v>0</v>
      </c>
      <c r="L240" s="1793"/>
      <c r="M240" s="2311">
        <f t="shared" si="7"/>
        <v>0</v>
      </c>
      <c r="N240" s="1793"/>
      <c r="O240" s="3023">
        <v>0</v>
      </c>
      <c r="P240" s="1212"/>
    </row>
    <row r="241" spans="2:16" s="965" customFormat="1" ht="15.75">
      <c r="B241" s="2719">
        <v>55251</v>
      </c>
      <c r="C241" s="1202"/>
      <c r="D241" s="1203" t="s">
        <v>868</v>
      </c>
      <c r="E241" s="1204"/>
      <c r="F241" s="1204"/>
      <c r="G241" s="3023">
        <v>5164952.93</v>
      </c>
      <c r="H241" s="1793"/>
      <c r="I241" s="3023">
        <v>5742533.2000000002</v>
      </c>
      <c r="J241" s="1793"/>
      <c r="K241" s="3023">
        <v>5923146.5499999998</v>
      </c>
      <c r="L241" s="1793"/>
      <c r="M241" s="2311">
        <f t="shared" si="7"/>
        <v>539487.56000000006</v>
      </c>
      <c r="N241" s="1793"/>
      <c r="O241" s="3023">
        <v>6462634.1100000003</v>
      </c>
      <c r="P241" s="1212"/>
    </row>
    <row r="242" spans="2:16" s="965" customFormat="1" ht="15.75">
      <c r="B242" s="2719">
        <v>55252</v>
      </c>
      <c r="C242" s="1202"/>
      <c r="D242" s="1206" t="s">
        <v>869</v>
      </c>
      <c r="E242" s="1204"/>
      <c r="F242" s="1204"/>
      <c r="G242" s="3023">
        <v>7492381.5899999999</v>
      </c>
      <c r="H242" s="1793"/>
      <c r="I242" s="3023">
        <v>10125126.890000001</v>
      </c>
      <c r="J242" s="1793"/>
      <c r="K242" s="3023">
        <v>9469253.2400000002</v>
      </c>
      <c r="L242" s="1793"/>
      <c r="M242" s="2311">
        <f t="shared" si="7"/>
        <v>-2253371.88</v>
      </c>
      <c r="N242" s="1793"/>
      <c r="O242" s="3023">
        <v>7215881.3600000003</v>
      </c>
      <c r="P242" s="1212"/>
    </row>
    <row r="243" spans="2:16" s="965" customFormat="1" ht="15.75">
      <c r="B243" s="2719">
        <v>55300</v>
      </c>
      <c r="C243" s="1202"/>
      <c r="D243" s="1203" t="s">
        <v>870</v>
      </c>
      <c r="E243" s="1204"/>
      <c r="F243" s="1204"/>
      <c r="G243" s="3023">
        <v>11792002.76</v>
      </c>
      <c r="H243" s="1793"/>
      <c r="I243" s="3023">
        <v>13970775.140000001</v>
      </c>
      <c r="J243" s="1793"/>
      <c r="K243" s="3023">
        <v>14224295.460000001</v>
      </c>
      <c r="L243" s="1793"/>
      <c r="M243" s="2311">
        <f t="shared" si="7"/>
        <v>522204.74</v>
      </c>
      <c r="N243" s="1793"/>
      <c r="O243" s="3023">
        <v>14746500.199999999</v>
      </c>
      <c r="P243" s="1212"/>
    </row>
    <row r="244" spans="2:16" s="965" customFormat="1" ht="15.75">
      <c r="B244" s="2719">
        <v>55301</v>
      </c>
      <c r="C244" s="1202"/>
      <c r="D244" s="1203" t="s">
        <v>871</v>
      </c>
      <c r="E244" s="1204"/>
      <c r="F244" s="1204"/>
      <c r="G244" s="3023">
        <v>8124053.0800000001</v>
      </c>
      <c r="H244" s="1793"/>
      <c r="I244" s="3023">
        <v>8551420.1400000006</v>
      </c>
      <c r="J244" s="1793"/>
      <c r="K244" s="3023">
        <v>8685869.3499999996</v>
      </c>
      <c r="L244" s="1793"/>
      <c r="M244" s="2311">
        <f t="shared" si="7"/>
        <v>134388.76</v>
      </c>
      <c r="N244" s="1793"/>
      <c r="O244" s="3023">
        <v>8820258.1099999994</v>
      </c>
      <c r="P244" s="1212"/>
    </row>
    <row r="245" spans="2:16" s="965" customFormat="1" ht="15.75">
      <c r="B245" s="2719">
        <v>55350</v>
      </c>
      <c r="C245" s="1589"/>
      <c r="D245" s="1203" t="s">
        <v>872</v>
      </c>
      <c r="E245" s="1279"/>
      <c r="F245" s="1279"/>
      <c r="G245" s="3023">
        <v>28133147.829999998</v>
      </c>
      <c r="H245" s="1793"/>
      <c r="I245" s="3023">
        <v>29543066.129999999</v>
      </c>
      <c r="J245" s="1793"/>
      <c r="K245" s="3023">
        <v>30239197.25</v>
      </c>
      <c r="L245" s="1793"/>
      <c r="M245" s="2311">
        <f t="shared" si="7"/>
        <v>-200171.35</v>
      </c>
      <c r="N245" s="1793"/>
      <c r="O245" s="3023">
        <v>30039025.899999999</v>
      </c>
      <c r="P245" s="1212"/>
    </row>
    <row r="246" spans="2:16" s="965" customFormat="1" ht="16.5" thickBot="1">
      <c r="B246" s="1610"/>
      <c r="C246" s="1277"/>
      <c r="D246" s="3160" t="s">
        <v>873</v>
      </c>
      <c r="E246" s="1274"/>
      <c r="F246" s="1274"/>
      <c r="G246" s="2313">
        <f>ROUND(SUM(G204:G245),2)</f>
        <v>249600189.59</v>
      </c>
      <c r="H246" s="1631"/>
      <c r="I246" s="2313">
        <f>ROUND(SUM(I204:I245),2)</f>
        <v>263697796.62</v>
      </c>
      <c r="J246" s="1631"/>
      <c r="K246" s="2313">
        <f>ROUND(SUM(K204:K245),2)</f>
        <v>282653839.23000002</v>
      </c>
      <c r="L246" s="1631"/>
      <c r="M246" s="2313">
        <f>ROUND(SUM(M204:M245),2)</f>
        <v>2224352.7799999998</v>
      </c>
      <c r="N246" s="1631"/>
      <c r="O246" s="2313">
        <f>ROUND(SUM(O204:O245),2)</f>
        <v>284878192.00999999</v>
      </c>
      <c r="P246" s="1212"/>
    </row>
    <row r="247" spans="2:16" s="965" customFormat="1" ht="16.5" thickTop="1">
      <c r="B247" s="1598"/>
      <c r="C247" s="1589"/>
      <c r="D247" s="1611"/>
      <c r="E247" s="1279"/>
      <c r="F247" s="1279"/>
      <c r="G247" s="1793"/>
      <c r="H247" s="1527"/>
      <c r="I247" s="1793"/>
      <c r="J247" s="1527"/>
      <c r="K247" s="1793"/>
      <c r="L247" s="1585"/>
      <c r="M247" s="2311"/>
      <c r="N247" s="1527"/>
      <c r="O247" s="1793"/>
      <c r="P247" s="1212"/>
    </row>
    <row r="248" spans="2:16" s="965" customFormat="1" ht="16.5" thickBot="1">
      <c r="B248" s="1598"/>
      <c r="C248" s="1589"/>
      <c r="D248" s="1611"/>
      <c r="E248" s="1279"/>
      <c r="F248" s="1279"/>
      <c r="G248" s="1793"/>
      <c r="H248" s="1527"/>
      <c r="I248" s="1793"/>
      <c r="J248" s="1527"/>
      <c r="K248" s="1793"/>
      <c r="L248" s="1585"/>
      <c r="M248" s="2311"/>
      <c r="N248" s="1527"/>
      <c r="O248" s="1793"/>
      <c r="P248" s="1212"/>
    </row>
    <row r="249" spans="2:16" s="965" customFormat="1" ht="16.5" thickBot="1">
      <c r="B249" s="1610"/>
      <c r="C249" s="1612"/>
      <c r="D249" s="1213" t="s">
        <v>874</v>
      </c>
      <c r="E249" s="1274"/>
      <c r="F249" s="1613"/>
      <c r="G249" s="2724">
        <f>ROUND(SUM(G11+G98+G178+G191+G196+G201+G246),2)</f>
        <v>4048997366.8099999</v>
      </c>
      <c r="H249" s="2725"/>
      <c r="I249" s="2724">
        <f>ROUND(SUM(I11+I98+I178+I191+I196+I201+I246),2)</f>
        <v>4607623272.7399998</v>
      </c>
      <c r="J249" s="2725"/>
      <c r="K249" s="2724">
        <f>ROUND(SUM(K11+K98+K178+K191+K196+K201+K246),2)</f>
        <v>4342911926.7799997</v>
      </c>
      <c r="L249" s="2725"/>
      <c r="M249" s="2724">
        <f>ROUND(SUM(M11+M98+M178+M191+M196+M201+M246),2)</f>
        <v>-10866776.949999999</v>
      </c>
      <c r="N249" s="2725"/>
      <c r="O249" s="2724">
        <f>ROUND(SUM(O11+O98+O178+O191+O196+O201+O246),2)</f>
        <v>4332045149.8299999</v>
      </c>
      <c r="P249" s="1212"/>
    </row>
    <row r="250" spans="2:16" s="965" customFormat="1" ht="15.75">
      <c r="B250" s="1598"/>
      <c r="C250" s="1589"/>
      <c r="D250" s="1611"/>
      <c r="E250" s="1279"/>
      <c r="F250" s="1279"/>
      <c r="G250" s="2312"/>
      <c r="H250" s="2312"/>
      <c r="I250" s="2312"/>
      <c r="J250" s="1589"/>
      <c r="K250" s="2315"/>
      <c r="L250" s="1594"/>
      <c r="M250" s="2315"/>
      <c r="N250" s="1589"/>
      <c r="O250" s="2315"/>
      <c r="P250" s="1212"/>
    </row>
    <row r="251" spans="2:16" s="965" customFormat="1" ht="15.75">
      <c r="B251" s="2947" t="s">
        <v>961</v>
      </c>
      <c r="C251" s="2948" t="s">
        <v>1425</v>
      </c>
      <c r="D251" s="1739"/>
      <c r="E251" s="1624"/>
      <c r="F251" s="1624"/>
      <c r="G251" s="2316"/>
      <c r="H251" s="2316"/>
      <c r="I251" s="2316"/>
      <c r="J251" s="1278"/>
      <c r="K251" s="2316"/>
      <c r="L251" s="1278"/>
      <c r="M251" s="2316"/>
      <c r="N251" s="1278"/>
      <c r="O251" s="2316"/>
      <c r="P251" s="1212"/>
    </row>
    <row r="252" spans="2:16" s="965" customFormat="1" ht="15.75">
      <c r="B252" s="1614"/>
      <c r="C252" s="1293" t="s">
        <v>875</v>
      </c>
      <c r="D252" s="1737"/>
      <c r="E252" s="1293"/>
      <c r="F252" s="1293"/>
      <c r="G252" s="2316"/>
      <c r="H252" s="2316"/>
      <c r="I252" s="2316"/>
      <c r="J252" s="1278"/>
      <c r="K252" s="2316"/>
      <c r="L252" s="1278"/>
      <c r="M252" s="2316"/>
      <c r="N252" s="1278"/>
      <c r="O252" s="2316"/>
      <c r="P252" s="1212"/>
    </row>
    <row r="253" spans="2:16" s="965" customFormat="1" ht="15.75">
      <c r="B253" s="1614"/>
      <c r="C253" s="1293" t="s">
        <v>876</v>
      </c>
      <c r="D253" s="1736"/>
      <c r="E253" s="1293"/>
      <c r="F253" s="1293"/>
      <c r="G253" s="2317"/>
      <c r="H253" s="2317"/>
      <c r="I253" s="2317"/>
      <c r="J253" s="1283"/>
      <c r="K253" s="2317"/>
      <c r="L253" s="1283"/>
      <c r="M253" s="2317"/>
      <c r="N253" s="1283"/>
      <c r="O253" s="2317"/>
      <c r="P253" s="1212"/>
    </row>
    <row r="254" spans="2:16" s="965" customFormat="1" ht="15.75">
      <c r="B254" s="1614"/>
      <c r="C254" s="1293" t="s">
        <v>877</v>
      </c>
      <c r="D254" s="1736"/>
      <c r="E254" s="1293"/>
      <c r="F254" s="1293"/>
      <c r="G254" s="2317"/>
      <c r="H254" s="2317"/>
      <c r="I254" s="2317"/>
      <c r="J254" s="1283"/>
      <c r="K254" s="2317"/>
      <c r="L254" s="1283"/>
      <c r="M254" s="2317"/>
      <c r="N254" s="1283"/>
      <c r="O254" s="2317"/>
      <c r="P254" s="1212"/>
    </row>
    <row r="255" spans="2:16" s="965" customFormat="1" ht="15.75">
      <c r="B255" s="1614"/>
      <c r="C255" s="1293" t="s">
        <v>878</v>
      </c>
      <c r="D255" s="1736"/>
      <c r="E255" s="1293"/>
      <c r="F255" s="1293"/>
      <c r="G255" s="2318"/>
      <c r="H255" s="2318"/>
      <c r="I255" s="2318"/>
      <c r="J255" s="1615"/>
      <c r="K255" s="2318"/>
      <c r="L255" s="1615"/>
      <c r="M255" s="2318"/>
      <c r="N255" s="1615"/>
      <c r="O255" s="2318"/>
      <c r="P255" s="1212"/>
    </row>
    <row r="256" spans="2:16" s="965" customFormat="1" ht="15.75">
      <c r="B256" s="1214"/>
      <c r="C256" s="1293" t="s">
        <v>1424</v>
      </c>
      <c r="D256" s="1736"/>
      <c r="E256" s="1293"/>
      <c r="F256" s="1293"/>
      <c r="G256" s="2318"/>
      <c r="H256" s="2318"/>
      <c r="I256" s="2318"/>
      <c r="J256" s="1615"/>
      <c r="K256" s="2318"/>
      <c r="L256" s="1615"/>
      <c r="M256" s="2318"/>
      <c r="N256" s="1615"/>
      <c r="O256" s="2318"/>
      <c r="P256" s="1284"/>
    </row>
    <row r="257" spans="2:16" s="965" customFormat="1" ht="15.75">
      <c r="B257" s="1214"/>
      <c r="C257" s="1292" t="s">
        <v>962</v>
      </c>
      <c r="D257" s="1738"/>
      <c r="E257" s="1292"/>
      <c r="F257" s="1292"/>
      <c r="G257" s="2318"/>
      <c r="H257" s="2318"/>
      <c r="I257" s="2318"/>
      <c r="J257" s="1615"/>
      <c r="K257" s="2318"/>
      <c r="L257" s="1615"/>
      <c r="M257" s="2318"/>
      <c r="N257" s="1615"/>
      <c r="O257" s="2318"/>
      <c r="P257" s="1212"/>
    </row>
    <row r="258" spans="2:16" s="965" customFormat="1" ht="15.75">
      <c r="B258" s="1616" t="s">
        <v>117</v>
      </c>
      <c r="C258" s="1624" t="s">
        <v>1389</v>
      </c>
      <c r="D258" s="1739"/>
      <c r="E258" s="1292"/>
      <c r="F258" s="1292"/>
      <c r="G258" s="1620"/>
      <c r="H258" s="1620"/>
      <c r="I258" s="1620"/>
      <c r="J258" s="1623"/>
      <c r="K258" s="1620"/>
      <c r="L258" s="1621"/>
      <c r="M258" s="1622"/>
      <c r="N258" s="1623"/>
      <c r="O258" s="1620"/>
      <c r="P258" s="1279"/>
    </row>
    <row r="259" spans="2:16" s="965" customFormat="1" ht="15.75">
      <c r="B259" s="1629"/>
      <c r="C259" s="1620" t="s">
        <v>1390</v>
      </c>
      <c r="D259" s="1170"/>
      <c r="E259" s="1292"/>
      <c r="F259" s="1292"/>
      <c r="G259" s="1620"/>
      <c r="H259" s="1620"/>
      <c r="I259" s="1620"/>
      <c r="J259" s="1623"/>
      <c r="K259" s="1620"/>
      <c r="L259" s="1621"/>
      <c r="M259" s="1622"/>
      <c r="N259" s="1623"/>
      <c r="O259" s="1620"/>
      <c r="P259" s="1276"/>
    </row>
    <row r="260" spans="2:16" s="965" customFormat="1" ht="15.75">
      <c r="B260" s="1630" t="s">
        <v>960</v>
      </c>
      <c r="C260" s="1214" t="s">
        <v>1094</v>
      </c>
      <c r="D260" s="1170"/>
      <c r="E260" s="1625"/>
      <c r="F260" s="1626"/>
      <c r="G260" s="1617"/>
      <c r="H260" s="1617"/>
      <c r="I260" s="1617"/>
      <c r="J260" s="1628"/>
      <c r="K260" s="1617"/>
      <c r="L260" s="1627"/>
      <c r="M260" s="1618"/>
      <c r="N260" s="1628"/>
      <c r="O260" s="1617"/>
      <c r="P260" s="1275"/>
    </row>
    <row r="261" spans="2:16" s="965" customFormat="1" ht="15.75">
      <c r="B261" s="1630"/>
      <c r="C261" s="1214"/>
      <c r="D261" s="2952"/>
      <c r="E261" s="2953"/>
      <c r="F261" s="2953"/>
      <c r="G261" s="2954"/>
      <c r="H261" s="2954"/>
      <c r="I261" s="2954"/>
      <c r="J261" s="2954"/>
      <c r="K261" s="2954"/>
      <c r="L261" s="2954"/>
      <c r="M261" s="2954"/>
      <c r="N261" s="2954"/>
      <c r="O261" s="2954"/>
      <c r="P261" s="1292"/>
    </row>
    <row r="262" spans="2:16" s="965" customFormat="1" ht="15.75">
      <c r="E262" s="1625"/>
      <c r="F262" s="1625"/>
      <c r="G262" s="1620"/>
      <c r="H262" s="1620"/>
      <c r="I262" s="1620"/>
      <c r="J262" s="1283"/>
      <c r="K262" s="1619"/>
      <c r="L262" s="1621"/>
      <c r="M262" s="1276"/>
      <c r="N262" s="1283"/>
      <c r="O262" s="1619"/>
      <c r="P262" s="1292"/>
    </row>
    <row r="263" spans="2:16" s="965" customFormat="1" ht="15.75">
      <c r="B263" s="1295"/>
      <c r="C263" s="1215"/>
      <c r="D263" s="1363"/>
      <c r="E263" s="1293"/>
      <c r="F263" s="1293"/>
      <c r="G263" s="1363"/>
      <c r="H263" s="1363"/>
      <c r="I263" s="1363"/>
      <c r="J263" s="1363"/>
      <c r="K263" s="1363"/>
      <c r="L263" s="1363"/>
      <c r="M263" s="1363"/>
      <c r="N263" s="1363"/>
      <c r="O263" s="1363"/>
      <c r="P263" s="1292"/>
    </row>
    <row r="264" spans="2:16" s="965" customFormat="1" ht="15.75">
      <c r="C264" s="1215"/>
      <c r="D264" s="1276"/>
      <c r="E264" s="1291"/>
      <c r="F264" s="1291"/>
      <c r="G264" s="1276"/>
      <c r="H264" s="1276"/>
      <c r="I264" s="1276"/>
      <c r="J264" s="1283"/>
      <c r="K264" s="1276"/>
      <c r="L264" s="1283"/>
      <c r="M264" s="1276"/>
      <c r="N264" s="1283"/>
      <c r="O264" s="1276"/>
      <c r="P264" s="1292"/>
    </row>
    <row r="265" spans="2:16" s="965" customFormat="1" ht="15.75">
      <c r="C265" s="1215"/>
      <c r="D265" s="1276"/>
      <c r="E265" s="1293"/>
      <c r="F265" s="1293"/>
      <c r="G265" s="1216"/>
      <c r="H265" s="1216"/>
      <c r="I265" s="1216"/>
      <c r="J265" s="1283"/>
      <c r="K265" s="1276"/>
      <c r="L265" s="1216"/>
      <c r="M265" s="1276"/>
      <c r="N265" s="1283"/>
      <c r="O265" s="1276"/>
      <c r="P265" s="1292"/>
    </row>
    <row r="266" spans="2:16" s="965" customFormat="1" ht="15.75">
      <c r="B266" s="1215"/>
      <c r="C266" s="1215"/>
      <c r="D266" s="1276"/>
      <c r="E266" s="1293"/>
      <c r="F266" s="1293"/>
      <c r="G266" s="1216"/>
      <c r="H266" s="1216"/>
      <c r="I266" s="1216"/>
      <c r="J266" s="1283"/>
      <c r="K266" s="1276"/>
      <c r="L266" s="1216"/>
      <c r="M266" s="1276"/>
      <c r="N266" s="1283"/>
      <c r="O266" s="1276"/>
      <c r="P266" s="1292"/>
    </row>
    <row r="267" spans="2:16" s="965" customFormat="1" ht="15.75">
      <c r="B267" s="1215"/>
      <c r="C267" s="1215"/>
      <c r="D267" s="1276"/>
      <c r="E267" s="1293"/>
      <c r="F267" s="1293"/>
      <c r="G267" s="1216"/>
      <c r="H267" s="1216"/>
      <c r="I267" s="1216"/>
      <c r="J267" s="1283"/>
      <c r="K267" s="1276"/>
      <c r="L267" s="1216"/>
      <c r="M267" s="1276"/>
      <c r="N267" s="1283"/>
      <c r="O267" s="1276"/>
      <c r="P267" s="1292"/>
    </row>
    <row r="268" spans="2:16" s="965" customFormat="1" ht="15.75">
      <c r="B268" s="1294"/>
      <c r="C268" s="1292"/>
      <c r="D268" s="1276"/>
      <c r="E268" s="1293"/>
      <c r="F268" s="1293"/>
      <c r="G268" s="1292"/>
      <c r="H268" s="1292"/>
      <c r="I268" s="1292"/>
      <c r="J268" s="1283"/>
      <c r="K268" s="1276"/>
      <c r="L268" s="1283"/>
      <c r="M268" s="1276"/>
      <c r="N268" s="1283"/>
      <c r="O268" s="1276"/>
      <c r="P268" s="1295"/>
    </row>
    <row r="269" spans="2:16" s="965" customFormat="1" ht="15.75">
      <c r="B269" s="1217"/>
      <c r="C269" s="1292"/>
      <c r="D269" s="1276"/>
      <c r="E269" s="1293"/>
      <c r="F269" s="1293"/>
      <c r="G269" s="1292"/>
      <c r="H269" s="1292"/>
      <c r="I269" s="1292"/>
      <c r="J269" s="1283"/>
      <c r="K269" s="1276"/>
      <c r="L269" s="1283"/>
      <c r="M269" s="1276"/>
      <c r="N269" s="1283"/>
      <c r="O269" s="1276"/>
      <c r="P269" s="1295"/>
    </row>
    <row r="270" spans="2:16" s="965" customFormat="1" ht="15.75">
      <c r="B270" s="1217"/>
      <c r="C270" s="1292"/>
      <c r="D270" s="1276"/>
      <c r="E270" s="1293"/>
      <c r="F270" s="1293"/>
      <c r="G270" s="1292"/>
      <c r="H270" s="1292"/>
      <c r="I270" s="1292"/>
      <c r="J270" s="1278"/>
      <c r="K270" s="1170"/>
      <c r="L270" s="1283"/>
      <c r="M270" s="1170"/>
      <c r="N270" s="1278"/>
      <c r="O270" s="1170"/>
      <c r="P270" s="1295"/>
    </row>
    <row r="271" spans="2:16" s="965" customFormat="1" ht="15.75">
      <c r="B271" s="1295"/>
      <c r="C271" s="1292"/>
      <c r="D271" s="1276"/>
      <c r="E271"/>
      <c r="F271" s="1296"/>
      <c r="G271" s="1292"/>
      <c r="H271" s="1292"/>
      <c r="I271" s="1292"/>
      <c r="J271" s="1278"/>
      <c r="K271" s="1170"/>
      <c r="L271" s="1278"/>
      <c r="M271" s="1170"/>
      <c r="N271" s="1278"/>
      <c r="O271" s="1170"/>
      <c r="P271" s="1295"/>
    </row>
    <row r="272" spans="2:16" s="965" customFormat="1" ht="15.75">
      <c r="B272" s="1295"/>
      <c r="C272" s="1292"/>
      <c r="D272" s="1276"/>
      <c r="E272"/>
      <c r="F272" s="1296"/>
      <c r="G272" s="1292"/>
      <c r="H272" s="1292"/>
      <c r="I272" s="1292"/>
      <c r="J272" s="1297"/>
      <c r="K272" s="1218"/>
      <c r="L272" s="1278"/>
      <c r="M272" s="1218"/>
      <c r="N272" s="1297"/>
      <c r="O272" s="1218"/>
      <c r="P272" s="1295"/>
    </row>
    <row r="273" spans="2:16" ht="15.75">
      <c r="B273" s="1295"/>
      <c r="C273" s="1292"/>
      <c r="D273" s="1276"/>
      <c r="E273"/>
      <c r="F273" s="1296"/>
      <c r="G273" s="1292"/>
      <c r="H273" s="1292"/>
      <c r="I273" s="1292"/>
      <c r="J273" s="1278"/>
      <c r="K273" s="1170"/>
      <c r="L273" s="1278"/>
      <c r="M273" s="1170"/>
      <c r="N273" s="1278"/>
      <c r="O273" s="1170"/>
      <c r="P273" s="1295"/>
    </row>
    <row r="279" spans="2:16" ht="15.75">
      <c r="C279" s="2306"/>
      <c r="D279" s="1792"/>
      <c r="E279" s="2306"/>
      <c r="F279" s="2307"/>
      <c r="G279" s="2320"/>
      <c r="H279" s="2320"/>
      <c r="I279" s="2320"/>
      <c r="L279" s="2321"/>
    </row>
    <row r="280" spans="2:16" ht="15.75">
      <c r="C280" s="2306"/>
      <c r="D280" s="1792"/>
      <c r="E280" s="2306"/>
      <c r="F280" s="2307"/>
      <c r="G280" s="2320"/>
      <c r="H280" s="2320"/>
      <c r="I280" s="2320"/>
      <c r="L280" s="2321"/>
    </row>
    <row r="281" spans="2:16" ht="15.75">
      <c r="C281" s="2306"/>
      <c r="D281" s="1792"/>
      <c r="E281" s="2306"/>
      <c r="F281" s="2307"/>
      <c r="G281" s="2320"/>
      <c r="H281" s="2320"/>
      <c r="I281" s="2320"/>
      <c r="L281" s="2321"/>
    </row>
    <row r="282" spans="2:16" ht="15.75">
      <c r="C282" s="2306"/>
      <c r="D282" s="1792"/>
      <c r="E282" s="2306"/>
      <c r="F282" s="2307"/>
      <c r="G282" s="2320"/>
      <c r="H282" s="2320"/>
      <c r="I282" s="2320"/>
      <c r="L282" s="2321"/>
    </row>
    <row r="283" spans="2:16" ht="15.75">
      <c r="C283" s="2306"/>
      <c r="D283" s="1792"/>
      <c r="E283" s="2306"/>
      <c r="F283" s="2307"/>
      <c r="G283" s="2320"/>
      <c r="H283" s="2320"/>
      <c r="I283" s="2320"/>
      <c r="L283" s="2321"/>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4" firstPageNumber="54" fitToHeight="4" orientation="landscape" useFirstPageNumber="1" r:id="rId2"/>
  <headerFooter scaleWithDoc="0" alignWithMargins="0">
    <oddFooter>&amp;C&amp;8&amp;P</oddFooter>
  </headerFooter>
  <rowBreaks count="3" manualBreakCount="3">
    <brk id="83" max="16383" man="1"/>
    <brk id="154" max="16383" man="1"/>
    <brk id="218" max="16383" man="1"/>
  </rowBreaks>
  <ignoredErrors>
    <ignoredError sqref="L11 N11 N194 N195 L196 N196 N199 L201 N201 L246 N246 L249 N249 L12:N13 L99:N100 L179:N180 L192:N193 L198:N198 L194 L195 L202:N203 L199 L247:N248 L197 N197"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89"/>
  <sheetViews>
    <sheetView showGridLines="0" zoomScale="70" workbookViewId="0"/>
  </sheetViews>
  <sheetFormatPr defaultColWidth="8.88671875" defaultRowHeight="12.75"/>
  <cols>
    <col min="1" max="1" width="54.77734375" style="928" customWidth="1"/>
    <col min="2" max="2" width="13.77734375" style="3058" customWidth="1"/>
    <col min="3" max="3" width="1.77734375" style="3058" customWidth="1"/>
    <col min="4" max="4" width="13.77734375" style="3058" customWidth="1"/>
    <col min="5" max="5" width="1.6640625" style="3057" customWidth="1"/>
    <col min="6" max="6" width="13.77734375" style="3058" customWidth="1"/>
    <col min="7" max="7" width="1.6640625" style="3057" customWidth="1"/>
    <col min="8" max="8" width="13.77734375" style="3058" customWidth="1"/>
    <col min="9" max="9" width="1.6640625" style="3057" customWidth="1"/>
    <col min="10" max="10" width="13.77734375" style="3058" customWidth="1"/>
    <col min="11" max="11" width="1.6640625" style="3058" customWidth="1"/>
    <col min="12" max="12" width="13.77734375" style="3058" customWidth="1"/>
    <col min="13" max="13" width="1.6640625" style="3057" customWidth="1"/>
    <col min="14" max="14" width="13.77734375" style="3058" customWidth="1"/>
    <col min="15" max="15" width="1.6640625" style="3057" customWidth="1"/>
    <col min="16" max="16" width="13.77734375" style="3058" customWidth="1"/>
    <col min="17" max="17" width="1.6640625" style="3057" customWidth="1"/>
    <col min="18" max="18" width="13.77734375" style="3058" customWidth="1"/>
    <col min="19" max="19" width="1.6640625" style="3057" customWidth="1"/>
    <col min="20" max="20" width="13.77734375" style="3058" customWidth="1"/>
    <col min="21" max="21" width="1.6640625" style="3057" customWidth="1"/>
    <col min="22" max="22" width="13.77734375" style="3058" customWidth="1"/>
    <col min="23" max="23" width="1.6640625" style="3057" customWidth="1"/>
    <col min="24" max="24" width="13.77734375" style="3058" customWidth="1"/>
    <col min="25" max="25" width="1.6640625" style="3057" customWidth="1"/>
    <col min="26" max="26" width="18.88671875" style="765" customWidth="1"/>
    <col min="27" max="27" width="1.5546875" style="928" customWidth="1"/>
    <col min="28" max="28" width="18.77734375" style="928" bestFit="1" customWidth="1"/>
    <col min="29" max="29" width="12.6640625" style="928" bestFit="1" customWidth="1"/>
    <col min="30" max="16384" width="8.88671875" style="928"/>
  </cols>
  <sheetData>
    <row r="1" spans="1:40" ht="15">
      <c r="A1" s="1817" t="s">
        <v>1090</v>
      </c>
      <c r="B1" s="2433"/>
      <c r="C1" s="2433"/>
      <c r="D1" s="2433"/>
      <c r="E1" s="2433"/>
      <c r="F1" s="2433"/>
      <c r="G1" s="2433"/>
      <c r="H1" s="2433"/>
      <c r="I1" s="2433"/>
      <c r="J1" s="2433"/>
      <c r="K1" s="2433"/>
      <c r="L1" s="2433"/>
      <c r="M1" s="2433"/>
      <c r="N1" s="2433"/>
      <c r="O1" s="2433"/>
      <c r="P1" s="2433"/>
      <c r="Q1" s="2433"/>
      <c r="R1" s="2433"/>
      <c r="S1" s="2433"/>
      <c r="T1" s="2433"/>
      <c r="U1" s="2433"/>
      <c r="V1" s="2433"/>
      <c r="W1" s="2433"/>
      <c r="X1" s="2433"/>
      <c r="Y1" s="2433"/>
      <c r="Z1" s="2433"/>
      <c r="AA1" s="2433"/>
      <c r="AB1" s="2433"/>
      <c r="AC1" s="2433"/>
      <c r="AD1" s="2433"/>
      <c r="AE1" s="2433"/>
      <c r="AF1" s="2433"/>
      <c r="AG1" s="2433"/>
    </row>
    <row r="2" spans="1:40" ht="15">
      <c r="A2" s="1817"/>
      <c r="B2" s="2433"/>
      <c r="C2" s="2433"/>
      <c r="D2" s="2433"/>
      <c r="E2" s="2433"/>
      <c r="F2" s="2433"/>
      <c r="G2" s="2433"/>
      <c r="H2" s="2433"/>
      <c r="I2" s="2433"/>
      <c r="J2" s="2433"/>
      <c r="K2" s="2433"/>
      <c r="L2" s="2433"/>
      <c r="M2" s="2433"/>
      <c r="N2" s="2433"/>
      <c r="O2" s="2433"/>
      <c r="P2" s="2433"/>
      <c r="Q2" s="2433"/>
      <c r="R2" s="2433"/>
      <c r="S2" s="2433"/>
      <c r="T2" s="2433"/>
      <c r="U2" s="2433"/>
      <c r="V2" s="2433"/>
      <c r="W2" s="2433"/>
      <c r="X2" s="2433"/>
      <c r="Y2" s="2433"/>
      <c r="Z2" s="2433"/>
      <c r="AA2" s="2433"/>
      <c r="AB2" s="2433"/>
      <c r="AC2" s="2433"/>
      <c r="AD2" s="2433"/>
      <c r="AE2" s="2433"/>
      <c r="AF2" s="2433"/>
      <c r="AG2" s="2433"/>
    </row>
    <row r="3" spans="1:40" ht="24" customHeight="1">
      <c r="A3" s="1633" t="s">
        <v>0</v>
      </c>
      <c r="B3" s="925"/>
      <c r="C3" s="925"/>
      <c r="D3" s="926"/>
      <c r="E3" s="927"/>
      <c r="F3" s="926"/>
      <c r="G3" s="927"/>
      <c r="H3" s="926"/>
      <c r="I3" s="927"/>
      <c r="K3" s="925"/>
      <c r="L3" s="764"/>
      <c r="M3" s="925"/>
      <c r="N3" s="926"/>
      <c r="O3" s="927"/>
      <c r="P3" s="926"/>
      <c r="Q3" s="927"/>
      <c r="R3" s="926"/>
      <c r="S3" s="927"/>
      <c r="T3" s="926"/>
      <c r="U3" s="927"/>
      <c r="V3" s="926"/>
      <c r="W3" s="927"/>
      <c r="X3" s="926"/>
      <c r="Y3" s="927"/>
      <c r="Z3" s="1566" t="s">
        <v>656</v>
      </c>
      <c r="AA3" s="925"/>
      <c r="AC3" s="925"/>
      <c r="AE3" s="925"/>
    </row>
    <row r="4" spans="1:40" ht="16.5">
      <c r="A4" s="1633" t="s">
        <v>1382</v>
      </c>
      <c r="B4" s="2434"/>
      <c r="C4" s="2434"/>
      <c r="D4" s="929"/>
      <c r="E4" s="927"/>
      <c r="F4" s="2434"/>
      <c r="G4" s="927"/>
      <c r="H4" s="2434"/>
      <c r="I4" s="927"/>
      <c r="J4" s="2434"/>
      <c r="K4" s="2434"/>
      <c r="L4" s="2434"/>
      <c r="M4" s="930"/>
      <c r="N4" s="2434"/>
      <c r="O4" s="927"/>
      <c r="P4" s="2434"/>
      <c r="Q4" s="927"/>
      <c r="R4" s="2434"/>
      <c r="S4" s="927"/>
      <c r="T4" s="2434"/>
      <c r="U4" s="927"/>
      <c r="V4" s="2434"/>
      <c r="W4" s="927"/>
      <c r="X4" s="2434"/>
      <c r="Y4" s="927"/>
      <c r="Z4" s="2435"/>
      <c r="AA4" s="931"/>
      <c r="AC4" s="925"/>
    </row>
    <row r="5" spans="1:40" ht="16.5">
      <c r="A5" s="1634" t="s">
        <v>1305</v>
      </c>
      <c r="B5" s="2434"/>
      <c r="C5" s="2434"/>
      <c r="D5" s="2434"/>
      <c r="E5" s="927"/>
      <c r="F5" s="2434"/>
      <c r="G5" s="927"/>
      <c r="H5" s="2434"/>
      <c r="I5" s="927"/>
      <c r="J5" s="2434"/>
      <c r="K5" s="2434"/>
      <c r="L5" s="2434"/>
      <c r="M5" s="930"/>
      <c r="N5" s="2434"/>
      <c r="O5" s="927"/>
      <c r="P5" s="2434"/>
      <c r="Q5" s="927"/>
      <c r="R5" s="2434"/>
      <c r="S5" s="927"/>
      <c r="T5" s="2434"/>
      <c r="U5" s="927"/>
      <c r="V5" s="2434"/>
      <c r="W5" s="927"/>
      <c r="X5" s="2434"/>
      <c r="Y5" s="927"/>
      <c r="Z5" s="2435"/>
    </row>
    <row r="6" spans="1:40" ht="18" customHeight="1">
      <c r="A6" s="932" t="s">
        <v>1410</v>
      </c>
      <c r="B6" s="2434"/>
      <c r="C6" s="2434"/>
      <c r="D6" s="934"/>
      <c r="E6" s="927"/>
      <c r="F6" s="2434"/>
      <c r="G6" s="927"/>
      <c r="H6" s="2434"/>
      <c r="I6" s="927"/>
      <c r="J6" s="2434"/>
      <c r="K6" s="2434"/>
      <c r="L6" s="2434"/>
      <c r="M6" s="930"/>
      <c r="N6" s="2434"/>
      <c r="O6" s="927"/>
      <c r="P6" s="2434"/>
      <c r="Q6" s="927"/>
      <c r="R6" s="2434"/>
      <c r="S6" s="927"/>
      <c r="T6" s="2434"/>
      <c r="U6" s="927"/>
      <c r="V6" s="2434"/>
      <c r="W6" s="927"/>
      <c r="X6" s="2434"/>
      <c r="Y6" s="927"/>
      <c r="Z6" s="2435"/>
    </row>
    <row r="7" spans="1:40" ht="15" customHeight="1">
      <c r="A7" s="933"/>
      <c r="B7" s="2434"/>
      <c r="C7" s="2434"/>
      <c r="D7" s="2434"/>
      <c r="E7" s="927"/>
      <c r="F7" s="2434"/>
      <c r="G7" s="927"/>
      <c r="H7" s="2434"/>
      <c r="I7" s="927"/>
      <c r="J7" s="2434"/>
      <c r="K7" s="2434"/>
      <c r="L7" s="2434"/>
      <c r="M7" s="930"/>
      <c r="N7" s="2434"/>
      <c r="O7" s="927"/>
      <c r="P7" s="2434"/>
      <c r="Q7" s="927"/>
      <c r="R7" s="2436"/>
      <c r="S7" s="927"/>
      <c r="T7" s="2436"/>
      <c r="U7" s="927"/>
      <c r="V7" s="2436"/>
      <c r="W7" s="927"/>
      <c r="X7" s="2436"/>
      <c r="Y7" s="927"/>
      <c r="Z7" s="2435"/>
    </row>
    <row r="8" spans="1:40" ht="15.75">
      <c r="A8" s="924"/>
      <c r="B8" s="2434"/>
      <c r="C8" s="2434"/>
      <c r="D8" s="2434"/>
      <c r="E8" s="927"/>
      <c r="F8" s="2434"/>
      <c r="G8" s="927"/>
      <c r="H8" s="2434"/>
      <c r="I8" s="927"/>
      <c r="J8" s="2434"/>
      <c r="K8" s="2434"/>
      <c r="L8" s="2434"/>
      <c r="M8" s="927"/>
      <c r="N8" s="2434"/>
      <c r="O8" s="927"/>
      <c r="P8" s="2434"/>
      <c r="Q8" s="927"/>
      <c r="R8" s="2434"/>
      <c r="S8" s="927"/>
      <c r="T8" s="2434"/>
      <c r="U8" s="927"/>
      <c r="V8" s="2434"/>
      <c r="W8" s="927"/>
      <c r="X8" s="2434"/>
      <c r="Y8" s="927"/>
      <c r="Z8" s="935"/>
      <c r="AA8" s="936"/>
    </row>
    <row r="9" spans="1:40" ht="15" customHeight="1">
      <c r="A9" s="2437"/>
      <c r="B9" s="1776">
        <v>2016</v>
      </c>
      <c r="C9" s="937"/>
      <c r="D9" s="937"/>
      <c r="E9" s="930"/>
      <c r="F9" s="937"/>
      <c r="G9" s="930"/>
      <c r="H9" s="937"/>
      <c r="I9" s="930"/>
      <c r="J9" s="937"/>
      <c r="K9" s="937"/>
      <c r="L9" s="938"/>
      <c r="M9" s="930"/>
      <c r="N9" s="938"/>
      <c r="O9" s="930"/>
      <c r="P9" s="938"/>
      <c r="Q9" s="930"/>
      <c r="R9" s="938"/>
      <c r="S9" s="930"/>
      <c r="T9" s="1776">
        <v>2017</v>
      </c>
      <c r="U9" s="930"/>
      <c r="V9" s="938"/>
      <c r="W9" s="930"/>
      <c r="X9" s="938"/>
      <c r="Y9" s="930"/>
      <c r="Z9" s="939" t="s">
        <v>1584</v>
      </c>
      <c r="AA9" s="939"/>
    </row>
    <row r="10" spans="1:40" ht="15" customHeight="1">
      <c r="A10" s="2437"/>
      <c r="B10" s="940" t="s">
        <v>128</v>
      </c>
      <c r="C10" s="941"/>
      <c r="D10" s="938" t="s">
        <v>129</v>
      </c>
      <c r="E10" s="930"/>
      <c r="F10" s="938" t="s">
        <v>130</v>
      </c>
      <c r="G10" s="930"/>
      <c r="H10" s="938" t="s">
        <v>131</v>
      </c>
      <c r="I10" s="930"/>
      <c r="J10" s="938" t="s">
        <v>132</v>
      </c>
      <c r="K10" s="942"/>
      <c r="L10" s="938" t="s">
        <v>133</v>
      </c>
      <c r="M10" s="930"/>
      <c r="N10" s="938" t="s">
        <v>134</v>
      </c>
      <c r="O10" s="930"/>
      <c r="P10" s="938" t="s">
        <v>135</v>
      </c>
      <c r="Q10" s="930"/>
      <c r="R10" s="938" t="s">
        <v>136</v>
      </c>
      <c r="S10" s="930"/>
      <c r="T10" s="938" t="s">
        <v>153</v>
      </c>
      <c r="U10" s="930"/>
      <c r="V10" s="938" t="s">
        <v>138</v>
      </c>
      <c r="W10" s="930"/>
      <c r="X10" s="938" t="s">
        <v>139</v>
      </c>
      <c r="Y10" s="930"/>
      <c r="Z10" s="943">
        <v>42766</v>
      </c>
      <c r="AA10" s="943"/>
    </row>
    <row r="11" spans="1:40" ht="15" customHeight="1">
      <c r="A11" s="2437"/>
      <c r="B11" s="3070" t="s">
        <v>15</v>
      </c>
      <c r="C11" s="2439"/>
      <c r="D11" s="3070" t="s">
        <v>15</v>
      </c>
      <c r="E11" s="2440"/>
      <c r="F11" s="3070" t="s">
        <v>15</v>
      </c>
      <c r="G11" s="2440"/>
      <c r="H11" s="3070" t="s">
        <v>15</v>
      </c>
      <c r="I11" s="2440"/>
      <c r="J11" s="3070" t="s">
        <v>15</v>
      </c>
      <c r="K11" s="942"/>
      <c r="L11" s="3070" t="s">
        <v>15</v>
      </c>
      <c r="M11" s="2440"/>
      <c r="N11" s="3070" t="s">
        <v>15</v>
      </c>
      <c r="O11" s="2440"/>
      <c r="P11" s="3070" t="s">
        <v>15</v>
      </c>
      <c r="Q11" s="2440"/>
      <c r="R11" s="3070" t="s">
        <v>15</v>
      </c>
      <c r="S11" s="2440"/>
      <c r="T11" s="3070" t="s">
        <v>15</v>
      </c>
      <c r="U11" s="2440"/>
      <c r="V11" s="3070" t="s">
        <v>15</v>
      </c>
      <c r="W11" s="2440"/>
      <c r="X11" s="3070" t="s">
        <v>15</v>
      </c>
      <c r="Y11" s="2440"/>
      <c r="Z11" s="3069"/>
      <c r="AB11" s="944"/>
      <c r="AC11" s="944"/>
      <c r="AD11" s="944"/>
      <c r="AE11" s="944"/>
      <c r="AF11" s="944"/>
      <c r="AG11" s="944"/>
      <c r="AH11" s="944"/>
      <c r="AI11" s="944"/>
      <c r="AJ11" s="944"/>
      <c r="AK11" s="944"/>
      <c r="AL11" s="944"/>
      <c r="AM11" s="944"/>
      <c r="AN11" s="944"/>
    </row>
    <row r="12" spans="1:40" s="949" customFormat="1" ht="15" customHeight="1">
      <c r="A12" s="1635" t="s">
        <v>497</v>
      </c>
      <c r="B12" s="945">
        <v>110333290</v>
      </c>
      <c r="C12" s="946"/>
      <c r="D12" s="945">
        <f>+B40</f>
        <v>102733518</v>
      </c>
      <c r="E12" s="2442"/>
      <c r="F12" s="945">
        <f>+D40</f>
        <v>137375142</v>
      </c>
      <c r="G12" s="2442"/>
      <c r="H12" s="945">
        <f>+F40</f>
        <v>155295707</v>
      </c>
      <c r="I12" s="2442"/>
      <c r="J12" s="945">
        <f>H40</f>
        <v>245594653</v>
      </c>
      <c r="K12" s="947"/>
      <c r="L12" s="945">
        <f>J40</f>
        <v>198471862</v>
      </c>
      <c r="M12" s="948"/>
      <c r="N12" s="945">
        <f>L40</f>
        <v>119583273</v>
      </c>
      <c r="O12" s="945"/>
      <c r="P12" s="945">
        <f>N40</f>
        <v>101830972</v>
      </c>
      <c r="Q12" s="945"/>
      <c r="R12" s="945">
        <f>P40</f>
        <v>107148184</v>
      </c>
      <c r="S12" s="945"/>
      <c r="T12" s="945">
        <f>R40</f>
        <v>79113688</v>
      </c>
      <c r="U12" s="945"/>
      <c r="V12" s="945"/>
      <c r="W12" s="945"/>
      <c r="X12" s="945"/>
      <c r="Y12" s="945"/>
      <c r="Z12" s="945">
        <f>+B12</f>
        <v>110333290</v>
      </c>
    </row>
    <row r="13" spans="1:40" ht="15" customHeight="1">
      <c r="A13" s="2443"/>
      <c r="B13" s="2444"/>
      <c r="C13" s="2445"/>
      <c r="D13" s="2444"/>
      <c r="E13" s="2444"/>
      <c r="F13" s="2444"/>
      <c r="G13" s="2444"/>
      <c r="H13" s="2444"/>
      <c r="I13" s="2444"/>
      <c r="J13" s="2444"/>
      <c r="K13" s="942"/>
      <c r="L13" s="2444"/>
      <c r="M13" s="2444"/>
      <c r="N13" s="2444"/>
      <c r="O13" s="2444"/>
      <c r="P13" s="2444"/>
      <c r="Q13" s="2444"/>
      <c r="R13" s="2444"/>
      <c r="S13" s="2444"/>
      <c r="T13" s="2444"/>
      <c r="U13" s="2444"/>
      <c r="V13" s="2444"/>
      <c r="W13" s="2444"/>
      <c r="X13" s="2444"/>
      <c r="Y13" s="2444"/>
      <c r="Z13" s="2446"/>
    </row>
    <row r="14" spans="1:40" ht="15" customHeight="1">
      <c r="A14" s="950" t="s">
        <v>14</v>
      </c>
      <c r="B14" s="2444"/>
      <c r="C14" s="2445"/>
      <c r="D14" s="2444"/>
      <c r="E14" s="2444"/>
      <c r="F14" s="2444"/>
      <c r="G14" s="2444"/>
      <c r="H14" s="2444"/>
      <c r="I14" s="2444"/>
      <c r="J14" s="2444"/>
      <c r="K14" s="2444"/>
      <c r="L14" s="2444"/>
      <c r="M14" s="2444"/>
      <c r="N14" s="2444"/>
      <c r="O14" s="2444"/>
      <c r="P14" s="2444"/>
      <c r="Q14" s="2444"/>
      <c r="R14" s="2444"/>
      <c r="S14" s="2444"/>
      <c r="T14" s="2444"/>
      <c r="U14" s="2444"/>
      <c r="V14" s="2444"/>
      <c r="W14" s="2444"/>
      <c r="X14" s="2444"/>
      <c r="Y14" s="2444"/>
      <c r="Z14" s="2446"/>
    </row>
    <row r="15" spans="1:40" ht="15" customHeight="1">
      <c r="A15" s="1637" t="s">
        <v>1381</v>
      </c>
      <c r="B15" s="2447">
        <v>40000000</v>
      </c>
      <c r="C15" s="2448"/>
      <c r="D15" s="2447">
        <v>100000000</v>
      </c>
      <c r="E15" s="2447"/>
      <c r="F15" s="2447">
        <v>98550000</v>
      </c>
      <c r="G15" s="2447"/>
      <c r="H15" s="2447">
        <v>125000000</v>
      </c>
      <c r="I15" s="2447"/>
      <c r="J15" s="2447">
        <v>0</v>
      </c>
      <c r="K15" s="2447"/>
      <c r="L15" s="2447">
        <v>0</v>
      </c>
      <c r="M15" s="2444"/>
      <c r="N15" s="2447">
        <v>67170000</v>
      </c>
      <c r="O15" s="2447"/>
      <c r="P15" s="2447">
        <v>60500000</v>
      </c>
      <c r="Q15" s="2447"/>
      <c r="R15" s="2447">
        <v>55500000</v>
      </c>
      <c r="S15" s="2447"/>
      <c r="T15" s="2447">
        <v>76000000</v>
      </c>
      <c r="U15" s="2447"/>
      <c r="V15" s="2447"/>
      <c r="W15" s="2447"/>
      <c r="X15" s="2447"/>
      <c r="Y15" s="2447"/>
      <c r="Z15" s="2449">
        <f>ROUND(SUM(B15:X15),0)</f>
        <v>622720000</v>
      </c>
    </row>
    <row r="16" spans="1:40" s="949" customFormat="1" ht="22.5" customHeight="1">
      <c r="A16" s="950" t="s">
        <v>155</v>
      </c>
      <c r="B16" s="3068">
        <f>ROUND(SUM(B15:B15),0)</f>
        <v>40000000</v>
      </c>
      <c r="C16" s="952"/>
      <c r="D16" s="3068">
        <f>ROUND(SUM(D15:D15),0)</f>
        <v>100000000</v>
      </c>
      <c r="E16" s="953"/>
      <c r="F16" s="3068">
        <f>ROUND(SUM(F15:F15),0)</f>
        <v>98550000</v>
      </c>
      <c r="G16" s="953"/>
      <c r="H16" s="3068">
        <f>ROUND(SUM(H15:H15),0)</f>
        <v>125000000</v>
      </c>
      <c r="I16" s="953"/>
      <c r="J16" s="3068">
        <f>ROUND(SUM(J15:J15),0)</f>
        <v>0</v>
      </c>
      <c r="K16" s="955"/>
      <c r="L16" s="3068">
        <f>ROUND(SUM(L15:L15),0)</f>
        <v>0</v>
      </c>
      <c r="M16" s="948"/>
      <c r="N16" s="3068">
        <f>ROUND(SUM(N15:N15),0)</f>
        <v>67170000</v>
      </c>
      <c r="O16" s="953"/>
      <c r="P16" s="3068">
        <f>ROUND(SUM(P15:P15),0)</f>
        <v>60500000</v>
      </c>
      <c r="Q16" s="953"/>
      <c r="R16" s="3068">
        <f>ROUND(SUM(R15:R15),0)</f>
        <v>55500000</v>
      </c>
      <c r="S16" s="953"/>
      <c r="T16" s="3068">
        <f>ROUND(SUM(T15:T15),0)</f>
        <v>76000000</v>
      </c>
      <c r="U16" s="953"/>
      <c r="V16" s="3068">
        <f>ROUND(SUM(V15:V15),0)</f>
        <v>0</v>
      </c>
      <c r="W16" s="953"/>
      <c r="X16" s="3068">
        <f>ROUND(SUM(X15:X15),0)</f>
        <v>0</v>
      </c>
      <c r="Y16" s="953"/>
      <c r="Z16" s="3068">
        <f>ROUND(SUM(Z15:Z15),0)</f>
        <v>622720000</v>
      </c>
      <c r="AB16" s="766"/>
    </row>
    <row r="17" spans="1:26" ht="15" customHeight="1">
      <c r="A17" s="2443"/>
      <c r="B17" s="2447"/>
      <c r="C17" s="2448"/>
      <c r="D17" s="2447"/>
      <c r="E17" s="2447"/>
      <c r="F17" s="2447"/>
      <c r="G17" s="2447"/>
      <c r="H17" s="2447"/>
      <c r="I17" s="2447"/>
      <c r="J17" s="2447"/>
      <c r="K17" s="2447"/>
      <c r="L17" s="2447"/>
      <c r="M17" s="2444"/>
      <c r="N17" s="2447"/>
      <c r="O17" s="2447"/>
      <c r="P17" s="2447"/>
      <c r="Q17" s="2447"/>
      <c r="R17" s="2447"/>
      <c r="S17" s="2447"/>
      <c r="T17" s="2447"/>
      <c r="U17" s="2447"/>
      <c r="V17" s="2447"/>
      <c r="W17" s="2447"/>
      <c r="X17" s="2447"/>
      <c r="Y17" s="2447"/>
      <c r="Z17" s="2457"/>
    </row>
    <row r="18" spans="1:26" ht="15" customHeight="1">
      <c r="A18" s="950" t="s">
        <v>23</v>
      </c>
      <c r="B18" s="2447"/>
      <c r="C18" s="2448"/>
      <c r="D18" s="2447"/>
      <c r="E18" s="2447"/>
      <c r="F18" s="2447"/>
      <c r="G18" s="2447"/>
      <c r="H18" s="2447"/>
      <c r="I18" s="2447"/>
      <c r="J18" s="2447"/>
      <c r="K18" s="2447"/>
      <c r="L18" s="2447"/>
      <c r="M18" s="2444"/>
      <c r="N18" s="2447"/>
      <c r="O18" s="2447"/>
      <c r="P18" s="2447"/>
      <c r="Q18" s="2447"/>
      <c r="R18" s="2447"/>
      <c r="S18" s="2447"/>
      <c r="T18" s="2447"/>
      <c r="U18" s="2447"/>
      <c r="V18" s="2447"/>
      <c r="W18" s="2447"/>
      <c r="X18" s="2447"/>
      <c r="Y18" s="2447"/>
      <c r="Z18" s="2457"/>
    </row>
    <row r="19" spans="1:26" ht="15" customHeight="1">
      <c r="A19" s="1637" t="s">
        <v>1583</v>
      </c>
      <c r="B19" s="2447">
        <v>0</v>
      </c>
      <c r="C19" s="2448"/>
      <c r="D19" s="2447">
        <v>0</v>
      </c>
      <c r="E19" s="2447"/>
      <c r="F19" s="2447">
        <v>0</v>
      </c>
      <c r="G19" s="2447"/>
      <c r="H19" s="2447">
        <v>0</v>
      </c>
      <c r="I19" s="2447"/>
      <c r="J19" s="2447">
        <v>0</v>
      </c>
      <c r="K19" s="2447"/>
      <c r="L19" s="2447">
        <v>0</v>
      </c>
      <c r="M19" s="2444"/>
      <c r="N19" s="2447">
        <v>0</v>
      </c>
      <c r="O19" s="2447"/>
      <c r="P19" s="2447">
        <v>0</v>
      </c>
      <c r="Q19" s="2447"/>
      <c r="R19" s="2447">
        <v>0</v>
      </c>
      <c r="S19" s="2447"/>
      <c r="T19" s="2447">
        <v>14156000</v>
      </c>
      <c r="U19" s="2447"/>
      <c r="V19" s="2447"/>
      <c r="W19" s="2447"/>
      <c r="X19" s="2447"/>
      <c r="Y19" s="2447"/>
      <c r="Z19" s="2449">
        <f t="shared" ref="Z19:Z31" si="0">ROUND(SUM(B19:X19),0)</f>
        <v>14156000</v>
      </c>
    </row>
    <row r="20" spans="1:26" ht="15" customHeight="1">
      <c r="A20" s="1637" t="s">
        <v>1380</v>
      </c>
      <c r="B20" s="2458">
        <v>0</v>
      </c>
      <c r="C20" s="2459"/>
      <c r="D20" s="2447">
        <v>0</v>
      </c>
      <c r="E20" s="2458"/>
      <c r="F20" s="2458">
        <v>0</v>
      </c>
      <c r="G20" s="2458"/>
      <c r="H20" s="2458">
        <v>0</v>
      </c>
      <c r="I20" s="2458"/>
      <c r="J20" s="2458">
        <v>0</v>
      </c>
      <c r="K20" s="2458"/>
      <c r="L20" s="2458">
        <v>0</v>
      </c>
      <c r="M20" s="2460"/>
      <c r="N20" s="2458">
        <v>0</v>
      </c>
      <c r="O20" s="2458"/>
      <c r="P20" s="2458">
        <v>0</v>
      </c>
      <c r="Q20" s="2458"/>
      <c r="R20" s="2458">
        <v>0</v>
      </c>
      <c r="S20" s="2458"/>
      <c r="T20" s="2458">
        <v>0</v>
      </c>
      <c r="U20" s="2458"/>
      <c r="V20" s="2458"/>
      <c r="W20" s="2458"/>
      <c r="X20" s="2458"/>
      <c r="Y20" s="2458"/>
      <c r="Z20" s="2449">
        <f t="shared" si="0"/>
        <v>0</v>
      </c>
    </row>
    <row r="21" spans="1:26" ht="15" customHeight="1">
      <c r="A21" s="1637" t="s">
        <v>1393</v>
      </c>
      <c r="B21" s="2458">
        <v>0</v>
      </c>
      <c r="C21" s="2459"/>
      <c r="D21" s="2447">
        <v>0</v>
      </c>
      <c r="E21" s="2458"/>
      <c r="F21" s="2458">
        <v>0</v>
      </c>
      <c r="G21" s="2458"/>
      <c r="H21" s="2458">
        <v>0</v>
      </c>
      <c r="I21" s="2458"/>
      <c r="J21" s="2458">
        <v>0</v>
      </c>
      <c r="K21" s="2458"/>
      <c r="L21" s="2458">
        <v>0</v>
      </c>
      <c r="M21" s="2460"/>
      <c r="N21" s="2458">
        <v>57793164</v>
      </c>
      <c r="O21" s="2458"/>
      <c r="P21" s="2458">
        <v>24985730</v>
      </c>
      <c r="Q21" s="2458"/>
      <c r="R21" s="2458">
        <v>20897928</v>
      </c>
      <c r="S21" s="2458"/>
      <c r="T21" s="2458">
        <v>20487557</v>
      </c>
      <c r="U21" s="2458"/>
      <c r="V21" s="2458"/>
      <c r="W21" s="2458"/>
      <c r="X21" s="2458"/>
      <c r="Y21" s="2458"/>
      <c r="Z21" s="2449">
        <f t="shared" si="0"/>
        <v>124164379</v>
      </c>
    </row>
    <row r="22" spans="1:26" ht="15" customHeight="1">
      <c r="A22" s="1637" t="s">
        <v>1465</v>
      </c>
      <c r="B22" s="2458">
        <v>0</v>
      </c>
      <c r="C22" s="2459"/>
      <c r="D22" s="2447">
        <v>1395</v>
      </c>
      <c r="E22" s="2458"/>
      <c r="F22" s="2458">
        <v>14305</v>
      </c>
      <c r="G22" s="2458"/>
      <c r="H22" s="2458">
        <v>12360</v>
      </c>
      <c r="I22" s="2458"/>
      <c r="J22" s="2458">
        <v>22780</v>
      </c>
      <c r="K22" s="2458"/>
      <c r="L22" s="2458">
        <v>14454</v>
      </c>
      <c r="M22" s="2460"/>
      <c r="N22" s="2458">
        <v>9743</v>
      </c>
      <c r="O22" s="2458"/>
      <c r="P22" s="2458">
        <v>17825</v>
      </c>
      <c r="Q22" s="2458"/>
      <c r="R22" s="2458">
        <v>22200</v>
      </c>
      <c r="S22" s="2458"/>
      <c r="T22" s="2458">
        <v>41048</v>
      </c>
      <c r="U22" s="2458"/>
      <c r="V22" s="2458"/>
      <c r="W22" s="2458"/>
      <c r="X22" s="2458"/>
      <c r="Y22" s="2458"/>
      <c r="Z22" s="2449">
        <f>ROUND(SUM(B22:X22),0)</f>
        <v>156110</v>
      </c>
    </row>
    <row r="23" spans="1:26" ht="15" customHeight="1">
      <c r="A23" s="1637" t="s">
        <v>1379</v>
      </c>
      <c r="B23" s="2458">
        <v>159949</v>
      </c>
      <c r="C23" s="2459"/>
      <c r="D23" s="2447">
        <v>1997342</v>
      </c>
      <c r="E23" s="2458"/>
      <c r="F23" s="2458">
        <v>13030085</v>
      </c>
      <c r="G23" s="2458"/>
      <c r="H23" s="2458">
        <v>2512984</v>
      </c>
      <c r="I23" s="2458"/>
      <c r="J23" s="2458">
        <v>1734050</v>
      </c>
      <c r="K23" s="2458"/>
      <c r="L23" s="2458">
        <v>347870</v>
      </c>
      <c r="M23" s="2460"/>
      <c r="N23" s="2458">
        <v>1864924</v>
      </c>
      <c r="O23" s="2458"/>
      <c r="P23" s="2458">
        <v>1684778</v>
      </c>
      <c r="Q23" s="2458"/>
      <c r="R23" s="2458">
        <v>67928</v>
      </c>
      <c r="S23" s="2458"/>
      <c r="T23" s="2458">
        <v>157446</v>
      </c>
      <c r="U23" s="2458"/>
      <c r="V23" s="2458"/>
      <c r="W23" s="2458"/>
      <c r="X23" s="2458"/>
      <c r="Y23" s="2458"/>
      <c r="Z23" s="2449">
        <f t="shared" si="0"/>
        <v>23557356</v>
      </c>
    </row>
    <row r="24" spans="1:26" ht="15" customHeight="1">
      <c r="A24" s="1637" t="s">
        <v>1378</v>
      </c>
      <c r="B24" s="2458">
        <v>0</v>
      </c>
      <c r="C24" s="2459"/>
      <c r="D24" s="2447">
        <v>1909118</v>
      </c>
      <c r="E24" s="2458"/>
      <c r="F24" s="2458">
        <v>205840</v>
      </c>
      <c r="G24" s="2458"/>
      <c r="H24" s="2458">
        <v>410631</v>
      </c>
      <c r="I24" s="2458"/>
      <c r="J24" s="2458">
        <v>259424</v>
      </c>
      <c r="K24" s="2458"/>
      <c r="L24" s="2458">
        <v>2002167</v>
      </c>
      <c r="M24" s="2460"/>
      <c r="N24" s="2458">
        <v>326548</v>
      </c>
      <c r="O24" s="2458"/>
      <c r="P24" s="2458">
        <v>207286</v>
      </c>
      <c r="Q24" s="2458"/>
      <c r="R24" s="2458">
        <v>495330</v>
      </c>
      <c r="S24" s="2458"/>
      <c r="T24" s="2458">
        <v>2637147</v>
      </c>
      <c r="U24" s="2458"/>
      <c r="V24" s="2458"/>
      <c r="W24" s="2458"/>
      <c r="X24" s="2458"/>
      <c r="Y24" s="2458"/>
      <c r="Z24" s="2449">
        <f t="shared" si="0"/>
        <v>8453491</v>
      </c>
    </row>
    <row r="25" spans="1:26" ht="15" customHeight="1">
      <c r="A25" s="1637" t="s">
        <v>1377</v>
      </c>
      <c r="B25" s="2458">
        <v>0</v>
      </c>
      <c r="C25" s="2459"/>
      <c r="D25" s="2447">
        <v>0</v>
      </c>
      <c r="E25" s="2458"/>
      <c r="F25" s="2458">
        <v>0</v>
      </c>
      <c r="G25" s="2458"/>
      <c r="H25" s="2458">
        <v>0</v>
      </c>
      <c r="I25" s="2458"/>
      <c r="J25" s="2458">
        <v>0</v>
      </c>
      <c r="K25" s="2458"/>
      <c r="L25" s="2458">
        <v>0</v>
      </c>
      <c r="M25" s="2460"/>
      <c r="N25" s="2458">
        <v>0</v>
      </c>
      <c r="O25" s="2458"/>
      <c r="P25" s="2458">
        <v>0</v>
      </c>
      <c r="Q25" s="2458"/>
      <c r="R25" s="2458">
        <v>0</v>
      </c>
      <c r="S25" s="2458"/>
      <c r="T25" s="2458">
        <v>0</v>
      </c>
      <c r="U25" s="2458"/>
      <c r="V25" s="2458"/>
      <c r="W25" s="2458"/>
      <c r="X25" s="2458"/>
      <c r="Y25" s="2458"/>
      <c r="Z25" s="2449">
        <f t="shared" si="0"/>
        <v>0</v>
      </c>
    </row>
    <row r="26" spans="1:26" ht="15" customHeight="1">
      <c r="A26" s="1637" t="s">
        <v>1430</v>
      </c>
      <c r="B26" s="2458">
        <v>1340487</v>
      </c>
      <c r="C26" s="2459"/>
      <c r="D26" s="2447">
        <v>2853343</v>
      </c>
      <c r="E26" s="2458"/>
      <c r="F26" s="2458">
        <v>8001370</v>
      </c>
      <c r="G26" s="2458"/>
      <c r="H26" s="2458">
        <v>7403988</v>
      </c>
      <c r="I26" s="2458"/>
      <c r="J26" s="2458">
        <v>9471695</v>
      </c>
      <c r="K26" s="2458"/>
      <c r="L26" s="2458">
        <v>4185619</v>
      </c>
      <c r="M26" s="2460"/>
      <c r="N26" s="2458">
        <v>500777</v>
      </c>
      <c r="O26" s="2458"/>
      <c r="P26" s="2458">
        <v>297753</v>
      </c>
      <c r="Q26" s="2458"/>
      <c r="R26" s="2458">
        <v>543682</v>
      </c>
      <c r="S26" s="2458"/>
      <c r="T26" s="2458">
        <v>8638876</v>
      </c>
      <c r="U26" s="2458"/>
      <c r="V26" s="2458"/>
      <c r="W26" s="2458"/>
      <c r="X26" s="2458"/>
      <c r="Y26" s="2458"/>
      <c r="Z26" s="2449">
        <f t="shared" si="0"/>
        <v>43237590</v>
      </c>
    </row>
    <row r="27" spans="1:26" ht="15" customHeight="1">
      <c r="A27" s="1637" t="s">
        <v>1376</v>
      </c>
      <c r="B27" s="2458">
        <v>0</v>
      </c>
      <c r="C27" s="2459"/>
      <c r="D27" s="2447">
        <v>32914</v>
      </c>
      <c r="E27" s="2458"/>
      <c r="F27" s="2458">
        <v>0</v>
      </c>
      <c r="G27" s="2458"/>
      <c r="H27" s="2458">
        <v>5875</v>
      </c>
      <c r="I27" s="2458"/>
      <c r="J27" s="2458">
        <v>2993397</v>
      </c>
      <c r="K27" s="2458"/>
      <c r="L27" s="2458">
        <v>954947</v>
      </c>
      <c r="M27" s="2460"/>
      <c r="N27" s="2458">
        <v>3749999</v>
      </c>
      <c r="O27" s="2458"/>
      <c r="P27" s="2458">
        <v>450000</v>
      </c>
      <c r="Q27" s="2458"/>
      <c r="R27" s="2458">
        <v>38000</v>
      </c>
      <c r="S27" s="2458"/>
      <c r="T27" s="2458">
        <v>304454</v>
      </c>
      <c r="U27" s="2458"/>
      <c r="V27" s="2458"/>
      <c r="W27" s="2458"/>
      <c r="X27" s="2458"/>
      <c r="Y27" s="2458"/>
      <c r="Z27" s="2449">
        <f t="shared" si="0"/>
        <v>8529586</v>
      </c>
    </row>
    <row r="28" spans="1:26" ht="15" customHeight="1">
      <c r="A28" s="1637" t="s">
        <v>1375</v>
      </c>
      <c r="B28" s="2458">
        <v>46099336</v>
      </c>
      <c r="C28" s="2459"/>
      <c r="D28" s="2447">
        <v>58564264</v>
      </c>
      <c r="E28" s="2458"/>
      <c r="F28" s="2458">
        <v>59377835</v>
      </c>
      <c r="G28" s="2458"/>
      <c r="H28" s="2458">
        <v>24355216</v>
      </c>
      <c r="I28" s="2458"/>
      <c r="J28" s="2458">
        <v>32641445</v>
      </c>
      <c r="K28" s="2458"/>
      <c r="L28" s="2458">
        <v>31674986</v>
      </c>
      <c r="M28" s="2460"/>
      <c r="N28" s="2458">
        <v>19927146</v>
      </c>
      <c r="O28" s="2458"/>
      <c r="P28" s="2458">
        <v>10539416</v>
      </c>
      <c r="Q28" s="2458"/>
      <c r="R28" s="2458">
        <v>20971565</v>
      </c>
      <c r="S28" s="2458"/>
      <c r="T28" s="2458">
        <v>4968947</v>
      </c>
      <c r="U28" s="2458"/>
      <c r="V28" s="2458"/>
      <c r="W28" s="2458"/>
      <c r="X28" s="2458"/>
      <c r="Y28" s="2458"/>
      <c r="Z28" s="2449">
        <f t="shared" si="0"/>
        <v>309120156</v>
      </c>
    </row>
    <row r="29" spans="1:26" ht="15" customHeight="1">
      <c r="A29" s="1637" t="s">
        <v>1374</v>
      </c>
      <c r="B29" s="2464">
        <v>0</v>
      </c>
      <c r="C29" s="2459"/>
      <c r="D29" s="2447">
        <v>0</v>
      </c>
      <c r="E29" s="2458"/>
      <c r="F29" s="2465">
        <v>0</v>
      </c>
      <c r="G29" s="2458"/>
      <c r="H29" s="2464">
        <v>0</v>
      </c>
      <c r="I29" s="2458"/>
      <c r="J29" s="2458">
        <v>0</v>
      </c>
      <c r="K29" s="2458"/>
      <c r="L29" s="2458">
        <v>0</v>
      </c>
      <c r="M29" s="2460"/>
      <c r="N29" s="2464">
        <v>750000</v>
      </c>
      <c r="O29" s="2458"/>
      <c r="P29" s="2458">
        <v>0</v>
      </c>
      <c r="Q29" s="2458"/>
      <c r="R29" s="2463">
        <v>0</v>
      </c>
      <c r="S29" s="2458"/>
      <c r="T29" s="2465">
        <v>0</v>
      </c>
      <c r="U29" s="2458"/>
      <c r="V29" s="2465"/>
      <c r="W29" s="2458"/>
      <c r="X29" s="2463"/>
      <c r="Y29" s="2458"/>
      <c r="Z29" s="2449">
        <f t="shared" si="0"/>
        <v>750000</v>
      </c>
    </row>
    <row r="30" spans="1:26" ht="15" customHeight="1">
      <c r="A30" s="1637" t="s">
        <v>1467</v>
      </c>
      <c r="B30" s="2464">
        <v>0</v>
      </c>
      <c r="C30" s="2459"/>
      <c r="D30" s="2447">
        <v>0</v>
      </c>
      <c r="E30" s="2458"/>
      <c r="F30" s="2465">
        <v>0</v>
      </c>
      <c r="G30" s="2458"/>
      <c r="H30" s="2464">
        <v>0</v>
      </c>
      <c r="I30" s="2458"/>
      <c r="J30" s="2458">
        <v>0</v>
      </c>
      <c r="K30" s="2458"/>
      <c r="L30" s="2458">
        <v>18708546</v>
      </c>
      <c r="M30" s="2460"/>
      <c r="N30" s="2464">
        <v>0</v>
      </c>
      <c r="O30" s="2458"/>
      <c r="P30" s="2458">
        <v>0</v>
      </c>
      <c r="Q30" s="2458"/>
      <c r="R30" s="2463">
        <v>40497863</v>
      </c>
      <c r="S30" s="2458"/>
      <c r="T30" s="2465">
        <v>0</v>
      </c>
      <c r="U30" s="2458"/>
      <c r="V30" s="2465"/>
      <c r="W30" s="2458"/>
      <c r="X30" s="2463"/>
      <c r="Y30" s="2458"/>
      <c r="Z30" s="2449">
        <f>ROUND(SUM(B30:X30),0)</f>
        <v>59206409</v>
      </c>
    </row>
    <row r="31" spans="1:26" ht="15" customHeight="1">
      <c r="A31" s="1637" t="s">
        <v>1394</v>
      </c>
      <c r="B31" s="2458">
        <v>0</v>
      </c>
      <c r="C31" s="2459"/>
      <c r="D31" s="2447">
        <v>0</v>
      </c>
      <c r="E31" s="2458"/>
      <c r="F31" s="2458">
        <v>0</v>
      </c>
      <c r="G31" s="2458"/>
      <c r="H31" s="2458">
        <v>0</v>
      </c>
      <c r="I31" s="2458"/>
      <c r="J31" s="2458">
        <v>0</v>
      </c>
      <c r="K31" s="2458"/>
      <c r="L31" s="2458">
        <v>21000000</v>
      </c>
      <c r="M31" s="2460"/>
      <c r="N31" s="2458">
        <v>0</v>
      </c>
      <c r="O31" s="2458"/>
      <c r="P31" s="2458">
        <v>17000000</v>
      </c>
      <c r="Q31" s="2458"/>
      <c r="R31" s="2458">
        <v>0</v>
      </c>
      <c r="S31" s="2458"/>
      <c r="T31" s="2458">
        <v>0</v>
      </c>
      <c r="U31" s="2458"/>
      <c r="V31" s="2458"/>
      <c r="W31" s="2458"/>
      <c r="X31" s="2458"/>
      <c r="Y31" s="2458"/>
      <c r="Z31" s="2449">
        <f t="shared" si="0"/>
        <v>38000000</v>
      </c>
    </row>
    <row r="32" spans="1:26" ht="22.5" customHeight="1">
      <c r="A32" s="956" t="s">
        <v>161</v>
      </c>
      <c r="B32" s="3067">
        <f>ROUND(SUM(B19:B31),0)</f>
        <v>47599772</v>
      </c>
      <c r="C32" s="2459"/>
      <c r="D32" s="3067">
        <f>ROUND(SUM(D19:D31),0)</f>
        <v>65358376</v>
      </c>
      <c r="E32" s="2458"/>
      <c r="F32" s="3067">
        <f>ROUND(SUM(F19:F31),0)</f>
        <v>80629435</v>
      </c>
      <c r="G32" s="2458"/>
      <c r="H32" s="3067">
        <f>ROUND(SUM(H19:H31),0)</f>
        <v>34701054</v>
      </c>
      <c r="I32" s="2458"/>
      <c r="J32" s="3067">
        <f>ROUND(SUM(J19:J31),0)</f>
        <v>47122791</v>
      </c>
      <c r="K32" s="2458"/>
      <c r="L32" s="3067">
        <f>ROUND(SUM(L19:L31),0)</f>
        <v>78888589</v>
      </c>
      <c r="M32" s="2460"/>
      <c r="N32" s="3067">
        <f>ROUND(SUM(N19:N31),0)</f>
        <v>84922301</v>
      </c>
      <c r="O32" s="2458"/>
      <c r="P32" s="3067">
        <f>ROUND(SUM(P19:P31),0)</f>
        <v>55182788</v>
      </c>
      <c r="Q32" s="2458"/>
      <c r="R32" s="3067">
        <f>ROUND(SUM(R19:R31),0)</f>
        <v>83534496</v>
      </c>
      <c r="S32" s="2458"/>
      <c r="T32" s="3067">
        <f>ROUND(SUM(T19:T31),0)</f>
        <v>51391475</v>
      </c>
      <c r="U32" s="2458"/>
      <c r="V32" s="3067">
        <f>ROUND(SUM(V19:V31),0)</f>
        <v>0</v>
      </c>
      <c r="W32" s="2458"/>
      <c r="X32" s="3067">
        <f>ROUND(SUM(X19:X31),0)</f>
        <v>0</v>
      </c>
      <c r="Y32" s="2458"/>
      <c r="Z32" s="3067">
        <f>ROUND(SUM(Z19:Z31),0)</f>
        <v>629331077</v>
      </c>
    </row>
    <row r="33" spans="1:28" ht="15" customHeight="1">
      <c r="A33" s="956"/>
      <c r="B33" s="2458"/>
      <c r="C33" s="2459"/>
      <c r="D33" s="2458"/>
      <c r="E33" s="2458"/>
      <c r="F33" s="2464"/>
      <c r="G33" s="2458"/>
      <c r="H33" s="2464"/>
      <c r="I33" s="2458"/>
      <c r="J33" s="2458"/>
      <c r="K33" s="2458"/>
      <c r="L33" s="2463"/>
      <c r="M33" s="2460"/>
      <c r="N33" s="2463"/>
      <c r="O33" s="2458"/>
      <c r="P33" s="2462"/>
      <c r="Q33" s="2458"/>
      <c r="R33" s="2464"/>
      <c r="S33" s="2458"/>
      <c r="T33" s="2464"/>
      <c r="U33" s="2458"/>
      <c r="V33" s="2459"/>
      <c r="W33" s="2458"/>
      <c r="X33" s="2464"/>
      <c r="Y33" s="2458"/>
      <c r="Z33" s="2449"/>
    </row>
    <row r="34" spans="1:28" ht="15" customHeight="1">
      <c r="A34" s="957" t="s">
        <v>512</v>
      </c>
      <c r="B34" s="2464"/>
      <c r="C34" s="2466"/>
      <c r="D34" s="2464"/>
      <c r="E34" s="2458"/>
      <c r="F34" s="2463"/>
      <c r="G34" s="2458"/>
      <c r="H34" s="2464"/>
      <c r="I34" s="2458"/>
      <c r="J34" s="2464"/>
      <c r="K34" s="2458"/>
      <c r="L34" s="2464"/>
      <c r="M34" s="2460"/>
      <c r="N34" s="2464"/>
      <c r="O34" s="2458"/>
      <c r="P34" s="2462"/>
      <c r="Q34" s="2458"/>
      <c r="R34" s="2464"/>
      <c r="S34" s="2458"/>
      <c r="T34" s="2464"/>
      <c r="U34" s="2458"/>
      <c r="V34" s="2463"/>
      <c r="W34" s="2458"/>
      <c r="X34" s="2463"/>
      <c r="Y34" s="2458"/>
      <c r="Z34" s="2449"/>
    </row>
    <row r="35" spans="1:28" ht="15" customHeight="1">
      <c r="A35" s="1637" t="s">
        <v>514</v>
      </c>
      <c r="B35" s="2464">
        <v>0</v>
      </c>
      <c r="C35" s="2466"/>
      <c r="D35" s="2447">
        <v>0</v>
      </c>
      <c r="E35" s="2458"/>
      <c r="F35" s="2464">
        <v>0</v>
      </c>
      <c r="G35" s="2458"/>
      <c r="H35" s="2464">
        <v>0</v>
      </c>
      <c r="I35" s="2458"/>
      <c r="J35" s="2464">
        <v>0</v>
      </c>
      <c r="K35" s="2458"/>
      <c r="L35" s="2464">
        <v>0</v>
      </c>
      <c r="M35" s="2460"/>
      <c r="N35" s="2464">
        <v>0</v>
      </c>
      <c r="O35" s="2458"/>
      <c r="P35" s="2464">
        <v>0</v>
      </c>
      <c r="Q35" s="2458"/>
      <c r="R35" s="2464">
        <v>0</v>
      </c>
      <c r="S35" s="2458"/>
      <c r="T35" s="2450">
        <v>0</v>
      </c>
      <c r="U35" s="2458"/>
      <c r="V35" s="2450"/>
      <c r="W35" s="2458"/>
      <c r="X35" s="2464"/>
      <c r="Y35" s="2458"/>
      <c r="Z35" s="2449">
        <f>ROUND(SUM(B35:X35),0)</f>
        <v>0</v>
      </c>
    </row>
    <row r="36" spans="1:28" ht="22.5" customHeight="1">
      <c r="A36" s="950" t="s">
        <v>519</v>
      </c>
      <c r="B36" s="3066">
        <f>ROUND(SUM(B35:B35),0)</f>
        <v>0</v>
      </c>
      <c r="C36" s="2451"/>
      <c r="D36" s="3066">
        <f>ROUND(SUM(D35:D35),0)</f>
        <v>0</v>
      </c>
      <c r="E36" s="2447"/>
      <c r="F36" s="3066">
        <f>ROUND(SUM(F35:F35),0)</f>
        <v>0</v>
      </c>
      <c r="G36" s="2447"/>
      <c r="H36" s="3066">
        <f>ROUND(SUM(H35:H35),0)</f>
        <v>0</v>
      </c>
      <c r="I36" s="2447"/>
      <c r="J36" s="3066">
        <f>ROUND(SUM(J35:J35),0)</f>
        <v>0</v>
      </c>
      <c r="K36" s="2447"/>
      <c r="L36" s="3066">
        <f>ROUND(SUM(L35:L35),0)</f>
        <v>0</v>
      </c>
      <c r="M36" s="2444"/>
      <c r="N36" s="3066">
        <f>ROUND(SUM(N35:N35),0)</f>
        <v>0</v>
      </c>
      <c r="O36" s="2447"/>
      <c r="P36" s="3066">
        <f>ROUND(SUM(P35:P35),0)</f>
        <v>0</v>
      </c>
      <c r="Q36" s="2447"/>
      <c r="R36" s="3066">
        <f>ROUND(SUM(R35:R35),0)</f>
        <v>0</v>
      </c>
      <c r="S36" s="2447"/>
      <c r="T36" s="3066">
        <f>ROUND(SUM(T35:T35),0)</f>
        <v>0</v>
      </c>
      <c r="U36" s="2447"/>
      <c r="V36" s="3066">
        <f>ROUND(SUM(V35:V35),0)</f>
        <v>0</v>
      </c>
      <c r="W36" s="2447"/>
      <c r="X36" s="3066">
        <f>ROUND(SUM(X35:X35),0)</f>
        <v>0</v>
      </c>
      <c r="Y36" s="2447"/>
      <c r="Z36" s="3066">
        <f>ROUND(SUM(Z35:Z35),0)</f>
        <v>0</v>
      </c>
    </row>
    <row r="37" spans="1:28" ht="15" customHeight="1">
      <c r="B37" s="3064"/>
      <c r="C37" s="2451"/>
      <c r="D37" s="3064"/>
      <c r="E37" s="2447"/>
      <c r="F37" s="3063"/>
      <c r="G37" s="2447"/>
      <c r="H37" s="3064"/>
      <c r="I37" s="2447"/>
      <c r="J37" s="3064"/>
      <c r="K37" s="2447"/>
      <c r="L37" s="3064"/>
      <c r="M37" s="2444"/>
      <c r="N37" s="3064"/>
      <c r="O37" s="2447"/>
      <c r="P37" s="3065"/>
      <c r="Q37" s="2447"/>
      <c r="R37" s="3064"/>
      <c r="S37" s="2447"/>
      <c r="T37" s="3064"/>
      <c r="U37" s="2447"/>
      <c r="V37" s="3063"/>
      <c r="W37" s="2447"/>
      <c r="X37" s="2470"/>
      <c r="Y37" s="2447"/>
      <c r="Z37" s="3062"/>
    </row>
    <row r="38" spans="1:28" s="949" customFormat="1" ht="20.25" customHeight="1">
      <c r="A38" s="950" t="s">
        <v>520</v>
      </c>
      <c r="B38" s="2472">
        <f>ROUND(B32+B36,0)</f>
        <v>47599772</v>
      </c>
      <c r="C38" s="952"/>
      <c r="D38" s="2472">
        <f>ROUND(D32+D36,0)</f>
        <v>65358376</v>
      </c>
      <c r="E38" s="953"/>
      <c r="F38" s="2472">
        <f>ROUND(F32+F36,0)</f>
        <v>80629435</v>
      </c>
      <c r="G38" s="953"/>
      <c r="H38" s="2472">
        <f>ROUND(H32+H36,0)</f>
        <v>34701054</v>
      </c>
      <c r="I38" s="953"/>
      <c r="J38" s="2472">
        <f>ROUND(J32+J36,0)</f>
        <v>47122791</v>
      </c>
      <c r="K38" s="952"/>
      <c r="L38" s="2472">
        <f>ROUND(L32+L36,0)</f>
        <v>78888589</v>
      </c>
      <c r="M38" s="948"/>
      <c r="N38" s="2472">
        <f>ROUND(N32+N36,0)</f>
        <v>84922301</v>
      </c>
      <c r="O38" s="953"/>
      <c r="P38" s="2472">
        <f>ROUND(P32+P36,0)</f>
        <v>55182788</v>
      </c>
      <c r="Q38" s="953"/>
      <c r="R38" s="2472">
        <f>ROUND(R32+R36,0)</f>
        <v>83534496</v>
      </c>
      <c r="S38" s="953"/>
      <c r="T38" s="2472">
        <f>ROUND(T32+T36,0)</f>
        <v>51391475</v>
      </c>
      <c r="U38" s="953"/>
      <c r="V38" s="2472">
        <f>ROUND(V32+V36,0)</f>
        <v>0</v>
      </c>
      <c r="W38" s="953"/>
      <c r="X38" s="2472">
        <f>ROUND(X32+X36,0)</f>
        <v>0</v>
      </c>
      <c r="Y38" s="953"/>
      <c r="Z38" s="2472">
        <f>ROUND(Z32+Z36,0)</f>
        <v>629331077</v>
      </c>
      <c r="AB38" s="766"/>
    </row>
    <row r="39" spans="1:28" ht="15" customHeight="1">
      <c r="A39" s="2443"/>
      <c r="B39" s="2445"/>
      <c r="C39" s="2445"/>
      <c r="D39" s="2445"/>
      <c r="E39" s="2444"/>
      <c r="F39" s="2445"/>
      <c r="G39" s="2444"/>
      <c r="H39" s="2445"/>
      <c r="I39" s="2444"/>
      <c r="J39" s="3061"/>
      <c r="K39" s="2445"/>
      <c r="L39" s="3061"/>
      <c r="M39" s="2444"/>
      <c r="N39" s="3061"/>
      <c r="O39" s="2444"/>
      <c r="P39" s="3061"/>
      <c r="Q39" s="2444"/>
      <c r="R39" s="3061"/>
      <c r="S39" s="2444"/>
      <c r="T39" s="3061"/>
      <c r="U39" s="2444"/>
      <c r="V39" s="3061"/>
      <c r="W39" s="2444"/>
      <c r="X39" s="3061"/>
      <c r="Y39" s="2444"/>
      <c r="Z39" s="2474"/>
    </row>
    <row r="40" spans="1:28" s="949" customFormat="1" ht="20.25" customHeight="1" thickBot="1">
      <c r="A40" s="957" t="s">
        <v>521</v>
      </c>
      <c r="B40" s="3060">
        <f>ROUND(B12+B16-B38,0)</f>
        <v>102733518</v>
      </c>
      <c r="C40" s="946"/>
      <c r="D40" s="3060">
        <f>ROUND(D12+D16-D38,0)</f>
        <v>137375142</v>
      </c>
      <c r="E40" s="2442"/>
      <c r="F40" s="3060">
        <f>ROUND(F12+F16-F38,0)</f>
        <v>155295707</v>
      </c>
      <c r="G40" s="2442"/>
      <c r="H40" s="3060">
        <f>ROUND(H12+H16-H38,0)</f>
        <v>245594653</v>
      </c>
      <c r="I40" s="2442"/>
      <c r="J40" s="3060">
        <f>ROUND(J12+J16-J38,0)</f>
        <v>198471862</v>
      </c>
      <c r="K40" s="946"/>
      <c r="L40" s="3060">
        <f>ROUND(L12+L16-L38,0)</f>
        <v>119583273</v>
      </c>
      <c r="M40" s="961"/>
      <c r="N40" s="3060">
        <f>ROUND(N12+N16-N38,0)</f>
        <v>101830972</v>
      </c>
      <c r="O40" s="962"/>
      <c r="P40" s="3060">
        <f>ROUND(P12+P16-P38,0)</f>
        <v>107148184</v>
      </c>
      <c r="Q40" s="962"/>
      <c r="R40" s="3060">
        <f>ROUND(R12+R16-R38,0)</f>
        <v>79113688</v>
      </c>
      <c r="S40" s="962"/>
      <c r="T40" s="3060">
        <f>ROUND(T12+T16-T38,0)</f>
        <v>103722213</v>
      </c>
      <c r="U40" s="962"/>
      <c r="V40" s="3060">
        <f>ROUND(V12+V16-V38,0)</f>
        <v>0</v>
      </c>
      <c r="W40" s="962"/>
      <c r="X40" s="3060">
        <f>ROUND(X12+X16-X38,0)</f>
        <v>0</v>
      </c>
      <c r="Y40" s="962"/>
      <c r="Z40" s="3060">
        <f>ROUND(Z12+Z16-Z38,0)</f>
        <v>103722213</v>
      </c>
    </row>
    <row r="41" spans="1:28" ht="15" customHeight="1" thickTop="1">
      <c r="A41" s="2443"/>
      <c r="B41" s="2439"/>
      <c r="C41" s="2439"/>
      <c r="D41" s="2439"/>
      <c r="E41" s="2475"/>
      <c r="F41" s="2439"/>
      <c r="G41" s="2475"/>
      <c r="H41" s="2439"/>
      <c r="I41" s="2475"/>
      <c r="J41" s="2439"/>
      <c r="K41" s="2439"/>
      <c r="L41" s="2439"/>
      <c r="M41" s="2475"/>
      <c r="N41" s="2439"/>
      <c r="O41" s="2475"/>
      <c r="P41" s="2439"/>
      <c r="Q41" s="2475"/>
      <c r="R41" s="2439"/>
      <c r="S41" s="2475"/>
      <c r="T41" s="2439"/>
      <c r="U41" s="2475"/>
      <c r="V41" s="2439"/>
      <c r="W41" s="2475"/>
      <c r="X41" s="2439"/>
      <c r="Y41" s="2475"/>
      <c r="Z41" s="2474"/>
    </row>
    <row r="42" spans="1:28" ht="20.100000000000001" customHeight="1">
      <c r="A42" s="963"/>
      <c r="B42" s="2476"/>
      <c r="C42" s="2476"/>
      <c r="D42" s="2476"/>
      <c r="E42" s="2440"/>
      <c r="F42" s="2476"/>
      <c r="G42" s="2440"/>
      <c r="H42" s="2476"/>
      <c r="I42" s="2440"/>
      <c r="J42" s="2476"/>
      <c r="K42" s="2476"/>
      <c r="L42" s="2476"/>
      <c r="M42" s="2440"/>
      <c r="N42" s="2476"/>
      <c r="O42" s="2440"/>
      <c r="P42" s="2476"/>
      <c r="Q42" s="2440"/>
      <c r="R42" s="2476"/>
      <c r="S42" s="2440"/>
      <c r="T42" s="2476"/>
      <c r="U42" s="2440"/>
      <c r="V42" s="2476"/>
      <c r="W42" s="2440"/>
      <c r="X42" s="2476"/>
      <c r="Y42" s="2440"/>
      <c r="Z42" s="2446"/>
    </row>
    <row r="44" spans="1:28" ht="18" customHeight="1">
      <c r="A44" s="1636" t="s">
        <v>1491</v>
      </c>
      <c r="B44" s="2434"/>
      <c r="C44" s="2434"/>
      <c r="D44" s="2434"/>
      <c r="E44" s="927"/>
      <c r="F44" s="2434"/>
      <c r="G44" s="927"/>
      <c r="H44" s="2434"/>
      <c r="I44" s="927"/>
      <c r="J44" s="2434"/>
      <c r="K44" s="2434"/>
      <c r="L44" s="2434"/>
      <c r="M44" s="2440"/>
      <c r="N44" s="2434"/>
      <c r="O44" s="927"/>
      <c r="P44" s="2434"/>
      <c r="Q44" s="927"/>
      <c r="R44" s="2434"/>
      <c r="S44" s="927"/>
      <c r="T44" s="2434"/>
      <c r="U44" s="927"/>
      <c r="V44" s="2434"/>
      <c r="W44" s="927"/>
      <c r="X44" s="2434"/>
      <c r="Y44" s="927"/>
      <c r="Z44" s="2435"/>
    </row>
    <row r="45" spans="1:28" ht="20.100000000000001" customHeight="1">
      <c r="A45" s="2437" t="s">
        <v>1421</v>
      </c>
      <c r="B45" s="2476"/>
      <c r="C45" s="2476"/>
      <c r="D45" s="2476"/>
      <c r="E45" s="2440"/>
      <c r="F45" s="2476"/>
      <c r="G45" s="2440"/>
      <c r="H45" s="2476"/>
      <c r="I45" s="2440"/>
      <c r="J45" s="2476"/>
      <c r="K45" s="2476"/>
      <c r="L45" s="2476"/>
      <c r="M45" s="2440"/>
      <c r="N45" s="2476"/>
      <c r="O45" s="2440"/>
      <c r="P45" s="2476"/>
      <c r="Q45" s="2440"/>
      <c r="R45" s="2476"/>
      <c r="S45" s="2440"/>
      <c r="T45" s="2476"/>
      <c r="U45" s="2440"/>
      <c r="V45" s="2476"/>
      <c r="W45" s="2440"/>
      <c r="X45" s="2476"/>
      <c r="Y45" s="2440"/>
      <c r="Z45" s="2446"/>
    </row>
    <row r="46" spans="1:28" ht="20.100000000000001" customHeight="1">
      <c r="A46" s="3059"/>
      <c r="B46" s="2476"/>
      <c r="C46" s="2476"/>
      <c r="D46" s="2476"/>
      <c r="E46" s="2440"/>
      <c r="F46" s="2476"/>
      <c r="G46" s="2440"/>
      <c r="H46" s="2476"/>
      <c r="I46" s="2440"/>
      <c r="J46" s="2476"/>
      <c r="K46" s="2476"/>
      <c r="L46" s="2476"/>
      <c r="M46" s="2440"/>
      <c r="N46" s="2476"/>
      <c r="O46" s="2440"/>
      <c r="P46" s="2476"/>
      <c r="Q46" s="2440"/>
      <c r="R46" s="2476"/>
      <c r="S46" s="2440"/>
      <c r="T46" s="2476"/>
      <c r="U46" s="2440"/>
      <c r="V46" s="2476"/>
      <c r="W46" s="2440"/>
      <c r="X46" s="2476"/>
      <c r="Y46" s="2440"/>
      <c r="Z46" s="2446"/>
    </row>
    <row r="47" spans="1:28" ht="20.100000000000001" customHeight="1">
      <c r="A47" s="3116"/>
      <c r="B47" s="926"/>
      <c r="C47" s="926"/>
      <c r="D47" s="926"/>
      <c r="E47" s="927"/>
      <c r="F47" s="926"/>
      <c r="G47" s="927"/>
      <c r="H47" s="926"/>
      <c r="I47" s="927"/>
      <c r="J47" s="926"/>
      <c r="K47" s="926"/>
      <c r="L47" s="926"/>
      <c r="M47" s="927"/>
      <c r="N47" s="926"/>
      <c r="O47" s="927"/>
      <c r="P47" s="926"/>
      <c r="Q47" s="927"/>
      <c r="R47" s="926"/>
      <c r="S47" s="927"/>
      <c r="T47" s="926"/>
      <c r="U47" s="927"/>
      <c r="V47" s="926"/>
      <c r="W47" s="927"/>
      <c r="X47" s="926"/>
      <c r="Y47" s="927"/>
      <c r="Z47" s="768"/>
    </row>
    <row r="48" spans="1:28" ht="20.100000000000001" customHeight="1">
      <c r="A48" s="924"/>
      <c r="B48" s="926"/>
      <c r="C48" s="926"/>
      <c r="D48" s="926"/>
      <c r="E48" s="927"/>
      <c r="F48" s="926"/>
      <c r="G48" s="927"/>
      <c r="H48" s="926"/>
      <c r="I48" s="927"/>
      <c r="J48" s="926"/>
      <c r="K48" s="926"/>
      <c r="L48" s="926"/>
      <c r="M48" s="927"/>
      <c r="N48" s="926"/>
      <c r="O48" s="927"/>
      <c r="P48" s="926"/>
      <c r="Q48" s="927"/>
      <c r="R48" s="926"/>
      <c r="S48" s="927"/>
      <c r="T48" s="926"/>
      <c r="U48" s="927"/>
      <c r="V48" s="926"/>
      <c r="W48" s="927"/>
      <c r="X48" s="926"/>
      <c r="Y48" s="927"/>
      <c r="Z48" s="768"/>
    </row>
    <row r="49" spans="1:26" ht="20.100000000000001" customHeight="1">
      <c r="A49" s="924"/>
      <c r="B49" s="926"/>
      <c r="C49" s="926"/>
      <c r="D49" s="926"/>
      <c r="E49" s="927"/>
      <c r="F49" s="926"/>
      <c r="G49" s="927"/>
      <c r="H49" s="926"/>
      <c r="I49" s="927"/>
      <c r="J49" s="926"/>
      <c r="K49" s="926"/>
      <c r="L49" s="926"/>
      <c r="M49" s="927"/>
      <c r="N49" s="926"/>
      <c r="O49" s="927"/>
      <c r="P49" s="926"/>
      <c r="Q49" s="927"/>
      <c r="R49" s="926"/>
      <c r="S49" s="927"/>
      <c r="T49" s="926"/>
      <c r="U49" s="927"/>
      <c r="V49" s="926"/>
      <c r="W49" s="927"/>
      <c r="X49" s="926"/>
      <c r="Y49" s="927"/>
      <c r="Z49" s="768"/>
    </row>
    <row r="50" spans="1:26" ht="20.100000000000001" customHeight="1">
      <c r="A50" s="924"/>
      <c r="B50" s="926"/>
      <c r="C50" s="926"/>
      <c r="D50" s="926"/>
      <c r="E50" s="927"/>
      <c r="F50" s="926"/>
      <c r="G50" s="927"/>
      <c r="H50" s="926"/>
      <c r="I50" s="927"/>
      <c r="J50" s="926"/>
      <c r="K50" s="926"/>
      <c r="L50" s="926"/>
      <c r="M50" s="927"/>
      <c r="N50" s="926"/>
      <c r="O50" s="927"/>
      <c r="P50" s="926"/>
      <c r="Q50" s="927"/>
      <c r="R50" s="926"/>
      <c r="S50" s="927"/>
      <c r="T50" s="926"/>
      <c r="U50" s="927"/>
      <c r="V50" s="926"/>
      <c r="W50" s="927"/>
      <c r="X50" s="926"/>
      <c r="Y50" s="927"/>
      <c r="Z50" s="768"/>
    </row>
    <row r="51" spans="1:26" ht="20.100000000000001" customHeight="1">
      <c r="A51" s="924"/>
      <c r="B51" s="926"/>
      <c r="C51" s="926"/>
      <c r="D51" s="926"/>
      <c r="E51" s="927"/>
      <c r="F51" s="926"/>
      <c r="G51" s="927"/>
      <c r="H51" s="926"/>
      <c r="I51" s="927"/>
      <c r="J51" s="926"/>
      <c r="K51" s="926"/>
      <c r="L51" s="926"/>
      <c r="M51" s="927"/>
      <c r="N51" s="926"/>
      <c r="O51" s="927"/>
      <c r="P51" s="926"/>
      <c r="Q51" s="927"/>
      <c r="R51" s="926"/>
      <c r="S51" s="927"/>
      <c r="T51" s="926"/>
      <c r="U51" s="927"/>
      <c r="V51" s="926"/>
      <c r="W51" s="927"/>
      <c r="X51" s="926"/>
      <c r="Y51" s="927"/>
      <c r="Z51" s="768"/>
    </row>
    <row r="52" spans="1:26">
      <c r="A52" s="924"/>
      <c r="B52" s="926"/>
      <c r="C52" s="926"/>
      <c r="D52" s="926"/>
      <c r="E52" s="927"/>
      <c r="F52" s="926"/>
      <c r="G52" s="927"/>
      <c r="H52" s="926"/>
      <c r="I52" s="927"/>
      <c r="J52" s="926"/>
      <c r="K52" s="926"/>
      <c r="L52" s="926"/>
      <c r="M52" s="927"/>
      <c r="N52" s="926"/>
      <c r="O52" s="927"/>
      <c r="P52" s="926"/>
      <c r="Q52" s="927"/>
      <c r="R52" s="926"/>
      <c r="S52" s="927"/>
      <c r="T52" s="926"/>
      <c r="U52" s="927"/>
      <c r="V52" s="926"/>
      <c r="W52" s="927"/>
      <c r="X52" s="926"/>
      <c r="Y52" s="927"/>
      <c r="Z52" s="768"/>
    </row>
    <row r="53" spans="1:26">
      <c r="A53" s="924"/>
      <c r="B53" s="926"/>
      <c r="C53" s="926"/>
      <c r="D53" s="926"/>
      <c r="E53" s="927"/>
      <c r="F53" s="926"/>
      <c r="G53" s="927"/>
      <c r="H53" s="926"/>
      <c r="I53" s="927"/>
      <c r="J53" s="926"/>
      <c r="K53" s="926"/>
      <c r="L53" s="926"/>
      <c r="M53" s="927"/>
      <c r="N53" s="926"/>
      <c r="O53" s="927"/>
      <c r="P53" s="926"/>
      <c r="Q53" s="927"/>
      <c r="R53" s="926"/>
      <c r="S53" s="927"/>
      <c r="T53" s="926"/>
      <c r="U53" s="927"/>
      <c r="V53" s="926"/>
      <c r="W53" s="927"/>
      <c r="X53" s="926"/>
      <c r="Y53" s="927"/>
      <c r="Z53" s="768"/>
    </row>
    <row r="54" spans="1:26">
      <c r="A54" s="924"/>
      <c r="B54" s="926"/>
      <c r="C54" s="926"/>
      <c r="D54" s="926"/>
      <c r="E54" s="927"/>
      <c r="F54" s="926"/>
      <c r="G54" s="927"/>
      <c r="H54" s="926"/>
      <c r="I54" s="927"/>
      <c r="J54" s="926"/>
      <c r="K54" s="926"/>
      <c r="L54" s="926"/>
      <c r="M54" s="927"/>
      <c r="N54" s="926"/>
      <c r="O54" s="927"/>
      <c r="P54" s="926"/>
      <c r="Q54" s="927"/>
      <c r="R54" s="926"/>
      <c r="S54" s="927"/>
      <c r="T54" s="926"/>
      <c r="U54" s="927"/>
      <c r="V54" s="926"/>
      <c r="W54" s="927"/>
      <c r="X54" s="926"/>
      <c r="Y54" s="927"/>
      <c r="Z54" s="768"/>
    </row>
    <row r="55" spans="1:26">
      <c r="A55" s="924"/>
      <c r="B55" s="926"/>
      <c r="C55" s="926"/>
      <c r="D55" s="926"/>
      <c r="E55" s="927"/>
      <c r="F55" s="926"/>
      <c r="G55" s="927"/>
      <c r="H55" s="926"/>
      <c r="I55" s="927"/>
      <c r="J55" s="926"/>
      <c r="K55" s="926"/>
      <c r="L55" s="926"/>
      <c r="M55" s="927"/>
      <c r="N55" s="926"/>
      <c r="O55" s="927"/>
      <c r="P55" s="926"/>
      <c r="Q55" s="927"/>
      <c r="R55" s="926"/>
      <c r="S55" s="927"/>
      <c r="T55" s="926"/>
      <c r="U55" s="927"/>
      <c r="V55" s="926"/>
      <c r="W55" s="927"/>
      <c r="X55" s="926"/>
      <c r="Y55" s="927"/>
      <c r="Z55" s="768"/>
    </row>
    <row r="56" spans="1:26">
      <c r="A56" s="924"/>
      <c r="B56" s="926"/>
      <c r="C56" s="926"/>
      <c r="D56" s="926"/>
      <c r="E56" s="927"/>
      <c r="F56" s="926"/>
      <c r="G56" s="927"/>
      <c r="H56" s="926"/>
      <c r="I56" s="927"/>
      <c r="J56" s="926"/>
      <c r="K56" s="926"/>
      <c r="L56" s="926"/>
      <c r="M56" s="927"/>
      <c r="N56" s="926"/>
      <c r="O56" s="927"/>
      <c r="P56" s="926"/>
      <c r="Q56" s="927"/>
      <c r="R56" s="926"/>
      <c r="S56" s="927"/>
      <c r="T56" s="926"/>
      <c r="U56" s="927"/>
      <c r="V56" s="926"/>
      <c r="W56" s="927"/>
      <c r="X56" s="926"/>
      <c r="Y56" s="927"/>
      <c r="Z56" s="768"/>
    </row>
    <row r="57" spans="1:26">
      <c r="A57" s="924"/>
      <c r="B57" s="926"/>
      <c r="C57" s="926"/>
      <c r="D57" s="926"/>
      <c r="E57" s="927"/>
      <c r="F57" s="926"/>
      <c r="G57" s="927"/>
      <c r="H57" s="926"/>
      <c r="I57" s="927"/>
      <c r="J57" s="926"/>
      <c r="K57" s="926"/>
      <c r="L57" s="926"/>
      <c r="M57" s="927"/>
      <c r="N57" s="926"/>
      <c r="O57" s="927"/>
      <c r="P57" s="926"/>
      <c r="Q57" s="927"/>
      <c r="R57" s="926"/>
      <c r="S57" s="927"/>
      <c r="T57" s="926"/>
      <c r="U57" s="927"/>
      <c r="V57" s="926"/>
      <c r="W57" s="927"/>
      <c r="X57" s="926"/>
      <c r="Y57" s="927"/>
      <c r="Z57" s="768"/>
    </row>
    <row r="58" spans="1:26">
      <c r="A58" s="924"/>
      <c r="B58" s="926"/>
      <c r="C58" s="926"/>
      <c r="D58" s="926"/>
      <c r="E58" s="927"/>
      <c r="F58" s="926"/>
      <c r="G58" s="927"/>
      <c r="H58" s="926"/>
      <c r="I58" s="927"/>
      <c r="J58" s="926"/>
      <c r="K58" s="926"/>
      <c r="L58" s="926"/>
      <c r="M58" s="927"/>
      <c r="N58" s="926"/>
      <c r="O58" s="927"/>
      <c r="P58" s="926"/>
      <c r="Q58" s="927"/>
      <c r="R58" s="926"/>
      <c r="S58" s="927"/>
      <c r="T58" s="926"/>
      <c r="U58" s="927"/>
      <c r="V58" s="926"/>
      <c r="W58" s="927"/>
      <c r="X58" s="926"/>
      <c r="Y58" s="927"/>
      <c r="Z58" s="768"/>
    </row>
    <row r="59" spans="1:26">
      <c r="A59" s="924"/>
      <c r="B59" s="926"/>
      <c r="C59" s="926"/>
      <c r="D59" s="926"/>
      <c r="E59" s="927"/>
      <c r="F59" s="926"/>
      <c r="G59" s="927"/>
      <c r="H59" s="926"/>
      <c r="I59" s="927"/>
      <c r="J59" s="926"/>
      <c r="K59" s="926"/>
      <c r="L59" s="926"/>
      <c r="M59" s="927"/>
      <c r="N59" s="926"/>
      <c r="O59" s="927"/>
      <c r="P59" s="926"/>
      <c r="Q59" s="927"/>
      <c r="R59" s="926"/>
      <c r="S59" s="927"/>
      <c r="T59" s="926"/>
      <c r="U59" s="927"/>
      <c r="V59" s="926"/>
      <c r="W59" s="927"/>
      <c r="X59" s="926"/>
      <c r="Y59" s="927"/>
      <c r="Z59" s="768"/>
    </row>
    <row r="60" spans="1:26">
      <c r="A60" s="924"/>
      <c r="B60" s="926"/>
      <c r="C60" s="926"/>
      <c r="D60" s="926"/>
      <c r="E60" s="927"/>
      <c r="F60" s="926"/>
      <c r="G60" s="927"/>
      <c r="H60" s="926"/>
      <c r="I60" s="927"/>
      <c r="J60" s="926"/>
      <c r="K60" s="926"/>
      <c r="L60" s="926"/>
      <c r="M60" s="927"/>
      <c r="N60" s="926"/>
      <c r="O60" s="927"/>
      <c r="P60" s="926"/>
      <c r="Q60" s="927"/>
      <c r="R60" s="926"/>
      <c r="S60" s="927"/>
      <c r="T60" s="926"/>
      <c r="U60" s="927"/>
      <c r="V60" s="926"/>
      <c r="W60" s="927"/>
      <c r="X60" s="926"/>
      <c r="Y60" s="927"/>
      <c r="Z60" s="768"/>
    </row>
    <row r="61" spans="1:26">
      <c r="A61" s="924"/>
      <c r="B61" s="926"/>
      <c r="C61" s="926"/>
      <c r="D61" s="926"/>
      <c r="E61" s="927"/>
      <c r="F61" s="926"/>
      <c r="G61" s="927"/>
      <c r="H61" s="926"/>
      <c r="I61" s="927"/>
      <c r="J61" s="926"/>
      <c r="K61" s="926"/>
      <c r="L61" s="926"/>
      <c r="M61" s="927"/>
      <c r="N61" s="926"/>
      <c r="O61" s="927"/>
      <c r="P61" s="926"/>
      <c r="Q61" s="927"/>
      <c r="R61" s="926"/>
      <c r="S61" s="927"/>
      <c r="T61" s="926"/>
      <c r="U61" s="927"/>
      <c r="V61" s="926"/>
      <c r="W61" s="927"/>
      <c r="X61" s="926"/>
      <c r="Y61" s="927"/>
      <c r="Z61" s="768"/>
    </row>
    <row r="62" spans="1:26">
      <c r="A62" s="924"/>
      <c r="B62" s="926"/>
      <c r="C62" s="926"/>
      <c r="D62" s="926"/>
      <c r="E62" s="927"/>
      <c r="F62" s="926"/>
      <c r="G62" s="927"/>
      <c r="H62" s="926"/>
      <c r="I62" s="927"/>
      <c r="J62" s="926"/>
      <c r="K62" s="926"/>
      <c r="L62" s="926"/>
      <c r="M62" s="927"/>
      <c r="N62" s="926"/>
      <c r="O62" s="927"/>
      <c r="P62" s="926"/>
      <c r="Q62" s="927"/>
      <c r="R62" s="926"/>
      <c r="S62" s="927"/>
      <c r="T62" s="926"/>
      <c r="U62" s="927"/>
      <c r="V62" s="926"/>
      <c r="W62" s="927"/>
      <c r="X62" s="926"/>
      <c r="Y62" s="927"/>
      <c r="Z62" s="768"/>
    </row>
    <row r="63" spans="1:26">
      <c r="A63" s="924"/>
      <c r="B63" s="926"/>
      <c r="C63" s="926"/>
      <c r="D63" s="926"/>
      <c r="E63" s="927"/>
      <c r="F63" s="926"/>
      <c r="G63" s="927"/>
      <c r="H63" s="926"/>
      <c r="I63" s="927"/>
      <c r="J63" s="926"/>
      <c r="K63" s="926"/>
      <c r="L63" s="926"/>
      <c r="M63" s="927"/>
      <c r="N63" s="926"/>
      <c r="O63" s="927"/>
      <c r="P63" s="926"/>
      <c r="Q63" s="927"/>
      <c r="R63" s="926"/>
      <c r="S63" s="927"/>
      <c r="T63" s="926"/>
      <c r="U63" s="927"/>
      <c r="V63" s="926"/>
      <c r="W63" s="927"/>
      <c r="X63" s="926"/>
      <c r="Y63" s="927"/>
      <c r="Z63" s="768"/>
    </row>
    <row r="64" spans="1:26">
      <c r="A64" s="924"/>
      <c r="B64" s="926"/>
      <c r="C64" s="926"/>
      <c r="D64" s="926"/>
      <c r="E64" s="927"/>
      <c r="F64" s="926"/>
      <c r="G64" s="927"/>
      <c r="H64" s="926"/>
      <c r="I64" s="927"/>
      <c r="J64" s="926"/>
      <c r="K64" s="926"/>
      <c r="L64" s="926"/>
      <c r="M64" s="927"/>
      <c r="N64" s="926"/>
      <c r="O64" s="927"/>
      <c r="P64" s="926"/>
      <c r="Q64" s="927"/>
      <c r="R64" s="926"/>
      <c r="S64" s="927"/>
      <c r="T64" s="926"/>
      <c r="U64" s="927"/>
      <c r="V64" s="926"/>
      <c r="W64" s="927"/>
      <c r="X64" s="926"/>
      <c r="Y64" s="927"/>
      <c r="Z64" s="768"/>
    </row>
    <row r="65" spans="1:26">
      <c r="A65" s="924"/>
      <c r="B65" s="926"/>
      <c r="C65" s="926"/>
      <c r="D65" s="926"/>
      <c r="E65" s="927"/>
      <c r="F65" s="926"/>
      <c r="G65" s="927"/>
      <c r="H65" s="926"/>
      <c r="I65" s="927"/>
      <c r="J65" s="926"/>
      <c r="K65" s="926"/>
      <c r="L65" s="926"/>
      <c r="M65" s="927"/>
      <c r="N65" s="926"/>
      <c r="O65" s="927"/>
      <c r="P65" s="926"/>
      <c r="Q65" s="927"/>
      <c r="R65" s="926"/>
      <c r="S65" s="927"/>
      <c r="T65" s="926"/>
      <c r="U65" s="927"/>
      <c r="V65" s="926"/>
      <c r="W65" s="927"/>
      <c r="X65" s="926"/>
      <c r="Y65" s="927"/>
      <c r="Z65" s="768"/>
    </row>
    <row r="66" spans="1:26">
      <c r="A66" s="924"/>
      <c r="B66" s="926"/>
      <c r="C66" s="926"/>
      <c r="D66" s="926"/>
      <c r="E66" s="927"/>
      <c r="F66" s="926"/>
      <c r="G66" s="927"/>
      <c r="H66" s="926"/>
      <c r="I66" s="927"/>
      <c r="J66" s="926"/>
      <c r="K66" s="926"/>
      <c r="L66" s="926"/>
      <c r="M66" s="927"/>
      <c r="N66" s="926"/>
      <c r="O66" s="927"/>
      <c r="P66" s="926"/>
      <c r="Q66" s="927"/>
      <c r="R66" s="926"/>
      <c r="S66" s="927"/>
      <c r="T66" s="926"/>
      <c r="U66" s="927"/>
      <c r="V66" s="926"/>
      <c r="W66" s="927"/>
      <c r="X66" s="926"/>
      <c r="Y66" s="927"/>
      <c r="Z66" s="768"/>
    </row>
    <row r="67" spans="1:26">
      <c r="A67" s="924"/>
      <c r="B67" s="926"/>
      <c r="C67" s="926"/>
      <c r="D67" s="926"/>
      <c r="E67" s="927"/>
      <c r="F67" s="926"/>
      <c r="G67" s="927"/>
      <c r="H67" s="926"/>
      <c r="I67" s="927"/>
      <c r="J67" s="926"/>
      <c r="K67" s="926"/>
      <c r="L67" s="926"/>
      <c r="M67" s="927"/>
      <c r="N67" s="926"/>
      <c r="O67" s="927"/>
      <c r="P67" s="926"/>
      <c r="Q67" s="927"/>
      <c r="R67" s="926"/>
      <c r="S67" s="927"/>
      <c r="T67" s="926"/>
      <c r="U67" s="927"/>
      <c r="V67" s="926"/>
      <c r="W67" s="927"/>
      <c r="X67" s="926"/>
      <c r="Y67" s="927"/>
      <c r="Z67" s="768"/>
    </row>
    <row r="68" spans="1:26">
      <c r="A68" s="924"/>
      <c r="B68" s="926"/>
      <c r="C68" s="926"/>
      <c r="D68" s="926"/>
      <c r="E68" s="927"/>
      <c r="F68" s="926"/>
      <c r="G68" s="927"/>
      <c r="H68" s="926"/>
      <c r="I68" s="927"/>
      <c r="J68" s="926"/>
      <c r="K68" s="926"/>
      <c r="L68" s="926"/>
      <c r="M68" s="927"/>
      <c r="N68" s="926"/>
      <c r="O68" s="927"/>
      <c r="P68" s="926"/>
      <c r="Q68" s="927"/>
      <c r="R68" s="926"/>
      <c r="S68" s="927"/>
      <c r="T68" s="926"/>
      <c r="U68" s="927"/>
      <c r="V68" s="926"/>
      <c r="W68" s="927"/>
      <c r="X68" s="926"/>
      <c r="Y68" s="927"/>
      <c r="Z68" s="768"/>
    </row>
    <row r="69" spans="1:26">
      <c r="A69" s="924"/>
      <c r="B69" s="926"/>
      <c r="C69" s="926"/>
      <c r="D69" s="926"/>
      <c r="E69" s="927"/>
      <c r="F69" s="926"/>
      <c r="G69" s="927"/>
      <c r="H69" s="926"/>
      <c r="I69" s="927"/>
      <c r="J69" s="926"/>
      <c r="K69" s="926"/>
      <c r="L69" s="926"/>
      <c r="M69" s="927"/>
      <c r="N69" s="926"/>
      <c r="O69" s="927"/>
      <c r="P69" s="926"/>
      <c r="Q69" s="927"/>
      <c r="R69" s="926"/>
      <c r="S69" s="927"/>
      <c r="T69" s="926"/>
      <c r="U69" s="927"/>
      <c r="V69" s="926"/>
      <c r="W69" s="927"/>
      <c r="X69" s="926"/>
      <c r="Y69" s="927"/>
      <c r="Z69" s="768"/>
    </row>
    <row r="70" spans="1:26">
      <c r="A70" s="924"/>
      <c r="B70" s="926"/>
      <c r="C70" s="926"/>
      <c r="D70" s="926"/>
      <c r="E70" s="927"/>
      <c r="F70" s="926"/>
      <c r="G70" s="927"/>
      <c r="H70" s="926"/>
      <c r="I70" s="927"/>
      <c r="J70" s="926"/>
      <c r="K70" s="926"/>
      <c r="L70" s="926"/>
      <c r="M70" s="927"/>
      <c r="N70" s="926"/>
      <c r="O70" s="927"/>
      <c r="P70" s="926"/>
      <c r="Q70" s="927"/>
      <c r="R70" s="926"/>
      <c r="S70" s="927"/>
      <c r="T70" s="926"/>
      <c r="U70" s="927"/>
      <c r="V70" s="926"/>
      <c r="W70" s="927"/>
      <c r="X70" s="926"/>
      <c r="Y70" s="927"/>
      <c r="Z70" s="768"/>
    </row>
    <row r="71" spans="1:26">
      <c r="A71" s="924"/>
      <c r="B71" s="926"/>
      <c r="C71" s="926"/>
      <c r="D71" s="926"/>
      <c r="E71" s="927"/>
      <c r="F71" s="926"/>
      <c r="G71" s="927"/>
      <c r="H71" s="926"/>
      <c r="I71" s="927"/>
      <c r="J71" s="926"/>
      <c r="K71" s="926"/>
      <c r="L71" s="926"/>
      <c r="M71" s="927"/>
      <c r="N71" s="926"/>
      <c r="O71" s="927"/>
      <c r="P71" s="926"/>
      <c r="Q71" s="927"/>
      <c r="R71" s="926"/>
      <c r="S71" s="927"/>
      <c r="T71" s="926"/>
      <c r="U71" s="927"/>
      <c r="V71" s="926"/>
      <c r="W71" s="927"/>
      <c r="X71" s="926"/>
      <c r="Y71" s="927"/>
      <c r="Z71" s="768"/>
    </row>
    <row r="72" spans="1:26">
      <c r="A72" s="924"/>
      <c r="B72" s="926"/>
      <c r="C72" s="926"/>
      <c r="D72" s="926"/>
      <c r="E72" s="927"/>
      <c r="F72" s="926"/>
      <c r="G72" s="927"/>
      <c r="H72" s="926"/>
      <c r="I72" s="927"/>
      <c r="J72" s="926"/>
      <c r="K72" s="926"/>
      <c r="L72" s="926"/>
      <c r="M72" s="927"/>
      <c r="N72" s="926"/>
      <c r="O72" s="927"/>
      <c r="P72" s="926"/>
      <c r="Q72" s="927"/>
      <c r="R72" s="926"/>
      <c r="S72" s="927"/>
      <c r="T72" s="926"/>
      <c r="U72" s="927"/>
      <c r="V72" s="926"/>
      <c r="W72" s="927"/>
      <c r="X72" s="926"/>
      <c r="Y72" s="927"/>
      <c r="Z72" s="768"/>
    </row>
    <row r="73" spans="1:26">
      <c r="A73" s="924"/>
      <c r="B73" s="926"/>
      <c r="C73" s="926"/>
      <c r="D73" s="926"/>
      <c r="E73" s="927"/>
      <c r="F73" s="926"/>
      <c r="G73" s="927"/>
      <c r="H73" s="926"/>
      <c r="I73" s="927"/>
      <c r="J73" s="926"/>
      <c r="K73" s="926"/>
      <c r="L73" s="926"/>
      <c r="M73" s="927"/>
      <c r="N73" s="926"/>
      <c r="O73" s="927"/>
      <c r="P73" s="926"/>
      <c r="Q73" s="927"/>
      <c r="R73" s="926"/>
      <c r="S73" s="927"/>
      <c r="T73" s="926"/>
      <c r="U73" s="927"/>
      <c r="V73" s="926"/>
      <c r="W73" s="927"/>
      <c r="X73" s="926"/>
      <c r="Y73" s="927"/>
      <c r="Z73" s="768"/>
    </row>
    <row r="74" spans="1:26">
      <c r="A74" s="924"/>
      <c r="B74" s="926"/>
      <c r="C74" s="926"/>
      <c r="D74" s="926"/>
      <c r="E74" s="927"/>
      <c r="F74" s="926"/>
      <c r="G74" s="927"/>
      <c r="H74" s="926"/>
      <c r="I74" s="927"/>
      <c r="J74" s="926"/>
      <c r="K74" s="926"/>
      <c r="L74" s="926"/>
      <c r="M74" s="927"/>
      <c r="N74" s="926"/>
      <c r="O74" s="927"/>
      <c r="P74" s="926"/>
      <c r="Q74" s="927"/>
      <c r="R74" s="926"/>
      <c r="S74" s="927"/>
      <c r="T74" s="926"/>
      <c r="U74" s="927"/>
      <c r="V74" s="926"/>
      <c r="W74" s="927"/>
      <c r="X74" s="926"/>
      <c r="Y74" s="927"/>
      <c r="Z74" s="768"/>
    </row>
    <row r="75" spans="1:26">
      <c r="A75" s="924"/>
      <c r="B75" s="926"/>
      <c r="C75" s="926"/>
      <c r="D75" s="926"/>
      <c r="E75" s="927"/>
      <c r="F75" s="926"/>
      <c r="G75" s="927"/>
      <c r="H75" s="926"/>
      <c r="I75" s="927"/>
      <c r="J75" s="926"/>
      <c r="K75" s="926"/>
      <c r="L75" s="926"/>
      <c r="M75" s="927"/>
      <c r="N75" s="926"/>
      <c r="O75" s="927"/>
      <c r="P75" s="926"/>
      <c r="Q75" s="927"/>
      <c r="R75" s="926"/>
      <c r="S75" s="927"/>
      <c r="T75" s="926"/>
      <c r="U75" s="927"/>
      <c r="V75" s="926"/>
      <c r="W75" s="927"/>
      <c r="X75" s="926"/>
      <c r="Y75" s="927"/>
      <c r="Z75" s="768"/>
    </row>
    <row r="76" spans="1:26">
      <c r="A76" s="924"/>
      <c r="B76" s="926"/>
      <c r="C76" s="926"/>
      <c r="D76" s="926"/>
      <c r="E76" s="927"/>
      <c r="F76" s="926"/>
      <c r="G76" s="927"/>
      <c r="H76" s="926"/>
      <c r="I76" s="927"/>
      <c r="J76" s="926"/>
      <c r="K76" s="926"/>
      <c r="L76" s="926"/>
      <c r="M76" s="927"/>
      <c r="N76" s="926"/>
      <c r="O76" s="927"/>
      <c r="P76" s="926"/>
      <c r="Q76" s="927"/>
      <c r="R76" s="926"/>
      <c r="S76" s="927"/>
      <c r="T76" s="926"/>
      <c r="U76" s="927"/>
      <c r="V76" s="926"/>
      <c r="W76" s="927"/>
      <c r="X76" s="926"/>
      <c r="Y76" s="927"/>
      <c r="Z76" s="768"/>
    </row>
    <row r="77" spans="1:26">
      <c r="A77" s="924"/>
      <c r="B77" s="926"/>
      <c r="C77" s="926"/>
      <c r="D77" s="926"/>
      <c r="E77" s="927"/>
      <c r="F77" s="926"/>
      <c r="G77" s="927"/>
      <c r="H77" s="926"/>
      <c r="I77" s="927"/>
      <c r="J77" s="926"/>
      <c r="K77" s="926"/>
      <c r="L77" s="926"/>
      <c r="M77" s="927"/>
      <c r="N77" s="926"/>
      <c r="O77" s="927"/>
      <c r="P77" s="926"/>
      <c r="Q77" s="927"/>
      <c r="R77" s="926"/>
      <c r="S77" s="927"/>
      <c r="T77" s="926"/>
      <c r="U77" s="927"/>
      <c r="V77" s="926"/>
      <c r="W77" s="927"/>
      <c r="X77" s="926"/>
      <c r="Y77" s="927"/>
      <c r="Z77" s="768"/>
    </row>
    <row r="78" spans="1:26">
      <c r="A78" s="924"/>
      <c r="B78" s="926"/>
      <c r="C78" s="926"/>
      <c r="D78" s="926"/>
      <c r="E78" s="927"/>
      <c r="F78" s="926"/>
      <c r="G78" s="927"/>
      <c r="H78" s="926"/>
      <c r="I78" s="927"/>
      <c r="J78" s="926"/>
      <c r="K78" s="926"/>
      <c r="L78" s="926"/>
      <c r="M78" s="927"/>
      <c r="N78" s="926"/>
      <c r="O78" s="927"/>
      <c r="P78" s="926"/>
      <c r="Q78" s="927"/>
      <c r="R78" s="926"/>
      <c r="S78" s="927"/>
      <c r="T78" s="926"/>
      <c r="U78" s="927"/>
      <c r="V78" s="926"/>
      <c r="W78" s="927"/>
      <c r="X78" s="926"/>
      <c r="Y78" s="927"/>
      <c r="Z78" s="768"/>
    </row>
    <row r="79" spans="1:26">
      <c r="A79" s="924"/>
      <c r="B79" s="926"/>
      <c r="C79" s="926"/>
      <c r="D79" s="926"/>
      <c r="E79" s="927"/>
      <c r="F79" s="926"/>
      <c r="G79" s="927"/>
      <c r="H79" s="926"/>
      <c r="I79" s="927"/>
      <c r="J79" s="926"/>
      <c r="K79" s="926"/>
      <c r="L79" s="926"/>
      <c r="M79" s="927"/>
      <c r="N79" s="926"/>
      <c r="O79" s="927"/>
      <c r="P79" s="926"/>
      <c r="Q79" s="927"/>
      <c r="R79" s="926"/>
      <c r="S79" s="927"/>
      <c r="T79" s="926"/>
      <c r="U79" s="927"/>
      <c r="V79" s="926"/>
      <c r="W79" s="927"/>
      <c r="X79" s="926"/>
      <c r="Y79" s="927"/>
      <c r="Z79" s="768"/>
    </row>
    <row r="80" spans="1:26">
      <c r="A80" s="924"/>
      <c r="B80" s="926"/>
      <c r="C80" s="926"/>
      <c r="D80" s="926"/>
      <c r="E80" s="927"/>
      <c r="F80" s="926"/>
      <c r="G80" s="927"/>
      <c r="H80" s="926"/>
      <c r="I80" s="927"/>
      <c r="J80" s="926"/>
      <c r="K80" s="926"/>
      <c r="L80" s="926"/>
      <c r="M80" s="927"/>
      <c r="N80" s="926"/>
      <c r="O80" s="927"/>
      <c r="P80" s="926"/>
      <c r="Q80" s="927"/>
      <c r="R80" s="926"/>
      <c r="S80" s="927"/>
      <c r="T80" s="926"/>
      <c r="U80" s="927"/>
      <c r="V80" s="926"/>
      <c r="W80" s="927"/>
      <c r="X80" s="926"/>
      <c r="Y80" s="927"/>
      <c r="Z80" s="768"/>
    </row>
    <row r="81" spans="1:26">
      <c r="A81" s="924"/>
      <c r="B81" s="926"/>
      <c r="C81" s="926"/>
      <c r="D81" s="926"/>
      <c r="E81" s="927"/>
      <c r="F81" s="926"/>
      <c r="G81" s="927"/>
      <c r="H81" s="926"/>
      <c r="I81" s="927"/>
      <c r="J81" s="926"/>
      <c r="K81" s="926"/>
      <c r="L81" s="926"/>
      <c r="M81" s="927"/>
      <c r="N81" s="926"/>
      <c r="O81" s="927"/>
      <c r="P81" s="926"/>
      <c r="Q81" s="927"/>
      <c r="R81" s="926"/>
      <c r="S81" s="927"/>
      <c r="T81" s="926"/>
      <c r="U81" s="927"/>
      <c r="V81" s="926"/>
      <c r="W81" s="927"/>
      <c r="X81" s="926"/>
      <c r="Y81" s="927"/>
      <c r="Z81" s="768"/>
    </row>
    <row r="82" spans="1:26">
      <c r="A82" s="924"/>
      <c r="B82" s="926"/>
      <c r="C82" s="926"/>
      <c r="D82" s="926"/>
      <c r="E82" s="927"/>
      <c r="F82" s="926"/>
      <c r="G82" s="927"/>
      <c r="H82" s="926"/>
      <c r="I82" s="927"/>
      <c r="J82" s="926"/>
      <c r="K82" s="926"/>
      <c r="L82" s="926"/>
      <c r="M82" s="927"/>
      <c r="N82" s="926"/>
      <c r="O82" s="927"/>
      <c r="P82" s="926"/>
      <c r="Q82" s="927"/>
      <c r="R82" s="926"/>
      <c r="S82" s="927"/>
      <c r="T82" s="926"/>
      <c r="U82" s="927"/>
      <c r="V82" s="926"/>
      <c r="W82" s="927"/>
      <c r="X82" s="926"/>
      <c r="Y82" s="927"/>
      <c r="Z82" s="768"/>
    </row>
    <row r="83" spans="1:26">
      <c r="A83" s="924"/>
      <c r="B83" s="926"/>
      <c r="C83" s="926"/>
      <c r="D83" s="926"/>
      <c r="E83" s="927"/>
      <c r="F83" s="926"/>
      <c r="G83" s="927"/>
      <c r="H83" s="926"/>
      <c r="I83" s="927"/>
      <c r="J83" s="926"/>
      <c r="K83" s="926"/>
      <c r="L83" s="926"/>
      <c r="M83" s="927"/>
      <c r="N83" s="926"/>
      <c r="O83" s="927"/>
      <c r="P83" s="926"/>
      <c r="Q83" s="927"/>
      <c r="R83" s="926"/>
      <c r="S83" s="927"/>
      <c r="T83" s="926"/>
      <c r="U83" s="927"/>
      <c r="V83" s="926"/>
      <c r="W83" s="927"/>
      <c r="X83" s="926"/>
      <c r="Y83" s="927"/>
      <c r="Z83" s="768"/>
    </row>
    <row r="84" spans="1:26">
      <c r="A84" s="924"/>
      <c r="B84" s="926"/>
      <c r="C84" s="926"/>
      <c r="D84" s="926"/>
      <c r="E84" s="927"/>
      <c r="F84" s="926"/>
      <c r="G84" s="927"/>
      <c r="H84" s="926"/>
      <c r="I84" s="927"/>
      <c r="J84" s="926"/>
      <c r="K84" s="926"/>
      <c r="L84" s="926"/>
      <c r="M84" s="927"/>
      <c r="N84" s="926"/>
      <c r="O84" s="927"/>
      <c r="P84" s="926"/>
      <c r="Q84" s="927"/>
      <c r="R84" s="926"/>
      <c r="S84" s="927"/>
      <c r="T84" s="926"/>
      <c r="U84" s="927"/>
      <c r="V84" s="926"/>
      <c r="W84" s="927"/>
      <c r="X84" s="926"/>
      <c r="Y84" s="927"/>
      <c r="Z84" s="768"/>
    </row>
    <row r="85" spans="1:26">
      <c r="A85" s="924"/>
      <c r="B85" s="926"/>
      <c r="C85" s="926"/>
      <c r="D85" s="926"/>
      <c r="E85" s="927"/>
      <c r="F85" s="926"/>
      <c r="G85" s="927"/>
      <c r="H85" s="926"/>
      <c r="I85" s="927"/>
      <c r="J85" s="926"/>
      <c r="K85" s="926"/>
      <c r="L85" s="926"/>
      <c r="M85" s="927"/>
      <c r="N85" s="926"/>
      <c r="O85" s="927"/>
      <c r="P85" s="926"/>
      <c r="Q85" s="927"/>
      <c r="R85" s="926"/>
      <c r="S85" s="927"/>
      <c r="T85" s="926"/>
      <c r="U85" s="927"/>
      <c r="V85" s="926"/>
      <c r="W85" s="927"/>
      <c r="X85" s="926"/>
      <c r="Y85" s="927"/>
      <c r="Z85" s="768"/>
    </row>
    <row r="86" spans="1:26">
      <c r="A86" s="924"/>
      <c r="B86" s="926"/>
      <c r="C86" s="926"/>
      <c r="D86" s="926"/>
      <c r="E86" s="927"/>
      <c r="F86" s="926"/>
      <c r="G86" s="927"/>
      <c r="H86" s="926"/>
      <c r="I86" s="927"/>
      <c r="J86" s="926"/>
      <c r="K86" s="926"/>
      <c r="L86" s="926"/>
      <c r="M86" s="927"/>
      <c r="N86" s="926"/>
      <c r="O86" s="927"/>
      <c r="P86" s="926"/>
      <c r="Q86" s="927"/>
      <c r="R86" s="926"/>
      <c r="S86" s="927"/>
      <c r="T86" s="926"/>
      <c r="U86" s="927"/>
      <c r="V86" s="926"/>
      <c r="W86" s="927"/>
      <c r="X86" s="926"/>
      <c r="Y86" s="927"/>
      <c r="Z86" s="768"/>
    </row>
    <row r="87" spans="1:26">
      <c r="A87" s="924"/>
      <c r="B87" s="926"/>
      <c r="C87" s="926"/>
      <c r="D87" s="926"/>
      <c r="E87" s="927"/>
      <c r="F87" s="926"/>
      <c r="G87" s="927"/>
      <c r="H87" s="926"/>
      <c r="I87" s="927"/>
      <c r="J87" s="926"/>
      <c r="K87" s="926"/>
      <c r="L87" s="926"/>
      <c r="M87" s="927"/>
      <c r="N87" s="926"/>
      <c r="O87" s="927"/>
      <c r="P87" s="926"/>
      <c r="Q87" s="927"/>
      <c r="R87" s="926"/>
      <c r="S87" s="927"/>
      <c r="T87" s="926"/>
      <c r="U87" s="927"/>
      <c r="V87" s="926"/>
      <c r="W87" s="927"/>
      <c r="X87" s="926"/>
      <c r="Y87" s="927"/>
      <c r="Z87" s="768"/>
    </row>
    <row r="88" spans="1:26">
      <c r="A88" s="924"/>
      <c r="B88" s="926"/>
      <c r="C88" s="926"/>
      <c r="D88" s="926"/>
      <c r="E88" s="927"/>
      <c r="F88" s="926"/>
      <c r="G88" s="927"/>
      <c r="H88" s="926"/>
      <c r="I88" s="927"/>
      <c r="J88" s="926"/>
      <c r="K88" s="926"/>
      <c r="L88" s="926"/>
      <c r="M88" s="927"/>
      <c r="N88" s="926"/>
      <c r="O88" s="927"/>
      <c r="P88" s="926"/>
      <c r="Q88" s="927"/>
      <c r="R88" s="926"/>
      <c r="S88" s="927"/>
      <c r="T88" s="926"/>
      <c r="U88" s="927"/>
      <c r="V88" s="926"/>
      <c r="W88" s="927"/>
      <c r="X88" s="926"/>
      <c r="Y88" s="927"/>
      <c r="Z88" s="768"/>
    </row>
    <row r="89" spans="1:26">
      <c r="A89" s="924"/>
      <c r="B89" s="926"/>
      <c r="C89" s="926"/>
      <c r="D89" s="926"/>
      <c r="E89" s="927"/>
      <c r="F89" s="926"/>
      <c r="G89" s="927"/>
      <c r="H89" s="926"/>
      <c r="I89" s="927"/>
      <c r="J89" s="926"/>
      <c r="K89" s="926"/>
      <c r="L89" s="926"/>
      <c r="M89" s="927"/>
      <c r="N89" s="926"/>
      <c r="O89" s="927"/>
      <c r="P89" s="926"/>
      <c r="Q89" s="927"/>
      <c r="R89" s="926"/>
      <c r="S89" s="927"/>
      <c r="T89" s="926"/>
      <c r="U89" s="927"/>
      <c r="V89" s="926"/>
      <c r="W89" s="927"/>
      <c r="X89" s="926"/>
      <c r="Y89" s="927"/>
      <c r="Z89" s="768"/>
    </row>
  </sheetData>
  <sortState ref="A19:AN28">
    <sortCondition ref="A19:A28"/>
  </sortState>
  <pageMargins left="0.1" right="0.1" top="0.75" bottom="0.25" header="0" footer="0.25"/>
  <pageSetup scale="45" firstPageNumber="5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workbookViewId="0"/>
  </sheetViews>
  <sheetFormatPr defaultColWidth="8.88671875" defaultRowHeight="15"/>
  <cols>
    <col min="1" max="1" width="36.77734375" style="233" customWidth="1"/>
    <col min="2" max="2" width="13.77734375" style="233" customWidth="1"/>
    <col min="3" max="3" width="1.6640625" style="233" customWidth="1"/>
    <col min="4" max="4" width="13.77734375" style="233" customWidth="1"/>
    <col min="5" max="5" width="1.5546875" style="233" customWidth="1"/>
    <col min="6" max="6" width="13.77734375" style="233" customWidth="1"/>
    <col min="7" max="7" width="1.6640625" style="233" customWidth="1"/>
    <col min="8" max="8" width="13.77734375" style="233" customWidth="1"/>
    <col min="9" max="9" width="0.77734375" style="233" customWidth="1"/>
    <col min="10" max="10" width="12.77734375" style="233" customWidth="1"/>
    <col min="11" max="11" width="1.5546875" style="233" customWidth="1"/>
    <col min="12" max="12" width="13.77734375" style="233" customWidth="1"/>
    <col min="13" max="13" width="1" style="233" customWidth="1"/>
    <col min="14" max="14" width="13.44140625" style="233" customWidth="1"/>
    <col min="15" max="15" width="1.33203125" style="233" customWidth="1"/>
    <col min="16" max="16" width="13.33203125" style="233" customWidth="1"/>
    <col min="17" max="17" width="1.5546875" style="233" customWidth="1"/>
    <col min="18" max="18" width="1" style="303" customWidth="1"/>
    <col min="19" max="19" width="11.88671875" style="233" customWidth="1"/>
    <col min="20" max="20" width="0.77734375" style="303" customWidth="1"/>
    <col min="21" max="21" width="10.88671875" style="233" customWidth="1"/>
    <col min="22" max="22" width="0.44140625" style="303" customWidth="1"/>
    <col min="23" max="16384" width="8.88671875" style="233"/>
  </cols>
  <sheetData>
    <row r="1" spans="1:254">
      <c r="A1" s="1159" t="s">
        <v>1090</v>
      </c>
    </row>
    <row r="2" spans="1:254">
      <c r="A2" s="1649"/>
    </row>
    <row r="3" spans="1:254" s="226" customFormat="1" ht="18" customHeight="1">
      <c r="A3" s="221" t="s">
        <v>0</v>
      </c>
      <c r="B3" s="221"/>
      <c r="C3" s="221"/>
      <c r="D3" s="221"/>
      <c r="E3" s="221"/>
      <c r="F3" s="222"/>
      <c r="G3" s="222"/>
      <c r="H3" s="221"/>
      <c r="I3" s="221"/>
      <c r="J3" s="221"/>
      <c r="K3" s="221"/>
      <c r="L3" s="221"/>
      <c r="M3" s="221"/>
      <c r="N3" s="793"/>
      <c r="O3" s="3493"/>
      <c r="P3" s="3493"/>
      <c r="Q3" s="2511"/>
      <c r="R3" s="2511"/>
      <c r="S3" s="223"/>
      <c r="T3" s="225"/>
      <c r="U3" s="3494" t="s">
        <v>63</v>
      </c>
      <c r="V3" s="3494"/>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75">
      <c r="A4" s="221" t="s">
        <v>362</v>
      </c>
      <c r="B4" s="221"/>
      <c r="C4" s="221"/>
      <c r="D4" s="221"/>
      <c r="E4" s="221"/>
      <c r="F4" s="222"/>
      <c r="G4" s="222"/>
      <c r="H4" s="221"/>
      <c r="I4" s="221"/>
      <c r="J4" s="221"/>
      <c r="K4" s="221"/>
      <c r="L4" s="221"/>
      <c r="M4" s="221"/>
      <c r="N4" s="221"/>
      <c r="O4" s="221"/>
      <c r="P4" s="221"/>
      <c r="Q4" s="221"/>
      <c r="R4" s="476"/>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75">
      <c r="A5" s="2512" t="s">
        <v>984</v>
      </c>
      <c r="B5" s="221"/>
      <c r="C5" s="221"/>
      <c r="D5" s="221"/>
      <c r="E5" s="221"/>
      <c r="F5" s="222"/>
      <c r="G5" s="222"/>
      <c r="H5" s="221"/>
      <c r="I5" s="221"/>
      <c r="J5" s="221"/>
      <c r="K5" s="221"/>
      <c r="L5" s="221"/>
      <c r="M5" s="221"/>
      <c r="N5" s="221"/>
      <c r="O5" s="221"/>
      <c r="P5" s="221" t="s">
        <v>15</v>
      </c>
      <c r="Q5" s="221"/>
      <c r="R5" s="476"/>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75">
      <c r="A6" s="221" t="s">
        <v>979</v>
      </c>
      <c r="B6" s="221"/>
      <c r="C6" s="221"/>
      <c r="D6" s="221"/>
      <c r="E6" s="221"/>
      <c r="F6" s="222"/>
      <c r="G6" s="222"/>
      <c r="H6" s="221"/>
      <c r="I6" s="221"/>
      <c r="J6" s="221"/>
      <c r="K6" s="221"/>
      <c r="L6" s="221"/>
      <c r="M6" s="221"/>
      <c r="N6" s="221"/>
      <c r="O6" s="221"/>
      <c r="P6" s="221"/>
      <c r="Q6" s="221"/>
      <c r="R6" s="476"/>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75">
      <c r="A7" s="227"/>
      <c r="B7" s="221"/>
      <c r="C7" s="221"/>
      <c r="D7" s="221"/>
      <c r="E7" s="221"/>
      <c r="F7" s="222"/>
      <c r="G7" s="222"/>
      <c r="H7" s="221"/>
      <c r="I7" s="221"/>
      <c r="J7" s="221"/>
      <c r="K7" s="221"/>
      <c r="L7" s="221"/>
      <c r="M7" s="221"/>
      <c r="N7" s="221"/>
      <c r="O7" s="221"/>
      <c r="P7" s="221"/>
      <c r="Q7" s="221"/>
      <c r="R7" s="476"/>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75">
      <c r="B8" s="221"/>
      <c r="C8" s="221"/>
      <c r="D8" s="221"/>
      <c r="E8" s="221"/>
      <c r="F8" s="222"/>
      <c r="G8" s="222"/>
      <c r="H8" s="221"/>
      <c r="I8" s="221"/>
      <c r="J8" s="221"/>
      <c r="K8" s="221"/>
      <c r="L8" s="221"/>
      <c r="M8" s="221"/>
      <c r="N8" s="221"/>
      <c r="O8" s="221"/>
      <c r="P8" s="221"/>
      <c r="Q8" s="221"/>
      <c r="R8" s="476"/>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6"/>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75">
      <c r="A10" s="223"/>
      <c r="B10" s="221"/>
      <c r="C10" s="221"/>
      <c r="D10" s="221"/>
      <c r="E10" s="221"/>
      <c r="F10" s="221"/>
      <c r="G10" s="222"/>
      <c r="H10" s="221"/>
      <c r="I10" s="221"/>
      <c r="J10" s="221"/>
      <c r="K10" s="221"/>
      <c r="L10" s="221"/>
      <c r="M10" s="221"/>
      <c r="N10" s="221"/>
      <c r="O10" s="221"/>
      <c r="P10" s="221"/>
      <c r="Q10" s="221"/>
      <c r="R10" s="476"/>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75">
      <c r="A11" s="223"/>
      <c r="B11" s="221"/>
      <c r="C11" s="221"/>
      <c r="D11" s="221"/>
      <c r="E11" s="221"/>
      <c r="F11" s="221"/>
      <c r="G11" s="222"/>
      <c r="H11" s="221"/>
      <c r="I11" s="221"/>
      <c r="K11" s="1435"/>
      <c r="L11" s="2528"/>
      <c r="M11" s="413"/>
      <c r="N11" s="1435"/>
      <c r="O11" s="1435"/>
      <c r="P11" s="1435"/>
      <c r="Q11" s="1435"/>
      <c r="R11" s="1462"/>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5" customHeight="1">
      <c r="A12" s="223"/>
      <c r="B12" s="1438"/>
      <c r="C12" s="1438" t="s">
        <v>64</v>
      </c>
      <c r="D12" s="1438"/>
      <c r="E12" s="221"/>
      <c r="F12" s="1435"/>
      <c r="G12" s="1435" t="s">
        <v>65</v>
      </c>
      <c r="H12" s="1435"/>
      <c r="I12" s="221"/>
      <c r="J12" s="1435"/>
      <c r="K12" s="1435"/>
      <c r="L12" s="2528"/>
      <c r="M12" s="1435" t="s">
        <v>66</v>
      </c>
      <c r="N12" s="1435"/>
      <c r="O12" s="1435"/>
      <c r="P12" s="1435"/>
      <c r="Q12" s="1435"/>
      <c r="R12" s="1462"/>
      <c r="S12" s="1880" t="s">
        <v>1202</v>
      </c>
      <c r="T12" s="1878"/>
      <c r="U12" s="1879"/>
      <c r="V12" s="231"/>
      <c r="W12" s="232"/>
      <c r="X12" s="232"/>
    </row>
    <row r="13" spans="1:254" ht="12.95" customHeight="1">
      <c r="A13" s="223"/>
      <c r="B13" s="234"/>
      <c r="C13" s="234"/>
      <c r="D13" s="234"/>
      <c r="E13" s="223"/>
      <c r="F13" s="234"/>
      <c r="G13" s="235"/>
      <c r="H13" s="234"/>
      <c r="I13" s="223"/>
      <c r="J13" s="234"/>
      <c r="K13" s="234"/>
      <c r="L13" s="234"/>
      <c r="M13" s="234"/>
      <c r="N13" s="234"/>
      <c r="O13" s="234"/>
      <c r="P13" s="234"/>
      <c r="Q13" s="228"/>
      <c r="R13" s="1906"/>
      <c r="S13" s="230"/>
      <c r="T13" s="236"/>
      <c r="U13" s="232"/>
      <c r="V13" s="236"/>
      <c r="W13" s="232"/>
      <c r="X13" s="232"/>
    </row>
    <row r="14" spans="1:254" ht="15.95" customHeight="1">
      <c r="A14" s="223"/>
      <c r="B14" s="1435" t="s">
        <v>7</v>
      </c>
      <c r="C14" s="221"/>
      <c r="D14" s="1435" t="s">
        <v>1551</v>
      </c>
      <c r="E14" s="221"/>
      <c r="F14" s="1435" t="s">
        <v>7</v>
      </c>
      <c r="G14" s="411"/>
      <c r="H14" s="1435" t="str">
        <f>D14</f>
        <v>10 MOS. ENDED</v>
      </c>
      <c r="I14" s="221"/>
      <c r="J14" s="1435" t="s">
        <v>7</v>
      </c>
      <c r="K14" s="221"/>
      <c r="L14" s="1435" t="str">
        <f>D14</f>
        <v>10 MOS. ENDED</v>
      </c>
      <c r="M14" s="221"/>
      <c r="N14" s="1435" t="s">
        <v>7</v>
      </c>
      <c r="O14" s="221"/>
      <c r="P14" s="1435" t="str">
        <f>H14</f>
        <v>10 MOS. ENDED</v>
      </c>
      <c r="Q14" s="1435"/>
      <c r="R14" s="1909"/>
      <c r="S14" s="1452" t="s">
        <v>8</v>
      </c>
      <c r="T14" s="412"/>
      <c r="U14" s="1453" t="s">
        <v>9</v>
      </c>
      <c r="V14" s="236"/>
      <c r="W14" s="232"/>
      <c r="X14" s="232"/>
    </row>
    <row r="15" spans="1:254" ht="15.95" customHeight="1">
      <c r="A15" s="223"/>
      <c r="B15" s="1436" t="s">
        <v>1550</v>
      </c>
      <c r="C15" s="221"/>
      <c r="D15" s="1437" t="s">
        <v>1552</v>
      </c>
      <c r="E15" s="221"/>
      <c r="F15" s="1435" t="str">
        <f>B15</f>
        <v>JAN. 2017</v>
      </c>
      <c r="G15" s="221"/>
      <c r="H15" s="1435" t="str">
        <f>D15</f>
        <v>JAN. 31, 2017</v>
      </c>
      <c r="I15" s="221"/>
      <c r="J15" s="1435" t="str">
        <f>B15</f>
        <v>JAN. 2017</v>
      </c>
      <c r="K15" s="221"/>
      <c r="L15" s="1435" t="str">
        <f>D15</f>
        <v>JAN. 31, 2017</v>
      </c>
      <c r="M15" s="221"/>
      <c r="N15" s="3472" t="s">
        <v>1553</v>
      </c>
      <c r="O15" s="221"/>
      <c r="P15" s="3472" t="s">
        <v>1554</v>
      </c>
      <c r="Q15" s="1434"/>
      <c r="R15" s="1910"/>
      <c r="S15" s="1458" t="s">
        <v>12</v>
      </c>
      <c r="T15" s="411"/>
      <c r="U15" s="1459" t="s">
        <v>13</v>
      </c>
      <c r="V15" s="236"/>
      <c r="W15" s="232"/>
      <c r="X15" s="232"/>
    </row>
    <row r="16" spans="1:254" ht="12.95" customHeight="1">
      <c r="A16" s="223"/>
      <c r="B16" s="234"/>
      <c r="C16" s="223"/>
      <c r="D16" s="234" t="s">
        <v>15</v>
      </c>
      <c r="E16" s="223"/>
      <c r="F16" s="234"/>
      <c r="G16" s="223"/>
      <c r="H16" s="235" t="s">
        <v>15</v>
      </c>
      <c r="I16" s="237"/>
      <c r="J16" s="238"/>
      <c r="K16" s="223"/>
      <c r="L16" s="234"/>
      <c r="M16" s="237"/>
      <c r="N16" s="228"/>
      <c r="O16" s="223"/>
      <c r="P16" s="228"/>
      <c r="Q16" s="228"/>
      <c r="R16" s="1906"/>
      <c r="S16" s="230"/>
      <c r="T16" s="228"/>
      <c r="U16" s="232"/>
      <c r="V16" s="228"/>
      <c r="W16" s="232"/>
      <c r="X16" s="232"/>
    </row>
    <row r="17" spans="1:247" ht="15.95" customHeight="1">
      <c r="A17" s="221" t="s">
        <v>14</v>
      </c>
      <c r="B17" s="239"/>
      <c r="C17" s="239"/>
      <c r="D17" s="239"/>
      <c r="E17" s="239"/>
      <c r="F17" s="239"/>
      <c r="G17" s="239"/>
      <c r="H17" s="239"/>
      <c r="I17" s="240"/>
      <c r="J17" s="240"/>
      <c r="K17" s="239"/>
      <c r="L17" s="239"/>
      <c r="M17" s="240"/>
      <c r="N17" s="241"/>
      <c r="O17" s="239"/>
      <c r="P17" s="241"/>
      <c r="Q17" s="241"/>
      <c r="R17" s="1911"/>
      <c r="S17" s="230"/>
      <c r="T17" s="241"/>
      <c r="U17" s="232"/>
      <c r="V17" s="241"/>
      <c r="W17" s="232"/>
      <c r="X17" s="232"/>
    </row>
    <row r="18" spans="1:247" ht="15.95" customHeight="1">
      <c r="A18" s="223" t="s">
        <v>20</v>
      </c>
      <c r="B18" s="1225">
        <f>'Exhibit J'!T19</f>
        <v>5.9</v>
      </c>
      <c r="C18" s="1225"/>
      <c r="D18" s="1889">
        <f>+'Exhibit J'!AA19</f>
        <v>50.9</v>
      </c>
      <c r="E18" s="1225"/>
      <c r="F18" s="1889">
        <f>'Exhibit K'!T17</f>
        <v>31.5</v>
      </c>
      <c r="G18" s="1225"/>
      <c r="H18" s="1889">
        <f>+'Exhibit K'!AA17</f>
        <v>319.8</v>
      </c>
      <c r="I18" s="2304"/>
      <c r="J18" s="2304">
        <f>ROUND(SUM(B18)+SUM(F18),1)</f>
        <v>37.4</v>
      </c>
      <c r="K18" s="1225"/>
      <c r="L18" s="2598">
        <f>ROUND(SUM(D18)+SUM(H18),1)</f>
        <v>370.7</v>
      </c>
      <c r="M18" s="2304"/>
      <c r="N18" s="1949">
        <v>47.8</v>
      </c>
      <c r="O18" s="1949"/>
      <c r="P18" s="1949">
        <v>446.9</v>
      </c>
      <c r="Q18" s="1889"/>
      <c r="R18" s="2599"/>
      <c r="S18" s="1225">
        <f>ROUND(SUM(L18-P18),1)</f>
        <v>-76.2</v>
      </c>
      <c r="T18" s="2280"/>
      <c r="U18" s="2670">
        <f>ROUND(+S18/P18,3)</f>
        <v>-0.17100000000000001</v>
      </c>
      <c r="V18" s="244"/>
      <c r="W18" s="245"/>
      <c r="X18" s="245"/>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243"/>
      <c r="HY18" s="243"/>
      <c r="HZ18" s="243"/>
      <c r="IA18" s="243"/>
      <c r="IB18" s="243"/>
      <c r="IC18" s="243"/>
      <c r="ID18" s="243"/>
      <c r="IE18" s="243"/>
      <c r="IF18" s="243"/>
      <c r="IG18" s="243"/>
      <c r="IH18" s="243"/>
      <c r="II18" s="243"/>
      <c r="IJ18" s="243"/>
      <c r="IK18" s="243"/>
      <c r="IL18" s="243"/>
      <c r="IM18" s="243"/>
    </row>
    <row r="19" spans="1:247" ht="15.95" customHeight="1">
      <c r="A19" s="1638" t="s">
        <v>67</v>
      </c>
      <c r="B19" s="1146">
        <f>'Exhibit J'!T20</f>
        <v>1.3</v>
      </c>
      <c r="C19" s="1146"/>
      <c r="D19" s="1823">
        <f>+'Exhibit J'!AA20</f>
        <v>16.600000000000001</v>
      </c>
      <c r="E19" s="1146"/>
      <c r="F19" s="1226">
        <v>0</v>
      </c>
      <c r="G19" s="1146"/>
      <c r="H19" s="1226">
        <v>0</v>
      </c>
      <c r="I19" s="2601"/>
      <c r="J19" s="2602">
        <f>ROUND(SUM(B19)+SUM(F19),1)</f>
        <v>1.3</v>
      </c>
      <c r="K19" s="1242"/>
      <c r="L19" s="1823">
        <f>ROUND(SUM(D19)+SUM(H19),1)</f>
        <v>16.600000000000001</v>
      </c>
      <c r="M19" s="2603"/>
      <c r="N19" s="1959">
        <v>1.6</v>
      </c>
      <c r="O19" s="1959"/>
      <c r="P19" s="1959">
        <v>26.6</v>
      </c>
      <c r="Q19" s="1823"/>
      <c r="R19" s="2604"/>
      <c r="S19" s="1146">
        <f>ROUND(SUM(L19-P19),1)</f>
        <v>-10</v>
      </c>
      <c r="T19" s="2605"/>
      <c r="U19" s="2906">
        <f>ROUND(+S19/P19,3)</f>
        <v>-0.376</v>
      </c>
      <c r="V19" s="252"/>
      <c r="W19" s="245"/>
      <c r="X19" s="245"/>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243"/>
      <c r="GS19" s="243"/>
      <c r="GT19" s="243"/>
      <c r="GU19" s="243"/>
      <c r="GV19" s="243"/>
      <c r="GW19" s="243"/>
      <c r="GX19" s="243"/>
      <c r="GY19" s="243"/>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c r="IJ19" s="243"/>
      <c r="IK19" s="243"/>
      <c r="IL19" s="243"/>
      <c r="IM19" s="243"/>
    </row>
    <row r="20" spans="1:247" ht="15.95" customHeight="1">
      <c r="A20" s="223" t="s">
        <v>68</v>
      </c>
      <c r="B20" s="1146">
        <f>'Exhibit J'!T21</f>
        <v>250.70000000000005</v>
      </c>
      <c r="C20" s="1146"/>
      <c r="D20" s="1823">
        <f>+'Exhibit J'!AA21</f>
        <v>1748.4</v>
      </c>
      <c r="E20" s="1146"/>
      <c r="F20" s="1226">
        <v>0</v>
      </c>
      <c r="G20" s="1146"/>
      <c r="H20" s="1226">
        <v>0</v>
      </c>
      <c r="I20" s="2601"/>
      <c r="J20" s="2606">
        <f>ROUND(SUM(B20+F20),1)</f>
        <v>250.7</v>
      </c>
      <c r="K20" s="1242"/>
      <c r="L20" s="1823">
        <f>ROUND(SUM(D20)+SUM(H20),1)</f>
        <v>1748.4</v>
      </c>
      <c r="M20" s="2603"/>
      <c r="N20" s="1959">
        <v>214.9</v>
      </c>
      <c r="O20" s="1970"/>
      <c r="P20" s="1959">
        <v>1831.4</v>
      </c>
      <c r="Q20" s="1823"/>
      <c r="R20" s="2604"/>
      <c r="S20" s="1146">
        <f>ROUND(SUM(L20-P20),1)</f>
        <v>-83</v>
      </c>
      <c r="T20" s="2605"/>
      <c r="U20" s="2670">
        <f>ROUND(+S20/P20,3)</f>
        <v>-4.4999999999999998E-2</v>
      </c>
      <c r="V20" s="252"/>
      <c r="W20" s="245"/>
      <c r="X20" s="245"/>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243"/>
      <c r="GS20" s="243"/>
      <c r="GT20" s="243"/>
      <c r="GU20" s="243"/>
      <c r="GV20" s="243"/>
      <c r="GW20" s="243"/>
      <c r="GX20" s="243"/>
      <c r="GY20" s="243"/>
      <c r="GZ20" s="243"/>
      <c r="HA20" s="243"/>
      <c r="HB20" s="243"/>
      <c r="HC20" s="243"/>
      <c r="HD20" s="243"/>
      <c r="HE20" s="243"/>
      <c r="HF20" s="243"/>
      <c r="HG20" s="243"/>
      <c r="HH20" s="243"/>
      <c r="HI20" s="243"/>
      <c r="HJ20" s="243"/>
      <c r="HK20" s="243"/>
      <c r="HL20" s="243"/>
      <c r="HM20" s="243"/>
      <c r="HN20" s="243"/>
      <c r="HO20" s="243"/>
      <c r="HP20" s="243"/>
      <c r="HQ20" s="243"/>
      <c r="HR20" s="243"/>
      <c r="HS20" s="243"/>
      <c r="HT20" s="243"/>
      <c r="HU20" s="243"/>
      <c r="HV20" s="243"/>
      <c r="HW20" s="243"/>
      <c r="HX20" s="243"/>
      <c r="HY20" s="243"/>
      <c r="HZ20" s="243"/>
      <c r="IA20" s="243"/>
      <c r="IB20" s="243"/>
      <c r="IC20" s="243"/>
      <c r="ID20" s="243"/>
      <c r="IE20" s="243"/>
      <c r="IF20" s="243"/>
      <c r="IG20" s="243"/>
      <c r="IH20" s="243"/>
      <c r="II20" s="243"/>
      <c r="IJ20" s="243"/>
      <c r="IK20" s="243"/>
      <c r="IL20" s="243"/>
      <c r="IM20" s="243"/>
    </row>
    <row r="21" spans="1:247" ht="15.75">
      <c r="A21" s="221" t="s">
        <v>22</v>
      </c>
      <c r="B21" s="255">
        <f>ROUND(SUM(B18:B20),1)</f>
        <v>257.89999999999998</v>
      </c>
      <c r="C21" s="1802"/>
      <c r="D21" s="255">
        <f>ROUND(SUM(D18:D20),1)</f>
        <v>1815.9</v>
      </c>
      <c r="E21" s="1802"/>
      <c r="F21" s="255">
        <f>ROUND(SUM(F18:F20),1)</f>
        <v>31.5</v>
      </c>
      <c r="G21" s="1802"/>
      <c r="H21" s="255">
        <f>ROUND(SUM(H18:H20),1)</f>
        <v>319.8</v>
      </c>
      <c r="I21" s="257"/>
      <c r="J21" s="255">
        <f>SUM(J18:J20)</f>
        <v>289.39999999999998</v>
      </c>
      <c r="K21" s="1802"/>
      <c r="L21" s="255">
        <f>SUM(L18:L20)</f>
        <v>2135.7000000000003</v>
      </c>
      <c r="M21" s="258"/>
      <c r="N21" s="525">
        <f>ROUND(SUM(N18:N20),1)</f>
        <v>264.3</v>
      </c>
      <c r="O21" s="311"/>
      <c r="P21" s="525">
        <f>ROUND(SUM(P18:P20),1)</f>
        <v>2304.9</v>
      </c>
      <c r="Q21" s="272"/>
      <c r="R21" s="655"/>
      <c r="S21" s="255">
        <f>ROUND(SUM(S18:S20),1)</f>
        <v>-169.2</v>
      </c>
      <c r="T21" s="1240"/>
      <c r="U21" s="2671">
        <f>ROUND(+S21/P21,3)</f>
        <v>-7.2999999999999995E-2</v>
      </c>
      <c r="V21" s="252"/>
      <c r="W21" s="232"/>
      <c r="X21" s="232"/>
    </row>
    <row r="22" spans="1:247" ht="15.75">
      <c r="A22" s="221"/>
      <c r="B22" s="1146"/>
      <c r="C22" s="1146"/>
      <c r="D22" s="1146"/>
      <c r="E22" s="1146"/>
      <c r="F22" s="1146"/>
      <c r="G22" s="1146"/>
      <c r="H22" s="1146"/>
      <c r="I22" s="2602"/>
      <c r="J22" s="2602"/>
      <c r="K22" s="1146"/>
      <c r="L22" s="1146"/>
      <c r="M22" s="2602"/>
      <c r="N22" s="1959"/>
      <c r="O22" s="1751"/>
      <c r="P22" s="1959"/>
      <c r="Q22" s="1823"/>
      <c r="R22" s="2604"/>
      <c r="S22" s="1798"/>
      <c r="T22" s="2607"/>
      <c r="U22" s="2672"/>
      <c r="V22" s="241"/>
      <c r="W22" s="232"/>
      <c r="X22" s="232"/>
    </row>
    <row r="23" spans="1:247" ht="15.95" customHeight="1">
      <c r="A23" s="221" t="s">
        <v>23</v>
      </c>
      <c r="B23" s="1146"/>
      <c r="C23" s="1146"/>
      <c r="D23" s="1146"/>
      <c r="E23" s="1146"/>
      <c r="F23" s="1146"/>
      <c r="G23" s="1146"/>
      <c r="H23" s="1146"/>
      <c r="I23" s="2602"/>
      <c r="J23" s="2602"/>
      <c r="K23" s="1146"/>
      <c r="L23" s="1146"/>
      <c r="M23" s="2602"/>
      <c r="N23" s="1959"/>
      <c r="O23" s="1751"/>
      <c r="P23" s="1959"/>
      <c r="Q23" s="1823"/>
      <c r="R23" s="2604"/>
      <c r="S23" s="1798"/>
      <c r="T23" s="2607"/>
      <c r="U23" s="2672"/>
      <c r="V23" s="241"/>
      <c r="W23" s="232"/>
      <c r="X23" s="232"/>
    </row>
    <row r="24" spans="1:247" ht="15.95" customHeight="1">
      <c r="A24" s="223" t="s">
        <v>36</v>
      </c>
      <c r="B24" s="1146"/>
      <c r="C24" s="1146"/>
      <c r="D24" s="1146"/>
      <c r="E24" s="1146"/>
      <c r="F24" s="1146"/>
      <c r="G24" s="1146"/>
      <c r="H24" s="1146"/>
      <c r="I24" s="2602"/>
      <c r="J24" s="2602"/>
      <c r="K24" s="1146"/>
      <c r="L24" s="1146"/>
      <c r="M24" s="2602"/>
      <c r="N24" s="1959"/>
      <c r="O24" s="1751"/>
      <c r="P24" s="1959"/>
      <c r="Q24" s="1823"/>
      <c r="R24" s="2604"/>
      <c r="S24" s="1798"/>
      <c r="T24" s="2607"/>
      <c r="U24" s="2672"/>
      <c r="V24" s="241"/>
      <c r="W24" s="232"/>
      <c r="X24" s="232"/>
    </row>
    <row r="25" spans="1:247" ht="15.95" customHeight="1">
      <c r="A25" s="223" t="s">
        <v>69</v>
      </c>
      <c r="B25" s="1146">
        <f>'Exhibit J'!T29</f>
        <v>0.4</v>
      </c>
      <c r="C25" s="1146"/>
      <c r="D25" s="1823">
        <f>+'Exhibit J'!AA29</f>
        <v>4.7</v>
      </c>
      <c r="E25" s="1146"/>
      <c r="F25" s="1146">
        <f>'Exhibit K'!T25</f>
        <v>7.1</v>
      </c>
      <c r="G25" s="1146"/>
      <c r="H25" s="1146">
        <f>+'Exhibit K'!AA25</f>
        <v>79.8</v>
      </c>
      <c r="I25" s="2602"/>
      <c r="J25" s="2602">
        <f>ROUND(SUM(B25)+SUM(F25),1)</f>
        <v>7.5</v>
      </c>
      <c r="K25" s="1146"/>
      <c r="L25" s="1823">
        <f>ROUND(SUM(D25)+SUM(H25),1)</f>
        <v>84.5</v>
      </c>
      <c r="M25" s="2602"/>
      <c r="N25" s="1959">
        <v>6.7</v>
      </c>
      <c r="O25" s="1959"/>
      <c r="P25" s="1959">
        <v>77.5</v>
      </c>
      <c r="Q25" s="1823"/>
      <c r="R25" s="2604"/>
      <c r="S25" s="1146">
        <f>ROUND(SUM(L25-P25),1)</f>
        <v>7</v>
      </c>
      <c r="T25" s="1240"/>
      <c r="U25" s="2670">
        <f>ROUND(+S25/P25,3)</f>
        <v>0.09</v>
      </c>
      <c r="V25" s="241"/>
      <c r="W25" s="232"/>
      <c r="X25" s="232"/>
    </row>
    <row r="26" spans="1:247" ht="15.95" customHeight="1">
      <c r="A26" s="223" t="s">
        <v>70</v>
      </c>
      <c r="B26" s="1146">
        <f>'Exhibit J'!T30</f>
        <v>4.2</v>
      </c>
      <c r="C26" s="1146"/>
      <c r="D26" s="1823">
        <f>+'Exhibit J'!AA30</f>
        <v>42.8</v>
      </c>
      <c r="E26" s="1146"/>
      <c r="F26" s="1146">
        <f>'Exhibit K'!T26</f>
        <v>27.8</v>
      </c>
      <c r="G26" s="1146"/>
      <c r="H26" s="1146">
        <f>+'Exhibit K'!AA26</f>
        <v>344.4</v>
      </c>
      <c r="I26" s="2602"/>
      <c r="J26" s="2602">
        <f>ROUND(SUM(B26)+SUM(F26),1)</f>
        <v>32</v>
      </c>
      <c r="K26" s="1146"/>
      <c r="L26" s="1823">
        <f>ROUND(SUM(D26)+SUM(H26),1)</f>
        <v>387.2</v>
      </c>
      <c r="M26" s="2602"/>
      <c r="N26" s="1959">
        <v>59.4</v>
      </c>
      <c r="O26" s="1959"/>
      <c r="P26" s="1959">
        <v>457.7</v>
      </c>
      <c r="Q26" s="1823"/>
      <c r="R26" s="2604"/>
      <c r="S26" s="1146">
        <f>ROUND(SUM(L26-P26),1)</f>
        <v>-70.5</v>
      </c>
      <c r="T26" s="1240"/>
      <c r="U26" s="2670">
        <f>ROUND(+S26/P26,3)</f>
        <v>-0.154</v>
      </c>
      <c r="V26" s="241"/>
      <c r="W26" s="232"/>
      <c r="X26" s="232"/>
    </row>
    <row r="27" spans="1:247" ht="15.95" customHeight="1">
      <c r="A27" s="223" t="s">
        <v>71</v>
      </c>
      <c r="B27" s="1146">
        <f>'Exhibit J'!T31</f>
        <v>0</v>
      </c>
      <c r="C27" s="1146"/>
      <c r="D27" s="1823">
        <f>+'Exhibit J'!AA31</f>
        <v>0.6</v>
      </c>
      <c r="E27" s="1823"/>
      <c r="F27" s="1146">
        <f>'Exhibit K'!T27</f>
        <v>2.1</v>
      </c>
      <c r="G27" s="1146"/>
      <c r="H27" s="2608">
        <f>+'Exhibit K'!AA27</f>
        <v>37.4</v>
      </c>
      <c r="I27" s="1823"/>
      <c r="J27" s="2602">
        <f>ROUND(SUM(B27)+SUM(F27),1)</f>
        <v>2.1</v>
      </c>
      <c r="K27" s="1146"/>
      <c r="L27" s="1823">
        <f>ROUND(SUM(D27)+SUM(H27),1)</f>
        <v>38</v>
      </c>
      <c r="M27" s="2602"/>
      <c r="N27" s="3155">
        <v>0</v>
      </c>
      <c r="O27" s="1970"/>
      <c r="P27" s="1959">
        <v>32</v>
      </c>
      <c r="Q27" s="1823"/>
      <c r="R27" s="2604"/>
      <c r="S27" s="1146">
        <f>ROUND(SUM(L27-P27),1)</f>
        <v>6</v>
      </c>
      <c r="T27" s="1240"/>
      <c r="U27" s="2670">
        <f>ROUND(+S27/P27,3)</f>
        <v>0.188</v>
      </c>
      <c r="V27" s="241"/>
      <c r="W27" s="232"/>
      <c r="X27" s="232"/>
    </row>
    <row r="28" spans="1:247" ht="15.75" customHeight="1">
      <c r="A28" s="1638" t="s">
        <v>72</v>
      </c>
      <c r="B28" s="1146">
        <f>'Exhibit J'!T32</f>
        <v>252.39999999999986</v>
      </c>
      <c r="C28" s="1146"/>
      <c r="D28" s="1823">
        <f>+'Exhibit J'!AA32</f>
        <v>1809.6</v>
      </c>
      <c r="E28" s="1146"/>
      <c r="F28" s="1827">
        <v>0</v>
      </c>
      <c r="G28" s="1146"/>
      <c r="H28" s="2610">
        <v>0</v>
      </c>
      <c r="I28" s="1823"/>
      <c r="J28" s="2602">
        <f>ROUND(SUM(B28)+SUM(F28),1)</f>
        <v>252.4</v>
      </c>
      <c r="K28" s="2268"/>
      <c r="L28" s="1823">
        <f>ROUND(SUM(D28)+SUM(H28),1)</f>
        <v>1809.6</v>
      </c>
      <c r="M28" s="2611"/>
      <c r="N28" s="1976">
        <v>215.3</v>
      </c>
      <c r="O28" s="1966"/>
      <c r="P28" s="1976">
        <v>1832.5</v>
      </c>
      <c r="Q28" s="1892"/>
      <c r="R28" s="2612"/>
      <c r="S28" s="1146">
        <f>ROUND(SUM(L28-P28),1)</f>
        <v>-22.9</v>
      </c>
      <c r="T28" s="1240"/>
      <c r="U28" s="2670">
        <f>ROUND(+S28/P28,3)</f>
        <v>-1.2E-2</v>
      </c>
      <c r="V28" s="252"/>
      <c r="W28" s="232"/>
      <c r="X28" s="232"/>
    </row>
    <row r="29" spans="1:247" ht="15.75">
      <c r="A29" s="221" t="s">
        <v>59</v>
      </c>
      <c r="B29" s="255">
        <f>ROUND(SUM(B25:B28),1)</f>
        <v>257</v>
      </c>
      <c r="C29" s="1802"/>
      <c r="D29" s="255">
        <f>ROUND(SUM(D25:D28),1)</f>
        <v>1857.7</v>
      </c>
      <c r="E29" s="1802"/>
      <c r="F29" s="255">
        <f>ROUND(SUM(F24:F28),1)</f>
        <v>37</v>
      </c>
      <c r="G29" s="1802"/>
      <c r="H29" s="255">
        <f>ROUND(SUM(H25:H28),1)</f>
        <v>461.6</v>
      </c>
      <c r="I29" s="257"/>
      <c r="J29" s="267">
        <f>ROUND(SUM(J25:J28),1)</f>
        <v>294</v>
      </c>
      <c r="K29" s="1802"/>
      <c r="L29" s="268">
        <f>ROUND(SUM(L25:L28),1)</f>
        <v>2319.3000000000002</v>
      </c>
      <c r="M29" s="258"/>
      <c r="N29" s="525">
        <f>ROUND(SUM(N25:N28),1)</f>
        <v>281.39999999999998</v>
      </c>
      <c r="O29" s="311"/>
      <c r="P29" s="525">
        <f>ROUND(SUM(P25:P28),1)</f>
        <v>2399.6999999999998</v>
      </c>
      <c r="Q29" s="272"/>
      <c r="R29" s="655"/>
      <c r="S29" s="255">
        <f>ROUND(SUM(S25:S28),1)</f>
        <v>-80.400000000000006</v>
      </c>
      <c r="T29" s="1240"/>
      <c r="U29" s="2673">
        <f>ROUND(+S29/P29,3)</f>
        <v>-3.4000000000000002E-2</v>
      </c>
      <c r="V29" s="252"/>
      <c r="W29" s="232"/>
      <c r="X29" s="232"/>
    </row>
    <row r="30" spans="1:247" ht="15.75">
      <c r="A30" s="221"/>
      <c r="B30" s="1146"/>
      <c r="C30" s="1146"/>
      <c r="D30" s="1146"/>
      <c r="E30" s="1146"/>
      <c r="F30" s="1146"/>
      <c r="G30" s="1146"/>
      <c r="H30" s="1146"/>
      <c r="I30" s="2602"/>
      <c r="J30" s="2602"/>
      <c r="K30" s="1146"/>
      <c r="L30" s="1146"/>
      <c r="M30" s="2602"/>
      <c r="N30" s="1959"/>
      <c r="O30" s="1751"/>
      <c r="P30" s="1959"/>
      <c r="Q30" s="1823"/>
      <c r="R30" s="2604"/>
      <c r="S30" s="1798"/>
      <c r="T30" s="2607"/>
      <c r="U30" s="2672"/>
      <c r="V30" s="241"/>
      <c r="W30" s="232"/>
      <c r="X30" s="232"/>
    </row>
    <row r="31" spans="1:247" ht="15.95" customHeight="1">
      <c r="A31" s="221" t="s">
        <v>44</v>
      </c>
      <c r="B31" s="1146"/>
      <c r="C31" s="1146"/>
      <c r="D31" s="1146"/>
      <c r="E31" s="1146"/>
      <c r="F31" s="1146"/>
      <c r="G31" s="1146"/>
      <c r="H31" s="1146"/>
      <c r="I31" s="2602"/>
      <c r="J31" s="2602"/>
      <c r="K31" s="1146"/>
      <c r="L31" s="1146"/>
      <c r="M31" s="2602"/>
      <c r="N31" s="1959"/>
      <c r="O31" s="1751"/>
      <c r="P31" s="1959"/>
      <c r="Q31" s="1823"/>
      <c r="R31" s="2604"/>
      <c r="S31" s="1798"/>
      <c r="T31" s="2607"/>
      <c r="U31" s="2672"/>
      <c r="V31" s="241"/>
      <c r="W31" s="232"/>
      <c r="X31" s="232"/>
    </row>
    <row r="32" spans="1:247" ht="15.75">
      <c r="A32" s="221" t="s">
        <v>73</v>
      </c>
      <c r="B32" s="269">
        <f>ROUND(SUM(B21-B29),1)</f>
        <v>0.9</v>
      </c>
      <c r="C32" s="1802"/>
      <c r="D32" s="270">
        <f>ROUND(SUM(D21-D29),1)</f>
        <v>-41.8</v>
      </c>
      <c r="E32" s="1802"/>
      <c r="F32" s="270">
        <f>ROUND(SUM(F21-F29),1)</f>
        <v>-5.5</v>
      </c>
      <c r="G32" s="1802"/>
      <c r="H32" s="270">
        <f>ROUND(SUM(H21-H29),1)</f>
        <v>-141.80000000000001</v>
      </c>
      <c r="I32" s="258"/>
      <c r="J32" s="271">
        <f>ROUND(SUM(J21-J29),1)</f>
        <v>-4.5999999999999996</v>
      </c>
      <c r="K32" s="1802"/>
      <c r="L32" s="270">
        <f>ROUND(SUM(L21-L29),1)</f>
        <v>-183.6</v>
      </c>
      <c r="M32" s="258"/>
      <c r="N32" s="312">
        <f>ROUND(SUM(N21-N29),1)</f>
        <v>-17.100000000000001</v>
      </c>
      <c r="O32" s="314"/>
      <c r="P32" s="312">
        <f>ROUND(SUM(P21-P29),1)</f>
        <v>-94.8</v>
      </c>
      <c r="Q32" s="272"/>
      <c r="R32" s="655"/>
      <c r="S32" s="270">
        <f>ROUND(SUM(S21-S29),1)</f>
        <v>-88.8</v>
      </c>
      <c r="T32" s="2607"/>
      <c r="U32" s="3167">
        <f>-ROUND(+S32/P32,3)</f>
        <v>-0.93700000000000006</v>
      </c>
      <c r="V32" s="241"/>
      <c r="W32" s="232"/>
      <c r="X32" s="232"/>
    </row>
    <row r="33" spans="1:247">
      <c r="A33" s="223"/>
      <c r="B33" s="1146"/>
      <c r="C33" s="1146"/>
      <c r="D33" s="1146"/>
      <c r="E33" s="1146"/>
      <c r="F33" s="1146"/>
      <c r="G33" s="1146"/>
      <c r="H33" s="1146"/>
      <c r="I33" s="2602"/>
      <c r="J33" s="2602"/>
      <c r="K33" s="1146"/>
      <c r="L33" s="1146"/>
      <c r="M33" s="2602"/>
      <c r="N33" s="1959"/>
      <c r="O33" s="1751"/>
      <c r="P33" s="1959"/>
      <c r="Q33" s="1823"/>
      <c r="R33" s="2604"/>
      <c r="S33" s="1798"/>
      <c r="T33" s="2607"/>
      <c r="U33" s="2672"/>
      <c r="V33" s="241"/>
      <c r="W33" s="232"/>
      <c r="X33" s="232"/>
    </row>
    <row r="34" spans="1:247" ht="15.95" customHeight="1">
      <c r="A34" s="221" t="s">
        <v>46</v>
      </c>
      <c r="B34" s="1146"/>
      <c r="C34" s="1146"/>
      <c r="D34" s="1146"/>
      <c r="E34" s="1146"/>
      <c r="F34" s="1146"/>
      <c r="G34" s="1146"/>
      <c r="H34" s="1146"/>
      <c r="I34" s="2602"/>
      <c r="J34" s="2602"/>
      <c r="K34" s="1146"/>
      <c r="L34" s="1146"/>
      <c r="M34" s="2602"/>
      <c r="N34" s="1959"/>
      <c r="O34" s="1751"/>
      <c r="P34" s="1959"/>
      <c r="Q34" s="1823"/>
      <c r="R34" s="2604"/>
      <c r="S34" s="1798"/>
      <c r="T34" s="2607"/>
      <c r="U34" s="2672"/>
      <c r="V34" s="241"/>
      <c r="W34" s="232"/>
      <c r="X34" s="232"/>
    </row>
    <row r="35" spans="1:247" ht="15.95" customHeight="1">
      <c r="A35" s="223" t="s">
        <v>48</v>
      </c>
      <c r="B35" s="1827">
        <f>+'Exhibit J'!TH4</f>
        <v>0</v>
      </c>
      <c r="C35" s="1146"/>
      <c r="D35" s="1827">
        <f>+'Exhibit J'!AA44</f>
        <v>0</v>
      </c>
      <c r="E35" s="1146"/>
      <c r="F35" s="1146">
        <f>'Exhibit K'!T39</f>
        <v>2.2000000000000002</v>
      </c>
      <c r="G35" s="1299"/>
      <c r="H35" s="2613">
        <f>+'Exhibit K'!AA39</f>
        <v>31.6</v>
      </c>
      <c r="I35" s="2602"/>
      <c r="J35" s="2602">
        <f>ROUND(SUM(B35)+SUM(F35),1)</f>
        <v>2.2000000000000002</v>
      </c>
      <c r="K35" s="1299"/>
      <c r="L35" s="2608">
        <f>ROUND(SUM(D35)+SUM(H35),1)</f>
        <v>31.6</v>
      </c>
      <c r="M35" s="1823"/>
      <c r="N35" s="3155">
        <v>3.9</v>
      </c>
      <c r="O35" s="1959"/>
      <c r="P35" s="3155">
        <v>48.4</v>
      </c>
      <c r="Q35" s="2609"/>
      <c r="R35" s="2614"/>
      <c r="S35" s="1146">
        <f>ROUND(SUM(L35-P35),1)</f>
        <v>-16.8</v>
      </c>
      <c r="T35" s="1240"/>
      <c r="U35" s="2596">
        <f>ROUND(IF(S35=0,0,S35/(P35)),3)</f>
        <v>-0.34699999999999998</v>
      </c>
      <c r="V35" s="277"/>
      <c r="W35" s="232"/>
      <c r="X35" s="232"/>
    </row>
    <row r="36" spans="1:247" ht="15.95" customHeight="1">
      <c r="A36" s="223" t="s">
        <v>74</v>
      </c>
      <c r="B36" s="2615">
        <f>+'Exhibit J'!T45</f>
        <v>0</v>
      </c>
      <c r="C36" s="1753"/>
      <c r="D36" s="2616">
        <f>+'Exhibit J'!AA45</f>
        <v>0</v>
      </c>
      <c r="E36" s="1146"/>
      <c r="F36" s="1146">
        <f>'Exhibit K'!T40</f>
        <v>-2.7</v>
      </c>
      <c r="G36" s="1146"/>
      <c r="H36" s="2613">
        <f>+'Exhibit K'!AA40</f>
        <v>-10.6</v>
      </c>
      <c r="I36" s="2617"/>
      <c r="J36" s="2602">
        <f>ROUND(SUM(B36)+SUM(F36),1)</f>
        <v>-2.7</v>
      </c>
      <c r="K36" s="1146"/>
      <c r="L36" s="1823">
        <f>ROUND(SUM(D36)+SUM(H36),1)</f>
        <v>-10.6</v>
      </c>
      <c r="M36" s="2602"/>
      <c r="N36" s="3156">
        <v>-0.1</v>
      </c>
      <c r="O36" s="1970"/>
      <c r="P36" s="3157">
        <v>-10</v>
      </c>
      <c r="Q36" s="2609"/>
      <c r="R36" s="2614"/>
      <c r="S36" s="2675">
        <f>ROUND(SUM(L36-P36),1)*-1</f>
        <v>0.6</v>
      </c>
      <c r="T36" s="1240"/>
      <c r="U36" s="2596">
        <f>ROUND(IF(S36=0,0,S36/ABS(P36)),3)</f>
        <v>0.06</v>
      </c>
      <c r="V36" s="276"/>
      <c r="W36" s="232"/>
      <c r="X36" s="232"/>
    </row>
    <row r="37" spans="1:247" ht="15.75">
      <c r="A37" s="221" t="s">
        <v>50</v>
      </c>
      <c r="B37" s="280">
        <f>ROUND(SUM(B35:B36),1)</f>
        <v>0</v>
      </c>
      <c r="C37" s="281"/>
      <c r="D37" s="280">
        <f>ROUND(SUM(D35:D36),1)</f>
        <v>0</v>
      </c>
      <c r="E37" s="1802"/>
      <c r="F37" s="282">
        <f>ROUND(SUM(F35:F36),1)</f>
        <v>-0.5</v>
      </c>
      <c r="G37" s="283"/>
      <c r="H37" s="284">
        <f>ROUND(SUM(H35:H36),1)</f>
        <v>21</v>
      </c>
      <c r="I37" s="272"/>
      <c r="J37" s="285">
        <f>ROUND(SUM(J35:J36),1)</f>
        <v>-0.5</v>
      </c>
      <c r="K37" s="283"/>
      <c r="L37" s="284">
        <f>ROUND(SUM(L35:L36),1)</f>
        <v>21</v>
      </c>
      <c r="M37" s="258"/>
      <c r="N37" s="3158">
        <f>ROUND(SUM(N35:N36),1)</f>
        <v>3.8</v>
      </c>
      <c r="O37" s="311"/>
      <c r="P37" s="3158">
        <f>ROUND(SUM(P35:P36),1)</f>
        <v>38.4</v>
      </c>
      <c r="Q37" s="1902"/>
      <c r="R37" s="1912"/>
      <c r="S37" s="282">
        <f>ROUND(SUM(S35-S36),1)</f>
        <v>-17.399999999999999</v>
      </c>
      <c r="T37" s="2618"/>
      <c r="U37" s="526">
        <f>ROUND(SUM(S37/P37),3)</f>
        <v>-0.45300000000000001</v>
      </c>
      <c r="V37" s="286"/>
      <c r="W37" s="232"/>
      <c r="X37" s="232"/>
    </row>
    <row r="38" spans="1:247" ht="15.75">
      <c r="A38" s="221"/>
      <c r="B38" s="1319"/>
      <c r="C38" s="1146"/>
      <c r="D38" s="1319"/>
      <c r="E38" s="1146"/>
      <c r="F38" s="1823"/>
      <c r="G38" s="1146"/>
      <c r="H38" s="1823"/>
      <c r="I38" s="2602"/>
      <c r="J38" s="2602"/>
      <c r="K38" s="1146"/>
      <c r="L38" s="1319"/>
      <c r="M38" s="2602"/>
      <c r="N38" s="1959"/>
      <c r="O38" s="1751"/>
      <c r="P38" s="1959"/>
      <c r="Q38" s="1823"/>
      <c r="R38" s="2604"/>
      <c r="S38" s="1798"/>
      <c r="T38" s="2607"/>
      <c r="U38" s="1649"/>
      <c r="V38" s="241"/>
      <c r="W38" s="232"/>
      <c r="X38" s="232"/>
    </row>
    <row r="39" spans="1:247" ht="15.75" customHeight="1">
      <c r="A39" s="221" t="s">
        <v>44</v>
      </c>
      <c r="B39" s="1146"/>
      <c r="C39" s="1146"/>
      <c r="D39" s="1146"/>
      <c r="E39" s="1146"/>
      <c r="F39" s="1146"/>
      <c r="G39" s="1146"/>
      <c r="H39" s="1146"/>
      <c r="I39" s="2602"/>
      <c r="J39" s="2602"/>
      <c r="K39" s="1146"/>
      <c r="L39" s="1146"/>
      <c r="M39" s="2602"/>
      <c r="N39" s="1959"/>
      <c r="O39" s="1751"/>
      <c r="P39" s="1959"/>
      <c r="Q39" s="1823"/>
      <c r="R39" s="2604"/>
      <c r="S39" s="1798"/>
      <c r="T39" s="2607"/>
      <c r="U39" s="1649"/>
      <c r="V39" s="241"/>
      <c r="W39" s="232"/>
      <c r="X39" s="232"/>
    </row>
    <row r="40" spans="1:247" ht="15.75" customHeight="1">
      <c r="A40" s="221" t="s">
        <v>75</v>
      </c>
      <c r="B40" s="1146"/>
      <c r="C40" s="1146"/>
      <c r="D40" s="1146"/>
      <c r="E40" s="1146"/>
      <c r="F40" s="1146"/>
      <c r="G40" s="1146"/>
      <c r="H40" s="1146"/>
      <c r="I40" s="2602"/>
      <c r="J40" s="2602"/>
      <c r="K40" s="1146"/>
      <c r="L40" s="1146"/>
      <c r="M40" s="2602"/>
      <c r="N40" s="1959"/>
      <c r="O40" s="1751"/>
      <c r="P40" s="1959"/>
      <c r="Q40" s="1823"/>
      <c r="R40" s="2604"/>
      <c r="S40" s="1798"/>
      <c r="T40" s="2607"/>
      <c r="U40" s="1649"/>
      <c r="V40" s="241"/>
      <c r="W40" s="232"/>
      <c r="X40" s="232"/>
    </row>
    <row r="41" spans="1:247" ht="15.75" customHeight="1">
      <c r="A41" s="221" t="s">
        <v>76</v>
      </c>
      <c r="B41" s="1146"/>
      <c r="C41" s="1146"/>
      <c r="D41" s="1146"/>
      <c r="E41" s="1146"/>
      <c r="F41" s="1146"/>
      <c r="G41" s="1146"/>
      <c r="H41" s="1146"/>
      <c r="I41" s="2602"/>
      <c r="J41" s="2602"/>
      <c r="K41" s="1146"/>
      <c r="L41" s="1146"/>
      <c r="M41" s="2602"/>
      <c r="N41" s="1959"/>
      <c r="O41" s="1751"/>
      <c r="P41" s="1959"/>
      <c r="Q41" s="1823"/>
      <c r="R41" s="2604"/>
      <c r="S41" s="1798"/>
      <c r="T41" s="2607"/>
      <c r="U41" s="1649"/>
      <c r="V41" s="241"/>
      <c r="W41" s="232"/>
      <c r="X41" s="232"/>
    </row>
    <row r="42" spans="1:247" ht="15.75" customHeight="1">
      <c r="A42" s="221" t="s">
        <v>77</v>
      </c>
      <c r="B42" s="288">
        <f>ROUND(SUM(B32,B37),1)</f>
        <v>0.9</v>
      </c>
      <c r="C42" s="1802"/>
      <c r="D42" s="288">
        <f>ROUND(SUM(D32,D37),1)</f>
        <v>-41.8</v>
      </c>
      <c r="E42" s="1802"/>
      <c r="F42" s="288">
        <f>ROUND(SUM(F32,F37),1)</f>
        <v>-6</v>
      </c>
      <c r="G42" s="1802"/>
      <c r="H42" s="288">
        <f>ROUND(SUM(H32,H37),1)</f>
        <v>-120.8</v>
      </c>
      <c r="I42" s="289"/>
      <c r="J42" s="288">
        <f>ROUND(SUM(J32,J37),1)</f>
        <v>-5.0999999999999996</v>
      </c>
      <c r="K42" s="1802"/>
      <c r="L42" s="288">
        <f>ROUND(SUM(L32,L37),1)</f>
        <v>-162.6</v>
      </c>
      <c r="M42" s="258"/>
      <c r="N42" s="3159">
        <f>ROUND(SUM(N32,N37),1)</f>
        <v>-13.3</v>
      </c>
      <c r="O42" s="311"/>
      <c r="P42" s="3159">
        <f>ROUND(SUM(P32,P37),1)</f>
        <v>-56.4</v>
      </c>
      <c r="Q42" s="288"/>
      <c r="R42" s="1913"/>
      <c r="S42" s="288">
        <f>ROUND(SUM(S32,S37),1)</f>
        <v>-106.2</v>
      </c>
      <c r="T42" s="290"/>
      <c r="U42" s="2789">
        <f>ROUND(IF(S42=0,0,S42/ABS(P42)),3)</f>
        <v>-1.883</v>
      </c>
      <c r="V42" s="241"/>
      <c r="W42" s="232"/>
      <c r="X42" s="232"/>
    </row>
    <row r="43" spans="1:247" ht="15.75">
      <c r="A43" s="221"/>
      <c r="B43" s="1146"/>
      <c r="C43" s="1146"/>
      <c r="D43" s="1146"/>
      <c r="E43" s="1146"/>
      <c r="F43" s="1146"/>
      <c r="G43" s="1146"/>
      <c r="H43" s="1146"/>
      <c r="I43" s="2602"/>
      <c r="J43" s="2602"/>
      <c r="K43" s="1146"/>
      <c r="L43" s="1146"/>
      <c r="M43" s="2602"/>
      <c r="N43" s="1959"/>
      <c r="O43" s="1751"/>
      <c r="P43" s="1959"/>
      <c r="Q43" s="1823"/>
      <c r="R43" s="2604"/>
      <c r="S43" s="1798"/>
      <c r="T43" s="2607"/>
      <c r="U43" s="1798"/>
      <c r="V43" s="241"/>
      <c r="W43" s="232"/>
      <c r="X43" s="232"/>
    </row>
    <row r="44" spans="1:247" s="259" customFormat="1" ht="15.75">
      <c r="A44" s="221" t="s">
        <v>78</v>
      </c>
      <c r="B44" s="1802">
        <f>+'Exhibit J'!T16</f>
        <v>23.4</v>
      </c>
      <c r="C44" s="1802"/>
      <c r="D44" s="1802">
        <f>+'Exhibit J'!AA16</f>
        <v>66.099999999999994</v>
      </c>
      <c r="E44" s="1802"/>
      <c r="F44" s="1802">
        <f>+'Exhibit K'!T14</f>
        <v>-242</v>
      </c>
      <c r="G44" s="1802"/>
      <c r="H44" s="1802">
        <f>+'Exhibit K'!AA14</f>
        <v>-127.2</v>
      </c>
      <c r="I44" s="258"/>
      <c r="J44" s="258">
        <f>ROUND(SUM(B44)+SUM(F44),1)</f>
        <v>-218.6</v>
      </c>
      <c r="K44" s="1802"/>
      <c r="L44" s="1802">
        <f>ROUND(SUM(D44)+SUM(H44),1)</f>
        <v>-61.1</v>
      </c>
      <c r="M44" s="258"/>
      <c r="N44" s="312">
        <v>-189.2</v>
      </c>
      <c r="O44" s="311"/>
      <c r="P44" s="312">
        <v>-146.1</v>
      </c>
      <c r="Q44" s="272"/>
      <c r="R44" s="655"/>
      <c r="S44" s="1802">
        <f>ROUND(SUM(L44-P44),1)</f>
        <v>85</v>
      </c>
      <c r="T44" s="290"/>
      <c r="U44" s="2789">
        <f>-ROUND(SUM(S44/P44),3)</f>
        <v>0.58199999999999996</v>
      </c>
      <c r="V44" s="290"/>
      <c r="W44" s="291"/>
      <c r="X44" s="291"/>
    </row>
    <row r="45" spans="1:247" ht="16.5" thickBot="1">
      <c r="A45" s="221" t="s">
        <v>79</v>
      </c>
      <c r="B45" s="292">
        <f>ROUND(SUM(B42+B44),1)</f>
        <v>24.3</v>
      </c>
      <c r="C45" s="293"/>
      <c r="D45" s="292">
        <f>ROUND(SUM(D42+D44),1)</f>
        <v>24.3</v>
      </c>
      <c r="E45" s="293"/>
      <c r="F45" s="292">
        <f>ROUND(SUM(F42+F44),1)</f>
        <v>-248</v>
      </c>
      <c r="G45" s="293"/>
      <c r="H45" s="292">
        <f>ROUND(SUM(H42+H44),1)</f>
        <v>-248</v>
      </c>
      <c r="I45" s="294"/>
      <c r="J45" s="295">
        <f>ROUND(SUM(J42+J44),1)</f>
        <v>-223.7</v>
      </c>
      <c r="K45" s="293"/>
      <c r="L45" s="296">
        <f>ROUND(SUM(L42+L44),1)</f>
        <v>-223.7</v>
      </c>
      <c r="M45" s="294"/>
      <c r="N45" s="2749">
        <f>ROUND(SUM(N42+N44),1)</f>
        <v>-202.5</v>
      </c>
      <c r="O45" s="335"/>
      <c r="P45" s="2749">
        <f>ROUND(SUM(P42+P44),1)</f>
        <v>-202.5</v>
      </c>
      <c r="Q45" s="422"/>
      <c r="R45" s="646"/>
      <c r="S45" s="297">
        <f>ROUND(SUM(S42+S44),1)</f>
        <v>-21.2</v>
      </c>
      <c r="T45" s="2280"/>
      <c r="U45" s="2729">
        <f>ROUND(SUM(S45/ABS(P45)),3)</f>
        <v>-0.105</v>
      </c>
      <c r="V45" s="244"/>
      <c r="W45" s="232"/>
      <c r="X45" s="232"/>
    </row>
    <row r="46" spans="1:247" ht="3.95" customHeight="1" thickTop="1">
      <c r="A46" s="223"/>
      <c r="B46" s="2619"/>
      <c r="C46" s="1806"/>
      <c r="D46" s="2619"/>
      <c r="E46" s="1806"/>
      <c r="F46" s="2619"/>
      <c r="G46" s="1806"/>
      <c r="H46" s="2619"/>
      <c r="I46" s="1806"/>
      <c r="J46" s="2619"/>
      <c r="K46" s="1806"/>
      <c r="L46" s="2619"/>
      <c r="M46" s="1806"/>
      <c r="N46" s="2280"/>
      <c r="O46" s="1806"/>
      <c r="P46" s="2280"/>
      <c r="Q46" s="2280"/>
      <c r="R46" s="2280"/>
      <c r="S46" s="1806"/>
      <c r="T46" s="2620"/>
      <c r="U46" s="2621"/>
      <c r="V46" s="299"/>
      <c r="W46" s="245"/>
      <c r="X46" s="245"/>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243"/>
      <c r="EO46" s="243"/>
      <c r="EP46" s="243"/>
      <c r="EQ46" s="243"/>
      <c r="ER46" s="243"/>
      <c r="ES46" s="243"/>
      <c r="ET46" s="243"/>
      <c r="EU46" s="243"/>
      <c r="EV46" s="243"/>
      <c r="EW46" s="243"/>
      <c r="EX46" s="243"/>
      <c r="EY46" s="243"/>
      <c r="EZ46" s="243"/>
      <c r="FA46" s="243"/>
      <c r="FB46" s="243"/>
      <c r="FC46" s="243"/>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c r="GE46" s="243"/>
      <c r="GF46" s="243"/>
      <c r="GG46" s="243"/>
      <c r="GH46" s="243"/>
      <c r="GI46" s="243"/>
      <c r="GJ46" s="243"/>
      <c r="GK46" s="243"/>
      <c r="GL46" s="243"/>
      <c r="GM46" s="243"/>
      <c r="GN46" s="243"/>
      <c r="GO46" s="243"/>
      <c r="GP46" s="243"/>
      <c r="GQ46" s="243"/>
      <c r="GR46" s="243"/>
      <c r="GS46" s="243"/>
      <c r="GT46" s="243"/>
      <c r="GU46" s="243"/>
      <c r="GV46" s="243"/>
      <c r="GW46" s="243"/>
      <c r="GX46" s="243"/>
      <c r="GY46" s="243"/>
      <c r="GZ46" s="243"/>
      <c r="HA46" s="243"/>
      <c r="HB46" s="243"/>
      <c r="HC46" s="243"/>
      <c r="HD46" s="243"/>
      <c r="HE46" s="243"/>
      <c r="HF46" s="243"/>
      <c r="HG46" s="243"/>
      <c r="HH46" s="243"/>
      <c r="HI46" s="243"/>
      <c r="HJ46" s="243"/>
      <c r="HK46" s="243"/>
      <c r="HL46" s="243"/>
      <c r="HM46" s="243"/>
      <c r="HN46" s="243"/>
      <c r="HO46" s="243"/>
      <c r="HP46" s="243"/>
      <c r="HQ46" s="243"/>
      <c r="HR46" s="243"/>
      <c r="HS46" s="243"/>
      <c r="HT46" s="243"/>
      <c r="HU46" s="243"/>
      <c r="HV46" s="243"/>
      <c r="HW46" s="243"/>
      <c r="HX46" s="243"/>
      <c r="HY46" s="243"/>
      <c r="HZ46" s="243"/>
      <c r="IA46" s="243"/>
      <c r="IB46" s="243"/>
      <c r="IC46" s="243"/>
      <c r="ID46" s="243"/>
      <c r="IE46" s="243"/>
      <c r="IF46" s="243"/>
      <c r="IG46" s="243"/>
      <c r="IH46" s="243"/>
      <c r="II46" s="243"/>
      <c r="IJ46" s="243"/>
      <c r="IK46" s="243"/>
      <c r="IL46" s="243"/>
      <c r="IM46" s="243"/>
    </row>
    <row r="47" spans="1:247">
      <c r="A47" s="1321"/>
      <c r="B47" s="230"/>
      <c r="C47" s="230"/>
      <c r="D47" s="230"/>
      <c r="E47" s="230"/>
      <c r="F47" s="300"/>
      <c r="G47" s="230"/>
      <c r="H47" s="230"/>
      <c r="I47" s="230"/>
      <c r="J47" s="230"/>
      <c r="K47" s="230"/>
      <c r="L47" s="230"/>
      <c r="M47" s="230"/>
      <c r="N47" s="230"/>
      <c r="O47" s="230"/>
      <c r="P47" s="230"/>
      <c r="Q47" s="230"/>
      <c r="R47" s="302"/>
      <c r="S47" s="230"/>
      <c r="T47" s="236"/>
      <c r="U47" s="232"/>
      <c r="V47" s="236"/>
      <c r="W47" s="232"/>
      <c r="X47" s="232"/>
    </row>
    <row r="48" spans="1:247" s="301" customFormat="1" ht="16.5" customHeight="1">
      <c r="A48" s="1990"/>
      <c r="R48" s="1903"/>
    </row>
    <row r="49" spans="1:21">
      <c r="A49" s="1321"/>
      <c r="B49" s="230"/>
      <c r="C49" s="230"/>
      <c r="D49" s="230"/>
      <c r="E49" s="230"/>
      <c r="F49" s="230"/>
      <c r="G49" s="230"/>
      <c r="H49" s="230"/>
      <c r="I49" s="230"/>
      <c r="J49" s="230"/>
      <c r="K49" s="230"/>
      <c r="L49" s="230"/>
      <c r="M49" s="230"/>
      <c r="N49" s="230"/>
      <c r="O49" s="230"/>
      <c r="P49" s="230"/>
      <c r="Q49" s="230"/>
      <c r="R49" s="302"/>
      <c r="S49" s="230"/>
      <c r="T49" s="302"/>
      <c r="U49" s="230"/>
    </row>
    <row r="50" spans="1:21">
      <c r="A50" s="1321"/>
      <c r="B50" s="230"/>
      <c r="C50" s="230"/>
      <c r="D50" s="230"/>
      <c r="E50" s="230"/>
      <c r="F50" s="230"/>
      <c r="G50" s="230"/>
      <c r="H50" s="230"/>
      <c r="I50" s="230"/>
      <c r="J50" s="230"/>
      <c r="K50" s="230"/>
      <c r="L50" s="230"/>
      <c r="M50" s="230"/>
      <c r="N50" s="230"/>
      <c r="O50" s="230"/>
      <c r="P50" s="230"/>
      <c r="Q50" s="230"/>
      <c r="R50" s="302"/>
      <c r="S50" s="230"/>
      <c r="T50" s="302"/>
      <c r="U50" s="230"/>
    </row>
    <row r="51" spans="1:21">
      <c r="A51" s="1321"/>
      <c r="B51" s="230"/>
      <c r="C51" s="230"/>
      <c r="D51" s="230"/>
      <c r="E51" s="230"/>
      <c r="F51" s="230"/>
      <c r="G51" s="230"/>
      <c r="H51" s="230"/>
      <c r="I51" s="230"/>
      <c r="J51" s="230"/>
      <c r="K51" s="230"/>
      <c r="L51" s="230"/>
      <c r="M51" s="230"/>
      <c r="N51" s="230"/>
      <c r="O51" s="230"/>
      <c r="P51" s="230"/>
      <c r="Q51" s="230"/>
      <c r="R51" s="302"/>
      <c r="S51" s="230"/>
      <c r="T51" s="302"/>
      <c r="U51" s="230"/>
    </row>
    <row r="52" spans="1:21">
      <c r="A52" s="1321"/>
      <c r="B52" s="230"/>
      <c r="C52" s="230"/>
      <c r="D52" s="230"/>
      <c r="E52" s="230"/>
      <c r="F52" s="230"/>
      <c r="G52" s="230"/>
      <c r="H52" s="230"/>
      <c r="I52" s="230"/>
      <c r="J52" s="230"/>
      <c r="K52" s="230"/>
      <c r="L52" s="230"/>
      <c r="M52" s="230"/>
      <c r="N52" s="230"/>
      <c r="O52" s="230"/>
      <c r="P52" s="230"/>
      <c r="Q52" s="230"/>
      <c r="R52" s="302"/>
      <c r="S52" s="230"/>
      <c r="T52" s="302"/>
      <c r="U52" s="230"/>
    </row>
    <row r="53" spans="1:21">
      <c r="A53" s="1798"/>
    </row>
    <row r="54" spans="1:21">
      <c r="A54" s="1798"/>
    </row>
    <row r="55" spans="1:21">
      <c r="A55" s="1798"/>
    </row>
    <row r="56" spans="1:21">
      <c r="A56" s="1798"/>
    </row>
    <row r="57" spans="1:21">
      <c r="A57" s="1798"/>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6"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workbookViewId="0"/>
  </sheetViews>
  <sheetFormatPr defaultColWidth="8.88671875" defaultRowHeight="15"/>
  <cols>
    <col min="1" max="1" width="44.77734375" style="1744" customWidth="1"/>
    <col min="2" max="2" width="13.77734375" style="1744" customWidth="1"/>
    <col min="3" max="3" width="1.77734375" style="1744" customWidth="1"/>
    <col min="4" max="4" width="16" style="1744" bestFit="1" customWidth="1"/>
    <col min="5" max="5" width="2.44140625" style="1744" customWidth="1"/>
    <col min="6" max="6" width="13.77734375" style="1744" customWidth="1"/>
    <col min="7" max="7" width="1.6640625" style="1744" customWidth="1"/>
    <col min="8" max="8" width="16" style="1744" bestFit="1" customWidth="1"/>
    <col min="9" max="9" width="1.77734375" style="1744" customWidth="1"/>
    <col min="10" max="10" width="13.77734375" style="1744" customWidth="1"/>
    <col min="11" max="11" width="1.6640625" style="1744" customWidth="1"/>
    <col min="12" max="12" width="15" style="1744" customWidth="1"/>
    <col min="13" max="13" width="0.5546875" style="1744" customWidth="1"/>
    <col min="14" max="14" width="13.77734375" style="1744" customWidth="1"/>
    <col min="15" max="15" width="1.44140625" style="1744" customWidth="1"/>
    <col min="16" max="16" width="14.77734375" style="1744" customWidth="1"/>
    <col min="17" max="17" width="1.5546875" style="1744" customWidth="1"/>
    <col min="18" max="18" width="2.109375" style="1925" customWidth="1"/>
    <col min="19" max="19" width="9.6640625" style="1744" customWidth="1"/>
    <col min="20" max="20" width="2.44140625" style="1925" customWidth="1"/>
    <col min="21" max="16384" width="8.88671875" style="1744"/>
  </cols>
  <sheetData>
    <row r="1" spans="1:252">
      <c r="A1" s="1159" t="s">
        <v>1090</v>
      </c>
    </row>
    <row r="2" spans="1:252">
      <c r="A2" s="1650"/>
    </row>
    <row r="3" spans="1:252" s="1926" customFormat="1" ht="15.75">
      <c r="A3" s="304" t="s">
        <v>0</v>
      </c>
      <c r="B3" s="304"/>
      <c r="C3" s="304"/>
      <c r="D3" s="304"/>
      <c r="E3" s="304"/>
      <c r="F3" s="1744"/>
      <c r="G3" s="1744"/>
      <c r="H3" s="304"/>
      <c r="I3" s="304"/>
      <c r="J3" s="304"/>
      <c r="K3" s="304"/>
      <c r="L3" s="304"/>
      <c r="M3" s="304"/>
      <c r="N3" s="791"/>
      <c r="P3" s="1927"/>
      <c r="Q3" s="1928"/>
      <c r="R3" s="1929"/>
      <c r="S3" s="1650"/>
      <c r="T3" s="1929"/>
      <c r="U3" s="1899" t="s">
        <v>80</v>
      </c>
      <c r="V3" s="1650"/>
      <c r="W3" s="1744"/>
      <c r="X3" s="1744"/>
      <c r="Y3" s="1744"/>
      <c r="Z3" s="1744"/>
      <c r="AA3" s="1744"/>
      <c r="AB3" s="1744"/>
      <c r="AC3" s="1744"/>
      <c r="AD3" s="1744"/>
      <c r="AE3" s="1744"/>
      <c r="AF3" s="1744"/>
      <c r="AG3" s="1744"/>
      <c r="AH3" s="1744"/>
      <c r="AI3" s="1744"/>
      <c r="AJ3" s="1744"/>
      <c r="AK3" s="1744"/>
      <c r="AL3" s="1744"/>
      <c r="AM3" s="1744"/>
      <c r="AN3" s="1744"/>
      <c r="AO3" s="1744"/>
      <c r="AP3" s="1744"/>
      <c r="AQ3" s="1744"/>
      <c r="AR3" s="1744"/>
      <c r="AS3" s="1744"/>
      <c r="AT3" s="1744"/>
      <c r="AU3" s="1744"/>
      <c r="AV3" s="1744"/>
      <c r="AW3" s="1744"/>
      <c r="AX3" s="1744"/>
      <c r="AY3" s="1744"/>
      <c r="AZ3" s="1744"/>
      <c r="BA3" s="1744"/>
      <c r="BB3" s="1744"/>
      <c r="BC3" s="1744"/>
      <c r="BD3" s="1744"/>
      <c r="BE3" s="1744"/>
      <c r="BF3" s="1744"/>
      <c r="BG3" s="1744"/>
      <c r="BH3" s="1744"/>
      <c r="BI3" s="1744"/>
      <c r="BJ3" s="1744"/>
      <c r="BK3" s="1744"/>
      <c r="BL3" s="1744"/>
      <c r="BM3" s="1744"/>
      <c r="BN3" s="1744"/>
      <c r="BO3" s="1744"/>
      <c r="BP3" s="1744"/>
      <c r="BQ3" s="1744"/>
      <c r="BR3" s="1744"/>
      <c r="BS3" s="1744"/>
      <c r="BT3" s="1744"/>
      <c r="BU3" s="1744"/>
      <c r="BV3" s="1744"/>
      <c r="BW3" s="1744"/>
      <c r="BX3" s="1744"/>
      <c r="BY3" s="1744"/>
      <c r="BZ3" s="1744"/>
      <c r="CA3" s="1744"/>
      <c r="CB3" s="1744"/>
      <c r="CC3" s="1744"/>
      <c r="CD3" s="1744"/>
      <c r="CE3" s="1744"/>
      <c r="CF3" s="1744"/>
      <c r="CG3" s="1744"/>
      <c r="CH3" s="1744"/>
      <c r="CI3" s="1744"/>
      <c r="CJ3" s="1744"/>
      <c r="CK3" s="1744"/>
      <c r="CL3" s="1744"/>
      <c r="CM3" s="1744"/>
      <c r="CN3" s="1744"/>
      <c r="CO3" s="1744"/>
      <c r="CP3" s="1744"/>
      <c r="CQ3" s="1744"/>
      <c r="CR3" s="1744"/>
      <c r="CS3" s="1744"/>
      <c r="CT3" s="1744"/>
      <c r="CU3" s="1744"/>
      <c r="CV3" s="1744"/>
      <c r="CW3" s="1744"/>
      <c r="CX3" s="1744"/>
      <c r="CY3" s="1744"/>
      <c r="CZ3" s="1744"/>
      <c r="DA3" s="1744"/>
      <c r="DB3" s="1744"/>
      <c r="DC3" s="1744"/>
      <c r="DD3" s="1744"/>
      <c r="DE3" s="1744"/>
      <c r="DF3" s="1744"/>
      <c r="DG3" s="1744"/>
      <c r="DH3" s="1744"/>
      <c r="DI3" s="1744"/>
      <c r="DJ3" s="1744"/>
      <c r="DK3" s="1744"/>
      <c r="DL3" s="1744"/>
      <c r="DM3" s="1744"/>
      <c r="DN3" s="1744"/>
      <c r="DO3" s="1744"/>
      <c r="DP3" s="1744"/>
      <c r="DQ3" s="1744"/>
      <c r="DR3" s="1744"/>
      <c r="DS3" s="1744"/>
      <c r="DT3" s="1744"/>
      <c r="DU3" s="1744"/>
      <c r="DV3" s="1744"/>
      <c r="DW3" s="1744"/>
      <c r="DX3" s="1744"/>
      <c r="DY3" s="1744"/>
      <c r="DZ3" s="1744"/>
      <c r="EA3" s="1744"/>
      <c r="EB3" s="1744"/>
      <c r="EC3" s="1744"/>
      <c r="ED3" s="1744"/>
      <c r="EE3" s="1744"/>
      <c r="EF3" s="1744"/>
      <c r="EG3" s="1744"/>
      <c r="EH3" s="1744"/>
      <c r="EI3" s="1744"/>
      <c r="EJ3" s="1744"/>
      <c r="EK3" s="1744"/>
      <c r="EL3" s="1744"/>
      <c r="EM3" s="1744"/>
      <c r="EN3" s="1744"/>
      <c r="EO3" s="1744"/>
      <c r="EP3" s="1744"/>
      <c r="EQ3" s="1744"/>
      <c r="ER3" s="1744"/>
      <c r="ES3" s="1744"/>
      <c r="ET3" s="1744"/>
      <c r="EU3" s="1744"/>
      <c r="EV3" s="1744"/>
      <c r="EW3" s="1744"/>
      <c r="EX3" s="1744"/>
      <c r="EY3" s="1744"/>
      <c r="EZ3" s="1744"/>
      <c r="FA3" s="1744"/>
      <c r="FB3" s="1744"/>
      <c r="FC3" s="1744"/>
      <c r="FD3" s="1744"/>
      <c r="FE3" s="1744"/>
      <c r="FF3" s="1744"/>
      <c r="FG3" s="1744"/>
      <c r="FH3" s="1744"/>
      <c r="FI3" s="1744"/>
      <c r="FJ3" s="1744"/>
      <c r="FK3" s="1744"/>
      <c r="FL3" s="1744"/>
      <c r="FM3" s="1744"/>
      <c r="FN3" s="1744"/>
      <c r="FO3" s="1744"/>
      <c r="FP3" s="1744"/>
      <c r="FQ3" s="1744"/>
      <c r="FR3" s="1744"/>
      <c r="FS3" s="1744"/>
      <c r="FT3" s="1744"/>
      <c r="FU3" s="1744"/>
      <c r="FV3" s="1744"/>
      <c r="FW3" s="1744"/>
      <c r="FX3" s="1744"/>
      <c r="FY3" s="1744"/>
      <c r="FZ3" s="1744"/>
      <c r="GA3" s="1744"/>
      <c r="GB3" s="1744"/>
      <c r="GC3" s="1744"/>
      <c r="GD3" s="1744"/>
      <c r="GE3" s="1744"/>
      <c r="GF3" s="1744"/>
      <c r="GG3" s="1744"/>
      <c r="GH3" s="1744"/>
      <c r="GI3" s="1744"/>
      <c r="GJ3" s="1744"/>
      <c r="GK3" s="1744"/>
      <c r="GL3" s="1744"/>
      <c r="GM3" s="1744"/>
      <c r="GN3" s="1744"/>
      <c r="GO3" s="1744"/>
      <c r="GP3" s="1744"/>
      <c r="GQ3" s="1744"/>
      <c r="GR3" s="1744"/>
      <c r="GS3" s="1744"/>
      <c r="GT3" s="1744"/>
      <c r="GU3" s="1744"/>
      <c r="GV3" s="1744"/>
      <c r="GW3" s="1744"/>
      <c r="GX3" s="1744"/>
      <c r="GY3" s="1744"/>
      <c r="GZ3" s="1744"/>
      <c r="HA3" s="1744"/>
      <c r="HB3" s="1744"/>
      <c r="HC3" s="1744"/>
      <c r="HD3" s="1744"/>
      <c r="HE3" s="1744"/>
      <c r="HF3" s="1744"/>
      <c r="HG3" s="1744"/>
      <c r="HH3" s="1744"/>
      <c r="HI3" s="1744"/>
      <c r="HJ3" s="1744"/>
      <c r="HK3" s="1744"/>
      <c r="HL3" s="1744"/>
      <c r="HM3" s="1744"/>
      <c r="HN3" s="1744"/>
      <c r="HO3" s="1744"/>
      <c r="HP3" s="1744"/>
      <c r="HQ3" s="1744"/>
      <c r="HR3" s="1744"/>
      <c r="HS3" s="1744"/>
      <c r="HT3" s="1744"/>
      <c r="HU3" s="1744"/>
      <c r="HV3" s="1744"/>
      <c r="HW3" s="1744"/>
      <c r="HX3" s="1744"/>
      <c r="HY3" s="1744"/>
      <c r="HZ3" s="1744"/>
      <c r="IA3" s="1744"/>
      <c r="IB3" s="1744"/>
      <c r="IC3" s="1744"/>
      <c r="ID3" s="1744"/>
      <c r="IE3" s="1744"/>
      <c r="IF3" s="1744"/>
      <c r="IG3" s="1744"/>
      <c r="IH3" s="1744"/>
      <c r="II3" s="1744"/>
      <c r="IJ3" s="1744"/>
      <c r="IK3" s="1744"/>
      <c r="IL3" s="1744"/>
      <c r="IM3" s="1744"/>
      <c r="IN3" s="1744"/>
      <c r="IO3" s="1744"/>
      <c r="IP3" s="1744"/>
      <c r="IQ3" s="1744"/>
      <c r="IR3" s="1744"/>
    </row>
    <row r="4" spans="1:252" s="1926" customFormat="1" ht="15.75">
      <c r="A4" s="304" t="s">
        <v>985</v>
      </c>
      <c r="B4" s="304"/>
      <c r="C4" s="304"/>
      <c r="D4" s="304"/>
      <c r="E4" s="304"/>
      <c r="F4" s="1744"/>
      <c r="G4" s="1744"/>
      <c r="H4" s="304"/>
      <c r="I4" s="304"/>
      <c r="J4" s="304"/>
      <c r="K4" s="304"/>
      <c r="L4" s="304"/>
      <c r="M4" s="304"/>
      <c r="N4" s="304"/>
      <c r="O4" s="304"/>
      <c r="P4" s="304"/>
      <c r="Q4" s="1928"/>
      <c r="R4" s="1929"/>
      <c r="S4" s="1650"/>
      <c r="T4" s="1929"/>
      <c r="U4" s="1650"/>
      <c r="V4" s="1650"/>
      <c r="W4" s="1744"/>
      <c r="X4" s="1744"/>
      <c r="Y4" s="1744"/>
      <c r="Z4" s="1744"/>
      <c r="AA4" s="1744"/>
      <c r="AB4" s="1744"/>
      <c r="AC4" s="1744"/>
      <c r="AD4" s="1744"/>
      <c r="AE4" s="1744"/>
      <c r="AF4" s="1744"/>
      <c r="AG4" s="1744"/>
      <c r="AH4" s="1744"/>
      <c r="AI4" s="1744"/>
      <c r="AJ4" s="1744"/>
      <c r="AK4" s="1744"/>
      <c r="AL4" s="1744"/>
      <c r="AM4" s="1744"/>
      <c r="AN4" s="1744"/>
      <c r="AO4" s="1744"/>
      <c r="AP4" s="1744"/>
      <c r="AQ4" s="1744"/>
      <c r="AR4" s="1744"/>
      <c r="AS4" s="1744"/>
      <c r="AT4" s="1744"/>
      <c r="AU4" s="1744"/>
      <c r="AV4" s="1744"/>
      <c r="AW4" s="1744"/>
      <c r="AX4" s="1744"/>
      <c r="AY4" s="1744"/>
      <c r="AZ4" s="1744"/>
      <c r="BA4" s="1744"/>
      <c r="BB4" s="1744"/>
      <c r="BC4" s="1744"/>
      <c r="BD4" s="1744"/>
      <c r="BE4" s="1744"/>
      <c r="BF4" s="1744"/>
      <c r="BG4" s="1744"/>
      <c r="BH4" s="1744"/>
      <c r="BI4" s="1744"/>
      <c r="BJ4" s="1744"/>
      <c r="BK4" s="1744"/>
      <c r="BL4" s="1744"/>
      <c r="BM4" s="1744"/>
      <c r="BN4" s="1744"/>
      <c r="BO4" s="1744"/>
      <c r="BP4" s="1744"/>
      <c r="BQ4" s="1744"/>
      <c r="BR4" s="1744"/>
      <c r="BS4" s="1744"/>
      <c r="BT4" s="1744"/>
      <c r="BU4" s="1744"/>
      <c r="BV4" s="1744"/>
      <c r="BW4" s="1744"/>
      <c r="BX4" s="1744"/>
      <c r="BY4" s="1744"/>
      <c r="BZ4" s="1744"/>
      <c r="CA4" s="1744"/>
      <c r="CB4" s="1744"/>
      <c r="CC4" s="1744"/>
      <c r="CD4" s="1744"/>
      <c r="CE4" s="1744"/>
      <c r="CF4" s="1744"/>
      <c r="CG4" s="1744"/>
      <c r="CH4" s="1744"/>
      <c r="CI4" s="1744"/>
      <c r="CJ4" s="1744"/>
      <c r="CK4" s="1744"/>
      <c r="CL4" s="1744"/>
      <c r="CM4" s="1744"/>
      <c r="CN4" s="1744"/>
      <c r="CO4" s="1744"/>
      <c r="CP4" s="1744"/>
      <c r="CQ4" s="1744"/>
      <c r="CR4" s="1744"/>
      <c r="CS4" s="1744"/>
      <c r="CT4" s="1744"/>
      <c r="CU4" s="1744"/>
      <c r="CV4" s="1744"/>
      <c r="CW4" s="1744"/>
      <c r="CX4" s="1744"/>
      <c r="CY4" s="1744"/>
      <c r="CZ4" s="1744"/>
      <c r="DA4" s="1744"/>
      <c r="DB4" s="1744"/>
      <c r="DC4" s="1744"/>
      <c r="DD4" s="1744"/>
      <c r="DE4" s="1744"/>
      <c r="DF4" s="1744"/>
      <c r="DG4" s="1744"/>
      <c r="DH4" s="1744"/>
      <c r="DI4" s="1744"/>
      <c r="DJ4" s="1744"/>
      <c r="DK4" s="1744"/>
      <c r="DL4" s="1744"/>
      <c r="DM4" s="1744"/>
      <c r="DN4" s="1744"/>
      <c r="DO4" s="1744"/>
      <c r="DP4" s="1744"/>
      <c r="DQ4" s="1744"/>
      <c r="DR4" s="1744"/>
      <c r="DS4" s="1744"/>
      <c r="DT4" s="1744"/>
      <c r="DU4" s="1744"/>
      <c r="DV4" s="1744"/>
      <c r="DW4" s="1744"/>
      <c r="DX4" s="1744"/>
      <c r="DY4" s="1744"/>
      <c r="DZ4" s="1744"/>
      <c r="EA4" s="1744"/>
      <c r="EB4" s="1744"/>
      <c r="EC4" s="1744"/>
      <c r="ED4" s="1744"/>
      <c r="EE4" s="1744"/>
      <c r="EF4" s="1744"/>
      <c r="EG4" s="1744"/>
      <c r="EH4" s="1744"/>
      <c r="EI4" s="1744"/>
      <c r="EJ4" s="1744"/>
      <c r="EK4" s="1744"/>
      <c r="EL4" s="1744"/>
      <c r="EM4" s="1744"/>
      <c r="EN4" s="1744"/>
      <c r="EO4" s="1744"/>
      <c r="EP4" s="1744"/>
      <c r="EQ4" s="1744"/>
      <c r="ER4" s="1744"/>
      <c r="ES4" s="1744"/>
      <c r="ET4" s="1744"/>
      <c r="EU4" s="1744"/>
      <c r="EV4" s="1744"/>
      <c r="EW4" s="1744"/>
      <c r="EX4" s="1744"/>
      <c r="EY4" s="1744"/>
      <c r="EZ4" s="1744"/>
      <c r="FA4" s="1744"/>
      <c r="FB4" s="1744"/>
      <c r="FC4" s="1744"/>
      <c r="FD4" s="1744"/>
      <c r="FE4" s="1744"/>
      <c r="FF4" s="1744"/>
      <c r="FG4" s="1744"/>
      <c r="FH4" s="1744"/>
      <c r="FI4" s="1744"/>
      <c r="FJ4" s="1744"/>
      <c r="FK4" s="1744"/>
      <c r="FL4" s="1744"/>
      <c r="FM4" s="1744"/>
      <c r="FN4" s="1744"/>
      <c r="FO4" s="1744"/>
      <c r="FP4" s="1744"/>
      <c r="FQ4" s="1744"/>
      <c r="FR4" s="1744"/>
      <c r="FS4" s="1744"/>
      <c r="FT4" s="1744"/>
      <c r="FU4" s="1744"/>
      <c r="FV4" s="1744"/>
      <c r="FW4" s="1744"/>
      <c r="FX4" s="1744"/>
      <c r="FY4" s="1744"/>
      <c r="FZ4" s="1744"/>
      <c r="GA4" s="1744"/>
      <c r="GB4" s="1744"/>
      <c r="GC4" s="1744"/>
      <c r="GD4" s="1744"/>
      <c r="GE4" s="1744"/>
      <c r="GF4" s="1744"/>
      <c r="GG4" s="1744"/>
      <c r="GH4" s="1744"/>
      <c r="GI4" s="1744"/>
      <c r="GJ4" s="1744"/>
      <c r="GK4" s="1744"/>
      <c r="GL4" s="1744"/>
      <c r="GM4" s="1744"/>
      <c r="GN4" s="1744"/>
      <c r="GO4" s="1744"/>
      <c r="GP4" s="1744"/>
      <c r="GQ4" s="1744"/>
      <c r="GR4" s="1744"/>
      <c r="GS4" s="1744"/>
      <c r="GT4" s="1744"/>
      <c r="GU4" s="1744"/>
      <c r="GV4" s="1744"/>
      <c r="GW4" s="1744"/>
      <c r="GX4" s="1744"/>
      <c r="GY4" s="1744"/>
      <c r="GZ4" s="1744"/>
      <c r="HA4" s="1744"/>
      <c r="HB4" s="1744"/>
      <c r="HC4" s="1744"/>
      <c r="HD4" s="1744"/>
      <c r="HE4" s="1744"/>
      <c r="HF4" s="1744"/>
      <c r="HG4" s="1744"/>
      <c r="HH4" s="1744"/>
      <c r="HI4" s="1744"/>
      <c r="HJ4" s="1744"/>
      <c r="HK4" s="1744"/>
      <c r="HL4" s="1744"/>
      <c r="HM4" s="1744"/>
      <c r="HN4" s="1744"/>
      <c r="HO4" s="1744"/>
      <c r="HP4" s="1744"/>
      <c r="HQ4" s="1744"/>
      <c r="HR4" s="1744"/>
      <c r="HS4" s="1744"/>
      <c r="HT4" s="1744"/>
      <c r="HU4" s="1744"/>
      <c r="HV4" s="1744"/>
      <c r="HW4" s="1744"/>
      <c r="HX4" s="1744"/>
      <c r="HY4" s="1744"/>
      <c r="HZ4" s="1744"/>
      <c r="IA4" s="1744"/>
      <c r="IB4" s="1744"/>
      <c r="IC4" s="1744"/>
      <c r="ID4" s="1744"/>
      <c r="IE4" s="1744"/>
      <c r="IF4" s="1744"/>
      <c r="IG4" s="1744"/>
      <c r="IH4" s="1744"/>
      <c r="II4" s="1744"/>
      <c r="IJ4" s="1744"/>
      <c r="IK4" s="1744"/>
      <c r="IL4" s="1744"/>
      <c r="IM4" s="1744"/>
      <c r="IN4" s="1744"/>
      <c r="IO4" s="1744"/>
      <c r="IP4" s="1744"/>
      <c r="IQ4" s="1744"/>
      <c r="IR4" s="1744"/>
    </row>
    <row r="5" spans="1:252" s="1926" customFormat="1" ht="15.75">
      <c r="A5" s="488" t="s">
        <v>986</v>
      </c>
      <c r="B5" s="304"/>
      <c r="C5" s="304"/>
      <c r="D5" s="304"/>
      <c r="E5" s="304"/>
      <c r="F5" s="1744"/>
      <c r="G5" s="1744"/>
      <c r="H5" s="304"/>
      <c r="I5" s="304"/>
      <c r="J5" s="304"/>
      <c r="K5" s="304"/>
      <c r="L5" s="304"/>
      <c r="M5" s="304"/>
      <c r="N5" s="304"/>
      <c r="O5" s="304"/>
      <c r="P5" s="304" t="s">
        <v>15</v>
      </c>
      <c r="Q5" s="1928"/>
      <c r="R5" s="1929"/>
      <c r="S5" s="1650"/>
      <c r="T5" s="1929"/>
      <c r="U5" s="1650"/>
      <c r="V5" s="1650"/>
      <c r="W5" s="1744"/>
      <c r="X5" s="1744"/>
      <c r="Y5" s="1744"/>
      <c r="Z5" s="1744"/>
      <c r="AA5" s="1744"/>
      <c r="AB5" s="1744"/>
      <c r="AC5" s="1744"/>
      <c r="AD5" s="1744"/>
      <c r="AE5" s="1744"/>
      <c r="AF5" s="1744"/>
      <c r="AG5" s="1744"/>
      <c r="AH5" s="1744"/>
      <c r="AI5" s="1744"/>
      <c r="AJ5" s="1744"/>
      <c r="AK5" s="1744"/>
      <c r="AL5" s="1744"/>
      <c r="AM5" s="1744"/>
      <c r="AN5" s="1744"/>
      <c r="AO5" s="1744"/>
      <c r="AP5" s="1744"/>
      <c r="AQ5" s="1744"/>
      <c r="AR5" s="1744"/>
      <c r="AS5" s="1744"/>
      <c r="AT5" s="1744"/>
      <c r="AU5" s="1744"/>
      <c r="AV5" s="1744"/>
      <c r="AW5" s="1744"/>
      <c r="AX5" s="1744"/>
      <c r="AY5" s="1744"/>
      <c r="AZ5" s="1744"/>
      <c r="BA5" s="1744"/>
      <c r="BB5" s="1744"/>
      <c r="BC5" s="1744"/>
      <c r="BD5" s="1744"/>
      <c r="BE5" s="1744"/>
      <c r="BF5" s="1744"/>
      <c r="BG5" s="1744"/>
      <c r="BH5" s="1744"/>
      <c r="BI5" s="1744"/>
      <c r="BJ5" s="1744"/>
      <c r="BK5" s="1744"/>
      <c r="BL5" s="1744"/>
      <c r="BM5" s="1744"/>
      <c r="BN5" s="1744"/>
      <c r="BO5" s="1744"/>
      <c r="BP5" s="1744"/>
      <c r="BQ5" s="1744"/>
      <c r="BR5" s="1744"/>
      <c r="BS5" s="1744"/>
      <c r="BT5" s="1744"/>
      <c r="BU5" s="1744"/>
      <c r="BV5" s="1744"/>
      <c r="BW5" s="1744"/>
      <c r="BX5" s="1744"/>
      <c r="BY5" s="1744"/>
      <c r="BZ5" s="1744"/>
      <c r="CA5" s="1744"/>
      <c r="CB5" s="1744"/>
      <c r="CC5" s="1744"/>
      <c r="CD5" s="1744"/>
      <c r="CE5" s="1744"/>
      <c r="CF5" s="1744"/>
      <c r="CG5" s="1744"/>
      <c r="CH5" s="1744"/>
      <c r="CI5" s="1744"/>
      <c r="CJ5" s="1744"/>
      <c r="CK5" s="1744"/>
      <c r="CL5" s="1744"/>
      <c r="CM5" s="1744"/>
      <c r="CN5" s="1744"/>
      <c r="CO5" s="1744"/>
      <c r="CP5" s="1744"/>
      <c r="CQ5" s="1744"/>
      <c r="CR5" s="1744"/>
      <c r="CS5" s="1744"/>
      <c r="CT5" s="1744"/>
      <c r="CU5" s="1744"/>
      <c r="CV5" s="1744"/>
      <c r="CW5" s="1744"/>
      <c r="CX5" s="1744"/>
      <c r="CY5" s="1744"/>
      <c r="CZ5" s="1744"/>
      <c r="DA5" s="1744"/>
      <c r="DB5" s="1744"/>
      <c r="DC5" s="1744"/>
      <c r="DD5" s="1744"/>
      <c r="DE5" s="1744"/>
      <c r="DF5" s="1744"/>
      <c r="DG5" s="1744"/>
      <c r="DH5" s="1744"/>
      <c r="DI5" s="1744"/>
      <c r="DJ5" s="1744"/>
      <c r="DK5" s="1744"/>
      <c r="DL5" s="1744"/>
      <c r="DM5" s="1744"/>
      <c r="DN5" s="1744"/>
      <c r="DO5" s="1744"/>
      <c r="DP5" s="1744"/>
      <c r="DQ5" s="1744"/>
      <c r="DR5" s="1744"/>
      <c r="DS5" s="1744"/>
      <c r="DT5" s="1744"/>
      <c r="DU5" s="1744"/>
      <c r="DV5" s="1744"/>
      <c r="DW5" s="1744"/>
      <c r="DX5" s="1744"/>
      <c r="DY5" s="1744"/>
      <c r="DZ5" s="1744"/>
      <c r="EA5" s="1744"/>
      <c r="EB5" s="1744"/>
      <c r="EC5" s="1744"/>
      <c r="ED5" s="1744"/>
      <c r="EE5" s="1744"/>
      <c r="EF5" s="1744"/>
      <c r="EG5" s="1744"/>
      <c r="EH5" s="1744"/>
      <c r="EI5" s="1744"/>
      <c r="EJ5" s="1744"/>
      <c r="EK5" s="1744"/>
      <c r="EL5" s="1744"/>
      <c r="EM5" s="1744"/>
      <c r="EN5" s="1744"/>
      <c r="EO5" s="1744"/>
      <c r="EP5" s="1744"/>
      <c r="EQ5" s="1744"/>
      <c r="ER5" s="1744"/>
      <c r="ES5" s="1744"/>
      <c r="ET5" s="1744"/>
      <c r="EU5" s="1744"/>
      <c r="EV5" s="1744"/>
      <c r="EW5" s="1744"/>
      <c r="EX5" s="1744"/>
      <c r="EY5" s="1744"/>
      <c r="EZ5" s="1744"/>
      <c r="FA5" s="1744"/>
      <c r="FB5" s="1744"/>
      <c r="FC5" s="1744"/>
      <c r="FD5" s="1744"/>
      <c r="FE5" s="1744"/>
      <c r="FF5" s="1744"/>
      <c r="FG5" s="1744"/>
      <c r="FH5" s="1744"/>
      <c r="FI5" s="1744"/>
      <c r="FJ5" s="1744"/>
      <c r="FK5" s="1744"/>
      <c r="FL5" s="1744"/>
      <c r="FM5" s="1744"/>
      <c r="FN5" s="1744"/>
      <c r="FO5" s="1744"/>
      <c r="FP5" s="1744"/>
      <c r="FQ5" s="1744"/>
      <c r="FR5" s="1744"/>
      <c r="FS5" s="1744"/>
      <c r="FT5" s="1744"/>
      <c r="FU5" s="1744"/>
      <c r="FV5" s="1744"/>
      <c r="FW5" s="1744"/>
      <c r="FX5" s="1744"/>
      <c r="FY5" s="1744"/>
      <c r="FZ5" s="1744"/>
      <c r="GA5" s="1744"/>
      <c r="GB5" s="1744"/>
      <c r="GC5" s="1744"/>
      <c r="GD5" s="1744"/>
      <c r="GE5" s="1744"/>
      <c r="GF5" s="1744"/>
      <c r="GG5" s="1744"/>
      <c r="GH5" s="1744"/>
      <c r="GI5" s="1744"/>
      <c r="GJ5" s="1744"/>
      <c r="GK5" s="1744"/>
      <c r="GL5" s="1744"/>
      <c r="GM5" s="1744"/>
      <c r="GN5" s="1744"/>
      <c r="GO5" s="1744"/>
      <c r="GP5" s="1744"/>
      <c r="GQ5" s="1744"/>
      <c r="GR5" s="1744"/>
      <c r="GS5" s="1744"/>
      <c r="GT5" s="1744"/>
      <c r="GU5" s="1744"/>
      <c r="GV5" s="1744"/>
      <c r="GW5" s="1744"/>
      <c r="GX5" s="1744"/>
      <c r="GY5" s="1744"/>
      <c r="GZ5" s="1744"/>
      <c r="HA5" s="1744"/>
      <c r="HB5" s="1744"/>
      <c r="HC5" s="1744"/>
      <c r="HD5" s="1744"/>
      <c r="HE5" s="1744"/>
      <c r="HF5" s="1744"/>
      <c r="HG5" s="1744"/>
      <c r="HH5" s="1744"/>
      <c r="HI5" s="1744"/>
      <c r="HJ5" s="1744"/>
      <c r="HK5" s="1744"/>
      <c r="HL5" s="1744"/>
      <c r="HM5" s="1744"/>
      <c r="HN5" s="1744"/>
      <c r="HO5" s="1744"/>
      <c r="HP5" s="1744"/>
      <c r="HQ5" s="1744"/>
      <c r="HR5" s="1744"/>
      <c r="HS5" s="1744"/>
      <c r="HT5" s="1744"/>
      <c r="HU5" s="1744"/>
      <c r="HV5" s="1744"/>
      <c r="HW5" s="1744"/>
      <c r="HX5" s="1744"/>
      <c r="HY5" s="1744"/>
      <c r="HZ5" s="1744"/>
      <c r="IA5" s="1744"/>
      <c r="IB5" s="1744"/>
      <c r="IC5" s="1744"/>
      <c r="ID5" s="1744"/>
      <c r="IE5" s="1744"/>
      <c r="IF5" s="1744"/>
      <c r="IG5" s="1744"/>
      <c r="IH5" s="1744"/>
      <c r="II5" s="1744"/>
      <c r="IJ5" s="1744"/>
      <c r="IK5" s="1744"/>
      <c r="IL5" s="1744"/>
      <c r="IM5" s="1744"/>
      <c r="IN5" s="1744"/>
      <c r="IO5" s="1744"/>
      <c r="IP5" s="1744"/>
      <c r="IQ5" s="1744"/>
      <c r="IR5" s="1744"/>
    </row>
    <row r="6" spans="1:252" s="1926" customFormat="1" ht="15.75">
      <c r="A6" s="304" t="s">
        <v>979</v>
      </c>
      <c r="B6" s="304"/>
      <c r="C6" s="304"/>
      <c r="D6" s="304"/>
      <c r="E6" s="304"/>
      <c r="F6" s="1744"/>
      <c r="G6" s="1744"/>
      <c r="H6" s="304"/>
      <c r="I6" s="304"/>
      <c r="J6" s="304"/>
      <c r="K6" s="304"/>
      <c r="L6" s="304"/>
      <c r="M6" s="304"/>
      <c r="N6" s="304"/>
      <c r="O6" s="304"/>
      <c r="P6" s="304"/>
      <c r="Q6" s="1928"/>
      <c r="R6" s="1929"/>
      <c r="S6" s="1650"/>
      <c r="T6" s="1929"/>
      <c r="U6" s="1650"/>
      <c r="V6" s="1650"/>
      <c r="W6" s="1744"/>
      <c r="X6" s="1744"/>
      <c r="Y6" s="1744"/>
      <c r="Z6" s="1744"/>
      <c r="AA6" s="1744"/>
      <c r="AB6" s="1744"/>
      <c r="AC6" s="1744"/>
      <c r="AD6" s="1744"/>
      <c r="AE6" s="1744"/>
      <c r="AF6" s="1744"/>
      <c r="AG6" s="1744"/>
      <c r="AH6" s="1744"/>
      <c r="AI6" s="1744"/>
      <c r="AJ6" s="1744"/>
      <c r="AK6" s="1744"/>
      <c r="AL6" s="1744"/>
      <c r="AM6" s="1744"/>
      <c r="AN6" s="1744"/>
      <c r="AO6" s="1744"/>
      <c r="AP6" s="1744"/>
      <c r="AQ6" s="1744"/>
      <c r="AR6" s="1744"/>
      <c r="AS6" s="1744"/>
      <c r="AT6" s="1744"/>
      <c r="AU6" s="1744"/>
      <c r="AV6" s="1744"/>
      <c r="AW6" s="1744"/>
      <c r="AX6" s="1744"/>
      <c r="AY6" s="1744"/>
      <c r="AZ6" s="1744"/>
      <c r="BA6" s="1744"/>
      <c r="BB6" s="1744"/>
      <c r="BC6" s="1744"/>
      <c r="BD6" s="1744"/>
      <c r="BE6" s="1744"/>
      <c r="BF6" s="1744"/>
      <c r="BG6" s="1744"/>
      <c r="BH6" s="1744"/>
      <c r="BI6" s="1744"/>
      <c r="BJ6" s="1744"/>
      <c r="BK6" s="1744"/>
      <c r="BL6" s="1744"/>
      <c r="BM6" s="1744"/>
      <c r="BN6" s="1744"/>
      <c r="BO6" s="1744"/>
      <c r="BP6" s="1744"/>
      <c r="BQ6" s="1744"/>
      <c r="BR6" s="1744"/>
      <c r="BS6" s="1744"/>
      <c r="BT6" s="1744"/>
      <c r="BU6" s="1744"/>
      <c r="BV6" s="1744"/>
      <c r="BW6" s="1744"/>
      <c r="BX6" s="1744"/>
      <c r="BY6" s="1744"/>
      <c r="BZ6" s="1744"/>
      <c r="CA6" s="1744"/>
      <c r="CB6" s="1744"/>
      <c r="CC6" s="1744"/>
      <c r="CD6" s="1744"/>
      <c r="CE6" s="1744"/>
      <c r="CF6" s="1744"/>
      <c r="CG6" s="1744"/>
      <c r="CH6" s="1744"/>
      <c r="CI6" s="1744"/>
      <c r="CJ6" s="1744"/>
      <c r="CK6" s="1744"/>
      <c r="CL6" s="1744"/>
      <c r="CM6" s="1744"/>
      <c r="CN6" s="1744"/>
      <c r="CO6" s="1744"/>
      <c r="CP6" s="1744"/>
      <c r="CQ6" s="1744"/>
      <c r="CR6" s="1744"/>
      <c r="CS6" s="1744"/>
      <c r="CT6" s="1744"/>
      <c r="CU6" s="1744"/>
      <c r="CV6" s="1744"/>
      <c r="CW6" s="1744"/>
      <c r="CX6" s="1744"/>
      <c r="CY6" s="1744"/>
      <c r="CZ6" s="1744"/>
      <c r="DA6" s="1744"/>
      <c r="DB6" s="1744"/>
      <c r="DC6" s="1744"/>
      <c r="DD6" s="1744"/>
      <c r="DE6" s="1744"/>
      <c r="DF6" s="1744"/>
      <c r="DG6" s="1744"/>
      <c r="DH6" s="1744"/>
      <c r="DI6" s="1744"/>
      <c r="DJ6" s="1744"/>
      <c r="DK6" s="1744"/>
      <c r="DL6" s="1744"/>
      <c r="DM6" s="1744"/>
      <c r="DN6" s="1744"/>
      <c r="DO6" s="1744"/>
      <c r="DP6" s="1744"/>
      <c r="DQ6" s="1744"/>
      <c r="DR6" s="1744"/>
      <c r="DS6" s="1744"/>
      <c r="DT6" s="1744"/>
      <c r="DU6" s="1744"/>
      <c r="DV6" s="1744"/>
      <c r="DW6" s="1744"/>
      <c r="DX6" s="1744"/>
      <c r="DY6" s="1744"/>
      <c r="DZ6" s="1744"/>
      <c r="EA6" s="1744"/>
      <c r="EB6" s="1744"/>
      <c r="EC6" s="1744"/>
      <c r="ED6" s="1744"/>
      <c r="EE6" s="1744"/>
      <c r="EF6" s="1744"/>
      <c r="EG6" s="1744"/>
      <c r="EH6" s="1744"/>
      <c r="EI6" s="1744"/>
      <c r="EJ6" s="1744"/>
      <c r="EK6" s="1744"/>
      <c r="EL6" s="1744"/>
      <c r="EM6" s="1744"/>
      <c r="EN6" s="1744"/>
      <c r="EO6" s="1744"/>
      <c r="EP6" s="1744"/>
      <c r="EQ6" s="1744"/>
      <c r="ER6" s="1744"/>
      <c r="ES6" s="1744"/>
      <c r="ET6" s="1744"/>
      <c r="EU6" s="1744"/>
      <c r="EV6" s="1744"/>
      <c r="EW6" s="1744"/>
      <c r="EX6" s="1744"/>
      <c r="EY6" s="1744"/>
      <c r="EZ6" s="1744"/>
      <c r="FA6" s="1744"/>
      <c r="FB6" s="1744"/>
      <c r="FC6" s="1744"/>
      <c r="FD6" s="1744"/>
      <c r="FE6" s="1744"/>
      <c r="FF6" s="1744"/>
      <c r="FG6" s="1744"/>
      <c r="FH6" s="1744"/>
      <c r="FI6" s="1744"/>
      <c r="FJ6" s="1744"/>
      <c r="FK6" s="1744"/>
      <c r="FL6" s="1744"/>
      <c r="FM6" s="1744"/>
      <c r="FN6" s="1744"/>
      <c r="FO6" s="1744"/>
      <c r="FP6" s="1744"/>
      <c r="FQ6" s="1744"/>
      <c r="FR6" s="1744"/>
      <c r="FS6" s="1744"/>
      <c r="FT6" s="1744"/>
      <c r="FU6" s="1744"/>
      <c r="FV6" s="1744"/>
      <c r="FW6" s="1744"/>
      <c r="FX6" s="1744"/>
      <c r="FY6" s="1744"/>
      <c r="FZ6" s="1744"/>
      <c r="GA6" s="1744"/>
      <c r="GB6" s="1744"/>
      <c r="GC6" s="1744"/>
      <c r="GD6" s="1744"/>
      <c r="GE6" s="1744"/>
      <c r="GF6" s="1744"/>
      <c r="GG6" s="1744"/>
      <c r="GH6" s="1744"/>
      <c r="GI6" s="1744"/>
      <c r="GJ6" s="1744"/>
      <c r="GK6" s="1744"/>
      <c r="GL6" s="1744"/>
      <c r="GM6" s="1744"/>
      <c r="GN6" s="1744"/>
      <c r="GO6" s="1744"/>
      <c r="GP6" s="1744"/>
      <c r="GQ6" s="1744"/>
      <c r="GR6" s="1744"/>
      <c r="GS6" s="1744"/>
      <c r="GT6" s="1744"/>
      <c r="GU6" s="1744"/>
      <c r="GV6" s="1744"/>
      <c r="GW6" s="1744"/>
      <c r="GX6" s="1744"/>
      <c r="GY6" s="1744"/>
      <c r="GZ6" s="1744"/>
      <c r="HA6" s="1744"/>
      <c r="HB6" s="1744"/>
      <c r="HC6" s="1744"/>
      <c r="HD6" s="1744"/>
      <c r="HE6" s="1744"/>
      <c r="HF6" s="1744"/>
      <c r="HG6" s="1744"/>
      <c r="HH6" s="1744"/>
      <c r="HI6" s="1744"/>
      <c r="HJ6" s="1744"/>
      <c r="HK6" s="1744"/>
      <c r="HL6" s="1744"/>
      <c r="HM6" s="1744"/>
      <c r="HN6" s="1744"/>
      <c r="HO6" s="1744"/>
      <c r="HP6" s="1744"/>
      <c r="HQ6" s="1744"/>
      <c r="HR6" s="1744"/>
      <c r="HS6" s="1744"/>
      <c r="HT6" s="1744"/>
      <c r="HU6" s="1744"/>
      <c r="HV6" s="1744"/>
      <c r="HW6" s="1744"/>
      <c r="HX6" s="1744"/>
      <c r="HY6" s="1744"/>
      <c r="HZ6" s="1744"/>
      <c r="IA6" s="1744"/>
      <c r="IB6" s="1744"/>
      <c r="IC6" s="1744"/>
      <c r="ID6" s="1744"/>
      <c r="IE6" s="1744"/>
      <c r="IF6" s="1744"/>
      <c r="IG6" s="1744"/>
      <c r="IH6" s="1744"/>
      <c r="II6" s="1744"/>
      <c r="IJ6" s="1744"/>
      <c r="IK6" s="1744"/>
      <c r="IL6" s="1744"/>
      <c r="IM6" s="1744"/>
      <c r="IN6" s="1744"/>
      <c r="IO6" s="1744"/>
      <c r="IP6" s="1744"/>
      <c r="IQ6" s="1744"/>
      <c r="IR6" s="1744"/>
    </row>
    <row r="7" spans="1:252" s="1926" customFormat="1" ht="15.75">
      <c r="A7" s="307"/>
      <c r="B7" s="304"/>
      <c r="C7" s="304"/>
      <c r="D7" s="304"/>
      <c r="E7" s="304"/>
      <c r="F7" s="1744"/>
      <c r="G7" s="1744"/>
      <c r="H7" s="304"/>
      <c r="I7" s="304"/>
      <c r="J7" s="304"/>
      <c r="K7" s="304"/>
      <c r="L7" s="304"/>
      <c r="M7" s="304"/>
      <c r="N7" s="304"/>
      <c r="O7" s="304"/>
      <c r="P7" s="304"/>
      <c r="Q7" s="1928"/>
      <c r="R7" s="1929"/>
      <c r="S7" s="1650"/>
      <c r="T7" s="1929"/>
      <c r="U7" s="1650"/>
      <c r="V7" s="1650"/>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744"/>
      <c r="AU7" s="1744"/>
      <c r="AV7" s="1744"/>
      <c r="AW7" s="1744"/>
      <c r="AX7" s="1744"/>
      <c r="AY7" s="1744"/>
      <c r="AZ7" s="1744"/>
      <c r="BA7" s="1744"/>
      <c r="BB7" s="1744"/>
      <c r="BC7" s="1744"/>
      <c r="BD7" s="1744"/>
      <c r="BE7" s="1744"/>
      <c r="BF7" s="1744"/>
      <c r="BG7" s="1744"/>
      <c r="BH7" s="1744"/>
      <c r="BI7" s="1744"/>
      <c r="BJ7" s="1744"/>
      <c r="BK7" s="1744"/>
      <c r="BL7" s="1744"/>
      <c r="BM7" s="1744"/>
      <c r="BN7" s="1744"/>
      <c r="BO7" s="1744"/>
      <c r="BP7" s="1744"/>
      <c r="BQ7" s="1744"/>
      <c r="BR7" s="1744"/>
      <c r="BS7" s="1744"/>
      <c r="BT7" s="1744"/>
      <c r="BU7" s="1744"/>
      <c r="BV7" s="1744"/>
      <c r="BW7" s="1744"/>
      <c r="BX7" s="1744"/>
      <c r="BY7" s="1744"/>
      <c r="BZ7" s="1744"/>
      <c r="CA7" s="1744"/>
      <c r="CB7" s="1744"/>
      <c r="CC7" s="1744"/>
      <c r="CD7" s="1744"/>
      <c r="CE7" s="1744"/>
      <c r="CF7" s="1744"/>
      <c r="CG7" s="1744"/>
      <c r="CH7" s="1744"/>
      <c r="CI7" s="1744"/>
      <c r="CJ7" s="1744"/>
      <c r="CK7" s="1744"/>
      <c r="CL7" s="1744"/>
      <c r="CM7" s="1744"/>
      <c r="CN7" s="1744"/>
      <c r="CO7" s="1744"/>
      <c r="CP7" s="1744"/>
      <c r="CQ7" s="1744"/>
      <c r="CR7" s="1744"/>
      <c r="CS7" s="1744"/>
      <c r="CT7" s="1744"/>
      <c r="CU7" s="1744"/>
      <c r="CV7" s="1744"/>
      <c r="CW7" s="1744"/>
      <c r="CX7" s="1744"/>
      <c r="CY7" s="1744"/>
      <c r="CZ7" s="1744"/>
      <c r="DA7" s="1744"/>
      <c r="DB7" s="1744"/>
      <c r="DC7" s="1744"/>
      <c r="DD7" s="1744"/>
      <c r="DE7" s="1744"/>
      <c r="DF7" s="1744"/>
      <c r="DG7" s="1744"/>
      <c r="DH7" s="1744"/>
      <c r="DI7" s="1744"/>
      <c r="DJ7" s="1744"/>
      <c r="DK7" s="1744"/>
      <c r="DL7" s="1744"/>
      <c r="DM7" s="1744"/>
      <c r="DN7" s="1744"/>
      <c r="DO7" s="1744"/>
      <c r="DP7" s="1744"/>
      <c r="DQ7" s="1744"/>
      <c r="DR7" s="1744"/>
      <c r="DS7" s="1744"/>
      <c r="DT7" s="1744"/>
      <c r="DU7" s="1744"/>
      <c r="DV7" s="1744"/>
      <c r="DW7" s="1744"/>
      <c r="DX7" s="1744"/>
      <c r="DY7" s="1744"/>
      <c r="DZ7" s="1744"/>
      <c r="EA7" s="1744"/>
      <c r="EB7" s="1744"/>
      <c r="EC7" s="1744"/>
      <c r="ED7" s="1744"/>
      <c r="EE7" s="1744"/>
      <c r="EF7" s="1744"/>
      <c r="EG7" s="1744"/>
      <c r="EH7" s="1744"/>
      <c r="EI7" s="1744"/>
      <c r="EJ7" s="1744"/>
      <c r="EK7" s="1744"/>
      <c r="EL7" s="1744"/>
      <c r="EM7" s="1744"/>
      <c r="EN7" s="1744"/>
      <c r="EO7" s="1744"/>
      <c r="EP7" s="1744"/>
      <c r="EQ7" s="1744"/>
      <c r="ER7" s="1744"/>
      <c r="ES7" s="1744"/>
      <c r="ET7" s="1744"/>
      <c r="EU7" s="1744"/>
      <c r="EV7" s="1744"/>
      <c r="EW7" s="1744"/>
      <c r="EX7" s="1744"/>
      <c r="EY7" s="1744"/>
      <c r="EZ7" s="1744"/>
      <c r="FA7" s="1744"/>
      <c r="FB7" s="1744"/>
      <c r="FC7" s="1744"/>
      <c r="FD7" s="1744"/>
      <c r="FE7" s="1744"/>
      <c r="FF7" s="1744"/>
      <c r="FG7" s="1744"/>
      <c r="FH7" s="1744"/>
      <c r="FI7" s="1744"/>
      <c r="FJ7" s="1744"/>
      <c r="FK7" s="1744"/>
      <c r="FL7" s="1744"/>
      <c r="FM7" s="1744"/>
      <c r="FN7" s="1744"/>
      <c r="FO7" s="1744"/>
      <c r="FP7" s="1744"/>
      <c r="FQ7" s="1744"/>
      <c r="FR7" s="1744"/>
      <c r="FS7" s="1744"/>
      <c r="FT7" s="1744"/>
      <c r="FU7" s="1744"/>
      <c r="FV7" s="1744"/>
      <c r="FW7" s="1744"/>
      <c r="FX7" s="1744"/>
      <c r="FY7" s="1744"/>
      <c r="FZ7" s="1744"/>
      <c r="GA7" s="1744"/>
      <c r="GB7" s="1744"/>
      <c r="GC7" s="1744"/>
      <c r="GD7" s="1744"/>
      <c r="GE7" s="1744"/>
      <c r="GF7" s="1744"/>
      <c r="GG7" s="1744"/>
      <c r="GH7" s="1744"/>
      <c r="GI7" s="1744"/>
      <c r="GJ7" s="1744"/>
      <c r="GK7" s="1744"/>
      <c r="GL7" s="1744"/>
      <c r="GM7" s="1744"/>
      <c r="GN7" s="1744"/>
      <c r="GO7" s="1744"/>
      <c r="GP7" s="1744"/>
      <c r="GQ7" s="1744"/>
      <c r="GR7" s="1744"/>
      <c r="GS7" s="1744"/>
      <c r="GT7" s="1744"/>
      <c r="GU7" s="1744"/>
      <c r="GV7" s="1744"/>
      <c r="GW7" s="1744"/>
      <c r="GX7" s="1744"/>
      <c r="GY7" s="1744"/>
      <c r="GZ7" s="1744"/>
      <c r="HA7" s="1744"/>
      <c r="HB7" s="1744"/>
      <c r="HC7" s="1744"/>
      <c r="HD7" s="1744"/>
      <c r="HE7" s="1744"/>
      <c r="HF7" s="1744"/>
      <c r="HG7" s="1744"/>
      <c r="HH7" s="1744"/>
      <c r="HI7" s="1744"/>
      <c r="HJ7" s="1744"/>
      <c r="HK7" s="1744"/>
      <c r="HL7" s="1744"/>
      <c r="HM7" s="1744"/>
      <c r="HN7" s="1744"/>
      <c r="HO7" s="1744"/>
      <c r="HP7" s="1744"/>
      <c r="HQ7" s="1744"/>
      <c r="HR7" s="1744"/>
      <c r="HS7" s="1744"/>
      <c r="HT7" s="1744"/>
      <c r="HU7" s="1744"/>
      <c r="HV7" s="1744"/>
      <c r="HW7" s="1744"/>
      <c r="HX7" s="1744"/>
      <c r="HY7" s="1744"/>
      <c r="HZ7" s="1744"/>
      <c r="IA7" s="1744"/>
      <c r="IB7" s="1744"/>
      <c r="IC7" s="1744"/>
      <c r="ID7" s="1744"/>
      <c r="IE7" s="1744"/>
      <c r="IF7" s="1744"/>
      <c r="IG7" s="1744"/>
      <c r="IH7" s="1744"/>
      <c r="II7" s="1744"/>
      <c r="IJ7" s="1744"/>
      <c r="IK7" s="1744"/>
      <c r="IL7" s="1744"/>
      <c r="IM7" s="1744"/>
      <c r="IN7" s="1744"/>
      <c r="IO7" s="1744"/>
      <c r="IP7" s="1744"/>
      <c r="IQ7" s="1744"/>
      <c r="IR7" s="1744"/>
    </row>
    <row r="8" spans="1:252" s="1926" customFormat="1" ht="15.75">
      <c r="B8" s="304"/>
      <c r="C8" s="304"/>
      <c r="D8" s="304"/>
      <c r="E8" s="304"/>
      <c r="F8" s="1744"/>
      <c r="G8" s="1744"/>
      <c r="H8" s="304"/>
      <c r="I8" s="304"/>
      <c r="J8" s="304"/>
      <c r="K8" s="304"/>
      <c r="L8" s="304"/>
      <c r="M8" s="304"/>
      <c r="N8" s="304"/>
      <c r="O8" s="304"/>
      <c r="P8" s="304"/>
      <c r="Q8" s="1928"/>
      <c r="R8" s="1929"/>
      <c r="S8" s="1650"/>
      <c r="T8" s="1929"/>
      <c r="U8" s="1650"/>
      <c r="V8" s="1650"/>
      <c r="W8" s="1744"/>
      <c r="X8" s="1744"/>
      <c r="Y8" s="1744"/>
      <c r="Z8" s="1744"/>
      <c r="AA8" s="1744"/>
      <c r="AB8" s="1744"/>
      <c r="AC8" s="1744"/>
      <c r="AD8" s="1744"/>
      <c r="AE8" s="1744"/>
      <c r="AF8" s="1744"/>
      <c r="AG8" s="1744"/>
      <c r="AH8" s="1744"/>
      <c r="AI8" s="1744"/>
      <c r="AJ8" s="1744"/>
      <c r="AK8" s="1744"/>
      <c r="AL8" s="1744"/>
      <c r="AM8" s="1744"/>
      <c r="AN8" s="1744"/>
      <c r="AO8" s="1744"/>
      <c r="AP8" s="1744"/>
      <c r="AQ8" s="1744"/>
      <c r="AR8" s="1744"/>
      <c r="AS8" s="1744"/>
      <c r="AT8" s="1744"/>
      <c r="AU8" s="1744"/>
      <c r="AV8" s="1744"/>
      <c r="AW8" s="1744"/>
      <c r="AX8" s="1744"/>
      <c r="AY8" s="1744"/>
      <c r="AZ8" s="1744"/>
      <c r="BA8" s="1744"/>
      <c r="BB8" s="1744"/>
      <c r="BC8" s="1744"/>
      <c r="BD8" s="1744"/>
      <c r="BE8" s="1744"/>
      <c r="BF8" s="1744"/>
      <c r="BG8" s="1744"/>
      <c r="BH8" s="1744"/>
      <c r="BI8" s="1744"/>
      <c r="BJ8" s="1744"/>
      <c r="BK8" s="1744"/>
      <c r="BL8" s="1744"/>
      <c r="BM8" s="1744"/>
      <c r="BN8" s="1744"/>
      <c r="BO8" s="1744"/>
      <c r="BP8" s="1744"/>
      <c r="BQ8" s="1744"/>
      <c r="BR8" s="1744"/>
      <c r="BS8" s="1744"/>
      <c r="BT8" s="1744"/>
      <c r="BU8" s="1744"/>
      <c r="BV8" s="1744"/>
      <c r="BW8" s="1744"/>
      <c r="BX8" s="1744"/>
      <c r="BY8" s="1744"/>
      <c r="BZ8" s="1744"/>
      <c r="CA8" s="1744"/>
      <c r="CB8" s="1744"/>
      <c r="CC8" s="1744"/>
      <c r="CD8" s="1744"/>
      <c r="CE8" s="1744"/>
      <c r="CF8" s="1744"/>
      <c r="CG8" s="1744"/>
      <c r="CH8" s="1744"/>
      <c r="CI8" s="1744"/>
      <c r="CJ8" s="1744"/>
      <c r="CK8" s="1744"/>
      <c r="CL8" s="1744"/>
      <c r="CM8" s="1744"/>
      <c r="CN8" s="1744"/>
      <c r="CO8" s="1744"/>
      <c r="CP8" s="1744"/>
      <c r="CQ8" s="1744"/>
      <c r="CR8" s="1744"/>
      <c r="CS8" s="1744"/>
      <c r="CT8" s="1744"/>
      <c r="CU8" s="1744"/>
      <c r="CV8" s="1744"/>
      <c r="CW8" s="1744"/>
      <c r="CX8" s="1744"/>
      <c r="CY8" s="1744"/>
      <c r="CZ8" s="1744"/>
      <c r="DA8" s="1744"/>
      <c r="DB8" s="1744"/>
      <c r="DC8" s="1744"/>
      <c r="DD8" s="1744"/>
      <c r="DE8" s="1744"/>
      <c r="DF8" s="1744"/>
      <c r="DG8" s="1744"/>
      <c r="DH8" s="1744"/>
      <c r="DI8" s="1744"/>
      <c r="DJ8" s="1744"/>
      <c r="DK8" s="1744"/>
      <c r="DL8" s="1744"/>
      <c r="DM8" s="1744"/>
      <c r="DN8" s="1744"/>
      <c r="DO8" s="1744"/>
      <c r="DP8" s="1744"/>
      <c r="DQ8" s="1744"/>
      <c r="DR8" s="1744"/>
      <c r="DS8" s="1744"/>
      <c r="DT8" s="1744"/>
      <c r="DU8" s="1744"/>
      <c r="DV8" s="1744"/>
      <c r="DW8" s="1744"/>
      <c r="DX8" s="1744"/>
      <c r="DY8" s="1744"/>
      <c r="DZ8" s="1744"/>
      <c r="EA8" s="1744"/>
      <c r="EB8" s="1744"/>
      <c r="EC8" s="1744"/>
      <c r="ED8" s="1744"/>
      <c r="EE8" s="1744"/>
      <c r="EF8" s="1744"/>
      <c r="EG8" s="1744"/>
      <c r="EH8" s="1744"/>
      <c r="EI8" s="1744"/>
      <c r="EJ8" s="1744"/>
      <c r="EK8" s="1744"/>
      <c r="EL8" s="1744"/>
      <c r="EM8" s="1744"/>
      <c r="EN8" s="1744"/>
      <c r="EO8" s="1744"/>
      <c r="EP8" s="1744"/>
      <c r="EQ8" s="1744"/>
      <c r="ER8" s="1744"/>
      <c r="ES8" s="1744"/>
      <c r="ET8" s="1744"/>
      <c r="EU8" s="1744"/>
      <c r="EV8" s="1744"/>
      <c r="EW8" s="1744"/>
      <c r="EX8" s="1744"/>
      <c r="EY8" s="1744"/>
      <c r="EZ8" s="1744"/>
      <c r="FA8" s="1744"/>
      <c r="FB8" s="1744"/>
      <c r="FC8" s="1744"/>
      <c r="FD8" s="1744"/>
      <c r="FE8" s="1744"/>
      <c r="FF8" s="1744"/>
      <c r="FG8" s="1744"/>
      <c r="FH8" s="1744"/>
      <c r="FI8" s="1744"/>
      <c r="FJ8" s="1744"/>
      <c r="FK8" s="1744"/>
      <c r="FL8" s="1744"/>
      <c r="FM8" s="1744"/>
      <c r="FN8" s="1744"/>
      <c r="FO8" s="1744"/>
      <c r="FP8" s="1744"/>
      <c r="FQ8" s="1744"/>
      <c r="FR8" s="1744"/>
      <c r="FS8" s="1744"/>
      <c r="FT8" s="1744"/>
      <c r="FU8" s="1744"/>
      <c r="FV8" s="1744"/>
      <c r="FW8" s="1744"/>
      <c r="FX8" s="1744"/>
      <c r="FY8" s="1744"/>
      <c r="FZ8" s="1744"/>
      <c r="GA8" s="1744"/>
      <c r="GB8" s="1744"/>
      <c r="GC8" s="1744"/>
      <c r="GD8" s="1744"/>
      <c r="GE8" s="1744"/>
      <c r="GF8" s="1744"/>
      <c r="GG8" s="1744"/>
      <c r="GH8" s="1744"/>
      <c r="GI8" s="1744"/>
      <c r="GJ8" s="1744"/>
      <c r="GK8" s="1744"/>
      <c r="GL8" s="1744"/>
      <c r="GM8" s="1744"/>
      <c r="GN8" s="1744"/>
      <c r="GO8" s="1744"/>
      <c r="GP8" s="1744"/>
      <c r="GQ8" s="1744"/>
      <c r="GR8" s="1744"/>
      <c r="GS8" s="1744"/>
      <c r="GT8" s="1744"/>
      <c r="GU8" s="1744"/>
      <c r="GV8" s="1744"/>
      <c r="GW8" s="1744"/>
      <c r="GX8" s="1744"/>
      <c r="GY8" s="1744"/>
      <c r="GZ8" s="1744"/>
      <c r="HA8" s="1744"/>
      <c r="HB8" s="1744"/>
      <c r="HC8" s="1744"/>
      <c r="HD8" s="1744"/>
      <c r="HE8" s="1744"/>
      <c r="HF8" s="1744"/>
      <c r="HG8" s="1744"/>
      <c r="HH8" s="1744"/>
      <c r="HI8" s="1744"/>
      <c r="HJ8" s="1744"/>
      <c r="HK8" s="1744"/>
      <c r="HL8" s="1744"/>
      <c r="HM8" s="1744"/>
      <c r="HN8" s="1744"/>
      <c r="HO8" s="1744"/>
      <c r="HP8" s="1744"/>
      <c r="HQ8" s="1744"/>
      <c r="HR8" s="1744"/>
      <c r="HS8" s="1744"/>
      <c r="HT8" s="1744"/>
      <c r="HU8" s="1744"/>
      <c r="HV8" s="1744"/>
      <c r="HW8" s="1744"/>
      <c r="HX8" s="1744"/>
      <c r="HY8" s="1744"/>
      <c r="HZ8" s="1744"/>
      <c r="IA8" s="1744"/>
      <c r="IB8" s="1744"/>
      <c r="IC8" s="1744"/>
      <c r="ID8" s="1744"/>
      <c r="IE8" s="1744"/>
      <c r="IF8" s="1744"/>
      <c r="IG8" s="1744"/>
      <c r="IH8" s="1744"/>
      <c r="II8" s="1744"/>
      <c r="IJ8" s="1744"/>
      <c r="IK8" s="1744"/>
      <c r="IL8" s="1744"/>
      <c r="IM8" s="1744"/>
      <c r="IN8" s="1744"/>
      <c r="IO8" s="1744"/>
      <c r="IP8" s="1744"/>
      <c r="IQ8" s="1744"/>
      <c r="IR8" s="1744"/>
    </row>
    <row r="9" spans="1:252" s="1926" customFormat="1" ht="8.1" customHeight="1">
      <c r="A9" s="1928"/>
      <c r="B9" s="304"/>
      <c r="C9" s="304"/>
      <c r="D9" s="304"/>
      <c r="E9" s="304"/>
      <c r="F9" s="304"/>
      <c r="G9" s="1744"/>
      <c r="H9" s="304"/>
      <c r="I9" s="304"/>
      <c r="J9" s="304"/>
      <c r="K9" s="304"/>
      <c r="L9" s="304"/>
      <c r="M9" s="304"/>
      <c r="N9" s="304"/>
      <c r="O9" s="304"/>
      <c r="P9" s="304"/>
      <c r="Q9" s="1928"/>
      <c r="R9" s="1930"/>
      <c r="S9" s="1928"/>
      <c r="T9" s="1925"/>
      <c r="U9" s="1744"/>
      <c r="V9" s="1744"/>
      <c r="W9" s="1744"/>
      <c r="X9" s="1744"/>
      <c r="Y9" s="1744"/>
      <c r="Z9" s="1744"/>
      <c r="AA9" s="1744"/>
      <c r="AB9" s="1744"/>
      <c r="AC9" s="1744"/>
      <c r="AD9" s="1744"/>
      <c r="AE9" s="1744"/>
      <c r="AF9" s="1744"/>
      <c r="AG9" s="1744"/>
      <c r="AH9" s="1744"/>
      <c r="AI9" s="1744"/>
      <c r="AJ9" s="1744"/>
      <c r="AK9" s="1744"/>
      <c r="AL9" s="1744"/>
      <c r="AM9" s="1744"/>
      <c r="AN9" s="1744"/>
      <c r="AO9" s="1744"/>
      <c r="AP9" s="1744"/>
      <c r="AQ9" s="1744"/>
      <c r="AR9" s="1744"/>
      <c r="AS9" s="1744"/>
      <c r="AT9" s="1744"/>
      <c r="AU9" s="1744"/>
      <c r="AV9" s="1744"/>
      <c r="AW9" s="1744"/>
      <c r="AX9" s="1744"/>
      <c r="AY9" s="1744"/>
      <c r="AZ9" s="1744"/>
      <c r="BA9" s="1744"/>
      <c r="BB9" s="1744"/>
      <c r="BC9" s="1744"/>
      <c r="BD9" s="1744"/>
      <c r="BE9" s="1744"/>
      <c r="BF9" s="1744"/>
      <c r="BG9" s="1744"/>
      <c r="BH9" s="1744"/>
      <c r="BI9" s="1744"/>
      <c r="BJ9" s="1744"/>
      <c r="BK9" s="1744"/>
      <c r="BL9" s="1744"/>
      <c r="BM9" s="1744"/>
      <c r="BN9" s="1744"/>
      <c r="BO9" s="1744"/>
      <c r="BP9" s="1744"/>
      <c r="BQ9" s="1744"/>
      <c r="BR9" s="1744"/>
      <c r="BS9" s="1744"/>
      <c r="BT9" s="1744"/>
      <c r="BU9" s="1744"/>
      <c r="BV9" s="1744"/>
      <c r="BW9" s="1744"/>
      <c r="BX9" s="1744"/>
      <c r="BY9" s="1744"/>
      <c r="BZ9" s="1744"/>
      <c r="CA9" s="1744"/>
      <c r="CB9" s="1744"/>
      <c r="CC9" s="1744"/>
      <c r="CD9" s="1744"/>
      <c r="CE9" s="1744"/>
      <c r="CF9" s="1744"/>
      <c r="CG9" s="1744"/>
      <c r="CH9" s="1744"/>
      <c r="CI9" s="1744"/>
      <c r="CJ9" s="1744"/>
      <c r="CK9" s="1744"/>
      <c r="CL9" s="1744"/>
      <c r="CM9" s="1744"/>
      <c r="CN9" s="1744"/>
      <c r="CO9" s="1744"/>
      <c r="CP9" s="1744"/>
      <c r="CQ9" s="1744"/>
      <c r="CR9" s="1744"/>
      <c r="CS9" s="1744"/>
      <c r="CT9" s="1744"/>
      <c r="CU9" s="1744"/>
      <c r="CV9" s="1744"/>
      <c r="CW9" s="1744"/>
      <c r="CX9" s="1744"/>
      <c r="CY9" s="1744"/>
      <c r="CZ9" s="1744"/>
      <c r="DA9" s="1744"/>
      <c r="DB9" s="1744"/>
      <c r="DC9" s="1744"/>
      <c r="DD9" s="1744"/>
      <c r="DE9" s="1744"/>
      <c r="DF9" s="1744"/>
      <c r="DG9" s="1744"/>
      <c r="DH9" s="1744"/>
      <c r="DI9" s="1744"/>
      <c r="DJ9" s="1744"/>
      <c r="DK9" s="1744"/>
      <c r="DL9" s="1744"/>
      <c r="DM9" s="1744"/>
      <c r="DN9" s="1744"/>
      <c r="DO9" s="1744"/>
      <c r="DP9" s="1744"/>
      <c r="DQ9" s="1744"/>
      <c r="DR9" s="1744"/>
      <c r="DS9" s="1744"/>
      <c r="DT9" s="1744"/>
      <c r="DU9" s="1744"/>
      <c r="DV9" s="1744"/>
      <c r="DW9" s="1744"/>
      <c r="DX9" s="1744"/>
      <c r="DY9" s="1744"/>
      <c r="DZ9" s="1744"/>
      <c r="EA9" s="1744"/>
      <c r="EB9" s="1744"/>
      <c r="EC9" s="1744"/>
      <c r="ED9" s="1744"/>
      <c r="EE9" s="1744"/>
      <c r="EF9" s="1744"/>
      <c r="EG9" s="1744"/>
      <c r="EH9" s="1744"/>
      <c r="EI9" s="1744"/>
      <c r="EJ9" s="1744"/>
      <c r="EK9" s="1744"/>
      <c r="EL9" s="1744"/>
      <c r="EM9" s="1744"/>
      <c r="EN9" s="1744"/>
      <c r="EO9" s="1744"/>
      <c r="EP9" s="1744"/>
      <c r="EQ9" s="1744"/>
      <c r="ER9" s="1744"/>
      <c r="ES9" s="1744"/>
      <c r="ET9" s="1744"/>
      <c r="EU9" s="1744"/>
      <c r="EV9" s="1744"/>
      <c r="EW9" s="1744"/>
      <c r="EX9" s="1744"/>
      <c r="EY9" s="1744"/>
      <c r="EZ9" s="1744"/>
      <c r="FA9" s="1744"/>
      <c r="FB9" s="1744"/>
      <c r="FC9" s="1744"/>
      <c r="FD9" s="1744"/>
      <c r="FE9" s="1744"/>
      <c r="FF9" s="1744"/>
      <c r="FG9" s="1744"/>
      <c r="FH9" s="1744"/>
      <c r="FI9" s="1744"/>
      <c r="FJ9" s="1744"/>
      <c r="FK9" s="1744"/>
      <c r="FL9" s="1744"/>
      <c r="FM9" s="1744"/>
      <c r="FN9" s="1744"/>
      <c r="FO9" s="1744"/>
      <c r="FP9" s="1744"/>
      <c r="FQ9" s="1744"/>
      <c r="FR9" s="1744"/>
      <c r="FS9" s="1744"/>
      <c r="FT9" s="1744"/>
      <c r="FU9" s="1744"/>
      <c r="FV9" s="1744"/>
      <c r="FW9" s="1744"/>
      <c r="FX9" s="1744"/>
      <c r="FY9" s="1744"/>
      <c r="FZ9" s="1744"/>
      <c r="GA9" s="1744"/>
      <c r="GB9" s="1744"/>
      <c r="GC9" s="1744"/>
      <c r="GD9" s="1744"/>
      <c r="GE9" s="1744"/>
      <c r="GF9" s="1744"/>
      <c r="GG9" s="1744"/>
      <c r="GH9" s="1744"/>
      <c r="GI9" s="1744"/>
      <c r="GJ9" s="1744"/>
      <c r="GK9" s="1744"/>
      <c r="GL9" s="1744"/>
      <c r="GM9" s="1744"/>
      <c r="GN9" s="1744"/>
      <c r="GO9" s="1744"/>
      <c r="GP9" s="1744"/>
      <c r="GQ9" s="1744"/>
      <c r="GR9" s="1744"/>
      <c r="GS9" s="1744"/>
      <c r="GT9" s="1744"/>
      <c r="GU9" s="1744"/>
      <c r="GV9" s="1744"/>
      <c r="GW9" s="1744"/>
      <c r="GX9" s="1744"/>
      <c r="GY9" s="1744"/>
      <c r="GZ9" s="1744"/>
      <c r="HA9" s="1744"/>
      <c r="HB9" s="1744"/>
      <c r="HC9" s="1744"/>
      <c r="HD9" s="1744"/>
      <c r="HE9" s="1744"/>
      <c r="HF9" s="1744"/>
      <c r="HG9" s="1744"/>
      <c r="HH9" s="1744"/>
      <c r="HI9" s="1744"/>
      <c r="HJ9" s="1744"/>
      <c r="HK9" s="1744"/>
      <c r="HL9" s="1744"/>
      <c r="HM9" s="1744"/>
      <c r="HN9" s="1744"/>
      <c r="HO9" s="1744"/>
      <c r="HP9" s="1744"/>
      <c r="HQ9" s="1744"/>
      <c r="HR9" s="1744"/>
      <c r="HS9" s="1744"/>
      <c r="HT9" s="1744"/>
      <c r="HU9" s="1744"/>
      <c r="HV9" s="1744"/>
      <c r="HW9" s="1744"/>
      <c r="HX9" s="1744"/>
      <c r="HY9" s="1744"/>
      <c r="HZ9" s="1744"/>
      <c r="IA9" s="1744"/>
      <c r="IB9" s="1744"/>
      <c r="IC9" s="1744"/>
      <c r="ID9" s="1744"/>
      <c r="IE9" s="1744"/>
      <c r="IF9" s="1744"/>
      <c r="IG9" s="1744"/>
      <c r="IH9" s="1744"/>
      <c r="II9" s="1744"/>
      <c r="IJ9" s="1744"/>
      <c r="IK9" s="1744"/>
      <c r="IL9" s="1744"/>
      <c r="IM9" s="1744"/>
      <c r="IN9" s="1744"/>
      <c r="IO9" s="1744"/>
      <c r="IP9" s="1744"/>
      <c r="IQ9" s="1744"/>
      <c r="IR9" s="1744"/>
    </row>
    <row r="10" spans="1:252" s="1926" customFormat="1" ht="15.75">
      <c r="A10" s="1928"/>
      <c r="B10" s="304"/>
      <c r="C10" s="304"/>
      <c r="D10" s="304"/>
      <c r="E10" s="304"/>
      <c r="F10" s="304"/>
      <c r="G10" s="1744"/>
      <c r="H10" s="304"/>
      <c r="I10" s="304"/>
      <c r="J10" s="304"/>
      <c r="K10" s="304"/>
      <c r="L10" s="304"/>
      <c r="M10" s="304"/>
      <c r="N10" s="304"/>
      <c r="O10" s="304"/>
      <c r="P10" s="304"/>
      <c r="Q10" s="1928"/>
      <c r="R10" s="1929"/>
      <c r="S10" s="1650"/>
      <c r="T10" s="1929"/>
      <c r="U10" s="1650"/>
      <c r="V10" s="1650"/>
      <c r="W10" s="1744"/>
      <c r="X10" s="1744"/>
      <c r="Y10" s="1744"/>
      <c r="Z10" s="1744"/>
      <c r="AA10" s="1744"/>
      <c r="AB10" s="1744"/>
      <c r="AC10" s="1744"/>
      <c r="AD10" s="1744"/>
      <c r="AE10" s="1744"/>
      <c r="AF10" s="1744"/>
      <c r="AG10" s="1744"/>
      <c r="AH10" s="1744"/>
      <c r="AI10" s="1744"/>
      <c r="AJ10" s="1744"/>
      <c r="AK10" s="1744"/>
      <c r="AL10" s="1744"/>
      <c r="AM10" s="1744"/>
      <c r="AN10" s="1744"/>
      <c r="AO10" s="1744"/>
      <c r="AP10" s="1744"/>
      <c r="AQ10" s="1744"/>
      <c r="AR10" s="1744"/>
      <c r="AS10" s="1744"/>
      <c r="AT10" s="1744"/>
      <c r="AU10" s="1744"/>
      <c r="AV10" s="1744"/>
      <c r="AW10" s="1744"/>
      <c r="AX10" s="1744"/>
      <c r="AY10" s="1744"/>
      <c r="AZ10" s="1744"/>
      <c r="BA10" s="1744"/>
      <c r="BB10" s="1744"/>
      <c r="BC10" s="1744"/>
      <c r="BD10" s="1744"/>
      <c r="BE10" s="1744"/>
      <c r="BF10" s="1744"/>
      <c r="BG10" s="1744"/>
      <c r="BH10" s="1744"/>
      <c r="BI10" s="1744"/>
      <c r="BJ10" s="1744"/>
      <c r="BK10" s="1744"/>
      <c r="BL10" s="1744"/>
      <c r="BM10" s="1744"/>
      <c r="BN10" s="1744"/>
      <c r="BO10" s="1744"/>
      <c r="BP10" s="1744"/>
      <c r="BQ10" s="1744"/>
      <c r="BR10" s="1744"/>
      <c r="BS10" s="1744"/>
      <c r="BT10" s="1744"/>
      <c r="BU10" s="1744"/>
      <c r="BV10" s="1744"/>
      <c r="BW10" s="1744"/>
      <c r="BX10" s="1744"/>
      <c r="BY10" s="1744"/>
      <c r="BZ10" s="1744"/>
      <c r="CA10" s="1744"/>
      <c r="CB10" s="1744"/>
      <c r="CC10" s="1744"/>
      <c r="CD10" s="1744"/>
      <c r="CE10" s="1744"/>
      <c r="CF10" s="1744"/>
      <c r="CG10" s="1744"/>
      <c r="CH10" s="1744"/>
      <c r="CI10" s="1744"/>
      <c r="CJ10" s="1744"/>
      <c r="CK10" s="1744"/>
      <c r="CL10" s="1744"/>
      <c r="CM10" s="1744"/>
      <c r="CN10" s="1744"/>
      <c r="CO10" s="1744"/>
      <c r="CP10" s="1744"/>
      <c r="CQ10" s="1744"/>
      <c r="CR10" s="1744"/>
      <c r="CS10" s="1744"/>
      <c r="CT10" s="1744"/>
      <c r="CU10" s="1744"/>
      <c r="CV10" s="1744"/>
      <c r="CW10" s="1744"/>
      <c r="CX10" s="1744"/>
      <c r="CY10" s="1744"/>
      <c r="CZ10" s="1744"/>
      <c r="DA10" s="1744"/>
      <c r="DB10" s="1744"/>
      <c r="DC10" s="1744"/>
      <c r="DD10" s="1744"/>
      <c r="DE10" s="1744"/>
      <c r="DF10" s="1744"/>
      <c r="DG10" s="1744"/>
      <c r="DH10" s="1744"/>
      <c r="DI10" s="1744"/>
      <c r="DJ10" s="1744"/>
      <c r="DK10" s="1744"/>
      <c r="DL10" s="1744"/>
      <c r="DM10" s="1744"/>
      <c r="DN10" s="1744"/>
      <c r="DO10" s="1744"/>
      <c r="DP10" s="1744"/>
      <c r="DQ10" s="1744"/>
      <c r="DR10" s="1744"/>
      <c r="DS10" s="1744"/>
      <c r="DT10" s="1744"/>
      <c r="DU10" s="1744"/>
      <c r="DV10" s="1744"/>
      <c r="DW10" s="1744"/>
      <c r="DX10" s="1744"/>
      <c r="DY10" s="1744"/>
      <c r="DZ10" s="1744"/>
      <c r="EA10" s="1744"/>
      <c r="EB10" s="1744"/>
      <c r="EC10" s="1744"/>
      <c r="ED10" s="1744"/>
      <c r="EE10" s="1744"/>
      <c r="EF10" s="1744"/>
      <c r="EG10" s="1744"/>
      <c r="EH10" s="1744"/>
      <c r="EI10" s="1744"/>
      <c r="EJ10" s="1744"/>
      <c r="EK10" s="1744"/>
      <c r="EL10" s="1744"/>
      <c r="EM10" s="1744"/>
      <c r="EN10" s="1744"/>
      <c r="EO10" s="1744"/>
      <c r="EP10" s="1744"/>
      <c r="EQ10" s="1744"/>
      <c r="ER10" s="1744"/>
      <c r="ES10" s="1744"/>
      <c r="ET10" s="1744"/>
      <c r="EU10" s="1744"/>
      <c r="EV10" s="1744"/>
      <c r="EW10" s="1744"/>
      <c r="EX10" s="1744"/>
      <c r="EY10" s="1744"/>
      <c r="EZ10" s="1744"/>
      <c r="FA10" s="1744"/>
      <c r="FB10" s="1744"/>
      <c r="FC10" s="1744"/>
      <c r="FD10" s="1744"/>
      <c r="FE10" s="1744"/>
      <c r="FF10" s="1744"/>
      <c r="FG10" s="1744"/>
      <c r="FH10" s="1744"/>
      <c r="FI10" s="1744"/>
      <c r="FJ10" s="1744"/>
      <c r="FK10" s="1744"/>
      <c r="FL10" s="1744"/>
      <c r="FM10" s="1744"/>
      <c r="FN10" s="1744"/>
      <c r="FO10" s="1744"/>
      <c r="FP10" s="1744"/>
      <c r="FQ10" s="1744"/>
      <c r="FR10" s="1744"/>
      <c r="FS10" s="1744"/>
      <c r="FT10" s="1744"/>
      <c r="FU10" s="1744"/>
      <c r="FV10" s="1744"/>
      <c r="FW10" s="1744"/>
      <c r="FX10" s="1744"/>
      <c r="FY10" s="1744"/>
      <c r="FZ10" s="1744"/>
      <c r="GA10" s="1744"/>
      <c r="GB10" s="1744"/>
      <c r="GC10" s="1744"/>
      <c r="GD10" s="1744"/>
      <c r="GE10" s="1744"/>
      <c r="GF10" s="1744"/>
      <c r="GG10" s="1744"/>
      <c r="GH10" s="1744"/>
      <c r="GI10" s="1744"/>
      <c r="GJ10" s="1744"/>
      <c r="GK10" s="1744"/>
      <c r="GL10" s="1744"/>
      <c r="GM10" s="1744"/>
      <c r="GN10" s="1744"/>
      <c r="GO10" s="1744"/>
      <c r="GP10" s="1744"/>
      <c r="GQ10" s="1744"/>
      <c r="GR10" s="1744"/>
      <c r="GS10" s="1744"/>
      <c r="GT10" s="1744"/>
      <c r="GU10" s="1744"/>
      <c r="GV10" s="1744"/>
      <c r="GW10" s="1744"/>
      <c r="GX10" s="1744"/>
      <c r="GY10" s="1744"/>
      <c r="GZ10" s="1744"/>
      <c r="HA10" s="1744"/>
      <c r="HB10" s="1744"/>
      <c r="HC10" s="1744"/>
      <c r="HD10" s="1744"/>
      <c r="HE10" s="1744"/>
      <c r="HF10" s="1744"/>
      <c r="HG10" s="1744"/>
      <c r="HH10" s="1744"/>
      <c r="HI10" s="1744"/>
      <c r="HJ10" s="1744"/>
      <c r="HK10" s="1744"/>
      <c r="HL10" s="1744"/>
      <c r="HM10" s="1744"/>
      <c r="HN10" s="1744"/>
      <c r="HO10" s="1744"/>
      <c r="HP10" s="1744"/>
      <c r="HQ10" s="1744"/>
      <c r="HR10" s="1744"/>
      <c r="HS10" s="1744"/>
      <c r="HT10" s="1744"/>
      <c r="HU10" s="1744"/>
      <c r="HV10" s="1744"/>
      <c r="HW10" s="1744"/>
      <c r="HX10" s="1744"/>
      <c r="HY10" s="1744"/>
      <c r="HZ10" s="1744"/>
      <c r="IA10" s="1744"/>
      <c r="IB10" s="1744"/>
      <c r="IC10" s="1744"/>
      <c r="ID10" s="1744"/>
      <c r="IE10" s="1744"/>
      <c r="IF10" s="1744"/>
      <c r="IG10" s="1744"/>
      <c r="IH10" s="1744"/>
      <c r="II10" s="1744"/>
      <c r="IJ10" s="1744"/>
      <c r="IK10" s="1744"/>
      <c r="IL10" s="1744"/>
      <c r="IM10" s="1744"/>
      <c r="IN10" s="1744"/>
      <c r="IO10" s="1744"/>
      <c r="IP10" s="1744"/>
      <c r="IQ10" s="1744"/>
      <c r="IR10" s="1744"/>
    </row>
    <row r="11" spans="1:252" s="1926" customFormat="1" ht="15.75">
      <c r="A11" s="1928"/>
      <c r="B11" s="304"/>
      <c r="C11" s="304"/>
      <c r="D11" s="304"/>
      <c r="E11" s="304"/>
      <c r="F11" s="304"/>
      <c r="G11" s="1744"/>
      <c r="H11" s="304"/>
      <c r="I11" s="304"/>
      <c r="K11" s="309"/>
      <c r="L11" s="1745"/>
      <c r="M11" s="1745"/>
      <c r="N11" s="309"/>
      <c r="O11" s="309"/>
      <c r="P11" s="309"/>
      <c r="Q11" s="1928"/>
      <c r="R11" s="1929"/>
      <c r="S11" s="1650"/>
      <c r="T11" s="1929"/>
      <c r="U11" s="1650"/>
      <c r="V11" s="1650"/>
      <c r="W11" s="1744"/>
      <c r="X11" s="1744"/>
      <c r="Y11" s="1744"/>
      <c r="Z11" s="1744"/>
      <c r="AA11" s="1744"/>
      <c r="AB11" s="1744"/>
      <c r="AC11" s="1744"/>
      <c r="AD11" s="1744"/>
      <c r="AE11" s="1744"/>
      <c r="AF11" s="1744"/>
      <c r="AG11" s="1744"/>
      <c r="AH11" s="1744"/>
      <c r="AI11" s="1744"/>
      <c r="AJ11" s="1744"/>
      <c r="AK11" s="1744"/>
      <c r="AL11" s="1744"/>
      <c r="AM11" s="1744"/>
      <c r="AN11" s="1744"/>
      <c r="AO11" s="1744"/>
      <c r="AP11" s="1744"/>
      <c r="AQ11" s="1744"/>
      <c r="AR11" s="1744"/>
      <c r="AS11" s="1744"/>
      <c r="AT11" s="1744"/>
      <c r="AU11" s="1744"/>
      <c r="AV11" s="1744"/>
      <c r="AW11" s="1744"/>
      <c r="AX11" s="1744"/>
      <c r="AY11" s="1744"/>
      <c r="AZ11" s="1744"/>
      <c r="BA11" s="1744"/>
      <c r="BB11" s="1744"/>
      <c r="BC11" s="1744"/>
      <c r="BD11" s="1744"/>
      <c r="BE11" s="1744"/>
      <c r="BF11" s="1744"/>
      <c r="BG11" s="1744"/>
      <c r="BH11" s="1744"/>
      <c r="BI11" s="1744"/>
      <c r="BJ11" s="1744"/>
      <c r="BK11" s="1744"/>
      <c r="BL11" s="1744"/>
      <c r="BM11" s="1744"/>
      <c r="BN11" s="1744"/>
      <c r="BO11" s="1744"/>
      <c r="BP11" s="1744"/>
      <c r="BQ11" s="1744"/>
      <c r="BR11" s="1744"/>
      <c r="BS11" s="1744"/>
      <c r="BT11" s="1744"/>
      <c r="BU11" s="1744"/>
      <c r="BV11" s="1744"/>
      <c r="BW11" s="1744"/>
      <c r="BX11" s="1744"/>
      <c r="BY11" s="1744"/>
      <c r="BZ11" s="1744"/>
      <c r="CA11" s="1744"/>
      <c r="CB11" s="1744"/>
      <c r="CC11" s="1744"/>
      <c r="CD11" s="1744"/>
      <c r="CE11" s="1744"/>
      <c r="CF11" s="1744"/>
      <c r="CG11" s="1744"/>
      <c r="CH11" s="1744"/>
      <c r="CI11" s="1744"/>
      <c r="CJ11" s="1744"/>
      <c r="CK11" s="1744"/>
      <c r="CL11" s="1744"/>
      <c r="CM11" s="1744"/>
      <c r="CN11" s="1744"/>
      <c r="CO11" s="1744"/>
      <c r="CP11" s="1744"/>
      <c r="CQ11" s="1744"/>
      <c r="CR11" s="1744"/>
      <c r="CS11" s="1744"/>
      <c r="CT11" s="1744"/>
      <c r="CU11" s="1744"/>
      <c r="CV11" s="1744"/>
      <c r="CW11" s="1744"/>
      <c r="CX11" s="1744"/>
      <c r="CY11" s="1744"/>
      <c r="CZ11" s="1744"/>
      <c r="DA11" s="1744"/>
      <c r="DB11" s="1744"/>
      <c r="DC11" s="1744"/>
      <c r="DD11" s="1744"/>
      <c r="DE11" s="1744"/>
      <c r="DF11" s="1744"/>
      <c r="DG11" s="1744"/>
      <c r="DH11" s="1744"/>
      <c r="DI11" s="1744"/>
      <c r="DJ11" s="1744"/>
      <c r="DK11" s="1744"/>
      <c r="DL11" s="1744"/>
      <c r="DM11" s="1744"/>
      <c r="DN11" s="1744"/>
      <c r="DO11" s="1744"/>
      <c r="DP11" s="1744"/>
      <c r="DQ11" s="1744"/>
      <c r="DR11" s="1744"/>
      <c r="DS11" s="1744"/>
      <c r="DT11" s="1744"/>
      <c r="DU11" s="1744"/>
      <c r="DV11" s="1744"/>
      <c r="DW11" s="1744"/>
      <c r="DX11" s="1744"/>
      <c r="DY11" s="1744"/>
      <c r="DZ11" s="1744"/>
      <c r="EA11" s="1744"/>
      <c r="EB11" s="1744"/>
      <c r="EC11" s="1744"/>
      <c r="ED11" s="1744"/>
      <c r="EE11" s="1744"/>
      <c r="EF11" s="1744"/>
      <c r="EG11" s="1744"/>
      <c r="EH11" s="1744"/>
      <c r="EI11" s="1744"/>
      <c r="EJ11" s="1744"/>
      <c r="EK11" s="1744"/>
      <c r="EL11" s="1744"/>
      <c r="EM11" s="1744"/>
      <c r="EN11" s="1744"/>
      <c r="EO11" s="1744"/>
      <c r="EP11" s="1744"/>
      <c r="EQ11" s="1744"/>
      <c r="ER11" s="1744"/>
      <c r="ES11" s="1744"/>
      <c r="ET11" s="1744"/>
      <c r="EU11" s="1744"/>
      <c r="EV11" s="1744"/>
      <c r="EW11" s="1744"/>
      <c r="EX11" s="1744"/>
      <c r="EY11" s="1744"/>
      <c r="EZ11" s="1744"/>
      <c r="FA11" s="1744"/>
      <c r="FB11" s="1744"/>
      <c r="FC11" s="1744"/>
      <c r="FD11" s="1744"/>
      <c r="FE11" s="1744"/>
      <c r="FF11" s="1744"/>
      <c r="FG11" s="1744"/>
      <c r="FH11" s="1744"/>
      <c r="FI11" s="1744"/>
      <c r="FJ11" s="1744"/>
      <c r="FK11" s="1744"/>
      <c r="FL11" s="1744"/>
      <c r="FM11" s="1744"/>
      <c r="FN11" s="1744"/>
      <c r="FO11" s="1744"/>
      <c r="FP11" s="1744"/>
      <c r="FQ11" s="1744"/>
      <c r="FR11" s="1744"/>
      <c r="FS11" s="1744"/>
      <c r="FT11" s="1744"/>
      <c r="FU11" s="1744"/>
      <c r="FV11" s="1744"/>
      <c r="FW11" s="1744"/>
      <c r="FX11" s="1744"/>
      <c r="FY11" s="1744"/>
      <c r="FZ11" s="1744"/>
      <c r="GA11" s="1744"/>
      <c r="GB11" s="1744"/>
      <c r="GC11" s="1744"/>
      <c r="GD11" s="1744"/>
      <c r="GE11" s="1744"/>
      <c r="GF11" s="1744"/>
      <c r="GG11" s="1744"/>
      <c r="GH11" s="1744"/>
      <c r="GI11" s="1744"/>
      <c r="GJ11" s="1744"/>
      <c r="GK11" s="1744"/>
      <c r="GL11" s="1744"/>
      <c r="GM11" s="1744"/>
      <c r="GN11" s="1744"/>
      <c r="GO11" s="1744"/>
      <c r="GP11" s="1744"/>
      <c r="GQ11" s="1744"/>
      <c r="GR11" s="1744"/>
      <c r="GS11" s="1744"/>
      <c r="GT11" s="1744"/>
      <c r="GU11" s="1744"/>
      <c r="GV11" s="1744"/>
      <c r="GW11" s="1744"/>
      <c r="GX11" s="1744"/>
      <c r="GY11" s="1744"/>
      <c r="GZ11" s="1744"/>
      <c r="HA11" s="1744"/>
      <c r="HB11" s="1744"/>
      <c r="HC11" s="1744"/>
      <c r="HD11" s="1744"/>
      <c r="HE11" s="1744"/>
      <c r="HF11" s="1744"/>
      <c r="HG11" s="1744"/>
      <c r="HH11" s="1744"/>
      <c r="HI11" s="1744"/>
      <c r="HJ11" s="1744"/>
      <c r="HK11" s="1744"/>
      <c r="HL11" s="1744"/>
      <c r="HM11" s="1744"/>
      <c r="HN11" s="1744"/>
      <c r="HO11" s="1744"/>
      <c r="HP11" s="1744"/>
      <c r="HQ11" s="1744"/>
      <c r="HR11" s="1744"/>
      <c r="HS11" s="1744"/>
      <c r="HT11" s="1744"/>
      <c r="HU11" s="1744"/>
      <c r="HV11" s="1744"/>
      <c r="HW11" s="1744"/>
      <c r="HX11" s="1744"/>
      <c r="HY11" s="1744"/>
      <c r="HZ11" s="1744"/>
      <c r="IA11" s="1744"/>
      <c r="IB11" s="1744"/>
      <c r="IC11" s="1744"/>
      <c r="ID11" s="1744"/>
      <c r="IE11" s="1744"/>
      <c r="IF11" s="1744"/>
      <c r="IG11" s="1744"/>
      <c r="IH11" s="1744"/>
      <c r="II11" s="1744"/>
      <c r="IJ11" s="1744"/>
      <c r="IK11" s="1744"/>
      <c r="IL11" s="1744"/>
      <c r="IM11" s="1744"/>
      <c r="IN11" s="1744"/>
      <c r="IO11" s="1744"/>
      <c r="IP11" s="1744"/>
      <c r="IQ11" s="1744"/>
      <c r="IR11" s="1744"/>
    </row>
    <row r="12" spans="1:252" ht="15.95" customHeight="1">
      <c r="A12" s="1928"/>
      <c r="B12" s="309" t="s">
        <v>81</v>
      </c>
      <c r="C12" s="1931"/>
      <c r="D12" s="309"/>
      <c r="E12" s="304"/>
      <c r="F12" s="309" t="s">
        <v>82</v>
      </c>
      <c r="G12" s="1931"/>
      <c r="H12" s="309"/>
      <c r="I12" s="304"/>
      <c r="J12" s="309" t="s">
        <v>83</v>
      </c>
      <c r="K12" s="309"/>
      <c r="L12" s="1745"/>
      <c r="M12" s="309"/>
      <c r="N12" s="309"/>
      <c r="O12" s="309"/>
      <c r="P12" s="309"/>
      <c r="Q12" s="1928"/>
      <c r="R12" s="1932"/>
      <c r="S12" s="3495" t="s">
        <v>1011</v>
      </c>
      <c r="T12" s="3495"/>
      <c r="U12" s="3495"/>
      <c r="V12" s="1650"/>
    </row>
    <row r="13" spans="1:252" ht="12.95" customHeight="1">
      <c r="A13" s="1928"/>
      <c r="B13" s="1933"/>
      <c r="C13" s="1933"/>
      <c r="D13" s="1933"/>
      <c r="E13" s="1928"/>
      <c r="F13" s="1933"/>
      <c r="G13" s="1934"/>
      <c r="H13" s="1933"/>
      <c r="I13" s="1928"/>
      <c r="J13" s="1933"/>
      <c r="K13" s="1933"/>
      <c r="L13" s="1933"/>
      <c r="M13" s="1933"/>
      <c r="N13" s="1933"/>
      <c r="O13" s="1933"/>
      <c r="P13" s="1933"/>
      <c r="Q13" s="1928"/>
      <c r="R13" s="1935"/>
      <c r="S13" s="1321"/>
      <c r="T13" s="1936"/>
      <c r="U13" s="1649"/>
      <c r="V13" s="1650"/>
    </row>
    <row r="14" spans="1:252" ht="15.95" customHeight="1">
      <c r="A14" s="1928"/>
      <c r="B14" s="1438" t="s">
        <v>7</v>
      </c>
      <c r="C14" s="304"/>
      <c r="D14" s="1439" t="s">
        <v>1551</v>
      </c>
      <c r="E14" s="304"/>
      <c r="F14" s="1438" t="s">
        <v>7</v>
      </c>
      <c r="G14" s="1440"/>
      <c r="H14" s="1438" t="str">
        <f>D14</f>
        <v>10 MOS. ENDED</v>
      </c>
      <c r="I14" s="304"/>
      <c r="J14" s="1438" t="s">
        <v>7</v>
      </c>
      <c r="K14" s="304"/>
      <c r="L14" s="1438" t="str">
        <f>D14</f>
        <v>10 MOS. ENDED</v>
      </c>
      <c r="M14" s="304"/>
      <c r="N14" s="1438" t="s">
        <v>7</v>
      </c>
      <c r="O14" s="304"/>
      <c r="P14" s="1438" t="str">
        <f>H14</f>
        <v>10 MOS. ENDED</v>
      </c>
      <c r="Q14" s="1928"/>
      <c r="R14" s="1935"/>
      <c r="S14" s="1452" t="s">
        <v>8</v>
      </c>
      <c r="T14" s="412"/>
      <c r="U14" s="1453" t="s">
        <v>9</v>
      </c>
      <c r="V14" s="1650"/>
    </row>
    <row r="15" spans="1:252" ht="15.95" customHeight="1">
      <c r="A15" s="1928"/>
      <c r="B15" s="1767" t="s">
        <v>1550</v>
      </c>
      <c r="C15" s="304"/>
      <c r="D15" s="1767" t="s">
        <v>1552</v>
      </c>
      <c r="E15" s="304"/>
      <c r="F15" s="1441" t="str">
        <f>+B15</f>
        <v>JAN. 2017</v>
      </c>
      <c r="G15" s="304"/>
      <c r="H15" s="1442" t="str">
        <f>D15</f>
        <v>JAN. 31, 2017</v>
      </c>
      <c r="I15" s="304"/>
      <c r="J15" s="1441" t="str">
        <f>+F15</f>
        <v>JAN. 2017</v>
      </c>
      <c r="K15" s="304"/>
      <c r="L15" s="1442" t="str">
        <f>D15</f>
        <v>JAN. 31, 2017</v>
      </c>
      <c r="M15" s="304"/>
      <c r="N15" s="3471" t="s">
        <v>1553</v>
      </c>
      <c r="O15" s="304"/>
      <c r="P15" s="1767" t="s">
        <v>1554</v>
      </c>
      <c r="Q15" s="1928"/>
      <c r="R15" s="1935"/>
      <c r="S15" s="1458" t="s">
        <v>12</v>
      </c>
      <c r="T15" s="411"/>
      <c r="U15" s="1459" t="s">
        <v>13</v>
      </c>
      <c r="V15" s="1650"/>
    </row>
    <row r="16" spans="1:252" ht="12.95" customHeight="1">
      <c r="A16" s="1928"/>
      <c r="B16" s="1930"/>
      <c r="C16" s="1928"/>
      <c r="D16" s="1930" t="s">
        <v>15</v>
      </c>
      <c r="E16" s="1928"/>
      <c r="F16" s="1933"/>
      <c r="G16" s="1928"/>
      <c r="H16" s="1937" t="s">
        <v>15</v>
      </c>
      <c r="I16" s="1930"/>
      <c r="J16" s="1938"/>
      <c r="K16" s="1928"/>
      <c r="L16" s="1939"/>
      <c r="M16" s="1930"/>
      <c r="N16" s="1930"/>
      <c r="O16" s="1928"/>
      <c r="P16" s="1930"/>
      <c r="Q16" s="1928"/>
      <c r="R16" s="1940"/>
      <c r="S16" s="1650"/>
      <c r="T16" s="1930"/>
      <c r="U16" s="1650"/>
      <c r="V16" s="1650"/>
    </row>
    <row r="17" spans="1:245" ht="15.95" customHeight="1">
      <c r="A17" s="304" t="s">
        <v>14</v>
      </c>
      <c r="B17" s="1941"/>
      <c r="C17" s="1941"/>
      <c r="D17" s="1941"/>
      <c r="E17" s="1941"/>
      <c r="F17" s="1942"/>
      <c r="G17" s="1941"/>
      <c r="H17" s="1943"/>
      <c r="I17" s="1942"/>
      <c r="J17" s="1944"/>
      <c r="K17" s="1941"/>
      <c r="L17" s="1943"/>
      <c r="M17" s="1942"/>
      <c r="N17" s="1942"/>
      <c r="O17" s="1941"/>
      <c r="P17" s="1942"/>
      <c r="Q17" s="1928"/>
      <c r="R17" s="1945"/>
      <c r="S17" s="1650"/>
      <c r="T17" s="1942"/>
      <c r="U17" s="1650"/>
      <c r="V17" s="1650"/>
    </row>
    <row r="18" spans="1:245" ht="15.95" customHeight="1">
      <c r="A18" s="1928" t="s">
        <v>20</v>
      </c>
      <c r="B18" s="1946">
        <f>+'EXHIBIT L'!T16</f>
        <v>4.8</v>
      </c>
      <c r="C18" s="1750"/>
      <c r="D18" s="1749">
        <f>+'EXHIBIT L'!AA16</f>
        <v>71.8</v>
      </c>
      <c r="E18" s="1750"/>
      <c r="F18" s="1947">
        <f>+'EXHIBIT M'!T16</f>
        <v>0.1</v>
      </c>
      <c r="G18" s="1750"/>
      <c r="H18" s="1948">
        <f>+'EXHIBIT M'!AA16</f>
        <v>-0.7</v>
      </c>
      <c r="I18" s="1949"/>
      <c r="J18" s="1950">
        <f>SUM(B18)+SUM(F18)</f>
        <v>4.8999999999999995</v>
      </c>
      <c r="K18" s="1750"/>
      <c r="L18" s="1948">
        <f>D18+SUM(H18)</f>
        <v>71.099999999999994</v>
      </c>
      <c r="M18" s="1949"/>
      <c r="N18" s="1951">
        <v>5</v>
      </c>
      <c r="O18" s="1750"/>
      <c r="P18" s="1951">
        <v>95.7</v>
      </c>
      <c r="Q18" s="1952"/>
      <c r="R18" s="1953"/>
      <c r="S18" s="2153">
        <f>ROUND(SUM(L18-P18),1)</f>
        <v>-24.6</v>
      </c>
      <c r="T18" s="1954"/>
      <c r="U18" s="2596">
        <f>ROUND(IF(S18=0,0,S18/ABS(P18)),3)</f>
        <v>-0.25700000000000001</v>
      </c>
      <c r="V18" s="1955"/>
      <c r="W18" s="1956"/>
      <c r="X18" s="1956"/>
      <c r="Y18" s="1956"/>
      <c r="Z18" s="1956"/>
      <c r="AA18" s="1956"/>
      <c r="AB18" s="1956"/>
      <c r="AC18" s="1956"/>
      <c r="AD18" s="1956"/>
      <c r="AE18" s="1956"/>
      <c r="AF18" s="1956"/>
      <c r="AG18" s="1956"/>
      <c r="AH18" s="1956"/>
      <c r="AI18" s="1956"/>
      <c r="AJ18" s="1956"/>
      <c r="AK18" s="1956"/>
      <c r="AL18" s="1956"/>
      <c r="AM18" s="1956"/>
      <c r="AN18" s="1956"/>
      <c r="AO18" s="1956"/>
      <c r="AP18" s="1956"/>
      <c r="AQ18" s="1956"/>
      <c r="AR18" s="1956"/>
      <c r="AS18" s="1956"/>
      <c r="AT18" s="1956"/>
      <c r="AU18" s="1956"/>
      <c r="AV18" s="1956"/>
      <c r="AW18" s="1956"/>
      <c r="AX18" s="1956"/>
      <c r="AY18" s="1956"/>
      <c r="AZ18" s="1956"/>
      <c r="BA18" s="1956"/>
      <c r="BB18" s="1956"/>
      <c r="BC18" s="1956"/>
      <c r="BD18" s="1956"/>
      <c r="BE18" s="1956"/>
      <c r="BF18" s="1956"/>
      <c r="BG18" s="1956"/>
      <c r="BH18" s="1956"/>
      <c r="BI18" s="1956"/>
      <c r="BJ18" s="1956"/>
      <c r="BK18" s="1956"/>
      <c r="BL18" s="1956"/>
      <c r="BM18" s="1956"/>
      <c r="BN18" s="1956"/>
      <c r="BO18" s="1956"/>
      <c r="BP18" s="1956"/>
      <c r="BQ18" s="1956"/>
      <c r="BR18" s="1956"/>
      <c r="BS18" s="1956"/>
      <c r="BT18" s="1956"/>
      <c r="BU18" s="1956"/>
      <c r="BV18" s="1956"/>
      <c r="BW18" s="1956"/>
      <c r="BX18" s="1956"/>
      <c r="BY18" s="1956"/>
      <c r="BZ18" s="1956"/>
      <c r="CA18" s="1956"/>
      <c r="CB18" s="1956"/>
      <c r="CC18" s="1956"/>
      <c r="CD18" s="1956"/>
      <c r="CE18" s="1956"/>
      <c r="CF18" s="1956"/>
      <c r="CG18" s="1956"/>
      <c r="CH18" s="1956"/>
      <c r="CI18" s="1956"/>
      <c r="CJ18" s="1956"/>
      <c r="CK18" s="1956"/>
      <c r="CL18" s="1956"/>
      <c r="CM18" s="1956"/>
      <c r="CN18" s="1956"/>
      <c r="CO18" s="1956"/>
      <c r="CP18" s="1956"/>
      <c r="CQ18" s="1956"/>
      <c r="CR18" s="1956"/>
      <c r="CS18" s="1956"/>
      <c r="CT18" s="1956"/>
      <c r="CU18" s="1956"/>
      <c r="CV18" s="1956"/>
      <c r="CW18" s="1956"/>
      <c r="CX18" s="1956"/>
      <c r="CY18" s="1956"/>
      <c r="CZ18" s="1956"/>
      <c r="DA18" s="1956"/>
      <c r="DB18" s="1956"/>
      <c r="DC18" s="1956"/>
      <c r="DD18" s="1956"/>
      <c r="DE18" s="1956"/>
      <c r="DF18" s="1956"/>
      <c r="DG18" s="1956"/>
      <c r="DH18" s="1956"/>
      <c r="DI18" s="1956"/>
      <c r="DJ18" s="1956"/>
      <c r="DK18" s="1956"/>
      <c r="DL18" s="1956"/>
      <c r="DM18" s="1956"/>
      <c r="DN18" s="1956"/>
      <c r="DO18" s="1956"/>
      <c r="DP18" s="1956"/>
      <c r="DQ18" s="1956"/>
      <c r="DR18" s="1956"/>
      <c r="DS18" s="1956"/>
      <c r="DT18" s="1956"/>
      <c r="DU18" s="1956"/>
      <c r="DV18" s="1956"/>
      <c r="DW18" s="1956"/>
      <c r="DX18" s="1956"/>
      <c r="DY18" s="1956"/>
      <c r="DZ18" s="1956"/>
      <c r="EA18" s="1956"/>
      <c r="EB18" s="1956"/>
      <c r="EC18" s="1956"/>
      <c r="ED18" s="1956"/>
      <c r="EE18" s="1956"/>
      <c r="EF18" s="1956"/>
      <c r="EG18" s="1956"/>
      <c r="EH18" s="1956"/>
      <c r="EI18" s="1956"/>
      <c r="EJ18" s="1956"/>
      <c r="EK18" s="1956"/>
      <c r="EL18" s="1956"/>
      <c r="EM18" s="1956"/>
      <c r="EN18" s="1956"/>
      <c r="EO18" s="1956"/>
      <c r="EP18" s="1956"/>
      <c r="EQ18" s="1956"/>
      <c r="ER18" s="1956"/>
      <c r="ES18" s="1956"/>
      <c r="ET18" s="1956"/>
      <c r="EU18" s="1956"/>
      <c r="EV18" s="1956"/>
      <c r="EW18" s="1956"/>
      <c r="EX18" s="1956"/>
      <c r="EY18" s="1956"/>
      <c r="EZ18" s="1956"/>
      <c r="FA18" s="1956"/>
      <c r="FB18" s="1956"/>
      <c r="FC18" s="1956"/>
      <c r="FD18" s="1956"/>
      <c r="FE18" s="1956"/>
      <c r="FF18" s="1956"/>
      <c r="FG18" s="1956"/>
      <c r="FH18" s="1956"/>
      <c r="FI18" s="1956"/>
      <c r="FJ18" s="1956"/>
      <c r="FK18" s="1956"/>
      <c r="FL18" s="1956"/>
      <c r="FM18" s="1956"/>
      <c r="FN18" s="1956"/>
      <c r="FO18" s="1956"/>
      <c r="FP18" s="1956"/>
      <c r="FQ18" s="1956"/>
      <c r="FR18" s="1956"/>
      <c r="FS18" s="1956"/>
      <c r="FT18" s="1956"/>
      <c r="FU18" s="1956"/>
      <c r="FV18" s="1956"/>
      <c r="FW18" s="1956"/>
      <c r="FX18" s="1956"/>
      <c r="FY18" s="1956"/>
      <c r="FZ18" s="1956"/>
      <c r="GA18" s="1956"/>
      <c r="GB18" s="1956"/>
      <c r="GC18" s="1956"/>
      <c r="GD18" s="1956"/>
      <c r="GE18" s="1956"/>
      <c r="GF18" s="1956"/>
      <c r="GG18" s="1956"/>
      <c r="GH18" s="1956"/>
      <c r="GI18" s="1956"/>
      <c r="GJ18" s="1956"/>
      <c r="GK18" s="1956"/>
      <c r="GL18" s="1956"/>
      <c r="GM18" s="1956"/>
      <c r="GN18" s="1956"/>
      <c r="GO18" s="1956"/>
      <c r="GP18" s="1956"/>
      <c r="GQ18" s="1956"/>
      <c r="GR18" s="1956"/>
      <c r="GS18" s="1956"/>
      <c r="GT18" s="1956"/>
      <c r="GU18" s="1956"/>
      <c r="GV18" s="1956"/>
      <c r="GW18" s="1956"/>
      <c r="GX18" s="1956"/>
      <c r="GY18" s="1956"/>
      <c r="GZ18" s="1956"/>
      <c r="HA18" s="1956"/>
      <c r="HB18" s="1956"/>
      <c r="HC18" s="1956"/>
      <c r="HD18" s="1956"/>
      <c r="HE18" s="1956"/>
      <c r="HF18" s="1956"/>
      <c r="HG18" s="1956"/>
      <c r="HH18" s="1956"/>
      <c r="HI18" s="1956"/>
      <c r="HJ18" s="1956"/>
      <c r="HK18" s="1956"/>
      <c r="HL18" s="1956"/>
      <c r="HM18" s="1956"/>
      <c r="HN18" s="1956"/>
      <c r="HO18" s="1956"/>
      <c r="HP18" s="1956"/>
      <c r="HQ18" s="1956"/>
      <c r="HR18" s="1956"/>
      <c r="HS18" s="1956"/>
      <c r="HT18" s="1956"/>
      <c r="HU18" s="1956"/>
      <c r="HV18" s="1956"/>
      <c r="HW18" s="1956"/>
      <c r="HX18" s="1956"/>
      <c r="HY18" s="1956"/>
      <c r="HZ18" s="1956"/>
      <c r="IA18" s="1956"/>
      <c r="IB18" s="1956"/>
      <c r="IC18" s="1956"/>
      <c r="ID18" s="1956"/>
      <c r="IE18" s="1956"/>
      <c r="IF18" s="1956"/>
      <c r="IG18" s="1956"/>
      <c r="IH18" s="1956"/>
      <c r="II18" s="1956"/>
      <c r="IJ18" s="1956"/>
      <c r="IK18" s="1956"/>
    </row>
    <row r="19" spans="1:245" ht="15.75">
      <c r="A19" s="304" t="s">
        <v>22</v>
      </c>
      <c r="B19" s="310">
        <f>ROUND(SUM(B18),1)</f>
        <v>4.8</v>
      </c>
      <c r="C19" s="311"/>
      <c r="D19" s="310">
        <f>ROUND(SUM(D18),1)</f>
        <v>71.8</v>
      </c>
      <c r="E19" s="311"/>
      <c r="F19" s="312">
        <f>ROUND(SUM(F18),1)</f>
        <v>0.1</v>
      </c>
      <c r="G19" s="311"/>
      <c r="H19" s="313">
        <f>ROUND(SUM(H18),1)</f>
        <v>-0.7</v>
      </c>
      <c r="I19" s="314"/>
      <c r="J19" s="315">
        <f>ROUND(SUM(J18),1)</f>
        <v>4.9000000000000004</v>
      </c>
      <c r="K19" s="311"/>
      <c r="L19" s="313">
        <f>ROUND(SUM(L18),1)</f>
        <v>71.099999999999994</v>
      </c>
      <c r="M19" s="314"/>
      <c r="N19" s="310">
        <f>ROUND(SUM(N18),1)</f>
        <v>5</v>
      </c>
      <c r="O19" s="311"/>
      <c r="P19" s="310">
        <f>ROUND(SUM(P18),1)</f>
        <v>95.7</v>
      </c>
      <c r="Q19" s="1440"/>
      <c r="R19" s="1957"/>
      <c r="S19" s="1986">
        <f>ROUND(SUM(S18),3)</f>
        <v>-24.6</v>
      </c>
      <c r="T19" s="1174"/>
      <c r="U19" s="1987">
        <f>ROUND(+S19/P19,3)</f>
        <v>-0.25700000000000001</v>
      </c>
      <c r="V19" s="1650"/>
    </row>
    <row r="20" spans="1:245" ht="15.75">
      <c r="A20" s="304"/>
      <c r="B20" s="1751"/>
      <c r="C20" s="1751"/>
      <c r="D20" s="1751"/>
      <c r="E20" s="1751"/>
      <c r="F20" s="1751"/>
      <c r="G20" s="1751"/>
      <c r="H20" s="1958"/>
      <c r="I20" s="1959"/>
      <c r="J20" s="1960"/>
      <c r="K20" s="1751"/>
      <c r="L20" s="1961"/>
      <c r="M20" s="1959"/>
      <c r="N20" s="1959"/>
      <c r="O20" s="1751"/>
      <c r="P20" s="1959"/>
      <c r="R20" s="1945"/>
      <c r="S20" s="1985"/>
      <c r="T20" s="1942"/>
      <c r="U20" s="1650"/>
      <c r="V20" s="1650"/>
    </row>
    <row r="21" spans="1:245" ht="15.95" customHeight="1">
      <c r="A21" s="304" t="s">
        <v>23</v>
      </c>
      <c r="B21" s="1751"/>
      <c r="C21" s="1751"/>
      <c r="D21" s="1751"/>
      <c r="E21" s="1751"/>
      <c r="F21" s="1751"/>
      <c r="G21" s="1751"/>
      <c r="H21" s="1961"/>
      <c r="I21" s="1959"/>
      <c r="J21" s="1960"/>
      <c r="K21" s="1751"/>
      <c r="L21" s="1961"/>
      <c r="M21" s="1959"/>
      <c r="N21" s="1959"/>
      <c r="O21" s="1751"/>
      <c r="P21" s="1959"/>
      <c r="R21" s="1945"/>
      <c r="S21" s="1985"/>
      <c r="T21" s="1942"/>
      <c r="U21" s="1650"/>
      <c r="V21" s="1650"/>
    </row>
    <row r="22" spans="1:245" ht="15.95" customHeight="1">
      <c r="A22" s="1928" t="s">
        <v>36</v>
      </c>
      <c r="B22" s="1751"/>
      <c r="C22" s="1751"/>
      <c r="D22" s="1751"/>
      <c r="E22" s="1751"/>
      <c r="F22" s="1751"/>
      <c r="G22" s="1751"/>
      <c r="H22" s="1961"/>
      <c r="I22" s="1959"/>
      <c r="J22" s="1960"/>
      <c r="K22" s="1751"/>
      <c r="L22" s="1961"/>
      <c r="M22" s="1959"/>
      <c r="N22" s="1959"/>
      <c r="O22" s="1751"/>
      <c r="P22" s="1959"/>
      <c r="R22" s="1945"/>
      <c r="S22" s="1985"/>
      <c r="T22" s="1942"/>
      <c r="U22" s="1650"/>
      <c r="V22" s="1650"/>
    </row>
    <row r="23" spans="1:245" ht="15.95" customHeight="1">
      <c r="A23" s="1928" t="s">
        <v>69</v>
      </c>
      <c r="B23" s="1314">
        <f>+'EXHIBIT L'!T22</f>
        <v>1.4</v>
      </c>
      <c r="C23" s="1751"/>
      <c r="D23" s="1314">
        <f>+'EXHIBIT L'!AA22</f>
        <v>48.6</v>
      </c>
      <c r="E23" s="1751"/>
      <c r="F23" s="1962">
        <f>+'EXHIBIT M'!T22</f>
        <v>0</v>
      </c>
      <c r="G23" s="1751"/>
      <c r="H23" s="1963">
        <f>+'EXHIBIT M'!AA22</f>
        <v>0.1</v>
      </c>
      <c r="I23" s="1959"/>
      <c r="J23" s="1964">
        <f>SUM(B23)+SUM(F23)</f>
        <v>1.4</v>
      </c>
      <c r="K23" s="1751"/>
      <c r="L23" s="1965">
        <f>SUM(D23)+SUM(H23)</f>
        <v>48.7</v>
      </c>
      <c r="M23" s="1959"/>
      <c r="N23" s="1966">
        <v>4.9000000000000004</v>
      </c>
      <c r="O23" s="1751"/>
      <c r="P23" s="1966">
        <v>49.4</v>
      </c>
      <c r="R23" s="1945"/>
      <c r="S23" s="1985">
        <f>ROUND(SUM(L23-P23),1)</f>
        <v>-0.7</v>
      </c>
      <c r="T23" s="1942"/>
      <c r="U23" s="2596">
        <f>ROUND(IF(S23=0,0,S23/ABS(P23)),3)</f>
        <v>-1.4E-2</v>
      </c>
      <c r="V23" s="1650"/>
    </row>
    <row r="24" spans="1:245" ht="15.95" customHeight="1">
      <c r="A24" s="1928" t="s">
        <v>70</v>
      </c>
      <c r="B24" s="1314">
        <f>+'EXHIBIT L'!T23</f>
        <v>7.9</v>
      </c>
      <c r="C24" s="1751"/>
      <c r="D24" s="1966">
        <f>+'EXHIBIT L'!AA23</f>
        <v>19.7</v>
      </c>
      <c r="E24" s="1751"/>
      <c r="F24" s="1962">
        <f>+'EXHIBIT M'!T23</f>
        <v>0</v>
      </c>
      <c r="G24" s="1751"/>
      <c r="H24" s="1963">
        <f>+'EXHIBIT M'!AA23</f>
        <v>0</v>
      </c>
      <c r="I24" s="1959"/>
      <c r="J24" s="1964">
        <f>SUM(B24)+SUM(F24)</f>
        <v>7.9</v>
      </c>
      <c r="K24" s="1751"/>
      <c r="L24" s="1965">
        <f>SUM(D24)+SUM(H24)</f>
        <v>19.7</v>
      </c>
      <c r="M24" s="1959"/>
      <c r="N24" s="1967">
        <v>1.7</v>
      </c>
      <c r="O24" s="1959"/>
      <c r="P24" s="1966">
        <v>14.6</v>
      </c>
      <c r="R24" s="1945"/>
      <c r="S24" s="1985">
        <f>ROUND(SUM(L24-P24),1)</f>
        <v>5.0999999999999996</v>
      </c>
      <c r="T24" s="1942"/>
      <c r="U24" s="2596">
        <f>ROUND(IF(S24=0,0,S24/ABS(P24)),3)</f>
        <v>0.34899999999999998</v>
      </c>
      <c r="V24" s="1650"/>
    </row>
    <row r="25" spans="1:245" ht="15.95" customHeight="1">
      <c r="A25" s="1928" t="s">
        <v>71</v>
      </c>
      <c r="B25" s="1314">
        <f>+'EXHIBIT L'!T24</f>
        <v>9.6</v>
      </c>
      <c r="C25" s="1751"/>
      <c r="D25" s="1967">
        <f>+'EXHIBIT L'!AA24</f>
        <v>29.6</v>
      </c>
      <c r="E25" s="1751"/>
      <c r="F25" s="1962">
        <f>+'EXHIBIT M'!T24</f>
        <v>0</v>
      </c>
      <c r="G25" s="1751"/>
      <c r="H25" s="1968">
        <f>+'EXHIBIT M'!AA24</f>
        <v>0.1</v>
      </c>
      <c r="I25" s="1959"/>
      <c r="J25" s="1964">
        <f>SUM(B25)+SUM(F25)</f>
        <v>9.6</v>
      </c>
      <c r="K25" s="1751"/>
      <c r="L25" s="1969">
        <f>SUM(D25)+SUM(H25)</f>
        <v>29.700000000000003</v>
      </c>
      <c r="M25" s="1959"/>
      <c r="N25" s="1967">
        <v>0</v>
      </c>
      <c r="O25" s="1970"/>
      <c r="P25" s="1966">
        <v>23.7</v>
      </c>
      <c r="R25" s="1945"/>
      <c r="S25" s="1985">
        <f>ROUND(SUM(L25-P25),1)</f>
        <v>6</v>
      </c>
      <c r="T25" s="1942"/>
      <c r="U25" s="2643">
        <f>ROUND(IF(P25=0,0,S25/ABS(P25)),3)</f>
        <v>0.253</v>
      </c>
      <c r="V25" s="1650"/>
    </row>
    <row r="26" spans="1:245" ht="15.75">
      <c r="A26" s="304" t="s">
        <v>59</v>
      </c>
      <c r="B26" s="310">
        <f>ROUND(SUM(B23:B25),1)</f>
        <v>18.899999999999999</v>
      </c>
      <c r="C26" s="311"/>
      <c r="D26" s="310">
        <f>ROUND(SUM(D23:D25),1)</f>
        <v>97.9</v>
      </c>
      <c r="E26" s="311"/>
      <c r="F26" s="310">
        <f>ROUND(SUM(F23:F25),1)</f>
        <v>0</v>
      </c>
      <c r="G26" s="311"/>
      <c r="H26" s="313">
        <f>ROUND(SUM(H23:H25),1)</f>
        <v>0.2</v>
      </c>
      <c r="I26" s="314"/>
      <c r="J26" s="315">
        <f>ROUND(SUM(J23:J25),1)</f>
        <v>18.899999999999999</v>
      </c>
      <c r="K26" s="311"/>
      <c r="L26" s="313">
        <f>ROUND(SUM(L23:L25),1)</f>
        <v>98.1</v>
      </c>
      <c r="M26" s="314"/>
      <c r="N26" s="310">
        <f>ROUND(SUM(N23:N25),1)</f>
        <v>6.6</v>
      </c>
      <c r="O26" s="311"/>
      <c r="P26" s="310">
        <f>ROUND(SUM(P23:P25),1)</f>
        <v>87.7</v>
      </c>
      <c r="Q26" s="1440"/>
      <c r="R26" s="1923"/>
      <c r="S26" s="1986">
        <f>ROUND(SUM(S23:S25),3)</f>
        <v>10.4</v>
      </c>
      <c r="T26" s="1174"/>
      <c r="U26" s="2676">
        <f>ROUND(S26/P26,3)</f>
        <v>0.11899999999999999</v>
      </c>
      <c r="V26" s="1650"/>
    </row>
    <row r="27" spans="1:245" ht="15.75">
      <c r="A27" s="304"/>
      <c r="B27" s="1751"/>
      <c r="C27" s="1751"/>
      <c r="D27" s="1751"/>
      <c r="E27" s="1751"/>
      <c r="F27" s="1751"/>
      <c r="G27" s="1751"/>
      <c r="H27" s="1961"/>
      <c r="I27" s="1959"/>
      <c r="J27" s="1960"/>
      <c r="K27" s="1751"/>
      <c r="L27" s="1961"/>
      <c r="M27" s="1959"/>
      <c r="N27" s="1959"/>
      <c r="O27" s="1751"/>
      <c r="P27" s="1959"/>
      <c r="R27" s="1945"/>
      <c r="S27" s="1985"/>
      <c r="T27" s="1942"/>
      <c r="U27" s="1650"/>
      <c r="V27" s="1650"/>
    </row>
    <row r="28" spans="1:245" ht="15.95" customHeight="1">
      <c r="A28" s="304" t="s">
        <v>44</v>
      </c>
      <c r="B28" s="1751"/>
      <c r="C28" s="1751"/>
      <c r="D28" s="1751"/>
      <c r="E28" s="1751"/>
      <c r="F28" s="1751"/>
      <c r="G28" s="1751"/>
      <c r="H28" s="1961"/>
      <c r="I28" s="1959"/>
      <c r="J28" s="1960"/>
      <c r="K28" s="1751"/>
      <c r="L28" s="1961"/>
      <c r="M28" s="1959"/>
      <c r="N28" s="1959"/>
      <c r="O28" s="1751"/>
      <c r="P28" s="1959"/>
      <c r="R28" s="1945"/>
      <c r="S28" s="1985"/>
      <c r="T28" s="1942"/>
      <c r="U28" s="1650"/>
      <c r="V28" s="1650"/>
    </row>
    <row r="29" spans="1:245" ht="15.75">
      <c r="A29" s="304" t="s">
        <v>73</v>
      </c>
      <c r="B29" s="320">
        <f>ROUND(SUM(B19-B26),1)</f>
        <v>-14.1</v>
      </c>
      <c r="C29" s="311"/>
      <c r="D29" s="320">
        <f>ROUND(SUM(D19-D26),1)</f>
        <v>-26.1</v>
      </c>
      <c r="E29" s="311"/>
      <c r="F29" s="320">
        <f>ROUND(SUM(F19-F26),1)</f>
        <v>0.1</v>
      </c>
      <c r="G29" s="311"/>
      <c r="H29" s="321">
        <f>ROUND(SUM(H19-H26),1)</f>
        <v>-0.9</v>
      </c>
      <c r="I29" s="314"/>
      <c r="J29" s="322">
        <f>ROUND(SUM(J19-J26),1)</f>
        <v>-14</v>
      </c>
      <c r="K29" s="314"/>
      <c r="L29" s="321">
        <f>ROUND(SUM(L19-L26),1)</f>
        <v>-27</v>
      </c>
      <c r="M29" s="314"/>
      <c r="N29" s="320">
        <f>ROUND(SUM(N19-N26),1)</f>
        <v>-1.6</v>
      </c>
      <c r="O29" s="314"/>
      <c r="P29" s="320">
        <f>ROUND(SUM(P19-P26),1)</f>
        <v>8</v>
      </c>
      <c r="Q29" s="1440"/>
      <c r="R29" s="1945"/>
      <c r="S29" s="3044">
        <f>ROUND(SUM(L29-P29),1)</f>
        <v>-35</v>
      </c>
      <c r="T29" s="1942"/>
      <c r="U29" s="2597">
        <f>ROUND(IF(P29=0,1,S29/ABS(P29)),3)</f>
        <v>-4.375</v>
      </c>
      <c r="V29" s="1650"/>
    </row>
    <row r="30" spans="1:245">
      <c r="A30" s="1928"/>
      <c r="B30" s="1751"/>
      <c r="C30" s="1751"/>
      <c r="D30" s="1751"/>
      <c r="E30" s="1751"/>
      <c r="F30" s="1751"/>
      <c r="G30" s="1751"/>
      <c r="H30" s="1961"/>
      <c r="I30" s="1959"/>
      <c r="J30" s="1960"/>
      <c r="K30" s="1751"/>
      <c r="L30" s="1961"/>
      <c r="M30" s="1959"/>
      <c r="N30" s="1959"/>
      <c r="O30" s="1751"/>
      <c r="P30" s="1959"/>
      <c r="R30" s="1945"/>
      <c r="S30" s="1985"/>
      <c r="T30" s="1942"/>
      <c r="U30" s="1650"/>
      <c r="V30" s="1650"/>
    </row>
    <row r="31" spans="1:245" ht="15.95" customHeight="1">
      <c r="A31" s="304" t="s">
        <v>46</v>
      </c>
      <c r="B31" s="1751"/>
      <c r="C31" s="1751"/>
      <c r="D31" s="1751"/>
      <c r="E31" s="1751"/>
      <c r="F31" s="1751"/>
      <c r="G31" s="1751"/>
      <c r="H31" s="1961"/>
      <c r="I31" s="1959"/>
      <c r="J31" s="1960"/>
      <c r="K31" s="1751"/>
      <c r="L31" s="1961"/>
      <c r="M31" s="1959"/>
      <c r="N31" s="1959"/>
      <c r="O31" s="1751"/>
      <c r="P31" s="1959"/>
      <c r="R31" s="1945"/>
      <c r="S31" s="1985"/>
      <c r="T31" s="1942"/>
      <c r="U31" s="1650"/>
      <c r="V31" s="1650"/>
    </row>
    <row r="32" spans="1:245" ht="15.95" customHeight="1">
      <c r="A32" s="1928" t="s">
        <v>48</v>
      </c>
      <c r="B32" s="1962">
        <f>+'EXHIBIT L'!T31</f>
        <v>0</v>
      </c>
      <c r="C32" s="1751"/>
      <c r="D32" s="1962">
        <f>+'EXHIBIT L'!AA31</f>
        <v>0</v>
      </c>
      <c r="E32" s="1751"/>
      <c r="F32" s="1962">
        <f>+'EXHIBIT M'!T31</f>
        <v>0</v>
      </c>
      <c r="G32" s="1314"/>
      <c r="H32" s="1971">
        <f>+'EXHIBIT M'!AA31</f>
        <v>0</v>
      </c>
      <c r="I32" s="1959"/>
      <c r="J32" s="1972">
        <f>SUM(B32)+SUM(F32)</f>
        <v>0</v>
      </c>
      <c r="K32" s="1751"/>
      <c r="L32" s="1963">
        <f>SUM(D32)+SUM(H32)</f>
        <v>0</v>
      </c>
      <c r="M32" s="1959"/>
      <c r="N32" s="1967">
        <v>0</v>
      </c>
      <c r="O32" s="1959"/>
      <c r="P32" s="1967">
        <f>+'EXHIBIT L'!AD31+'EXHIBIT M'!AD31</f>
        <v>0</v>
      </c>
      <c r="R32" s="1973"/>
      <c r="S32" s="1985">
        <f>ROUND(SUM(L32-P32),1)</f>
        <v>0</v>
      </c>
      <c r="T32" s="1240"/>
      <c r="U32" s="2596">
        <f>ROUND(IF(S32=0,0,S32/ABS(P32)),3)</f>
        <v>0</v>
      </c>
      <c r="V32" s="1650"/>
    </row>
    <row r="33" spans="1:245" ht="15.95" customHeight="1">
      <c r="A33" s="1928" t="s">
        <v>74</v>
      </c>
      <c r="B33" s="1962">
        <f>+'EXHIBIT L'!T32</f>
        <v>0</v>
      </c>
      <c r="C33" s="1751"/>
      <c r="D33" s="1974">
        <f>+'EXHIBIT L'!AA32</f>
        <v>0</v>
      </c>
      <c r="E33" s="1751"/>
      <c r="F33" s="1962">
        <f>+'EXHIBIT M'!T32</f>
        <v>0</v>
      </c>
      <c r="G33" s="1751"/>
      <c r="H33" s="1971">
        <f>+'EXHIBIT M'!AA32</f>
        <v>0</v>
      </c>
      <c r="I33" s="1959"/>
      <c r="J33" s="1972">
        <f>SUM(B33)+SUM(F33)</f>
        <v>0</v>
      </c>
      <c r="K33" s="1751"/>
      <c r="L33" s="1975">
        <f>SUM(D33)+SUM(H33)</f>
        <v>0</v>
      </c>
      <c r="M33" s="1959"/>
      <c r="N33" s="1976">
        <v>0</v>
      </c>
      <c r="O33" s="1970"/>
      <c r="P33" s="1976">
        <f>+'EXHIBIT L'!AD32+'EXHIBIT M'!AD32</f>
        <v>0</v>
      </c>
      <c r="R33" s="1977"/>
      <c r="S33" s="1985">
        <f>ROUND(SUM(L33-P33),1)</f>
        <v>0</v>
      </c>
      <c r="T33" s="1240"/>
      <c r="U33" s="2596">
        <f>ROUND(IF(S33=0,0,S33/ABS(P33)),3)</f>
        <v>0</v>
      </c>
      <c r="V33" s="1650"/>
    </row>
    <row r="34" spans="1:245" ht="15.75">
      <c r="A34" s="304" t="s">
        <v>50</v>
      </c>
      <c r="B34" s="323">
        <f>ROUND(SUM(B32:B33),1)</f>
        <v>0</v>
      </c>
      <c r="C34" s="311"/>
      <c r="D34" s="323">
        <f>ROUND(SUM(D32:D33),1)</f>
        <v>0</v>
      </c>
      <c r="E34" s="311"/>
      <c r="F34" s="323">
        <f>ROUND(SUM(F32:F33),1)</f>
        <v>0</v>
      </c>
      <c r="G34" s="311"/>
      <c r="H34" s="324">
        <f>ROUND(SUM(H32:H33),1)</f>
        <v>0</v>
      </c>
      <c r="I34" s="314"/>
      <c r="J34" s="325">
        <f>ROUND(SUM(J32:J33),1)</f>
        <v>0</v>
      </c>
      <c r="K34" s="311"/>
      <c r="L34" s="313">
        <f>ROUND(SUM(L32:L33),1)</f>
        <v>0</v>
      </c>
      <c r="M34" s="314"/>
      <c r="N34" s="310">
        <f>ROUND(SUM(N32:N33),1)</f>
        <v>0</v>
      </c>
      <c r="O34" s="311"/>
      <c r="P34" s="310">
        <f>ROUND(SUM(P32:P33),1)</f>
        <v>0</v>
      </c>
      <c r="R34" s="1978"/>
      <c r="S34" s="282">
        <f>ROUND(SUM(S32-S33),3)</f>
        <v>0</v>
      </c>
      <c r="T34" s="2618"/>
      <c r="U34" s="2041">
        <f>ROUND(IF(P34=0,0,S34/ABS(P34)),3)</f>
        <v>0</v>
      </c>
      <c r="V34" s="1650"/>
    </row>
    <row r="35" spans="1:245" ht="15.75">
      <c r="A35" s="304"/>
      <c r="B35" s="1979"/>
      <c r="C35" s="1751"/>
      <c r="D35" s="1979"/>
      <c r="E35" s="1751"/>
      <c r="F35" s="1959"/>
      <c r="G35" s="1751"/>
      <c r="H35" s="1961"/>
      <c r="I35" s="1959"/>
      <c r="J35" s="1960"/>
      <c r="K35" s="1751"/>
      <c r="L35" s="1980"/>
      <c r="M35" s="1959"/>
      <c r="N35" s="1959"/>
      <c r="O35" s="1751"/>
      <c r="P35" s="1959"/>
      <c r="R35" s="1945"/>
      <c r="S35" s="1985"/>
      <c r="T35" s="1942"/>
      <c r="U35" s="1650"/>
      <c r="V35" s="1650"/>
    </row>
    <row r="36" spans="1:245" ht="15.75" customHeight="1">
      <c r="A36" s="304" t="s">
        <v>44</v>
      </c>
      <c r="B36" s="1751"/>
      <c r="C36" s="1751"/>
      <c r="D36" s="1751"/>
      <c r="E36" s="1751"/>
      <c r="F36" s="1751"/>
      <c r="G36" s="1751"/>
      <c r="H36" s="1961"/>
      <c r="I36" s="1959"/>
      <c r="J36" s="1960"/>
      <c r="K36" s="1751"/>
      <c r="L36" s="1961"/>
      <c r="M36" s="1959"/>
      <c r="N36" s="1959"/>
      <c r="O36" s="1751"/>
      <c r="P36" s="1959"/>
      <c r="R36" s="1945"/>
      <c r="S36" s="1985"/>
      <c r="T36" s="1942"/>
      <c r="U36" s="1650"/>
      <c r="V36" s="1650"/>
    </row>
    <row r="37" spans="1:245" ht="15.75" customHeight="1">
      <c r="A37" s="304" t="s">
        <v>75</v>
      </c>
      <c r="B37" s="1751"/>
      <c r="C37" s="1751"/>
      <c r="D37" s="1751"/>
      <c r="E37" s="1751"/>
      <c r="F37" s="1751"/>
      <c r="G37" s="1751"/>
      <c r="H37" s="1961"/>
      <c r="I37" s="1959"/>
      <c r="J37" s="1960"/>
      <c r="K37" s="1751"/>
      <c r="L37" s="1961"/>
      <c r="M37" s="1959"/>
      <c r="N37" s="1959"/>
      <c r="O37" s="1751"/>
      <c r="P37" s="1959"/>
      <c r="R37" s="1945"/>
      <c r="S37" s="1985"/>
      <c r="T37" s="1942"/>
      <c r="U37" s="1650"/>
      <c r="V37" s="1650"/>
    </row>
    <row r="38" spans="1:245" ht="15.75" customHeight="1">
      <c r="A38" s="304" t="s">
        <v>76</v>
      </c>
      <c r="B38" s="1751"/>
      <c r="C38" s="1751"/>
      <c r="D38" s="1751"/>
      <c r="E38" s="1751"/>
      <c r="F38" s="1981"/>
      <c r="G38" s="1751"/>
      <c r="H38" s="1961"/>
      <c r="I38" s="1959"/>
      <c r="J38" s="1960"/>
      <c r="K38" s="1751"/>
      <c r="L38" s="1961"/>
      <c r="M38" s="1959"/>
      <c r="N38" s="1959"/>
      <c r="O38" s="1751"/>
      <c r="P38" s="1959"/>
      <c r="R38" s="1945"/>
      <c r="S38" s="1985"/>
      <c r="T38" s="1942"/>
      <c r="U38" s="1650"/>
      <c r="V38" s="1650"/>
    </row>
    <row r="39" spans="1:245" ht="15.75" customHeight="1">
      <c r="A39" s="304" t="s">
        <v>77</v>
      </c>
      <c r="B39" s="328">
        <f>ROUND(SUM(B29+B34),1)</f>
        <v>-14.1</v>
      </c>
      <c r="C39" s="311"/>
      <c r="D39" s="328">
        <f>ROUND(SUM(D29+D34),1)</f>
        <v>-26.1</v>
      </c>
      <c r="E39" s="311"/>
      <c r="F39" s="328">
        <f>ROUND(SUM(F29+F34),1)</f>
        <v>0.1</v>
      </c>
      <c r="G39" s="311"/>
      <c r="H39" s="329">
        <f>ROUND(SUM(H29+H34),1)</f>
        <v>-0.9</v>
      </c>
      <c r="I39" s="314"/>
      <c r="J39" s="330">
        <f>ROUND(SUM(J29+J34),1)</f>
        <v>-14</v>
      </c>
      <c r="K39" s="311"/>
      <c r="L39" s="329">
        <f>ROUND(SUM(L29+L34),1)</f>
        <v>-27</v>
      </c>
      <c r="M39" s="314"/>
      <c r="N39" s="328">
        <f>ROUND(SUM(N29+N34),1)</f>
        <v>-1.6</v>
      </c>
      <c r="O39" s="314"/>
      <c r="P39" s="328">
        <f>ROUND(SUM(P29+P34),1)</f>
        <v>8</v>
      </c>
      <c r="Q39" s="1440"/>
      <c r="R39" s="1945"/>
      <c r="S39" s="2710">
        <f>ROUND(SUM(L39-P39),1)</f>
        <v>-35</v>
      </c>
      <c r="T39" s="1942"/>
      <c r="U39" s="3033">
        <f>ROUND(IF(P39=0,1,S39/ABS(P39)),3)</f>
        <v>-4.375</v>
      </c>
      <c r="V39" s="1650"/>
    </row>
    <row r="40" spans="1:245" ht="15.75">
      <c r="A40" s="304"/>
      <c r="B40" s="1751"/>
      <c r="C40" s="1751"/>
      <c r="D40" s="1751"/>
      <c r="E40" s="1751"/>
      <c r="F40" s="1751"/>
      <c r="G40" s="1751"/>
      <c r="H40" s="1961"/>
      <c r="I40" s="1959"/>
      <c r="J40" s="1960"/>
      <c r="K40" s="1751"/>
      <c r="L40" s="1961"/>
      <c r="M40" s="1959"/>
      <c r="N40" s="1959"/>
      <c r="O40" s="1751"/>
      <c r="P40" s="1959"/>
      <c r="R40" s="1945"/>
      <c r="S40" s="1798"/>
      <c r="T40" s="2607"/>
      <c r="U40" s="1798"/>
      <c r="V40" s="1650"/>
    </row>
    <row r="41" spans="1:245" s="1440" customFormat="1" ht="15.75">
      <c r="A41" s="304" t="s">
        <v>53</v>
      </c>
      <c r="B41" s="331">
        <f>+'EXHIBIT L'!T13</f>
        <v>-11.9</v>
      </c>
      <c r="C41" s="311"/>
      <c r="D41" s="331">
        <f>+'EXHIBIT L'!AA13</f>
        <v>0.1</v>
      </c>
      <c r="E41" s="311"/>
      <c r="F41" s="331">
        <f>+'EXHIBIT M'!T13</f>
        <v>10.6</v>
      </c>
      <c r="G41" s="311"/>
      <c r="H41" s="332">
        <f>+'EXHIBIT M'!AA13</f>
        <v>11.6</v>
      </c>
      <c r="I41" s="314"/>
      <c r="J41" s="333">
        <f>ROUND(SUM(B41)+SUM(F41),1)</f>
        <v>-1.3</v>
      </c>
      <c r="K41" s="311"/>
      <c r="L41" s="329">
        <f>ROUND(SUM(D41+H41),1)</f>
        <v>11.7</v>
      </c>
      <c r="M41" s="314"/>
      <c r="N41" s="320">
        <v>4.2</v>
      </c>
      <c r="O41" s="311"/>
      <c r="P41" s="320">
        <v>-5.4</v>
      </c>
      <c r="R41" s="1924"/>
      <c r="S41" s="288">
        <f>ROUND(SUM(+L41-P41),1)</f>
        <v>17.100000000000001</v>
      </c>
      <c r="T41" s="290"/>
      <c r="U41" s="2597">
        <f>ROUND(IF(S41=0,0,S41/ABS(P41)),3)</f>
        <v>3.1669999999999998</v>
      </c>
      <c r="V41" s="1982"/>
    </row>
    <row r="42" spans="1:245" ht="16.5" thickBot="1">
      <c r="A42" s="304" t="s">
        <v>79</v>
      </c>
      <c r="B42" s="334">
        <f>ROUND(SUM(B41)+SUM(B39),1)</f>
        <v>-26</v>
      </c>
      <c r="C42" s="335"/>
      <c r="D42" s="334">
        <f>ROUND(SUM(D41)+SUM(D39),1)</f>
        <v>-26</v>
      </c>
      <c r="E42" s="335"/>
      <c r="F42" s="336">
        <f>ROUND(SUM(F41)+SUM(F39),1)</f>
        <v>10.7</v>
      </c>
      <c r="G42" s="337"/>
      <c r="H42" s="1557">
        <f>ROUND(SUM(H41)+SUM(H39),1)</f>
        <v>10.7</v>
      </c>
      <c r="I42" s="1558"/>
      <c r="J42" s="1557">
        <f>ROUND(SUM(J41)+SUM(J39),1)</f>
        <v>-15.3</v>
      </c>
      <c r="K42" s="339"/>
      <c r="L42" s="338">
        <f>ROUND(SUM(L41)+SUM(L39),1)</f>
        <v>-15.3</v>
      </c>
      <c r="M42" s="339"/>
      <c r="N42" s="1557">
        <f>ROUND(SUM(N41)+SUM(N39),1)</f>
        <v>2.6</v>
      </c>
      <c r="O42" s="339"/>
      <c r="P42" s="1557">
        <f>ROUND(SUM(P41)+SUM(P39),1)</f>
        <v>2.6</v>
      </c>
      <c r="Q42" s="490"/>
      <c r="R42" s="1953"/>
      <c r="S42" s="2566">
        <f>ROUND(SUM(S39+S41),3)</f>
        <v>-17.899999999999999</v>
      </c>
      <c r="T42" s="2280"/>
      <c r="U42" s="2677">
        <f>ROUND(S42/P42,3)</f>
        <v>-6.8849999999999998</v>
      </c>
      <c r="V42" s="1650"/>
    </row>
    <row r="43" spans="1:245" ht="15.75" thickTop="1">
      <c r="A43" s="1928"/>
      <c r="B43" s="1983"/>
      <c r="C43" s="1952"/>
      <c r="D43" s="1983"/>
      <c r="E43" s="1952"/>
      <c r="F43" s="1983"/>
      <c r="G43" s="1952"/>
      <c r="H43" s="1983"/>
      <c r="I43" s="1954"/>
      <c r="J43" s="1983"/>
      <c r="K43" s="1952"/>
      <c r="L43" s="1983"/>
      <c r="M43" s="1952"/>
      <c r="N43" s="1983"/>
      <c r="O43" s="1952"/>
      <c r="P43" s="1983"/>
      <c r="Q43" s="1952"/>
      <c r="R43" s="1984"/>
      <c r="S43" s="1955"/>
      <c r="T43" s="1984"/>
      <c r="U43" s="1955"/>
      <c r="V43" s="1955"/>
      <c r="W43" s="1956"/>
      <c r="X43" s="1956"/>
      <c r="Y43" s="1956"/>
      <c r="Z43" s="1956"/>
      <c r="AA43" s="1956"/>
      <c r="AB43" s="1956"/>
      <c r="AC43" s="1956"/>
      <c r="AD43" s="1956"/>
      <c r="AE43" s="1956"/>
      <c r="AF43" s="1956"/>
      <c r="AG43" s="1956"/>
      <c r="AH43" s="1956"/>
      <c r="AI43" s="1956"/>
      <c r="AJ43" s="1956"/>
      <c r="AK43" s="1956"/>
      <c r="AL43" s="1956"/>
      <c r="AM43" s="1956"/>
      <c r="AN43" s="1956"/>
      <c r="AO43" s="1956"/>
      <c r="AP43" s="1956"/>
      <c r="AQ43" s="1956"/>
      <c r="AR43" s="1956"/>
      <c r="AS43" s="1956"/>
      <c r="AT43" s="1956"/>
      <c r="AU43" s="1956"/>
      <c r="AV43" s="1956"/>
      <c r="AW43" s="1956"/>
      <c r="AX43" s="1956"/>
      <c r="AY43" s="1956"/>
      <c r="AZ43" s="1956"/>
      <c r="BA43" s="1956"/>
      <c r="BB43" s="1956"/>
      <c r="BC43" s="1956"/>
      <c r="BD43" s="1956"/>
      <c r="BE43" s="1956"/>
      <c r="BF43" s="1956"/>
      <c r="BG43" s="1956"/>
      <c r="BH43" s="1956"/>
      <c r="BI43" s="1956"/>
      <c r="BJ43" s="1956"/>
      <c r="BK43" s="1956"/>
      <c r="BL43" s="1956"/>
      <c r="BM43" s="1956"/>
      <c r="BN43" s="1956"/>
      <c r="BO43" s="1956"/>
      <c r="BP43" s="1956"/>
      <c r="BQ43" s="1956"/>
      <c r="BR43" s="1956"/>
      <c r="BS43" s="1956"/>
      <c r="BT43" s="1956"/>
      <c r="BU43" s="1956"/>
      <c r="BV43" s="1956"/>
      <c r="BW43" s="1956"/>
      <c r="BX43" s="1956"/>
      <c r="BY43" s="1956"/>
      <c r="BZ43" s="1956"/>
      <c r="CA43" s="1956"/>
      <c r="CB43" s="1956"/>
      <c r="CC43" s="1956"/>
      <c r="CD43" s="1956"/>
      <c r="CE43" s="1956"/>
      <c r="CF43" s="1956"/>
      <c r="CG43" s="1956"/>
      <c r="CH43" s="1956"/>
      <c r="CI43" s="1956"/>
      <c r="CJ43" s="1956"/>
      <c r="CK43" s="1956"/>
      <c r="CL43" s="1956"/>
      <c r="CM43" s="1956"/>
      <c r="CN43" s="1956"/>
      <c r="CO43" s="1956"/>
      <c r="CP43" s="1956"/>
      <c r="CQ43" s="1956"/>
      <c r="CR43" s="1956"/>
      <c r="CS43" s="1956"/>
      <c r="CT43" s="1956"/>
      <c r="CU43" s="1956"/>
      <c r="CV43" s="1956"/>
      <c r="CW43" s="1956"/>
      <c r="CX43" s="1956"/>
      <c r="CY43" s="1956"/>
      <c r="CZ43" s="1956"/>
      <c r="DA43" s="1956"/>
      <c r="DB43" s="1956"/>
      <c r="DC43" s="1956"/>
      <c r="DD43" s="1956"/>
      <c r="DE43" s="1956"/>
      <c r="DF43" s="1956"/>
      <c r="DG43" s="1956"/>
      <c r="DH43" s="1956"/>
      <c r="DI43" s="1956"/>
      <c r="DJ43" s="1956"/>
      <c r="DK43" s="1956"/>
      <c r="DL43" s="1956"/>
      <c r="DM43" s="1956"/>
      <c r="DN43" s="1956"/>
      <c r="DO43" s="1956"/>
      <c r="DP43" s="1956"/>
      <c r="DQ43" s="1956"/>
      <c r="DR43" s="1956"/>
      <c r="DS43" s="1956"/>
      <c r="DT43" s="1956"/>
      <c r="DU43" s="1956"/>
      <c r="DV43" s="1956"/>
      <c r="DW43" s="1956"/>
      <c r="DX43" s="1956"/>
      <c r="DY43" s="1956"/>
      <c r="DZ43" s="1956"/>
      <c r="EA43" s="1956"/>
      <c r="EB43" s="1956"/>
      <c r="EC43" s="1956"/>
      <c r="ED43" s="1956"/>
      <c r="EE43" s="1956"/>
      <c r="EF43" s="1956"/>
      <c r="EG43" s="1956"/>
      <c r="EH43" s="1956"/>
      <c r="EI43" s="1956"/>
      <c r="EJ43" s="1956"/>
      <c r="EK43" s="1956"/>
      <c r="EL43" s="1956"/>
      <c r="EM43" s="1956"/>
      <c r="EN43" s="1956"/>
      <c r="EO43" s="1956"/>
      <c r="EP43" s="1956"/>
      <c r="EQ43" s="1956"/>
      <c r="ER43" s="1956"/>
      <c r="ES43" s="1956"/>
      <c r="ET43" s="1956"/>
      <c r="EU43" s="1956"/>
      <c r="EV43" s="1956"/>
      <c r="EW43" s="1956"/>
      <c r="EX43" s="1956"/>
      <c r="EY43" s="1956"/>
      <c r="EZ43" s="1956"/>
      <c r="FA43" s="1956"/>
      <c r="FB43" s="1956"/>
      <c r="FC43" s="1956"/>
      <c r="FD43" s="1956"/>
      <c r="FE43" s="1956"/>
      <c r="FF43" s="1956"/>
      <c r="FG43" s="1956"/>
      <c r="FH43" s="1956"/>
      <c r="FI43" s="1956"/>
      <c r="FJ43" s="1956"/>
      <c r="FK43" s="1956"/>
      <c r="FL43" s="1956"/>
      <c r="FM43" s="1956"/>
      <c r="FN43" s="1956"/>
      <c r="FO43" s="1956"/>
      <c r="FP43" s="1956"/>
      <c r="FQ43" s="1956"/>
      <c r="FR43" s="1956"/>
      <c r="FS43" s="1956"/>
      <c r="FT43" s="1956"/>
      <c r="FU43" s="1956"/>
      <c r="FV43" s="1956"/>
      <c r="FW43" s="1956"/>
      <c r="FX43" s="1956"/>
      <c r="FY43" s="1956"/>
      <c r="FZ43" s="1956"/>
      <c r="GA43" s="1956"/>
      <c r="GB43" s="1956"/>
      <c r="GC43" s="1956"/>
      <c r="GD43" s="1956"/>
      <c r="GE43" s="1956"/>
      <c r="GF43" s="1956"/>
      <c r="GG43" s="1956"/>
      <c r="GH43" s="1956"/>
      <c r="GI43" s="1956"/>
      <c r="GJ43" s="1956"/>
      <c r="GK43" s="1956"/>
      <c r="GL43" s="1956"/>
      <c r="GM43" s="1956"/>
      <c r="GN43" s="1956"/>
      <c r="GO43" s="1956"/>
      <c r="GP43" s="1956"/>
      <c r="GQ43" s="1956"/>
      <c r="GR43" s="1956"/>
      <c r="GS43" s="1956"/>
      <c r="GT43" s="1956"/>
      <c r="GU43" s="1956"/>
      <c r="GV43" s="1956"/>
      <c r="GW43" s="1956"/>
      <c r="GX43" s="1956"/>
      <c r="GY43" s="1956"/>
      <c r="GZ43" s="1956"/>
      <c r="HA43" s="1956"/>
      <c r="HB43" s="1956"/>
      <c r="HC43" s="1956"/>
      <c r="HD43" s="1956"/>
      <c r="HE43" s="1956"/>
      <c r="HF43" s="1956"/>
      <c r="HG43" s="1956"/>
      <c r="HH43" s="1956"/>
      <c r="HI43" s="1956"/>
      <c r="HJ43" s="1956"/>
      <c r="HK43" s="1956"/>
      <c r="HL43" s="1956"/>
      <c r="HM43" s="1956"/>
      <c r="HN43" s="1956"/>
      <c r="HO43" s="1956"/>
      <c r="HP43" s="1956"/>
      <c r="HQ43" s="1956"/>
      <c r="HR43" s="1956"/>
      <c r="HS43" s="1956"/>
      <c r="HT43" s="1956"/>
      <c r="HU43" s="1956"/>
      <c r="HV43" s="1956"/>
      <c r="HW43" s="1956"/>
      <c r="HX43" s="1956"/>
      <c r="HY43" s="1956"/>
      <c r="HZ43" s="1956"/>
      <c r="IA43" s="1956"/>
      <c r="IB43" s="1956"/>
      <c r="IC43" s="1956"/>
      <c r="ID43" s="1956"/>
      <c r="IE43" s="1956"/>
      <c r="IF43" s="1956"/>
      <c r="IG43" s="1956"/>
      <c r="IH43" s="1956"/>
      <c r="II43" s="1956"/>
      <c r="IJ43" s="1956"/>
      <c r="IK43" s="1956"/>
    </row>
    <row r="44" spans="1:245">
      <c r="A44" s="1928"/>
      <c r="B44" s="1928"/>
      <c r="C44" s="1928"/>
      <c r="D44" s="1928"/>
      <c r="E44" s="1928"/>
      <c r="F44" s="1926"/>
      <c r="G44" s="1928"/>
      <c r="H44" s="1928"/>
      <c r="I44" s="1928"/>
      <c r="J44" s="1928"/>
      <c r="K44" s="1928"/>
      <c r="L44" s="1928"/>
      <c r="M44" s="1928"/>
      <c r="N44" s="1928"/>
      <c r="O44" s="1928"/>
      <c r="P44" s="1928"/>
      <c r="Q44" s="1928"/>
      <c r="R44" s="1929"/>
      <c r="S44" s="2529"/>
      <c r="T44" s="1929"/>
      <c r="U44" s="1650"/>
      <c r="V44" s="1650"/>
    </row>
    <row r="45" spans="1:245">
      <c r="A45" s="1928"/>
      <c r="B45" s="1928"/>
      <c r="C45" s="1928"/>
      <c r="D45" s="1928"/>
      <c r="E45" s="1928"/>
      <c r="F45" s="1926"/>
      <c r="G45" s="1928"/>
      <c r="H45" s="1928"/>
      <c r="I45" s="1928"/>
      <c r="J45" s="1928"/>
      <c r="K45" s="1928"/>
      <c r="L45" s="1928"/>
      <c r="N45" s="1928"/>
      <c r="O45" s="1928"/>
      <c r="P45" s="1928"/>
      <c r="Q45" s="1928"/>
      <c r="R45" s="1929"/>
      <c r="S45" s="1650"/>
      <c r="T45" s="1929"/>
      <c r="U45" s="1650"/>
      <c r="V45" s="1650"/>
    </row>
    <row r="46" spans="1:245">
      <c r="A46" s="1747"/>
      <c r="B46" s="1928"/>
      <c r="C46" s="1928"/>
      <c r="D46" s="1928"/>
      <c r="E46" s="1928"/>
      <c r="F46" s="1928"/>
      <c r="G46" s="1928"/>
      <c r="H46" s="1928"/>
      <c r="I46" s="1928"/>
      <c r="J46" s="1928"/>
      <c r="K46" s="1928"/>
      <c r="L46" s="1928"/>
      <c r="M46" s="1928"/>
      <c r="N46" s="1928"/>
      <c r="O46" s="1928"/>
      <c r="P46" s="1928"/>
      <c r="Q46" s="1928"/>
      <c r="R46" s="1929"/>
      <c r="S46" s="1650"/>
      <c r="T46" s="1929"/>
      <c r="U46" s="1650"/>
      <c r="V46" s="1650"/>
    </row>
    <row r="47" spans="1:245">
      <c r="A47" s="1928"/>
      <c r="B47" s="1928"/>
      <c r="C47" s="1928"/>
      <c r="D47" s="1928"/>
      <c r="E47" s="1928"/>
      <c r="F47" s="1928"/>
      <c r="G47" s="1928"/>
      <c r="H47" s="1928"/>
      <c r="I47" s="1928"/>
      <c r="J47" s="1928"/>
      <c r="K47" s="1928"/>
      <c r="L47" s="1928"/>
      <c r="M47" s="1928"/>
      <c r="N47" s="1928"/>
      <c r="O47" s="1928"/>
      <c r="P47" s="1928"/>
      <c r="Q47" s="1928"/>
      <c r="R47" s="1929"/>
      <c r="S47" s="1650"/>
      <c r="T47" s="1929"/>
      <c r="U47" s="1650"/>
      <c r="V47" s="1650"/>
    </row>
    <row r="48" spans="1:245">
      <c r="A48" s="1928"/>
      <c r="B48" s="1928"/>
      <c r="C48" s="1928"/>
      <c r="D48" s="1928"/>
      <c r="E48" s="1928"/>
      <c r="F48" s="1928"/>
      <c r="G48" s="1928"/>
      <c r="H48" s="1928"/>
      <c r="I48" s="1928"/>
      <c r="J48" s="1928"/>
      <c r="K48" s="1928"/>
      <c r="L48" s="1928"/>
      <c r="M48" s="1928"/>
      <c r="N48" s="1928"/>
      <c r="O48" s="1928"/>
      <c r="P48" s="1928"/>
      <c r="Q48" s="1928"/>
      <c r="R48" s="1929"/>
      <c r="S48" s="1650"/>
      <c r="T48" s="1929"/>
      <c r="U48" s="1650"/>
      <c r="V48" s="1650"/>
    </row>
    <row r="49" spans="1:22">
      <c r="A49" s="1928"/>
      <c r="B49" s="1928"/>
      <c r="C49" s="1928"/>
      <c r="D49" s="1928"/>
      <c r="E49" s="1928"/>
      <c r="F49" s="1928"/>
      <c r="G49" s="1928"/>
      <c r="H49" s="1928"/>
      <c r="I49" s="1928"/>
      <c r="J49" s="1928"/>
      <c r="K49" s="1928"/>
      <c r="L49" s="1928"/>
      <c r="M49" s="1928"/>
      <c r="N49" s="1928"/>
      <c r="O49" s="1928"/>
      <c r="P49" s="1928"/>
      <c r="Q49" s="1928"/>
      <c r="R49" s="1929"/>
      <c r="S49" s="1650"/>
      <c r="T49" s="1929"/>
      <c r="U49" s="1650"/>
      <c r="V49" s="1650"/>
    </row>
    <row r="50" spans="1:22">
      <c r="A50" s="1928"/>
      <c r="B50" s="1928"/>
      <c r="C50" s="1928"/>
      <c r="D50" s="1928"/>
      <c r="E50" s="1928"/>
      <c r="F50" s="1928"/>
      <c r="G50" s="1928"/>
      <c r="H50" s="1928"/>
      <c r="I50" s="1928"/>
      <c r="J50" s="1928"/>
      <c r="K50" s="1928"/>
      <c r="L50" s="1928"/>
      <c r="M50" s="1928"/>
      <c r="N50" s="1928"/>
      <c r="O50" s="1928"/>
      <c r="P50" s="1928"/>
      <c r="Q50" s="1928"/>
      <c r="R50" s="1929"/>
      <c r="S50" s="1650"/>
      <c r="T50" s="1929"/>
      <c r="U50" s="1650"/>
      <c r="V50" s="1650"/>
    </row>
    <row r="51" spans="1:22">
      <c r="A51" s="1928"/>
      <c r="B51" s="1928"/>
      <c r="C51" s="1928"/>
      <c r="D51" s="1928"/>
      <c r="E51" s="1928"/>
      <c r="F51" s="1928"/>
      <c r="G51" s="1928"/>
      <c r="H51" s="1928"/>
      <c r="I51" s="1928"/>
      <c r="J51" s="1928"/>
      <c r="K51" s="1928"/>
      <c r="L51" s="1928"/>
      <c r="M51" s="1928"/>
      <c r="N51" s="1928"/>
      <c r="O51" s="1928"/>
      <c r="P51" s="1928"/>
      <c r="Q51" s="1928"/>
      <c r="R51" s="1929"/>
      <c r="S51" s="1650"/>
      <c r="T51" s="1929"/>
      <c r="U51" s="1650"/>
      <c r="V51" s="1650"/>
    </row>
    <row r="52" spans="1:22">
      <c r="A52" s="1928"/>
      <c r="B52" s="1928"/>
      <c r="C52" s="1928"/>
      <c r="D52" s="1928"/>
      <c r="E52" s="1928"/>
      <c r="F52" s="1928"/>
      <c r="G52" s="1928"/>
      <c r="H52" s="1928"/>
      <c r="I52" s="1928"/>
      <c r="J52" s="1928"/>
      <c r="K52" s="1928"/>
      <c r="L52" s="1928"/>
      <c r="M52" s="1928"/>
      <c r="N52" s="1928"/>
      <c r="O52" s="1928"/>
      <c r="P52" s="1928"/>
      <c r="Q52" s="1928"/>
      <c r="R52" s="1929"/>
      <c r="S52" s="1650"/>
      <c r="T52" s="1929"/>
      <c r="U52" s="1650"/>
      <c r="V52" s="1650"/>
    </row>
    <row r="53" spans="1:22">
      <c r="A53" s="1928"/>
      <c r="B53" s="1928"/>
      <c r="C53" s="1928"/>
      <c r="D53" s="1928"/>
      <c r="E53" s="1928"/>
      <c r="F53" s="1928"/>
      <c r="G53" s="1928"/>
      <c r="H53" s="1928"/>
      <c r="I53" s="1928"/>
      <c r="J53" s="1928"/>
      <c r="K53" s="1928"/>
      <c r="L53" s="1928"/>
      <c r="M53" s="1928"/>
      <c r="N53" s="1928"/>
      <c r="O53" s="1928"/>
      <c r="P53" s="1928"/>
      <c r="Q53" s="1928"/>
      <c r="R53" s="1929"/>
      <c r="S53" s="1650"/>
      <c r="T53" s="1929"/>
      <c r="U53" s="1650"/>
      <c r="V53" s="1650"/>
    </row>
    <row r="54" spans="1:22">
      <c r="A54" s="1928"/>
      <c r="B54" s="1928"/>
      <c r="C54" s="1928"/>
      <c r="D54" s="1928"/>
      <c r="E54" s="1928"/>
      <c r="F54" s="1928"/>
      <c r="G54" s="1928"/>
      <c r="H54" s="1928"/>
      <c r="I54" s="1928"/>
      <c r="J54" s="1928"/>
      <c r="K54" s="1928"/>
      <c r="L54" s="1928"/>
      <c r="M54" s="1928"/>
      <c r="N54" s="1928"/>
      <c r="O54" s="1928"/>
      <c r="P54" s="1928"/>
      <c r="Q54" s="1928"/>
      <c r="R54" s="1929"/>
      <c r="S54" s="1650"/>
      <c r="T54" s="1929"/>
      <c r="U54" s="1650"/>
      <c r="V54" s="1650"/>
    </row>
    <row r="55" spans="1:22">
      <c r="A55" s="1928"/>
      <c r="B55" s="1928"/>
      <c r="C55" s="1928"/>
      <c r="D55" s="1928"/>
      <c r="E55" s="1928"/>
      <c r="F55" s="1928"/>
      <c r="G55" s="1928"/>
      <c r="H55" s="1928"/>
      <c r="I55" s="1928"/>
      <c r="J55" s="1928"/>
      <c r="K55" s="1928"/>
      <c r="L55" s="1928"/>
      <c r="M55" s="1928"/>
      <c r="N55" s="1928"/>
      <c r="O55" s="1928"/>
      <c r="P55" s="1928"/>
      <c r="Q55" s="1928"/>
      <c r="R55" s="1929"/>
      <c r="S55" s="1650"/>
      <c r="T55" s="1929"/>
      <c r="U55" s="1650"/>
      <c r="V55" s="1650"/>
    </row>
    <row r="56" spans="1:22">
      <c r="A56" s="1928"/>
      <c r="B56" s="1928"/>
      <c r="C56" s="1928"/>
      <c r="D56" s="1928"/>
      <c r="E56" s="1928"/>
      <c r="F56" s="1928"/>
      <c r="G56" s="1928"/>
      <c r="H56" s="1928"/>
      <c r="I56" s="1928"/>
      <c r="J56" s="1928"/>
      <c r="K56" s="1928"/>
      <c r="L56" s="1928"/>
      <c r="M56" s="1928"/>
      <c r="N56" s="1928"/>
      <c r="O56" s="1928"/>
      <c r="P56" s="1928"/>
      <c r="Q56" s="1928"/>
      <c r="R56" s="1930"/>
      <c r="S56" s="1928"/>
    </row>
    <row r="57" spans="1:22">
      <c r="A57" s="1928"/>
      <c r="B57" s="1928"/>
      <c r="C57" s="1928"/>
      <c r="D57" s="1928"/>
      <c r="E57" s="1928"/>
      <c r="F57" s="1928"/>
      <c r="G57" s="1928"/>
      <c r="H57" s="1928"/>
      <c r="I57" s="1928"/>
      <c r="J57" s="1928"/>
      <c r="K57" s="1928"/>
      <c r="L57" s="1928"/>
      <c r="M57" s="1928"/>
      <c r="N57" s="1928"/>
      <c r="O57" s="1928"/>
      <c r="P57" s="1928"/>
      <c r="Q57" s="1928"/>
      <c r="R57" s="1930"/>
      <c r="S57" s="1928"/>
    </row>
    <row r="58" spans="1:22">
      <c r="A58" s="1928"/>
      <c r="B58" s="1928"/>
      <c r="C58" s="1928"/>
      <c r="D58" s="1928"/>
      <c r="E58" s="1928"/>
      <c r="F58" s="1928"/>
      <c r="G58" s="1928"/>
      <c r="H58" s="1928"/>
      <c r="I58" s="1928"/>
      <c r="J58" s="1928"/>
      <c r="K58" s="1928"/>
      <c r="L58" s="1928"/>
      <c r="M58" s="1928"/>
      <c r="N58" s="1928"/>
      <c r="O58" s="1928"/>
      <c r="P58" s="1928"/>
      <c r="Q58" s="1928"/>
      <c r="R58" s="1930"/>
      <c r="S58" s="1928"/>
    </row>
    <row r="59" spans="1:22">
      <c r="A59" s="1928"/>
      <c r="B59" s="1928"/>
      <c r="C59" s="1928"/>
      <c r="D59" s="1928"/>
      <c r="E59" s="1928"/>
      <c r="F59" s="1928"/>
      <c r="G59" s="1928"/>
      <c r="H59" s="1928"/>
      <c r="I59" s="1928"/>
      <c r="J59" s="1928"/>
      <c r="K59" s="1928"/>
      <c r="L59" s="1928"/>
      <c r="M59" s="1928"/>
      <c r="N59" s="1928"/>
      <c r="O59" s="1928"/>
      <c r="P59" s="1928"/>
      <c r="Q59" s="1928"/>
      <c r="R59" s="1930"/>
      <c r="S59" s="1928"/>
    </row>
    <row r="60" spans="1:22">
      <c r="A60" s="1928"/>
      <c r="B60" s="1928"/>
      <c r="C60" s="1928"/>
      <c r="D60" s="1928"/>
      <c r="E60" s="1928"/>
      <c r="F60" s="1928"/>
      <c r="G60" s="1928"/>
      <c r="H60" s="1928"/>
      <c r="I60" s="1928"/>
      <c r="J60" s="1928"/>
      <c r="K60" s="1928"/>
      <c r="L60" s="1928"/>
      <c r="M60" s="1928"/>
      <c r="N60" s="1928"/>
      <c r="O60" s="1928"/>
      <c r="P60" s="1928"/>
      <c r="Q60" s="1928"/>
      <c r="R60" s="1930"/>
      <c r="S60" s="1928"/>
    </row>
    <row r="61" spans="1:22">
      <c r="A61" s="1928"/>
      <c r="B61" s="1928"/>
      <c r="C61" s="1928"/>
      <c r="D61" s="1928"/>
      <c r="E61" s="1928"/>
      <c r="F61" s="1928"/>
      <c r="G61" s="1928"/>
      <c r="H61" s="1928"/>
      <c r="I61" s="1928"/>
      <c r="J61" s="1928"/>
      <c r="K61" s="1928"/>
      <c r="L61" s="1928"/>
      <c r="M61" s="1928"/>
      <c r="N61" s="1928"/>
      <c r="O61" s="1928"/>
      <c r="P61" s="1928"/>
      <c r="Q61" s="1928"/>
      <c r="R61" s="1930"/>
      <c r="S61" s="1928"/>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4" firstPageNumber="7"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workbookViewId="0"/>
  </sheetViews>
  <sheetFormatPr defaultColWidth="8.88671875" defaultRowHeight="15"/>
  <cols>
    <col min="1" max="1" width="45.6640625" style="300" customWidth="1"/>
    <col min="2" max="2" width="2.44140625" style="300" customWidth="1"/>
    <col min="3" max="3" width="15.33203125" style="300" customWidth="1"/>
    <col min="4" max="4" width="1.88671875" style="300" customWidth="1"/>
    <col min="5" max="5" width="15.33203125" style="300" customWidth="1"/>
    <col min="6" max="6" width="2.77734375" style="300" customWidth="1"/>
    <col min="7" max="7" width="15.33203125" style="300" customWidth="1"/>
    <col min="8" max="8" width="2" style="300" customWidth="1"/>
    <col min="9" max="9" width="14.88671875" style="300" customWidth="1"/>
    <col min="10" max="10" width="2.33203125" style="300" customWidth="1"/>
    <col min="11" max="11" width="14.109375" style="300" customWidth="1"/>
    <col min="12" max="16384" width="8.88671875" style="300"/>
  </cols>
  <sheetData>
    <row r="1" spans="1:11">
      <c r="A1" s="1159" t="s">
        <v>1090</v>
      </c>
    </row>
    <row r="2" spans="1:11">
      <c r="A2" s="1651"/>
    </row>
    <row r="3" spans="1:11" ht="18">
      <c r="A3" s="341" t="s">
        <v>0</v>
      </c>
      <c r="B3" s="342"/>
      <c r="C3" s="342"/>
      <c r="D3" s="343"/>
      <c r="E3" s="342"/>
      <c r="F3" s="343"/>
      <c r="G3" s="343"/>
      <c r="H3" s="343"/>
      <c r="I3" s="343"/>
      <c r="J3" s="343"/>
      <c r="K3" s="344" t="s">
        <v>85</v>
      </c>
    </row>
    <row r="4" spans="1:11" ht="18">
      <c r="A4" s="341" t="s">
        <v>84</v>
      </c>
      <c r="B4" s="342"/>
      <c r="C4" s="342"/>
      <c r="D4" s="343"/>
      <c r="E4" s="342"/>
      <c r="F4" s="343"/>
      <c r="G4" s="343"/>
      <c r="H4" s="343"/>
      <c r="I4" s="344"/>
      <c r="J4" s="345"/>
    </row>
    <row r="5" spans="1:11" ht="20.25" customHeight="1">
      <c r="A5" s="3496" t="s">
        <v>1409</v>
      </c>
      <c r="B5" s="3497"/>
      <c r="C5" s="3497"/>
      <c r="D5" s="3497"/>
      <c r="E5" s="3497"/>
      <c r="F5" s="343"/>
      <c r="G5" s="346"/>
      <c r="H5" s="343"/>
      <c r="I5" s="343"/>
      <c r="J5" s="343"/>
      <c r="K5" s="343"/>
    </row>
    <row r="6" spans="1:11" ht="18.75" customHeight="1">
      <c r="A6" s="1646" t="s">
        <v>1555</v>
      </c>
      <c r="B6" s="348"/>
      <c r="C6" s="349"/>
      <c r="D6" s="343"/>
      <c r="E6" s="349"/>
      <c r="F6" s="343"/>
      <c r="G6" s="343"/>
      <c r="H6" s="343"/>
      <c r="I6" s="343"/>
      <c r="J6" s="343"/>
      <c r="K6" s="343"/>
    </row>
    <row r="7" spans="1:11" ht="18">
      <c r="A7" s="392" t="s">
        <v>980</v>
      </c>
      <c r="B7" s="349"/>
      <c r="C7" s="349"/>
      <c r="D7" s="343"/>
      <c r="E7" s="349"/>
      <c r="F7" s="343"/>
      <c r="G7" s="343"/>
      <c r="H7" s="343"/>
      <c r="I7" s="343"/>
      <c r="J7" s="343"/>
      <c r="K7" s="343"/>
    </row>
    <row r="8" spans="1:11" ht="18">
      <c r="A8" s="350"/>
      <c r="B8" s="343"/>
      <c r="C8" s="343"/>
      <c r="D8" s="343"/>
      <c r="E8" s="343"/>
      <c r="F8" s="343"/>
      <c r="G8" s="343"/>
      <c r="H8" s="343"/>
      <c r="I8" s="343"/>
      <c r="J8" s="343"/>
      <c r="K8" s="343"/>
    </row>
    <row r="9" spans="1:11">
      <c r="A9" s="351"/>
      <c r="B9" s="343"/>
      <c r="C9" s="343"/>
      <c r="D9" s="343"/>
      <c r="E9" s="343"/>
      <c r="F9" s="343"/>
      <c r="G9" s="343"/>
      <c r="H9" s="343"/>
      <c r="I9" s="343"/>
      <c r="J9" s="343"/>
      <c r="K9" s="343"/>
    </row>
    <row r="10" spans="1:11">
      <c r="A10" s="351"/>
      <c r="B10" s="343"/>
      <c r="C10" s="343"/>
      <c r="D10" s="343"/>
      <c r="E10" s="343"/>
      <c r="F10" s="343"/>
      <c r="G10" s="343"/>
      <c r="H10" s="343"/>
      <c r="I10" s="343"/>
      <c r="J10" s="343"/>
      <c r="K10" s="343"/>
    </row>
    <row r="11" spans="1:11" ht="15.75">
      <c r="A11" s="223"/>
      <c r="B11" s="352"/>
      <c r="C11" s="3498" t="s">
        <v>1262</v>
      </c>
      <c r="D11" s="3498"/>
      <c r="E11" s="3498"/>
      <c r="F11" s="3498"/>
      <c r="G11" s="3498"/>
      <c r="H11" s="3498"/>
      <c r="I11" s="3498"/>
      <c r="J11" s="2244"/>
      <c r="K11" s="2245"/>
    </row>
    <row r="12" spans="1:11" ht="15.75">
      <c r="A12" s="223"/>
      <c r="B12" s="352"/>
      <c r="C12" s="353"/>
      <c r="D12" s="353"/>
      <c r="E12" s="353"/>
      <c r="F12" s="353"/>
      <c r="G12" s="353"/>
      <c r="H12" s="353"/>
      <c r="I12" s="354" t="s">
        <v>86</v>
      </c>
      <c r="J12" s="354"/>
      <c r="K12" s="354" t="s">
        <v>86</v>
      </c>
    </row>
    <row r="13" spans="1:11" ht="15.75">
      <c r="A13" s="223"/>
      <c r="B13" s="352"/>
      <c r="C13" s="353"/>
      <c r="D13" s="353"/>
      <c r="E13" s="353"/>
      <c r="F13" s="353"/>
      <c r="G13" s="353"/>
      <c r="H13" s="353"/>
      <c r="I13" s="354" t="s">
        <v>987</v>
      </c>
      <c r="J13" s="354"/>
      <c r="K13" s="354" t="s">
        <v>987</v>
      </c>
    </row>
    <row r="14" spans="1:11" ht="15.75">
      <c r="A14" s="223"/>
      <c r="B14" s="352"/>
      <c r="C14" s="355" t="s">
        <v>1203</v>
      </c>
      <c r="D14" s="353"/>
      <c r="E14" s="354" t="s">
        <v>1204</v>
      </c>
      <c r="F14" s="353"/>
      <c r="G14" s="353"/>
      <c r="H14" s="353"/>
      <c r="I14" s="354" t="s">
        <v>87</v>
      </c>
      <c r="J14" s="354"/>
      <c r="K14" s="354" t="s">
        <v>87</v>
      </c>
    </row>
    <row r="15" spans="1:11" ht="15.75">
      <c r="A15" s="223"/>
      <c r="B15" s="352"/>
      <c r="C15" s="354" t="s">
        <v>1247</v>
      </c>
      <c r="D15" s="353"/>
      <c r="E15" s="354" t="s">
        <v>1247</v>
      </c>
      <c r="F15" s="353"/>
      <c r="G15" s="353"/>
      <c r="H15" s="353"/>
      <c r="I15" s="354" t="s">
        <v>1203</v>
      </c>
      <c r="J15" s="354"/>
      <c r="K15" s="354" t="s">
        <v>1204</v>
      </c>
    </row>
    <row r="16" spans="1:11" ht="15.75">
      <c r="A16" s="223"/>
      <c r="B16" s="352"/>
      <c r="C16" s="354" t="s">
        <v>1248</v>
      </c>
      <c r="D16" s="353"/>
      <c r="E16" s="354" t="s">
        <v>1451</v>
      </c>
      <c r="F16" s="353"/>
      <c r="G16" s="355" t="s">
        <v>86</v>
      </c>
      <c r="H16" s="353"/>
      <c r="I16" s="354" t="s">
        <v>88</v>
      </c>
      <c r="J16" s="354"/>
      <c r="K16" s="354" t="s">
        <v>88</v>
      </c>
    </row>
    <row r="17" spans="1:11">
      <c r="A17" s="356"/>
      <c r="B17" s="357"/>
      <c r="C17" s="358"/>
      <c r="D17" s="343"/>
      <c r="E17" s="358"/>
      <c r="F17" s="343"/>
      <c r="G17" s="358"/>
      <c r="H17" s="343"/>
      <c r="I17" s="358"/>
      <c r="J17" s="357"/>
      <c r="K17" s="358"/>
    </row>
    <row r="18" spans="1:11" ht="15.75">
      <c r="A18" s="221" t="s">
        <v>14</v>
      </c>
      <c r="B18" s="359"/>
      <c r="C18" s="360"/>
      <c r="D18" s="360"/>
      <c r="E18" s="360"/>
      <c r="F18" s="360"/>
      <c r="G18" s="360"/>
      <c r="H18" s="360"/>
      <c r="I18" s="360"/>
      <c r="J18" s="360"/>
      <c r="K18" s="359"/>
    </row>
    <row r="19" spans="1:11" ht="15" customHeight="1">
      <c r="A19" s="1638" t="s">
        <v>89</v>
      </c>
      <c r="B19" s="361" t="s">
        <v>15</v>
      </c>
      <c r="C19" s="362"/>
      <c r="D19" s="361"/>
      <c r="E19" s="362"/>
      <c r="F19" s="361"/>
      <c r="G19" s="298"/>
      <c r="H19" s="361"/>
      <c r="I19" s="298"/>
      <c r="J19" s="298"/>
      <c r="K19" s="244"/>
    </row>
    <row r="20" spans="1:11">
      <c r="A20" s="363" t="s">
        <v>90</v>
      </c>
      <c r="B20" s="361" t="s">
        <v>15</v>
      </c>
      <c r="C20" s="242">
        <f>'Exh D General Fund  '!C20+'Exh D Special Revenue'!C20+'Exh D Debt Service'!C20</f>
        <v>42422</v>
      </c>
      <c r="D20" s="364"/>
      <c r="E20" s="242">
        <f>+'Exh D General Fund  '!E20+'Exh D Special Revenue'!E20+'Exh D Debt Service'!E20</f>
        <v>40470</v>
      </c>
      <c r="F20" s="364"/>
      <c r="G20" s="242">
        <f>+'Exh D General Fund  '!G20+'Exh D Special Revenue'!G20+'Exh D Debt Service'!G20</f>
        <v>40472.9</v>
      </c>
      <c r="H20" s="364"/>
      <c r="I20" s="242">
        <f t="shared" ref="I20:I25" si="0">ROUND(SUM(G20)-SUM(C20),1)</f>
        <v>-1949.1</v>
      </c>
      <c r="J20" s="365"/>
      <c r="K20" s="242">
        <f t="shared" ref="K20:K25" si="1">ROUND(SUM(G20)-SUM(E20),1)</f>
        <v>2.9</v>
      </c>
    </row>
    <row r="21" spans="1:11">
      <c r="A21" s="1638" t="s">
        <v>91</v>
      </c>
      <c r="B21" s="359" t="s">
        <v>15</v>
      </c>
      <c r="C21" s="260">
        <f>+'Exh D General Fund  '!C21+'Exh D Debt Service'!C21+'Exh D Special Revenue'!C21+'Exh D Capital Projects'!C20</f>
        <v>13585</v>
      </c>
      <c r="D21" s="260"/>
      <c r="E21" s="260">
        <f>+'Exh D General Fund  '!E21+'Exh D Special Revenue'!E21+'Exh D Debt Service'!E21+'Exh D Capital Projects'!E20</f>
        <v>13657</v>
      </c>
      <c r="F21" s="260"/>
      <c r="G21" s="260">
        <f>+'Exh D General Fund  '!G21+'Exh D Special Revenue'!G21+'Exh D Debt Service'!G21+'Exh D Capital Projects'!G20</f>
        <v>13699</v>
      </c>
      <c r="H21" s="260"/>
      <c r="I21" s="260">
        <f t="shared" si="0"/>
        <v>114</v>
      </c>
      <c r="J21" s="365"/>
      <c r="K21" s="260">
        <f t="shared" si="1"/>
        <v>42</v>
      </c>
    </row>
    <row r="22" spans="1:11" ht="17.25" customHeight="1">
      <c r="A22" s="1638" t="s">
        <v>92</v>
      </c>
      <c r="B22" s="361" t="s">
        <v>15</v>
      </c>
      <c r="C22" s="260">
        <f>+'Exh D General Fund  '!C22+'Exh D Special Revenue'!C22+'Exh D Capital Projects'!C21</f>
        <v>5436</v>
      </c>
      <c r="D22" s="273"/>
      <c r="E22" s="260">
        <f>+'Exh D General Fund  '!E22+'Exh D Special Revenue'!E22+'Exh D Capital Projects'!E21</f>
        <v>5333</v>
      </c>
      <c r="F22" s="273"/>
      <c r="G22" s="260">
        <f>+'Exh D General Fund  '!G22+'Exh D Special Revenue'!G22+'Exh D Capital Projects'!G21</f>
        <v>5452.8</v>
      </c>
      <c r="H22" s="273"/>
      <c r="I22" s="260">
        <f t="shared" si="0"/>
        <v>16.8</v>
      </c>
      <c r="J22" s="365"/>
      <c r="K22" s="260">
        <f t="shared" si="1"/>
        <v>119.8</v>
      </c>
    </row>
    <row r="23" spans="1:11" ht="14.25" customHeight="1">
      <c r="A23" s="1638" t="s">
        <v>93</v>
      </c>
      <c r="B23" s="359" t="s">
        <v>15</v>
      </c>
      <c r="C23" s="260">
        <f>+'Exh D General Fund  '!C23+'Exh D Special Revenue'!C23+'Exh D Capital Projects'!C22+'Exh D Debt Service'!C22</f>
        <v>2907</v>
      </c>
      <c r="D23" s="260"/>
      <c r="E23" s="260">
        <f>+'Exh D General Fund  '!E23+'Exh D Special Revenue'!E23+'Exh D Debt Service'!E22+'Exh D Capital Projects'!E22</f>
        <v>3027</v>
      </c>
      <c r="F23" s="260"/>
      <c r="G23" s="260">
        <f>+'Exh D General Fund  '!G23+'Exh D Special Revenue'!G23+'Exh D Debt Service'!G22+'Exh D Capital Projects'!G22</f>
        <v>3030.2</v>
      </c>
      <c r="H23" s="260"/>
      <c r="I23" s="260">
        <f t="shared" si="0"/>
        <v>123.2</v>
      </c>
      <c r="J23" s="365"/>
      <c r="K23" s="260">
        <f t="shared" si="1"/>
        <v>3.2</v>
      </c>
    </row>
    <row r="24" spans="1:11">
      <c r="A24" s="1638" t="s">
        <v>20</v>
      </c>
      <c r="B24" s="359" t="s">
        <v>15</v>
      </c>
      <c r="C24" s="260">
        <f>+'Exh D General Fund  '!C24+'Exh D Special Revenue'!C24+'Exh D Debt Service'!C23+'Exh D Capital Projects'!C23</f>
        <v>19448</v>
      </c>
      <c r="D24" s="260"/>
      <c r="E24" s="260">
        <f>+'Exh D General Fund  '!E24+'Exh D Special Revenue'!E24+'Exh D Debt Service'!E23+'Exh D Capital Projects'!E23</f>
        <v>20157</v>
      </c>
      <c r="F24" s="260"/>
      <c r="G24" s="260">
        <f>+'Exh D General Fund  '!G24+'Exh D Special Revenue'!G24+'Exh D Debt Service'!G23+'Exh D Capital Projects'!G23</f>
        <v>20046.900000000001</v>
      </c>
      <c r="H24" s="260"/>
      <c r="I24" s="260">
        <f t="shared" si="0"/>
        <v>598.9</v>
      </c>
      <c r="J24" s="366"/>
      <c r="K24" s="260">
        <f t="shared" si="1"/>
        <v>-110.1</v>
      </c>
    </row>
    <row r="25" spans="1:11" ht="15" customHeight="1">
      <c r="A25" s="1638" t="s">
        <v>21</v>
      </c>
      <c r="B25" s="359" t="s">
        <v>15</v>
      </c>
      <c r="C25" s="514">
        <f>+'Exh D General Fund  '!C25+'Exh D Debt Service'!C24+'Exh D Special Revenue'!C25+'Exh D Capital Projects'!C24</f>
        <v>42364</v>
      </c>
      <c r="D25" s="260"/>
      <c r="E25" s="514">
        <f>+'Exh D General Fund  '!E25+'Exh D Special Revenue'!E25+'Exh D Debt Service'!E24+'Exh D Capital Projects'!E24</f>
        <v>43732</v>
      </c>
      <c r="F25" s="260"/>
      <c r="G25" s="514">
        <f>+'Exh D General Fund  '!G25+'Exh D Special Revenue'!G25+'Exh D Debt Service'!G24+'Exh D Capital Projects'!G24</f>
        <v>43749.3</v>
      </c>
      <c r="H25" s="260"/>
      <c r="I25" s="260">
        <f t="shared" si="0"/>
        <v>1385.3</v>
      </c>
      <c r="J25" s="366"/>
      <c r="K25" s="260">
        <f t="shared" si="1"/>
        <v>17.3</v>
      </c>
    </row>
    <row r="26" spans="1:11" ht="15.75">
      <c r="A26" s="374" t="s">
        <v>94</v>
      </c>
      <c r="B26" s="352" t="s">
        <v>15</v>
      </c>
      <c r="C26" s="418">
        <f>ROUND(SUM(C20:C25),1)</f>
        <v>126162</v>
      </c>
      <c r="D26" s="1802"/>
      <c r="E26" s="418">
        <f>ROUND(SUM(E20:E25),1)</f>
        <v>126376</v>
      </c>
      <c r="F26" s="256"/>
      <c r="G26" s="418">
        <f>ROUND(SUM(G20:G25),1)</f>
        <v>126451.1</v>
      </c>
      <c r="H26" s="256"/>
      <c r="I26" s="418">
        <f>ROUND(SUM(I20:I25),1)</f>
        <v>289.10000000000002</v>
      </c>
      <c r="J26" s="367"/>
      <c r="K26" s="418">
        <f>ROUND(SUM(K20:K25),1)</f>
        <v>75.099999999999994</v>
      </c>
    </row>
    <row r="27" spans="1:11">
      <c r="A27" s="223"/>
      <c r="B27" s="359" t="s">
        <v>15</v>
      </c>
      <c r="C27" s="287"/>
      <c r="D27" s="260"/>
      <c r="E27" s="287"/>
      <c r="F27" s="260"/>
      <c r="G27" s="287"/>
      <c r="H27" s="260"/>
      <c r="I27" s="287"/>
      <c r="J27" s="252"/>
      <c r="K27" s="287"/>
    </row>
    <row r="28" spans="1:11" ht="15.75">
      <c r="A28" s="221" t="s">
        <v>23</v>
      </c>
      <c r="B28" s="359" t="s">
        <v>15</v>
      </c>
      <c r="C28" s="260"/>
      <c r="D28" s="260"/>
      <c r="E28" s="260"/>
      <c r="F28" s="260"/>
      <c r="G28" s="260"/>
      <c r="H28" s="260"/>
      <c r="I28" s="260"/>
      <c r="J28" s="366"/>
      <c r="K28" s="248"/>
    </row>
    <row r="29" spans="1:11">
      <c r="A29" s="1638" t="s">
        <v>95</v>
      </c>
      <c r="B29" s="359" t="s">
        <v>15</v>
      </c>
      <c r="C29" s="514">
        <f>+'Exh D General Fund  '!C34+'Exh D Special Revenue'!C30+'Exh D Capital Projects'!C30</f>
        <v>89338</v>
      </c>
      <c r="D29" s="260"/>
      <c r="E29" s="514">
        <f>+'Exh D General Fund  '!E34+'Exh D Special Revenue'!E30+'Exh D Capital Projects'!E30</f>
        <v>90754</v>
      </c>
      <c r="F29" s="260"/>
      <c r="G29" s="514">
        <f>+'Exh D General Fund  '!G34+'Exh D Special Revenue'!G30+'Exh D Capital Projects'!G30</f>
        <v>90103.1</v>
      </c>
      <c r="H29" s="260"/>
      <c r="I29" s="260">
        <f>ROUND(SUM(G29)-SUM(C29),1)</f>
        <v>765.1</v>
      </c>
      <c r="J29" s="366"/>
      <c r="K29" s="260">
        <f>ROUND(SUM(G29)-SUM(E29),1)</f>
        <v>-650.9</v>
      </c>
    </row>
    <row r="30" spans="1:11">
      <c r="A30" s="1638" t="s">
        <v>96</v>
      </c>
      <c r="B30" s="359" t="s">
        <v>15</v>
      </c>
      <c r="C30" s="273">
        <f>+'Exh D General Fund  '!C35+'Exh D Special Revenue'!C31+'Exh D Debt Service'!C29</f>
        <v>16796</v>
      </c>
      <c r="D30" s="260"/>
      <c r="E30" s="273">
        <f>+'Exh D General Fund  '!E35+'Exh D Special Revenue'!E31+'Exh D Debt Service'!E29</f>
        <v>17079</v>
      </c>
      <c r="F30" s="260"/>
      <c r="G30" s="273">
        <f>+'Exh D General Fund  '!G35+'Exh D Special Revenue'!G31+'Exh D Debt Service'!G29</f>
        <v>17034.399999999998</v>
      </c>
      <c r="H30" s="260"/>
      <c r="I30" s="260">
        <f>ROUND(SUM(G30)-SUM(C30),1)</f>
        <v>238.4</v>
      </c>
      <c r="J30" s="366"/>
      <c r="K30" s="260">
        <f>ROUND(SUM(G30)-SUM(E30),1)</f>
        <v>-44.6</v>
      </c>
    </row>
    <row r="31" spans="1:11">
      <c r="A31" s="1638" t="s">
        <v>71</v>
      </c>
      <c r="B31" s="359" t="s">
        <v>15</v>
      </c>
      <c r="C31" s="514">
        <f>+'Exh D General Fund  '!C36+'Exh D Special Revenue'!C32</f>
        <v>6874</v>
      </c>
      <c r="D31" s="260"/>
      <c r="E31" s="1250">
        <f>+'Exh D General Fund  '!E36+'Exh D Special Revenue'!E32</f>
        <v>6960</v>
      </c>
      <c r="F31" s="260"/>
      <c r="G31" s="514">
        <f>+'Exh D General Fund  '!G36+'Exh D Special Revenue'!G32</f>
        <v>6996.1</v>
      </c>
      <c r="H31" s="260"/>
      <c r="I31" s="260">
        <f>ROUND(SUM(G31)-SUM(C31),1)</f>
        <v>122.1</v>
      </c>
      <c r="J31" s="366"/>
      <c r="K31" s="260">
        <f>ROUND(SUM(G31)-SUM(E31),1)</f>
        <v>36.1</v>
      </c>
    </row>
    <row r="32" spans="1:11">
      <c r="A32" s="1638" t="s">
        <v>97</v>
      </c>
      <c r="B32" s="359" t="s">
        <v>15</v>
      </c>
      <c r="C32" s="273">
        <f>+'Exh D Debt Service'!C30</f>
        <v>2000</v>
      </c>
      <c r="D32" s="260"/>
      <c r="E32" s="273">
        <f>+'Exh D Debt Service'!E30</f>
        <v>1960</v>
      </c>
      <c r="F32" s="260"/>
      <c r="G32" s="273">
        <f>+'Exh D Debt Service'!G30</f>
        <v>1960</v>
      </c>
      <c r="H32" s="260"/>
      <c r="I32" s="260">
        <f>ROUND(SUM(G32)-SUM(C32),1)</f>
        <v>-40</v>
      </c>
      <c r="J32" s="366"/>
      <c r="K32" s="260">
        <f>ROUND(SUM(G32)-SUM(E32),1)</f>
        <v>0</v>
      </c>
    </row>
    <row r="33" spans="1:11" ht="15" customHeight="1">
      <c r="A33" s="1638" t="s">
        <v>42</v>
      </c>
      <c r="B33" s="359" t="s">
        <v>15</v>
      </c>
      <c r="C33" s="514">
        <f>+'Exh D Special Revenue'!C33+'Exh D Capital Projects'!C31</f>
        <v>6310</v>
      </c>
      <c r="D33" s="260"/>
      <c r="E33" s="514">
        <f>+'Exh D Special Revenue'!E33+'Exh D Capital Projects'!E31</f>
        <v>5537</v>
      </c>
      <c r="F33" s="260"/>
      <c r="G33" s="514">
        <f>+'Exh D Special Revenue'!G33+'Exh D Capital Projects'!G31</f>
        <v>5404.9</v>
      </c>
      <c r="H33" s="260"/>
      <c r="I33" s="260">
        <f>ROUND(SUM(G33)-SUM(C33),1)</f>
        <v>-905.1</v>
      </c>
      <c r="J33" s="366"/>
      <c r="K33" s="260">
        <f>ROUND(SUM(G33)-SUM(E33),1)</f>
        <v>-132.1</v>
      </c>
    </row>
    <row r="34" spans="1:11" ht="15.75" customHeight="1">
      <c r="A34" s="374" t="s">
        <v>98</v>
      </c>
      <c r="B34" s="352" t="s">
        <v>15</v>
      </c>
      <c r="C34" s="543">
        <f>ROUND(SUM(C29:C33),1)</f>
        <v>121318</v>
      </c>
      <c r="D34" s="1802"/>
      <c r="E34" s="543">
        <f>ROUND(SUM(E29:E33),1)</f>
        <v>122290</v>
      </c>
      <c r="F34" s="256"/>
      <c r="G34" s="543">
        <f>ROUND(SUM(G29:G33),1)</f>
        <v>121498.5</v>
      </c>
      <c r="H34" s="256"/>
      <c r="I34" s="543">
        <f>ROUND(SUM(I29:I33),1)</f>
        <v>180.5</v>
      </c>
      <c r="J34" s="367"/>
      <c r="K34" s="543">
        <f>ROUND(SUM(K29:K33),1)</f>
        <v>-791.5</v>
      </c>
    </row>
    <row r="35" spans="1:11">
      <c r="A35" s="223"/>
      <c r="B35" s="359"/>
      <c r="C35" s="260"/>
      <c r="D35" s="260"/>
      <c r="E35" s="260"/>
      <c r="F35" s="260"/>
      <c r="G35" s="260"/>
      <c r="H35" s="260"/>
      <c r="I35" s="260"/>
      <c r="J35" s="366"/>
      <c r="K35" s="248"/>
    </row>
    <row r="36" spans="1:11" ht="15.75">
      <c r="A36" s="374" t="s">
        <v>44</v>
      </c>
      <c r="B36" s="359"/>
      <c r="C36" s="260"/>
      <c r="D36" s="260"/>
      <c r="E36" s="260"/>
      <c r="F36" s="260"/>
      <c r="G36" s="260"/>
      <c r="H36" s="260"/>
      <c r="I36" s="260"/>
      <c r="J36" s="366"/>
      <c r="K36" s="248"/>
    </row>
    <row r="37" spans="1:11" ht="15.75">
      <c r="A37" s="374" t="s">
        <v>45</v>
      </c>
      <c r="B37" s="359" t="s">
        <v>15</v>
      </c>
      <c r="C37" s="270">
        <f>ROUND(SUM(+C26-C34),1)</f>
        <v>4844</v>
      </c>
      <c r="D37" s="260"/>
      <c r="E37" s="270">
        <f>ROUND(SUM(+E26-E34),1)</f>
        <v>4086</v>
      </c>
      <c r="F37" s="260"/>
      <c r="G37" s="270">
        <f>ROUND(SUM(+G26-G34),1)</f>
        <v>4952.6000000000004</v>
      </c>
      <c r="H37" s="260"/>
      <c r="I37" s="270">
        <f>ROUND(SUM(+I26-I34),1)</f>
        <v>108.6</v>
      </c>
      <c r="J37" s="252"/>
      <c r="K37" s="1656">
        <f>ROUND(SUM(+K26-K34),1)</f>
        <v>866.6</v>
      </c>
    </row>
    <row r="38" spans="1:11">
      <c r="A38" s="223"/>
      <c r="B38" s="359"/>
      <c r="C38" s="260"/>
      <c r="D38" s="260"/>
      <c r="E38" s="260"/>
      <c r="F38" s="260"/>
      <c r="G38" s="260"/>
      <c r="H38" s="260"/>
      <c r="I38" s="260"/>
      <c r="J38" s="366"/>
      <c r="K38" s="248"/>
    </row>
    <row r="39" spans="1:11" ht="15.75">
      <c r="A39" s="374" t="s">
        <v>46</v>
      </c>
      <c r="B39" s="359"/>
      <c r="C39" s="260"/>
      <c r="D39" s="260"/>
      <c r="E39" s="260"/>
      <c r="F39" s="260"/>
      <c r="G39" s="260"/>
      <c r="H39" s="260"/>
      <c r="I39" s="260"/>
      <c r="J39" s="366"/>
      <c r="K39" s="248"/>
    </row>
    <row r="40" spans="1:11">
      <c r="A40" s="1638" t="s">
        <v>99</v>
      </c>
      <c r="B40" s="359" t="s">
        <v>15</v>
      </c>
      <c r="C40" s="515">
        <f>'Exh D Captl Projects State Fed'!C25</f>
        <v>22</v>
      </c>
      <c r="D40" s="260"/>
      <c r="E40" s="515">
        <f>'Exh D Captl Projects State Fed'!E25</f>
        <v>2</v>
      </c>
      <c r="F40" s="260"/>
      <c r="G40" s="515">
        <f>'Exh D Captl Projects State Fed'!G25</f>
        <v>0</v>
      </c>
      <c r="H40" s="260"/>
      <c r="I40" s="260">
        <f>ROUND(SUM(G40)-SUM(C40),1)</f>
        <v>-22</v>
      </c>
      <c r="J40" s="372"/>
      <c r="K40" s="260">
        <f>ROUND(SUM(G40)-SUM(E40),1)</f>
        <v>-2</v>
      </c>
    </row>
    <row r="41" spans="1:11">
      <c r="A41" s="1638" t="s">
        <v>48</v>
      </c>
      <c r="B41" s="359" t="s">
        <v>15</v>
      </c>
      <c r="C41" s="273">
        <f>+'Exh D General Fund  '!C27+'Exh D General Fund  '!C28+'Exh D General Fund  '!C29+'Exh D General Fund  '!C30+'Exh D Special Revenue'!C26+'Exh D Debt Service'!C25+'Exh D Capital Projects'!C26</f>
        <v>26475</v>
      </c>
      <c r="D41" s="260"/>
      <c r="E41" s="318">
        <f>+'Exh D General Fund  '!E27+'Exh D General Fund  '!E28+'Exh D General Fund  '!E29+'Exh D General Fund  '!E30+'Exh D Special Revenue'!E26+'Exh D Debt Service'!E25+'Exh D Capital Projects'!E26</f>
        <v>25962</v>
      </c>
      <c r="F41" s="260"/>
      <c r="G41" s="273">
        <f>+'Exh D General Fund  '!G27+'Exh D General Fund  '!G28+'Exh D General Fund  '!G29+'Exh D General Fund  '!G30+'Exh D Special Revenue'!K26+'Exh D Debt Service'!G25+'Exh D Capital Projects'!K26</f>
        <v>25437.9</v>
      </c>
      <c r="H41" s="260"/>
      <c r="I41" s="260">
        <f>ROUND(SUM(G41)-SUM(C41),1)</f>
        <v>-1037.0999999999999</v>
      </c>
      <c r="J41" s="366"/>
      <c r="K41" s="260">
        <f>ROUND(SUM(G41)-SUM(E41),1)</f>
        <v>-524.1</v>
      </c>
    </row>
    <row r="42" spans="1:11">
      <c r="A42" s="1638" t="s">
        <v>100</v>
      </c>
      <c r="B42" s="359" t="s">
        <v>15</v>
      </c>
      <c r="C42" s="519">
        <f>-(+'Exh D General Fund  '!C38+'Exh D General Fund  '!C39+'Exh D General Fund  '!C40+'Exh D General Fund  '!C41+'Exh D General Fund  '!C42+'Exh D Special Revenue'!C34+'Exh D Debt Service'!C31+'Exh D Capital Projects'!C32)</f>
        <v>-26514</v>
      </c>
      <c r="D42" s="260"/>
      <c r="E42" s="2651">
        <f>-(+'Exh D General Fund  '!E38+'Exh D General Fund  '!E39+'Exh D General Fund  '!E40+'Exh D General Fund  '!E41+'Exh D General Fund  '!E42+'Exh D Special Revenue'!E34+'Exh D Debt Service'!E31+'Exh D Capital Projects'!E32)</f>
        <v>-26000</v>
      </c>
      <c r="F42" s="260"/>
      <c r="G42" s="519">
        <f>-(+'Exh D General Fund  '!G38+'Exh D General Fund  '!G39+'Exh D General Fund  '!G40+'Exh D General Fund  '!G41+'Exh D General Fund  '!G42+'Exh D Special Revenue'!K34+'Exh D Debt Service'!G31+'Exh D Capital Projects'!K32)</f>
        <v>-25469.1</v>
      </c>
      <c r="H42" s="260"/>
      <c r="I42" s="991">
        <f>-ROUND(SUM(G42)-SUM(C42),1)</f>
        <v>-1044.9000000000001</v>
      </c>
      <c r="J42" s="252"/>
      <c r="K42" s="991">
        <f>-ROUND(SUM(G42)-SUM(E42),1)</f>
        <v>-530.9</v>
      </c>
    </row>
    <row r="43" spans="1:11" ht="15.75">
      <c r="A43" s="374" t="s">
        <v>101</v>
      </c>
      <c r="B43" s="359" t="s">
        <v>15</v>
      </c>
      <c r="C43" s="521">
        <f>ROUND(+SUM(C40)+C41+C42,1)</f>
        <v>-17</v>
      </c>
      <c r="D43" s="260"/>
      <c r="E43" s="521">
        <f>ROUND(+SUM(E40)+E41+E42,1)</f>
        <v>-36</v>
      </c>
      <c r="F43" s="260"/>
      <c r="G43" s="521">
        <f>ROUND(+SUM(G40)+G41+G42,1)</f>
        <v>-31.2</v>
      </c>
      <c r="H43" s="260"/>
      <c r="I43" s="521">
        <f>ROUND(SUM(I40+I41-I42),1)</f>
        <v>-14.2</v>
      </c>
      <c r="J43" s="373"/>
      <c r="K43" s="3072">
        <f>ROUND(SUM(K40+K41-K42),1)</f>
        <v>4.8</v>
      </c>
    </row>
    <row r="44" spans="1:11" ht="15.75">
      <c r="A44" s="374"/>
      <c r="B44" s="359"/>
      <c r="C44" s="273"/>
      <c r="D44" s="260"/>
      <c r="E44" s="273"/>
      <c r="F44" s="260"/>
      <c r="G44" s="273"/>
      <c r="H44" s="260"/>
      <c r="I44" s="273"/>
      <c r="J44" s="361"/>
      <c r="K44" s="274"/>
    </row>
    <row r="45" spans="1:11" ht="15.75">
      <c r="A45" s="221" t="s">
        <v>102</v>
      </c>
      <c r="B45" s="359"/>
      <c r="C45" s="260"/>
      <c r="D45" s="260"/>
      <c r="E45" s="260"/>
      <c r="F45" s="260"/>
      <c r="G45" s="260"/>
      <c r="H45" s="260"/>
      <c r="I45" s="260"/>
      <c r="J45" s="366"/>
      <c r="K45" s="248"/>
    </row>
    <row r="46" spans="1:11" ht="15" customHeight="1">
      <c r="A46" s="221" t="s">
        <v>103</v>
      </c>
      <c r="B46" s="359"/>
      <c r="C46" s="260"/>
      <c r="D46" s="260"/>
      <c r="E46" s="260"/>
      <c r="F46" s="260"/>
      <c r="G46" s="260"/>
      <c r="H46" s="260"/>
      <c r="I46" s="260"/>
      <c r="J46" s="366"/>
      <c r="K46" s="248"/>
    </row>
    <row r="47" spans="1:11" ht="15.75">
      <c r="A47" s="374" t="s">
        <v>104</v>
      </c>
      <c r="B47" s="375" t="s">
        <v>15</v>
      </c>
      <c r="C47" s="272">
        <f>ROUND(SUM(C26)-SUM(C34)+C43,1)</f>
        <v>4827</v>
      </c>
      <c r="D47" s="283"/>
      <c r="E47" s="272">
        <f>ROUND(SUM(E26)-SUM(E34)+E43,1)</f>
        <v>4050</v>
      </c>
      <c r="F47" s="283"/>
      <c r="G47" s="272">
        <f>ROUND(SUM(G26)-SUM(G34)+G43,1)</f>
        <v>4921.3999999999996</v>
      </c>
      <c r="H47" s="283"/>
      <c r="I47" s="272">
        <f>ROUND(SUM(I26)-SUM(I34)+I43,1)</f>
        <v>94.4</v>
      </c>
      <c r="J47" s="367"/>
      <c r="K47" s="272">
        <f>ROUND(SUM(K26)-SUM(K34)+K43,1)</f>
        <v>871.4</v>
      </c>
    </row>
    <row r="48" spans="1:11">
      <c r="A48" s="226"/>
      <c r="B48" s="377"/>
      <c r="C48" s="661"/>
      <c r="D48" s="1261"/>
      <c r="E48" s="661"/>
      <c r="F48" s="1261"/>
      <c r="G48" s="661"/>
      <c r="H48" s="1261"/>
      <c r="I48" s="661"/>
      <c r="J48" s="379"/>
      <c r="K48" s="661"/>
    </row>
    <row r="49" spans="1:11" ht="15.75">
      <c r="A49" s="374" t="s">
        <v>105</v>
      </c>
      <c r="B49" s="380" t="s">
        <v>15</v>
      </c>
      <c r="C49" s="272">
        <f>'Exh D General Fund  '!C49+'Exh D Special Revenue'!C41+'Exh D Debt Service'!C38+'Exh D Capital Projects'!C39</f>
        <v>11810</v>
      </c>
      <c r="D49" s="1261"/>
      <c r="E49" s="272">
        <f>'Exh D General Fund  '!E49+'Exh D Special Revenue'!E41+'Exh D Debt Service'!E38+'Exh D Capital Projects'!E39</f>
        <v>11810</v>
      </c>
      <c r="F49" s="1261"/>
      <c r="G49" s="272">
        <f>'Exh D General Fund  '!G49+'Exh D Special Revenue'!G41+'Exh D Debt Service'!G38+'Exh D Capital Projects'!G39</f>
        <v>11810.100000000002</v>
      </c>
      <c r="H49" s="1261"/>
      <c r="I49" s="272">
        <f>ROUND(SUM(G49-C49),1)</f>
        <v>0.1</v>
      </c>
      <c r="J49" s="367"/>
      <c r="K49" s="2926">
        <f>ROUND(SUM(G49-E49),1)</f>
        <v>0.1</v>
      </c>
    </row>
    <row r="50" spans="1:11" ht="16.5" thickBot="1">
      <c r="A50" s="3078" t="s">
        <v>1556</v>
      </c>
      <c r="B50" s="381" t="s">
        <v>15</v>
      </c>
      <c r="C50" s="297">
        <f>ROUND(SUM(C47:C49),1)</f>
        <v>16637</v>
      </c>
      <c r="D50" s="382"/>
      <c r="E50" s="297">
        <f>ROUND(SUM(E47:E49),1)</f>
        <v>15860</v>
      </c>
      <c r="F50" s="382"/>
      <c r="G50" s="297">
        <f>ROUND(SUM(G47:G49),1)</f>
        <v>16731.5</v>
      </c>
      <c r="H50" s="382"/>
      <c r="I50" s="297">
        <f>ROUND(SUM(I47:I49),1)</f>
        <v>94.5</v>
      </c>
      <c r="J50" s="383"/>
      <c r="K50" s="297">
        <f>ROUND(SUM(K47:K49),1)</f>
        <v>871.5</v>
      </c>
    </row>
    <row r="51" spans="1:11" ht="15.75" thickTop="1">
      <c r="A51" s="226"/>
      <c r="B51" s="377"/>
      <c r="C51" s="377"/>
      <c r="D51" s="378"/>
      <c r="E51" s="377"/>
      <c r="F51" s="378"/>
      <c r="G51" s="378"/>
      <c r="H51" s="378"/>
      <c r="I51" s="378"/>
      <c r="J51" s="378"/>
      <c r="K51" s="377"/>
    </row>
    <row r="52" spans="1:11">
      <c r="A52" s="1816" t="s">
        <v>1484</v>
      </c>
      <c r="K52" s="2281"/>
    </row>
    <row r="53" spans="1:11">
      <c r="A53" s="1847" t="s">
        <v>1557</v>
      </c>
      <c r="G53" s="2246"/>
    </row>
    <row r="54" spans="1:11">
      <c r="A54" s="385"/>
    </row>
    <row r="55" spans="1:11">
      <c r="A55" s="384"/>
      <c r="G55" s="2246"/>
    </row>
    <row r="56" spans="1:11">
      <c r="A56" s="384"/>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8"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55"/>
  <sheetViews>
    <sheetView showGridLines="0" zoomScale="80" zoomScaleNormal="80" workbookViewId="0"/>
  </sheetViews>
  <sheetFormatPr defaultColWidth="8.88671875" defaultRowHeight="15"/>
  <cols>
    <col min="1" max="1" width="45.6640625" style="300" customWidth="1"/>
    <col min="2" max="2" width="2.44140625" style="300" customWidth="1"/>
    <col min="3" max="3" width="15.33203125" style="300" customWidth="1"/>
    <col min="4" max="4" width="3.77734375" style="300" customWidth="1"/>
    <col min="5" max="5" width="15.33203125" style="300" customWidth="1"/>
    <col min="6" max="6" width="3.21875" style="300" customWidth="1"/>
    <col min="7" max="7" width="15.33203125" style="300" customWidth="1"/>
    <col min="8" max="8" width="3.88671875" style="300" customWidth="1"/>
    <col min="9" max="9" width="15.33203125" style="300" customWidth="1"/>
    <col min="10" max="10" width="3" style="300" customWidth="1"/>
    <col min="11" max="11" width="15.33203125" style="300" customWidth="1"/>
    <col min="12" max="16384" width="8.88671875" style="300"/>
  </cols>
  <sheetData>
    <row r="1" spans="1:13">
      <c r="A1" s="1161" t="s">
        <v>1090</v>
      </c>
      <c r="B1" s="644"/>
      <c r="C1" s="644"/>
      <c r="D1" s="644"/>
      <c r="E1" s="644"/>
      <c r="F1" s="644"/>
      <c r="G1" s="644"/>
      <c r="H1" s="644"/>
      <c r="I1" s="644"/>
      <c r="J1" s="644"/>
      <c r="K1" s="644"/>
      <c r="L1" s="644"/>
      <c r="M1" s="644"/>
    </row>
    <row r="2" spans="1:13">
      <c r="A2" s="3480"/>
      <c r="B2" s="644"/>
      <c r="C2" s="644"/>
      <c r="D2" s="644"/>
      <c r="E2" s="644"/>
      <c r="F2" s="644"/>
      <c r="G2" s="644"/>
      <c r="H2" s="644"/>
      <c r="I2" s="644"/>
      <c r="J2" s="644"/>
      <c r="K2" s="644"/>
      <c r="L2" s="644"/>
      <c r="M2" s="644"/>
    </row>
    <row r="3" spans="1:13" ht="18">
      <c r="A3" s="341" t="s">
        <v>0</v>
      </c>
      <c r="B3" s="342"/>
      <c r="C3" s="342"/>
      <c r="D3" s="343"/>
      <c r="E3" s="342"/>
      <c r="F3" s="343"/>
      <c r="G3" s="343"/>
      <c r="H3" s="343"/>
      <c r="I3" s="343"/>
      <c r="J3" s="343"/>
      <c r="K3" s="344" t="s">
        <v>85</v>
      </c>
    </row>
    <row r="4" spans="1:13" ht="18">
      <c r="A4" s="341" t="s">
        <v>84</v>
      </c>
      <c r="B4" s="342"/>
      <c r="C4" s="342"/>
      <c r="D4" s="343"/>
      <c r="E4" s="342"/>
      <c r="F4" s="343"/>
      <c r="G4" s="343"/>
      <c r="H4" s="343"/>
      <c r="I4" s="344"/>
      <c r="J4" s="345"/>
      <c r="K4" s="1648" t="s">
        <v>106</v>
      </c>
    </row>
    <row r="5" spans="1:13" ht="20.25" customHeight="1">
      <c r="A5" s="3496" t="s">
        <v>1409</v>
      </c>
      <c r="B5" s="3497"/>
      <c r="C5" s="3497"/>
      <c r="D5" s="3497"/>
      <c r="E5" s="3497"/>
      <c r="F5" s="343"/>
      <c r="G5" s="346"/>
      <c r="H5" s="343"/>
      <c r="I5" s="1648"/>
      <c r="J5" s="343"/>
    </row>
    <row r="6" spans="1:13" ht="18.75" customHeight="1">
      <c r="A6" s="2726" t="str">
        <f>'Exh D-Governmental  '!A6</f>
        <v>FOR TEN MONTHS ENDED JANUARY 31, 2017</v>
      </c>
      <c r="B6" s="348"/>
      <c r="C6" s="349"/>
      <c r="D6" s="343"/>
      <c r="E6" s="349"/>
      <c r="F6" s="343"/>
      <c r="G6" s="343"/>
      <c r="H6" s="343"/>
      <c r="I6" s="343"/>
      <c r="J6" s="343"/>
      <c r="K6" s="343"/>
    </row>
    <row r="7" spans="1:13" ht="18">
      <c r="A7" s="392" t="s">
        <v>980</v>
      </c>
      <c r="B7" s="349"/>
      <c r="C7" s="349"/>
      <c r="D7" s="343"/>
      <c r="E7" s="349"/>
      <c r="F7" s="343"/>
      <c r="G7" s="343"/>
      <c r="H7" s="343"/>
      <c r="I7" s="343"/>
      <c r="J7" s="343"/>
      <c r="K7" s="343"/>
    </row>
    <row r="8" spans="1:13" ht="18">
      <c r="A8" s="350"/>
      <c r="B8" s="343"/>
      <c r="C8" s="343"/>
      <c r="D8" s="343"/>
      <c r="E8" s="343"/>
      <c r="F8" s="343"/>
      <c r="G8" s="343"/>
      <c r="H8" s="343"/>
      <c r="I8" s="343"/>
      <c r="J8" s="343"/>
      <c r="K8" s="343"/>
    </row>
    <row r="9" spans="1:13">
      <c r="A9" s="351"/>
      <c r="B9" s="343"/>
      <c r="C9" s="343"/>
      <c r="D9" s="343"/>
      <c r="E9" s="343"/>
      <c r="F9" s="343"/>
      <c r="G9" s="343"/>
      <c r="H9" s="343"/>
      <c r="I9" s="343"/>
      <c r="J9" s="343"/>
      <c r="K9" s="343"/>
    </row>
    <row r="10" spans="1:13">
      <c r="A10" s="351"/>
      <c r="B10" s="343"/>
      <c r="C10" s="343"/>
      <c r="D10" s="343"/>
      <c r="E10" s="343"/>
      <c r="F10" s="343"/>
      <c r="G10" s="343"/>
      <c r="H10" s="343"/>
      <c r="I10" s="343"/>
      <c r="J10" s="343"/>
      <c r="K10" s="343"/>
    </row>
    <row r="11" spans="1:13" ht="15.75">
      <c r="A11" s="1321"/>
      <c r="B11" s="352"/>
      <c r="C11" s="3498" t="s">
        <v>1454</v>
      </c>
      <c r="D11" s="3498"/>
      <c r="E11" s="3498"/>
      <c r="F11" s="3498"/>
      <c r="G11" s="3498"/>
      <c r="H11" s="3498"/>
      <c r="I11" s="3498"/>
      <c r="J11" s="2251"/>
      <c r="K11" s="2245"/>
    </row>
    <row r="12" spans="1:13" ht="15.75">
      <c r="A12" s="1321"/>
      <c r="B12" s="352"/>
      <c r="C12" s="353"/>
      <c r="D12" s="353"/>
      <c r="E12" s="353"/>
      <c r="F12" s="353"/>
      <c r="G12" s="353"/>
      <c r="H12" s="353"/>
      <c r="I12" s="354" t="s">
        <v>86</v>
      </c>
      <c r="J12" s="354"/>
      <c r="K12" s="354" t="s">
        <v>86</v>
      </c>
    </row>
    <row r="13" spans="1:13" ht="15.75">
      <c r="A13" s="1321"/>
      <c r="B13" s="352"/>
      <c r="C13" s="353"/>
      <c r="D13" s="353"/>
      <c r="E13" s="353"/>
      <c r="F13" s="353"/>
      <c r="G13" s="353"/>
      <c r="H13" s="353"/>
      <c r="I13" s="354" t="s">
        <v>987</v>
      </c>
      <c r="J13" s="354"/>
      <c r="K13" s="354" t="s">
        <v>987</v>
      </c>
    </row>
    <row r="14" spans="1:13" ht="15.75">
      <c r="A14" s="1321"/>
      <c r="B14" s="352"/>
      <c r="C14" s="355" t="s">
        <v>1203</v>
      </c>
      <c r="D14" s="353"/>
      <c r="E14" s="354" t="s">
        <v>1204</v>
      </c>
      <c r="F14" s="353"/>
      <c r="G14" s="353"/>
      <c r="H14" s="353"/>
      <c r="I14" s="354" t="s">
        <v>87</v>
      </c>
      <c r="J14" s="354"/>
      <c r="K14" s="354" t="s">
        <v>87</v>
      </c>
    </row>
    <row r="15" spans="1:13" ht="15.75">
      <c r="A15" s="1321"/>
      <c r="B15" s="352"/>
      <c r="C15" s="354" t="s">
        <v>1247</v>
      </c>
      <c r="D15" s="353"/>
      <c r="E15" s="354" t="s">
        <v>1247</v>
      </c>
      <c r="F15" s="353"/>
      <c r="G15" s="353"/>
      <c r="H15" s="353"/>
      <c r="I15" s="354" t="s">
        <v>1203</v>
      </c>
      <c r="J15" s="354"/>
      <c r="K15" s="354" t="s">
        <v>1204</v>
      </c>
    </row>
    <row r="16" spans="1:13" ht="15.75">
      <c r="A16" s="1321"/>
      <c r="B16" s="352"/>
      <c r="C16" s="354" t="s">
        <v>1248</v>
      </c>
      <c r="D16" s="353"/>
      <c r="E16" s="354" t="s">
        <v>1451</v>
      </c>
      <c r="F16" s="353"/>
      <c r="G16" s="355" t="s">
        <v>86</v>
      </c>
      <c r="H16" s="353"/>
      <c r="I16" s="354" t="s">
        <v>88</v>
      </c>
      <c r="J16" s="354"/>
      <c r="K16" s="354" t="s">
        <v>88</v>
      </c>
    </row>
    <row r="17" spans="1:12">
      <c r="A17" s="356"/>
      <c r="B17" s="357"/>
      <c r="C17" s="358"/>
      <c r="D17" s="343"/>
      <c r="E17" s="358"/>
      <c r="F17" s="343"/>
      <c r="G17" s="358"/>
      <c r="H17" s="343"/>
      <c r="I17" s="358"/>
      <c r="J17" s="357"/>
      <c r="K17" s="358"/>
    </row>
    <row r="18" spans="1:12" ht="15.75">
      <c r="A18" s="221" t="s">
        <v>14</v>
      </c>
      <c r="B18" s="1803"/>
      <c r="C18" s="1224"/>
      <c r="D18" s="1224"/>
      <c r="E18" s="1224"/>
      <c r="F18" s="1224"/>
      <c r="G18" s="1224"/>
      <c r="H18" s="1224"/>
      <c r="I18" s="1803"/>
      <c r="J18" s="1224"/>
      <c r="K18" s="1803"/>
    </row>
    <row r="19" spans="1:12" ht="15" customHeight="1">
      <c r="A19" s="1638" t="s">
        <v>89</v>
      </c>
      <c r="B19" s="1804" t="s">
        <v>15</v>
      </c>
      <c r="C19" s="1805"/>
      <c r="D19" s="1804"/>
      <c r="E19" s="1805"/>
      <c r="F19" s="1804"/>
      <c r="G19" s="1806"/>
      <c r="H19" s="1804"/>
      <c r="I19" s="2280"/>
      <c r="J19" s="1806"/>
      <c r="K19" s="2280"/>
    </row>
    <row r="20" spans="1:12">
      <c r="A20" s="1638" t="s">
        <v>90</v>
      </c>
      <c r="B20" s="1804" t="s">
        <v>15</v>
      </c>
      <c r="C20" s="1225">
        <f>'Exh D General Fund  '!C20+'Exh D Special Revenue State Fed'!C20+'Exh D Debt Service'!C20</f>
        <v>42422</v>
      </c>
      <c r="D20" s="1227"/>
      <c r="E20" s="1225">
        <f>'Exh D General Fund  '!E20+'Exh D Special Revenue State Fed'!E20+'Exh D Debt Service'!E20</f>
        <v>40470</v>
      </c>
      <c r="F20" s="1227"/>
      <c r="G20" s="1225">
        <f>+'Exh A Supp'!T17</f>
        <v>40472.9</v>
      </c>
      <c r="H20" s="1227"/>
      <c r="I20" s="1889">
        <f t="shared" ref="I20:I25" si="0">ROUND(SUM(G20)-SUM(C20),1)</f>
        <v>-1949.1</v>
      </c>
      <c r="J20" s="1807"/>
      <c r="K20" s="1889">
        <f t="shared" ref="K20:K25" si="1">ROUND(SUM(G20)-SUM(E20),1)</f>
        <v>2.9</v>
      </c>
    </row>
    <row r="21" spans="1:12">
      <c r="A21" s="1638" t="s">
        <v>91</v>
      </c>
      <c r="B21" s="1803" t="s">
        <v>15</v>
      </c>
      <c r="C21" s="1146">
        <f>'Exh D General Fund  '!C21+'Exh D Special Revenue State Fed'!C21+'Exh D Debt Service'!C21</f>
        <v>13109</v>
      </c>
      <c r="D21" s="1146"/>
      <c r="E21" s="1146">
        <f>'Exh D General Fund  '!E21+'Exh D Special Revenue State Fed'!E21+'Exh D Debt Service'!E21</f>
        <v>13132</v>
      </c>
      <c r="F21" s="1146"/>
      <c r="G21" s="1146">
        <f>+'Exh A Supp'!T18</f>
        <v>13165.8</v>
      </c>
      <c r="H21" s="1146"/>
      <c r="I21" s="1823">
        <f t="shared" si="0"/>
        <v>56.8</v>
      </c>
      <c r="J21" s="1807"/>
      <c r="K21" s="1823">
        <f t="shared" si="1"/>
        <v>33.799999999999997</v>
      </c>
    </row>
    <row r="22" spans="1:12" ht="17.25" customHeight="1">
      <c r="A22" s="1638" t="s">
        <v>92</v>
      </c>
      <c r="B22" s="1804" t="s">
        <v>15</v>
      </c>
      <c r="C22" s="1146">
        <f>'Exh D General Fund  '!C22+'Exh D Special Revenue State Fed'!C22</f>
        <v>4918</v>
      </c>
      <c r="D22" s="1299"/>
      <c r="E22" s="1146">
        <f>'Exh D General Fund  '!E22+'Exh D Special Revenue State Fed'!E22</f>
        <v>4794</v>
      </c>
      <c r="F22" s="1299"/>
      <c r="G22" s="1146">
        <f>+'Exh A Supp'!T19</f>
        <v>4911.8</v>
      </c>
      <c r="H22" s="1299"/>
      <c r="I22" s="1823">
        <f t="shared" si="0"/>
        <v>-6.2</v>
      </c>
      <c r="J22" s="1807"/>
      <c r="K22" s="1823">
        <f t="shared" si="1"/>
        <v>117.8</v>
      </c>
    </row>
    <row r="23" spans="1:12" ht="14.25" customHeight="1">
      <c r="A23" s="1638" t="s">
        <v>93</v>
      </c>
      <c r="B23" s="1803" t="s">
        <v>15</v>
      </c>
      <c r="C23" s="1146">
        <f>'Exh D General Fund  '!C23+'Exh D Special Revenue State Fed'!C23+'Exh D Debt Service'!C22</f>
        <v>2811</v>
      </c>
      <c r="D23" s="1146"/>
      <c r="E23" s="1146">
        <f>'Exh D General Fund  '!E23+'Exh D Special Revenue State Fed'!E23+'Exh D Debt Service'!E22</f>
        <v>2932</v>
      </c>
      <c r="F23" s="1146"/>
      <c r="G23" s="1146">
        <f>+'Exh A Supp'!T20</f>
        <v>2934.9</v>
      </c>
      <c r="H23" s="1146"/>
      <c r="I23" s="1823">
        <f t="shared" si="0"/>
        <v>123.9</v>
      </c>
      <c r="J23" s="1807"/>
      <c r="K23" s="1823">
        <f t="shared" si="1"/>
        <v>2.9</v>
      </c>
    </row>
    <row r="24" spans="1:12">
      <c r="A24" s="1638" t="s">
        <v>20</v>
      </c>
      <c r="B24" s="1803" t="s">
        <v>15</v>
      </c>
      <c r="C24" s="1146">
        <f>'Exh D General Fund  '!C24+'Exh D Special Revenue State Fed'!C24+'Exh D Debt Service'!C23</f>
        <v>15674</v>
      </c>
      <c r="D24" s="1146"/>
      <c r="E24" s="1146">
        <f>'Exh D General Fund  '!E24+'Exh D Special Revenue State Fed'!E24+'Exh D Debt Service'!E23</f>
        <v>17437</v>
      </c>
      <c r="F24" s="1146"/>
      <c r="G24" s="1146">
        <f>+'Exh A Supp'!T21</f>
        <v>17360.8</v>
      </c>
      <c r="H24" s="1146"/>
      <c r="I24" s="1823">
        <f t="shared" si="0"/>
        <v>1686.8</v>
      </c>
      <c r="J24" s="1632"/>
      <c r="K24" s="1823">
        <f t="shared" si="1"/>
        <v>-76.2</v>
      </c>
    </row>
    <row r="25" spans="1:12" ht="15" customHeight="1">
      <c r="A25" s="1638" t="s">
        <v>21</v>
      </c>
      <c r="B25" s="1803" t="s">
        <v>15</v>
      </c>
      <c r="C25" s="1317">
        <f>'Exh D General Fund  '!C25+'Exh D Special Revenue State Fed'!C25+'Exh D Debt Service'!C24</f>
        <v>37</v>
      </c>
      <c r="D25" s="1146"/>
      <c r="E25" s="1317">
        <f>'Exh D General Fund  '!E25+'Exh D Special Revenue State Fed'!E25+'Exh D Debt Service'!E24</f>
        <v>37</v>
      </c>
      <c r="F25" s="1146"/>
      <c r="G25" s="1146">
        <f>+'Exh A Supp'!T22</f>
        <v>37.299999999999997</v>
      </c>
      <c r="H25" s="1146"/>
      <c r="I25" s="1823">
        <f t="shared" si="0"/>
        <v>0.3</v>
      </c>
      <c r="J25" s="1632"/>
      <c r="K25" s="1823">
        <f t="shared" si="1"/>
        <v>0.3</v>
      </c>
    </row>
    <row r="26" spans="1:12" ht="15.75">
      <c r="A26" s="374" t="s">
        <v>94</v>
      </c>
      <c r="B26" s="352" t="s">
        <v>15</v>
      </c>
      <c r="C26" s="418">
        <f>ROUND(SUM(C20:C25),1)</f>
        <v>78971</v>
      </c>
      <c r="D26" s="1802"/>
      <c r="E26" s="418">
        <f>ROUND(SUM(E20:E25),1)</f>
        <v>78802</v>
      </c>
      <c r="F26" s="1802"/>
      <c r="G26" s="418">
        <f>ROUND(SUM(G20:G25),1)</f>
        <v>78883.5</v>
      </c>
      <c r="H26" s="1802"/>
      <c r="I26" s="418">
        <f>ROUND(SUM(I20:I25),1)</f>
        <v>-87.5</v>
      </c>
      <c r="J26" s="367"/>
      <c r="K26" s="418">
        <f>ROUND(SUM(K20:K25),1)</f>
        <v>81.5</v>
      </c>
      <c r="L26" s="678"/>
    </row>
    <row r="27" spans="1:12">
      <c r="A27" s="1321"/>
      <c r="B27" s="1803" t="s">
        <v>15</v>
      </c>
      <c r="C27" s="1319"/>
      <c r="D27" s="1146"/>
      <c r="E27" s="1319"/>
      <c r="F27" s="1146"/>
      <c r="G27" s="1319"/>
      <c r="H27" s="1146"/>
      <c r="I27" s="1319"/>
      <c r="J27" s="1240"/>
      <c r="K27" s="1319"/>
    </row>
    <row r="28" spans="1:12" ht="15.75">
      <c r="A28" s="221" t="s">
        <v>23</v>
      </c>
      <c r="B28" s="1803" t="s">
        <v>15</v>
      </c>
      <c r="C28" s="1146"/>
      <c r="D28" s="1146"/>
      <c r="E28" s="1146"/>
      <c r="F28" s="1146"/>
      <c r="G28" s="1146"/>
      <c r="H28" s="1146"/>
      <c r="I28" s="1823"/>
      <c r="J28" s="1632"/>
      <c r="K28" s="1823"/>
    </row>
    <row r="29" spans="1:12">
      <c r="A29" s="1638" t="s">
        <v>95</v>
      </c>
      <c r="B29" s="1803" t="s">
        <v>15</v>
      </c>
      <c r="C29" s="1317">
        <f>'Exh D General Fund  '!C34+'Exh D Special Revenue State Fed'!C30</f>
        <v>48881</v>
      </c>
      <c r="D29" s="1146"/>
      <c r="E29" s="1317">
        <f>'Exh D General Fund  '!E34+'Exh D Special Revenue State Fed'!E30</f>
        <v>50083</v>
      </c>
      <c r="F29" s="1146"/>
      <c r="G29" s="1317">
        <f>+'Exh A Supp'!T37</f>
        <v>49701</v>
      </c>
      <c r="H29" s="1146"/>
      <c r="I29" s="1823">
        <f>ROUND(SUM(G29)-SUM(C29),1)</f>
        <v>820</v>
      </c>
      <c r="J29" s="1632"/>
      <c r="K29" s="1823">
        <f>ROUND(SUM(G29)-SUM(E29),1)</f>
        <v>-382</v>
      </c>
      <c r="L29" s="678"/>
    </row>
    <row r="30" spans="1:12">
      <c r="A30" s="1638" t="s">
        <v>96</v>
      </c>
      <c r="B30" s="1803" t="s">
        <v>15</v>
      </c>
      <c r="C30" s="1299">
        <f>'Exh D General Fund  '!C35+'Exh D Special Revenue State Fed'!C31+'Exh D Debt Service'!C29</f>
        <v>15312</v>
      </c>
      <c r="D30" s="1146"/>
      <c r="E30" s="1299">
        <f>'Exh D General Fund  '!E35+'Exh D Special Revenue State Fed'!E31+'Exh D Debt Service'!E29</f>
        <v>15473</v>
      </c>
      <c r="F30" s="1146"/>
      <c r="G30" s="1299">
        <f>+'Exh A Supp'!T39+'Exh A Supp'!T40</f>
        <v>15412.8</v>
      </c>
      <c r="H30" s="1146"/>
      <c r="I30" s="1823">
        <f>ROUND(SUM(G30)-SUM(C30),1)</f>
        <v>100.8</v>
      </c>
      <c r="J30" s="1632"/>
      <c r="K30" s="1823">
        <f>ROUND(SUM(G30)-SUM(E30),1)</f>
        <v>-60.2</v>
      </c>
      <c r="L30" s="678"/>
    </row>
    <row r="31" spans="1:12">
      <c r="A31" s="1638" t="s">
        <v>71</v>
      </c>
      <c r="B31" s="1803" t="s">
        <v>15</v>
      </c>
      <c r="C31" s="1317">
        <f>'Exh D General Fund  '!C36+'Exh D Special Revenue State Fed'!C32</f>
        <v>6634</v>
      </c>
      <c r="D31" s="1146"/>
      <c r="E31" s="1317">
        <f>'Exh D General Fund  '!E36+'Exh D Special Revenue State Fed'!E32</f>
        <v>6738</v>
      </c>
      <c r="F31" s="1146"/>
      <c r="G31" s="1317">
        <f>+'Exh A Supp'!T41</f>
        <v>6767.4</v>
      </c>
      <c r="H31" s="1146"/>
      <c r="I31" s="1823">
        <f>ROUND(SUM(G31)-SUM(C31),1)</f>
        <v>133.4</v>
      </c>
      <c r="J31" s="1632"/>
      <c r="K31" s="1823">
        <f>ROUND(SUM(G31)-SUM(E31),1)</f>
        <v>29.4</v>
      </c>
      <c r="L31" s="678"/>
    </row>
    <row r="32" spans="1:12">
      <c r="A32" s="1638" t="s">
        <v>97</v>
      </c>
      <c r="B32" s="1803" t="s">
        <v>15</v>
      </c>
      <c r="C32" s="1299">
        <f>'Exh D Debt Service'!C30</f>
        <v>2000</v>
      </c>
      <c r="D32" s="1146"/>
      <c r="E32" s="1299">
        <f>'Exh D Debt Service'!E30</f>
        <v>1960</v>
      </c>
      <c r="F32" s="1146"/>
      <c r="G32" s="1317">
        <f>+'Exh A Supp'!T43</f>
        <v>1960</v>
      </c>
      <c r="H32" s="1146"/>
      <c r="I32" s="1823">
        <f>ROUND(SUM(G32)-SUM(C32),1)</f>
        <v>-40</v>
      </c>
      <c r="J32" s="1632"/>
      <c r="K32" s="1823">
        <f>ROUND(SUM(G32)-SUM(E32),1)</f>
        <v>0</v>
      </c>
      <c r="L32" s="678"/>
    </row>
    <row r="33" spans="1:12" ht="15" customHeight="1">
      <c r="A33" s="1638" t="s">
        <v>42</v>
      </c>
      <c r="B33" s="1803" t="s">
        <v>15</v>
      </c>
      <c r="C33" s="1317">
        <f>'Exh D Special Revenue State Fed'!C33</f>
        <v>0</v>
      </c>
      <c r="D33" s="1146"/>
      <c r="E33" s="1317">
        <f>'Exh D Special Revenue State Fed'!E33</f>
        <v>3</v>
      </c>
      <c r="F33" s="1146"/>
      <c r="G33" s="1317">
        <f>+'Exh A Supp'!T44</f>
        <v>2.7</v>
      </c>
      <c r="H33" s="1146"/>
      <c r="I33" s="1823">
        <f>ROUND(SUM(G33)-SUM(C33),1)</f>
        <v>2.7</v>
      </c>
      <c r="J33" s="1632"/>
      <c r="K33" s="1823">
        <f>ROUND(SUM(G33)-SUM(E33),1)</f>
        <v>-0.3</v>
      </c>
      <c r="L33" s="678"/>
    </row>
    <row r="34" spans="1:12" ht="15.75" customHeight="1">
      <c r="A34" s="374" t="s">
        <v>98</v>
      </c>
      <c r="B34" s="352" t="s">
        <v>15</v>
      </c>
      <c r="C34" s="543">
        <f>ROUND(SUM(C29:C33),1)</f>
        <v>72827</v>
      </c>
      <c r="D34" s="1802"/>
      <c r="E34" s="543">
        <f>ROUND(SUM(E29:E33),1)</f>
        <v>74257</v>
      </c>
      <c r="F34" s="1802"/>
      <c r="G34" s="543">
        <f>ROUND(SUM(G29:G33),1)</f>
        <v>73843.899999999994</v>
      </c>
      <c r="H34" s="1802"/>
      <c r="I34" s="543">
        <f>ROUND(SUM(I29:I33),1)</f>
        <v>1016.9</v>
      </c>
      <c r="J34" s="367"/>
      <c r="K34" s="543">
        <f>ROUND(SUM(K29:K33),1)</f>
        <v>-413.1</v>
      </c>
      <c r="L34" s="678"/>
    </row>
    <row r="35" spans="1:12">
      <c r="A35" s="1321"/>
      <c r="B35" s="1803"/>
      <c r="C35" s="1146"/>
      <c r="D35" s="1146"/>
      <c r="E35" s="1146"/>
      <c r="F35" s="1146"/>
      <c r="G35" s="1146"/>
      <c r="H35" s="1146"/>
      <c r="I35" s="1823"/>
      <c r="J35" s="1632"/>
      <c r="K35" s="1823"/>
      <c r="L35" s="678"/>
    </row>
    <row r="36" spans="1:12" ht="15.75">
      <c r="A36" s="374" t="s">
        <v>44</v>
      </c>
      <c r="B36" s="1803"/>
      <c r="C36" s="1146"/>
      <c r="D36" s="1146"/>
      <c r="E36" s="1146"/>
      <c r="F36" s="1146"/>
      <c r="G36" s="1146"/>
      <c r="H36" s="1146"/>
      <c r="I36" s="1823"/>
      <c r="J36" s="1632"/>
      <c r="K36" s="1823"/>
      <c r="L36" s="678"/>
    </row>
    <row r="37" spans="1:12" ht="15.75">
      <c r="A37" s="374" t="s">
        <v>45</v>
      </c>
      <c r="B37" s="1803" t="s">
        <v>15</v>
      </c>
      <c r="C37" s="1656">
        <f>ROUND(SUM(+C26-C34),1)</f>
        <v>6144</v>
      </c>
      <c r="D37" s="1146"/>
      <c r="E37" s="1656">
        <f>ROUND(SUM(+E26-E34),1)</f>
        <v>4545</v>
      </c>
      <c r="F37" s="1146"/>
      <c r="G37" s="1656">
        <f>ROUND(SUM(+G26-G34),1)</f>
        <v>5039.6000000000004</v>
      </c>
      <c r="H37" s="1146"/>
      <c r="I37" s="1656">
        <f>ROUND(SUM(+I26-I34),1)</f>
        <v>-1104.4000000000001</v>
      </c>
      <c r="J37" s="1240"/>
      <c r="K37" s="1656">
        <f>ROUND(SUM(+K26-K34),1)</f>
        <v>494.6</v>
      </c>
      <c r="L37" s="678"/>
    </row>
    <row r="38" spans="1:12">
      <c r="A38" s="1321"/>
      <c r="B38" s="1803"/>
      <c r="C38" s="1146"/>
      <c r="D38" s="1146"/>
      <c r="E38" s="1146"/>
      <c r="F38" s="1146"/>
      <c r="G38" s="1146"/>
      <c r="H38" s="1146"/>
      <c r="I38" s="1823"/>
      <c r="J38" s="1632"/>
      <c r="K38" s="1823"/>
      <c r="L38" s="678"/>
    </row>
    <row r="39" spans="1:12" ht="15.75">
      <c r="A39" s="374" t="s">
        <v>46</v>
      </c>
      <c r="B39" s="1803"/>
      <c r="C39" s="1146"/>
      <c r="D39" s="1146"/>
      <c r="E39" s="1146"/>
      <c r="F39" s="1146"/>
      <c r="G39" s="1146"/>
      <c r="H39" s="1146"/>
      <c r="I39" s="1823"/>
      <c r="J39" s="1632"/>
      <c r="K39" s="1823"/>
      <c r="L39" s="678"/>
    </row>
    <row r="40" spans="1:12">
      <c r="A40" s="1638" t="s">
        <v>48</v>
      </c>
      <c r="B40" s="1803" t="s">
        <v>15</v>
      </c>
      <c r="C40" s="1299">
        <f>'Exh D General Fund  '!C27+'Exh D General Fund  '!C28+'Exh D General Fund  '!C29+'Exh D General Fund  '!C30+'Exh D Special Revenue State Fed'!C26+'Exh D Debt Service'!C25</f>
        <v>23440</v>
      </c>
      <c r="D40" s="1146"/>
      <c r="E40" s="1299">
        <f>'Exh D General Fund  '!E27+'Exh D General Fund  '!E28+'Exh D General Fund  '!E29+'Exh D General Fund  '!E30+'Exh D Special Revenue State Fed'!E26+'Exh D Debt Service'!E25</f>
        <v>23235</v>
      </c>
      <c r="F40" s="1146"/>
      <c r="G40" s="1299">
        <f>+'Exh A Supp'!T51</f>
        <v>23332.7</v>
      </c>
      <c r="H40" s="2542" t="s">
        <v>1455</v>
      </c>
      <c r="I40" s="1823">
        <f>ROUND(SUM(G40)-SUM(C40),1)</f>
        <v>-107.3</v>
      </c>
      <c r="J40" s="1632"/>
      <c r="K40" s="1823">
        <f>ROUND(SUM(G40)-SUM(E40),1)</f>
        <v>97.7</v>
      </c>
      <c r="L40" s="678"/>
    </row>
    <row r="41" spans="1:12">
      <c r="A41" s="1638" t="s">
        <v>100</v>
      </c>
      <c r="B41" s="1803" t="s">
        <v>15</v>
      </c>
      <c r="C41" s="1808">
        <f>-('Exh D General Fund  '!C38+'Exh D General Fund  '!C39+'Exh D General Fund  '!C40+'Exh D General Fund  '!C41+'Exh D General Fund  '!C42+'Exh D Special Revenue State Fed'!C34+'Exh D Debt Service'!C31)</f>
        <v>-24649</v>
      </c>
      <c r="D41" s="1146"/>
      <c r="E41" s="1808">
        <f>-('Exh D General Fund  '!E38+'Exh D General Fund  '!E39+'Exh D General Fund  '!E40+'Exh D General Fund  '!E41+'Exh D General Fund  '!E42+'Exh D Special Revenue State Fed'!E34+'Exh D Debt Service'!E31)</f>
        <v>-23985</v>
      </c>
      <c r="F41" s="1146"/>
      <c r="G41" s="1299">
        <f>+'Exh A Supp'!T52</f>
        <v>-23809.7</v>
      </c>
      <c r="H41" s="2542" t="s">
        <v>1455</v>
      </c>
      <c r="I41" s="1823">
        <f>-ROUND(SUM(G41)-SUM(C41),1)</f>
        <v>-839.3</v>
      </c>
      <c r="J41" s="1240"/>
      <c r="K41" s="1823">
        <f>-ROUND(SUM(G41)-SUM(E41),1)</f>
        <v>-175.3</v>
      </c>
      <c r="L41" s="678"/>
    </row>
    <row r="42" spans="1:12" ht="15.75">
      <c r="A42" s="374" t="s">
        <v>101</v>
      </c>
      <c r="B42" s="1803" t="s">
        <v>15</v>
      </c>
      <c r="C42" s="543">
        <f>ROUND(SUM(C40:C41),1)</f>
        <v>-1209</v>
      </c>
      <c r="D42" s="1146"/>
      <c r="E42" s="543">
        <f>ROUND(SUM(E40:E41),1)</f>
        <v>-750</v>
      </c>
      <c r="F42" s="1146"/>
      <c r="G42" s="543">
        <f>ROUND(SUM(G40:G41),1)</f>
        <v>-477</v>
      </c>
      <c r="H42" s="1146"/>
      <c r="I42" s="543">
        <f>ROUND(SUM(I40-I41),1)</f>
        <v>732</v>
      </c>
      <c r="J42" s="1810"/>
      <c r="K42" s="543">
        <f>ROUND(SUM(K40-K41),1)</f>
        <v>273</v>
      </c>
      <c r="L42" s="678"/>
    </row>
    <row r="43" spans="1:12" ht="15.75">
      <c r="A43" s="374"/>
      <c r="B43" s="1803"/>
      <c r="C43" s="1299"/>
      <c r="D43" s="1146"/>
      <c r="E43" s="1299"/>
      <c r="F43" s="1146"/>
      <c r="G43" s="1299"/>
      <c r="H43" s="1146"/>
      <c r="I43" s="1824"/>
      <c r="J43" s="1804"/>
      <c r="K43" s="1824"/>
      <c r="L43" s="678"/>
    </row>
    <row r="44" spans="1:12" ht="15.75">
      <c r="A44" s="221" t="s">
        <v>102</v>
      </c>
      <c r="B44" s="1803"/>
      <c r="C44" s="1146"/>
      <c r="D44" s="1146"/>
      <c r="E44" s="1146"/>
      <c r="F44" s="1146"/>
      <c r="G44" s="1146"/>
      <c r="H44" s="1146"/>
      <c r="I44" s="1823"/>
      <c r="J44" s="1632"/>
      <c r="K44" s="1823"/>
      <c r="L44" s="678"/>
    </row>
    <row r="45" spans="1:12" ht="15" customHeight="1">
      <c r="A45" s="221" t="s">
        <v>103</v>
      </c>
      <c r="B45" s="1803"/>
      <c r="C45" s="1146"/>
      <c r="D45" s="1146"/>
      <c r="E45" s="1146"/>
      <c r="F45" s="1146"/>
      <c r="G45" s="1146"/>
      <c r="H45" s="1146"/>
      <c r="I45" s="1823"/>
      <c r="J45" s="1632"/>
      <c r="K45" s="1823"/>
      <c r="L45" s="678"/>
    </row>
    <row r="46" spans="1:12" ht="15.75">
      <c r="A46" s="374" t="s">
        <v>104</v>
      </c>
      <c r="B46" s="375" t="s">
        <v>15</v>
      </c>
      <c r="C46" s="272">
        <f>ROUND(SUM(C26)-SUM(C34)+C42,1)</f>
        <v>4935</v>
      </c>
      <c r="D46" s="283"/>
      <c r="E46" s="272">
        <f>ROUND(SUM(E26)-SUM(E34)+E42,1)</f>
        <v>3795</v>
      </c>
      <c r="F46" s="283"/>
      <c r="G46" s="272">
        <f>ROUND(SUM(G26)-SUM(G34)+G42,1)</f>
        <v>4562.6000000000004</v>
      </c>
      <c r="H46" s="283"/>
      <c r="I46" s="272">
        <f>ROUND(SUM(I26)-SUM(I34)+I42,1)</f>
        <v>-372.4</v>
      </c>
      <c r="J46" s="367"/>
      <c r="K46" s="272">
        <f>ROUND(SUM(K26)-SUM(K34)+K42,1)</f>
        <v>767.6</v>
      </c>
      <c r="L46" s="678"/>
    </row>
    <row r="47" spans="1:12">
      <c r="A47" s="1811"/>
      <c r="B47" s="1124"/>
      <c r="C47" s="1242"/>
      <c r="D47" s="1812"/>
      <c r="E47" s="1242"/>
      <c r="F47" s="1812"/>
      <c r="G47" s="1242"/>
      <c r="H47" s="1812"/>
      <c r="I47" s="1242"/>
      <c r="J47" s="1813"/>
      <c r="K47" s="1242"/>
      <c r="L47" s="678"/>
    </row>
    <row r="48" spans="1:12" ht="15.75">
      <c r="A48" s="374" t="str">
        <f>'Exh D-Governmental  '!A49</f>
        <v>Fund Balances (Deficits) at April 1</v>
      </c>
      <c r="B48" s="1814" t="s">
        <v>15</v>
      </c>
      <c r="C48" s="272">
        <f>'Exh D General Fund  '!C49+'Exh D Special Revenue State Fed'!C41+'Exh D Debt Service'!C38</f>
        <v>12641</v>
      </c>
      <c r="D48" s="1812"/>
      <c r="E48" s="2926">
        <f>'Exh D General Fund  '!E49+'Exh D Special Revenue State Fed'!E41+'Exh D Debt Service'!E38</f>
        <v>12641</v>
      </c>
      <c r="F48" s="1812"/>
      <c r="G48" s="272">
        <f>'Exh A Supp'!T59</f>
        <v>12641.2</v>
      </c>
      <c r="H48" s="1812"/>
      <c r="I48" s="1656">
        <f>ROUND(SUM(G48)-SUM(C48),1)</f>
        <v>0.2</v>
      </c>
      <c r="J48" s="367"/>
      <c r="K48" s="1656">
        <f>ROUND(SUM(G48)-SUM(E48),1)</f>
        <v>0.2</v>
      </c>
      <c r="L48" s="678"/>
    </row>
    <row r="49" spans="1:12" ht="16.5" thickBot="1">
      <c r="A49" s="374" t="str">
        <f>'Exh D-Governmental  '!A50</f>
        <v>Fund Balances (Deficits) at January 31, 2017</v>
      </c>
      <c r="B49" s="381" t="s">
        <v>15</v>
      </c>
      <c r="C49" s="297">
        <f>ROUND(SUM(C46:C48),1)</f>
        <v>17576</v>
      </c>
      <c r="D49" s="382"/>
      <c r="E49" s="297">
        <f>ROUND(SUM(E46:E48),1)</f>
        <v>16436</v>
      </c>
      <c r="F49" s="382"/>
      <c r="G49" s="297">
        <f>ROUND(SUM(G46:G48),1)</f>
        <v>17203.8</v>
      </c>
      <c r="H49" s="1893"/>
      <c r="I49" s="297">
        <f>ROUND(SUM(I46:I48),1)</f>
        <v>-372.2</v>
      </c>
      <c r="J49" s="383"/>
      <c r="K49" s="297">
        <f>ROUND(SUM(K46:K48),1)</f>
        <v>767.8</v>
      </c>
      <c r="L49" s="678"/>
    </row>
    <row r="50" spans="1:12" ht="15.75" thickTop="1">
      <c r="A50" s="1811"/>
      <c r="B50" s="1124"/>
      <c r="C50" s="1124"/>
      <c r="D50" s="1815"/>
      <c r="E50" s="1124"/>
      <c r="F50" s="1815"/>
      <c r="G50" s="1815"/>
      <c r="H50" s="1815"/>
      <c r="I50" s="1815"/>
      <c r="J50" s="1815"/>
      <c r="K50" s="1815"/>
    </row>
    <row r="51" spans="1:12">
      <c r="A51" s="1816" t="s">
        <v>1484</v>
      </c>
      <c r="I51" s="2246"/>
      <c r="K51" s="2246"/>
    </row>
    <row r="52" spans="1:12">
      <c r="A52" s="1816" t="str">
        <f>'Exh D-Governmental  '!A53</f>
        <v>(**)    Source:  2017-18 Executive Budget dated January 17, 2017.</v>
      </c>
      <c r="I52" s="2246"/>
      <c r="K52" s="2246"/>
    </row>
    <row r="53" spans="1:12">
      <c r="A53" s="1100" t="s">
        <v>1452</v>
      </c>
    </row>
    <row r="54" spans="1:12">
      <c r="A54" s="1100" t="s">
        <v>1338</v>
      </c>
      <c r="G54" s="2246"/>
    </row>
    <row r="55" spans="1:12">
      <c r="A55" s="2767" t="s">
        <v>1453</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9"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70" workbookViewId="0"/>
  </sheetViews>
  <sheetFormatPr defaultColWidth="8.88671875" defaultRowHeight="15"/>
  <cols>
    <col min="1" max="1" width="59" style="1811" customWidth="1"/>
    <col min="2" max="2" width="2" style="1124" customWidth="1"/>
    <col min="3" max="3" width="15.33203125" style="788" customWidth="1"/>
    <col min="4" max="4" width="4.77734375" style="1815" customWidth="1"/>
    <col min="5" max="5" width="15.33203125" style="788" customWidth="1"/>
    <col min="6" max="6" width="4.77734375" style="1815" customWidth="1"/>
    <col min="7" max="7" width="15.33203125" style="1815" customWidth="1"/>
    <col min="8" max="8" width="5.33203125" style="1815" customWidth="1"/>
    <col min="9" max="9" width="15.33203125" style="1815" customWidth="1"/>
    <col min="10" max="10" width="2.44140625" style="1815" customWidth="1"/>
    <col min="11" max="11" width="12.77734375" style="1124" customWidth="1"/>
    <col min="12" max="12" width="18.109375" style="788" bestFit="1" customWidth="1"/>
    <col min="13" max="13" width="2.6640625" style="1815" customWidth="1"/>
    <col min="14" max="14" width="14.33203125" style="1815" customWidth="1"/>
    <col min="15" max="15" width="2.6640625" style="1815" customWidth="1"/>
    <col min="16" max="16" width="15.6640625" style="1815" bestFit="1" customWidth="1"/>
    <col min="17" max="17" width="2" style="1124" customWidth="1"/>
    <col min="18" max="18" width="11.88671875" style="1124" customWidth="1"/>
    <col min="19" max="19" width="11.44140625" style="1124" customWidth="1"/>
    <col min="20" max="20" width="1.88671875" style="1124" customWidth="1"/>
    <col min="21" max="21" width="11.6640625" style="1124" customWidth="1"/>
    <col min="22" max="22" width="2.109375" style="1124" customWidth="1"/>
    <col min="23" max="23" width="11.44140625" style="1124" customWidth="1"/>
    <col min="24" max="24" width="0.5546875" style="1124" customWidth="1"/>
    <col min="25" max="25" width="2.33203125" style="1124" customWidth="1"/>
    <col min="26" max="26" width="10.5546875" style="1124" customWidth="1"/>
    <col min="27" max="27" width="11.109375" style="1124" customWidth="1"/>
    <col min="28" max="28" width="2.21875" style="1124" customWidth="1"/>
    <col min="29" max="29" width="11.109375" style="1124" customWidth="1"/>
    <col min="30" max="30" width="2.109375" style="1124" customWidth="1"/>
    <col min="31" max="31" width="12.44140625" style="1124" customWidth="1"/>
    <col min="32" max="36" width="8.88671875" style="1124"/>
    <col min="37" max="37" width="8.88671875" style="1815"/>
    <col min="38" max="16384" width="8.88671875" style="1811"/>
  </cols>
  <sheetData>
    <row r="1" spans="1:31">
      <c r="A1" s="1817" t="s">
        <v>1090</v>
      </c>
      <c r="B1" s="387"/>
      <c r="C1" s="782"/>
      <c r="D1" s="388"/>
      <c r="E1" s="782"/>
      <c r="F1" s="388"/>
      <c r="G1" s="388"/>
      <c r="H1" s="388"/>
      <c r="I1" s="388"/>
      <c r="J1" s="388"/>
      <c r="K1" s="387"/>
      <c r="L1" s="782"/>
      <c r="M1" s="388"/>
      <c r="N1" s="388"/>
      <c r="O1" s="388"/>
      <c r="P1" s="388"/>
      <c r="Q1" s="388"/>
      <c r="R1" s="387"/>
      <c r="S1" s="387"/>
      <c r="T1" s="387"/>
      <c r="U1" s="387"/>
      <c r="V1" s="387"/>
      <c r="W1" s="387"/>
      <c r="X1" s="387"/>
      <c r="Y1" s="387"/>
      <c r="Z1" s="387"/>
      <c r="AA1" s="387"/>
      <c r="AB1" s="387"/>
      <c r="AC1" s="387"/>
      <c r="AD1" s="387"/>
      <c r="AE1" s="387"/>
    </row>
    <row r="2" spans="1:31" ht="17.25" customHeight="1">
      <c r="A2" s="389"/>
      <c r="B2" s="390"/>
      <c r="C2" s="783"/>
      <c r="D2" s="388"/>
      <c r="E2" s="783"/>
      <c r="F2" s="388"/>
      <c r="G2" s="388"/>
      <c r="H2" s="388"/>
      <c r="I2" s="388"/>
      <c r="J2" s="388"/>
      <c r="K2" s="387"/>
      <c r="L2" s="782"/>
      <c r="M2" s="388"/>
      <c r="N2" s="391"/>
      <c r="O2" s="388"/>
      <c r="P2" s="388"/>
      <c r="Q2" s="388"/>
      <c r="R2" s="387"/>
      <c r="S2" s="387"/>
      <c r="T2" s="387"/>
      <c r="U2" s="387"/>
      <c r="V2" s="387"/>
      <c r="W2" s="387"/>
      <c r="X2" s="387"/>
      <c r="Y2" s="387"/>
      <c r="Z2" s="387"/>
      <c r="AA2" s="387"/>
      <c r="AB2" s="387"/>
      <c r="AC2" s="387"/>
      <c r="AD2" s="387"/>
      <c r="AE2" s="387"/>
    </row>
    <row r="3" spans="1:31" ht="21" customHeight="1">
      <c r="A3" s="392" t="s">
        <v>0</v>
      </c>
      <c r="B3" s="349"/>
      <c r="C3" s="784"/>
      <c r="D3" s="343"/>
      <c r="E3" s="784"/>
      <c r="F3" s="343"/>
      <c r="G3" s="343"/>
      <c r="H3" s="343"/>
      <c r="I3" s="1647"/>
      <c r="K3" s="1647" t="s">
        <v>85</v>
      </c>
      <c r="L3" s="785"/>
      <c r="M3" s="343"/>
      <c r="N3" s="343"/>
      <c r="O3" s="343"/>
      <c r="Q3" s="343"/>
      <c r="R3" s="357"/>
      <c r="S3" s="357"/>
      <c r="T3" s="357"/>
      <c r="U3" s="357"/>
      <c r="V3" s="357"/>
      <c r="W3" s="357"/>
      <c r="X3" s="357"/>
      <c r="Y3" s="357"/>
      <c r="Z3" s="357"/>
      <c r="AA3" s="357"/>
      <c r="AB3" s="357"/>
      <c r="AC3" s="357"/>
      <c r="AD3" s="357"/>
      <c r="AE3" s="393"/>
    </row>
    <row r="4" spans="1:31" ht="18">
      <c r="A4" s="392" t="s">
        <v>84</v>
      </c>
      <c r="B4" s="349"/>
      <c r="C4" s="784"/>
      <c r="D4" s="343"/>
      <c r="E4" s="784"/>
      <c r="F4" s="343"/>
      <c r="G4" s="343"/>
      <c r="H4" s="343"/>
      <c r="I4" s="1648"/>
      <c r="K4" s="1648" t="s">
        <v>106</v>
      </c>
      <c r="L4" s="785"/>
      <c r="M4" s="343"/>
      <c r="N4" s="343"/>
      <c r="O4" s="343"/>
      <c r="Q4" s="343"/>
      <c r="R4" s="357"/>
      <c r="S4" s="357"/>
      <c r="T4" s="357"/>
      <c r="U4" s="357"/>
      <c r="V4" s="357"/>
      <c r="W4" s="357"/>
      <c r="X4" s="357"/>
      <c r="Y4" s="357"/>
      <c r="Z4" s="357"/>
      <c r="AA4" s="357"/>
      <c r="AB4" s="357"/>
      <c r="AC4" s="357"/>
      <c r="AD4" s="357"/>
      <c r="AE4" s="357"/>
    </row>
    <row r="5" spans="1:31" ht="21.75" customHeight="1">
      <c r="A5" s="3496" t="s">
        <v>1409</v>
      </c>
      <c r="B5" s="3497"/>
      <c r="C5" s="3497"/>
      <c r="D5" s="3497"/>
      <c r="E5" s="3497"/>
      <c r="F5" s="343"/>
      <c r="G5" s="1632"/>
      <c r="H5" s="343"/>
      <c r="I5" s="343"/>
      <c r="J5" s="343"/>
      <c r="K5" s="357"/>
      <c r="L5" s="785"/>
      <c r="M5" s="343"/>
      <c r="N5" s="343"/>
      <c r="O5" s="343"/>
      <c r="Q5" s="343"/>
      <c r="R5" s="357"/>
      <c r="S5" s="357"/>
      <c r="T5" s="357"/>
      <c r="U5" s="357"/>
      <c r="V5" s="357"/>
      <c r="W5" s="357"/>
      <c r="X5" s="357"/>
      <c r="Y5" s="357"/>
      <c r="Z5" s="357"/>
      <c r="AA5" s="357"/>
      <c r="AB5" s="357"/>
      <c r="AC5" s="357"/>
      <c r="AD5" s="357"/>
      <c r="AE5" s="357"/>
    </row>
    <row r="6" spans="1:31" ht="17.25" customHeight="1">
      <c r="A6" s="2726" t="str">
        <f>'Exh D-Governmental  '!A6</f>
        <v>FOR TEN MONTHS ENDED JANUARY 31, 2017</v>
      </c>
      <c r="B6" s="348"/>
      <c r="C6" s="784"/>
      <c r="D6" s="343"/>
      <c r="E6" s="784"/>
      <c r="F6" s="343"/>
      <c r="G6" s="343"/>
      <c r="H6" s="343"/>
      <c r="I6" s="343"/>
      <c r="J6" s="343"/>
      <c r="K6" s="357"/>
      <c r="L6" s="785"/>
      <c r="M6" s="343"/>
      <c r="N6" s="343"/>
      <c r="O6" s="343"/>
      <c r="P6" s="343"/>
      <c r="Q6" s="343"/>
      <c r="R6" s="357"/>
      <c r="S6" s="357"/>
      <c r="T6" s="357"/>
      <c r="U6" s="357"/>
      <c r="V6" s="357"/>
      <c r="W6" s="357"/>
      <c r="X6" s="357"/>
      <c r="Y6" s="357"/>
      <c r="Z6" s="357"/>
      <c r="AA6" s="357"/>
      <c r="AB6" s="357"/>
      <c r="AC6" s="357"/>
      <c r="AD6" s="357"/>
      <c r="AE6" s="357"/>
    </row>
    <row r="7" spans="1:31" ht="18">
      <c r="A7" s="392" t="s">
        <v>980</v>
      </c>
      <c r="B7" s="349"/>
      <c r="C7" s="784"/>
      <c r="D7" s="343"/>
      <c r="E7" s="784"/>
      <c r="F7" s="343"/>
      <c r="G7" s="343"/>
      <c r="H7" s="343"/>
      <c r="I7" s="343"/>
      <c r="J7" s="343"/>
      <c r="K7" s="357"/>
      <c r="L7" s="785"/>
      <c r="M7" s="343"/>
      <c r="N7" s="343"/>
      <c r="O7" s="343"/>
      <c r="P7" s="343"/>
      <c r="Q7" s="343"/>
      <c r="R7" s="357"/>
      <c r="S7" s="357"/>
      <c r="T7" s="357"/>
      <c r="U7" s="357"/>
      <c r="V7" s="357"/>
      <c r="W7" s="357"/>
      <c r="X7" s="357"/>
      <c r="Y7" s="357"/>
      <c r="Z7" s="357"/>
      <c r="AA7" s="357"/>
      <c r="AB7" s="357"/>
      <c r="AC7" s="357"/>
      <c r="AD7" s="357"/>
      <c r="AE7" s="357"/>
    </row>
    <row r="8" spans="1:31" ht="15" customHeight="1">
      <c r="A8" s="394"/>
      <c r="B8" s="348"/>
      <c r="C8" s="784"/>
      <c r="D8" s="343"/>
      <c r="E8" s="784"/>
      <c r="F8" s="343"/>
      <c r="G8" s="343"/>
      <c r="H8" s="343"/>
      <c r="I8" s="343"/>
      <c r="J8" s="343"/>
      <c r="K8" s="357"/>
      <c r="L8" s="785"/>
      <c r="M8" s="343"/>
      <c r="N8" s="343"/>
      <c r="O8" s="343"/>
      <c r="P8" s="343"/>
      <c r="Q8" s="343"/>
      <c r="R8" s="357"/>
      <c r="S8" s="357"/>
      <c r="T8" s="357"/>
      <c r="U8" s="357"/>
      <c r="V8" s="357"/>
      <c r="W8" s="357"/>
      <c r="X8" s="357"/>
      <c r="Y8" s="357"/>
      <c r="Z8" s="357"/>
      <c r="AA8" s="357"/>
      <c r="AB8" s="357"/>
      <c r="AC8" s="357"/>
      <c r="AD8" s="357"/>
      <c r="AE8" s="357"/>
    </row>
    <row r="9" spans="1:31">
      <c r="A9" s="351"/>
      <c r="B9" s="357"/>
      <c r="C9" s="785"/>
      <c r="D9" s="343"/>
      <c r="E9" s="785"/>
      <c r="F9" s="343"/>
      <c r="G9" s="343"/>
      <c r="H9" s="343"/>
      <c r="I9" s="343"/>
      <c r="J9" s="343"/>
      <c r="K9" s="357"/>
      <c r="L9" s="785"/>
      <c r="M9" s="343"/>
      <c r="N9" s="343"/>
      <c r="O9" s="343"/>
      <c r="P9" s="343"/>
      <c r="Q9" s="343"/>
      <c r="R9" s="357"/>
      <c r="S9" s="357"/>
      <c r="T9" s="357"/>
      <c r="U9" s="357"/>
      <c r="V9" s="357"/>
      <c r="W9" s="357"/>
      <c r="X9" s="357"/>
      <c r="Y9" s="357"/>
      <c r="Z9" s="357"/>
      <c r="AA9" s="357"/>
      <c r="AB9" s="357"/>
      <c r="AC9" s="357"/>
      <c r="AD9" s="357"/>
      <c r="AE9" s="357"/>
    </row>
    <row r="10" spans="1:31">
      <c r="A10" s="351"/>
      <c r="B10" s="357"/>
      <c r="C10" s="785"/>
      <c r="D10" s="343"/>
      <c r="E10" s="785"/>
      <c r="F10" s="343"/>
      <c r="G10" s="343"/>
      <c r="H10" s="343"/>
      <c r="I10" s="343"/>
      <c r="J10" s="343"/>
      <c r="K10" s="357"/>
      <c r="L10" s="1882"/>
      <c r="M10" s="348"/>
      <c r="N10" s="348"/>
      <c r="O10" s="348"/>
      <c r="P10" s="348"/>
      <c r="Q10" s="343"/>
      <c r="R10" s="357"/>
      <c r="S10" s="357"/>
      <c r="T10" s="357"/>
      <c r="U10" s="357"/>
      <c r="V10" s="357"/>
      <c r="W10" s="357"/>
      <c r="X10" s="357"/>
      <c r="Y10" s="357"/>
      <c r="Z10" s="357"/>
      <c r="AA10" s="357"/>
      <c r="AB10" s="357"/>
      <c r="AC10" s="357"/>
      <c r="AD10" s="357"/>
      <c r="AE10" s="357"/>
    </row>
    <row r="11" spans="1:31" ht="15.75">
      <c r="A11" s="1321"/>
      <c r="C11" s="3499" t="s">
        <v>1263</v>
      </c>
      <c r="D11" s="3499"/>
      <c r="E11" s="3499"/>
      <c r="F11" s="3499"/>
      <c r="G11" s="3499"/>
      <c r="H11" s="3499"/>
      <c r="I11" s="3499"/>
      <c r="J11" s="2249"/>
      <c r="K11" s="2250"/>
      <c r="L11" s="789"/>
      <c r="M11" s="397"/>
      <c r="N11" s="397"/>
      <c r="O11" s="397"/>
      <c r="P11" s="397"/>
      <c r="Q11" s="352"/>
      <c r="R11" s="395"/>
      <c r="S11" s="395"/>
      <c r="T11" s="395"/>
      <c r="U11" s="395"/>
      <c r="V11" s="395"/>
      <c r="W11" s="395"/>
      <c r="X11" s="395"/>
      <c r="Y11" s="352"/>
      <c r="Z11" s="395"/>
      <c r="AA11" s="396"/>
      <c r="AB11" s="395"/>
      <c r="AC11" s="395"/>
      <c r="AD11" s="395"/>
      <c r="AE11" s="395"/>
    </row>
    <row r="12" spans="1:31" ht="15.75">
      <c r="A12" s="1321"/>
      <c r="C12" s="786"/>
      <c r="D12" s="397"/>
      <c r="E12" s="786"/>
      <c r="F12" s="397"/>
      <c r="G12" s="398"/>
      <c r="H12" s="397"/>
      <c r="I12" s="397" t="s">
        <v>86</v>
      </c>
      <c r="J12" s="395"/>
      <c r="K12" s="397" t="s">
        <v>86</v>
      </c>
      <c r="L12" s="789"/>
      <c r="M12" s="397"/>
      <c r="N12" s="398"/>
      <c r="O12" s="397"/>
      <c r="P12" s="397"/>
      <c r="Q12" s="352"/>
      <c r="R12" s="395"/>
      <c r="S12" s="395"/>
      <c r="T12" s="395"/>
      <c r="U12" s="395"/>
      <c r="V12" s="395"/>
      <c r="W12" s="395"/>
      <c r="X12" s="395"/>
      <c r="Y12" s="352"/>
      <c r="Z12" s="395"/>
      <c r="AA12" s="396"/>
      <c r="AB12" s="395"/>
      <c r="AC12" s="395"/>
      <c r="AD12" s="395"/>
      <c r="AE12" s="395"/>
    </row>
    <row r="13" spans="1:31" ht="15.75">
      <c r="A13" s="1321"/>
      <c r="B13" s="352"/>
      <c r="C13" s="787"/>
      <c r="D13" s="399"/>
      <c r="E13" s="787"/>
      <c r="F13" s="399"/>
      <c r="G13" s="399"/>
      <c r="H13" s="399"/>
      <c r="I13" s="400" t="s">
        <v>987</v>
      </c>
      <c r="J13" s="402"/>
      <c r="K13" s="400" t="s">
        <v>987</v>
      </c>
      <c r="L13" s="1883"/>
      <c r="M13" s="1884"/>
      <c r="N13" s="1884"/>
      <c r="O13" s="1884"/>
      <c r="P13" s="1885"/>
      <c r="Q13" s="352"/>
      <c r="R13" s="352"/>
      <c r="S13" s="352"/>
      <c r="T13" s="352"/>
      <c r="U13" s="352"/>
      <c r="V13" s="352"/>
      <c r="W13" s="401"/>
      <c r="X13" s="402"/>
      <c r="Y13" s="352"/>
      <c r="Z13" s="352"/>
      <c r="AA13" s="352"/>
      <c r="AB13" s="352"/>
      <c r="AC13" s="352"/>
      <c r="AD13" s="352"/>
      <c r="AE13" s="401"/>
    </row>
    <row r="14" spans="1:31" ht="15.75">
      <c r="A14" s="1321"/>
      <c r="B14" s="403"/>
      <c r="C14" s="355" t="s">
        <v>1203</v>
      </c>
      <c r="D14" s="1811"/>
      <c r="E14" s="354" t="s">
        <v>1204</v>
      </c>
      <c r="F14" s="353"/>
      <c r="G14" s="353"/>
      <c r="H14" s="353"/>
      <c r="I14" s="354" t="s">
        <v>87</v>
      </c>
      <c r="J14" s="402"/>
      <c r="K14" s="354" t="s">
        <v>87</v>
      </c>
      <c r="L14" s="1886"/>
      <c r="M14" s="352"/>
      <c r="N14" s="352"/>
      <c r="O14" s="352"/>
      <c r="P14" s="402"/>
      <c r="Q14" s="352"/>
      <c r="R14" s="401"/>
      <c r="S14" s="402"/>
      <c r="T14" s="352"/>
      <c r="U14" s="352"/>
      <c r="V14" s="352"/>
      <c r="W14" s="401"/>
      <c r="X14" s="402"/>
      <c r="Y14" s="352"/>
      <c r="Z14" s="401"/>
      <c r="AA14" s="402"/>
      <c r="AB14" s="352"/>
      <c r="AC14" s="352"/>
      <c r="AD14" s="352"/>
      <c r="AE14" s="401"/>
    </row>
    <row r="15" spans="1:31" ht="15.75">
      <c r="A15" s="1321"/>
      <c r="B15" s="403"/>
      <c r="C15" s="354" t="s">
        <v>1247</v>
      </c>
      <c r="D15" s="353"/>
      <c r="E15" s="354" t="s">
        <v>1247</v>
      </c>
      <c r="F15" s="353"/>
      <c r="G15" s="353"/>
      <c r="H15" s="353"/>
      <c r="I15" s="354" t="s">
        <v>1203</v>
      </c>
      <c r="J15" s="402"/>
      <c r="K15" s="354" t="s">
        <v>1204</v>
      </c>
      <c r="L15" s="1886"/>
      <c r="M15" s="352"/>
      <c r="N15" s="352"/>
      <c r="O15" s="352"/>
      <c r="P15" s="402"/>
      <c r="Q15" s="352"/>
      <c r="R15" s="401"/>
      <c r="S15" s="402"/>
      <c r="T15" s="352"/>
      <c r="U15" s="352"/>
      <c r="V15" s="352"/>
      <c r="W15" s="401"/>
      <c r="X15" s="402"/>
      <c r="Y15" s="352"/>
      <c r="Z15" s="401"/>
      <c r="AA15" s="402"/>
      <c r="AB15" s="352"/>
      <c r="AC15" s="352"/>
      <c r="AD15" s="352"/>
      <c r="AE15" s="401"/>
    </row>
    <row r="16" spans="1:31" ht="15.75">
      <c r="A16" s="1321"/>
      <c r="B16" s="402"/>
      <c r="C16" s="354" t="s">
        <v>1248</v>
      </c>
      <c r="D16" s="353"/>
      <c r="E16" s="354" t="s">
        <v>1451</v>
      </c>
      <c r="F16" s="353"/>
      <c r="G16" s="355" t="s">
        <v>86</v>
      </c>
      <c r="H16" s="353"/>
      <c r="I16" s="354" t="s">
        <v>88</v>
      </c>
      <c r="J16" s="402"/>
      <c r="K16" s="354" t="s">
        <v>88</v>
      </c>
      <c r="L16" s="401"/>
      <c r="M16" s="352"/>
      <c r="N16" s="401"/>
      <c r="O16" s="352"/>
      <c r="P16" s="402"/>
      <c r="Q16" s="352"/>
      <c r="R16" s="402"/>
      <c r="S16" s="402"/>
      <c r="T16" s="352"/>
      <c r="U16" s="401"/>
      <c r="V16" s="352"/>
      <c r="W16" s="401"/>
      <c r="X16" s="402"/>
      <c r="Y16" s="352"/>
      <c r="Z16" s="402"/>
      <c r="AA16" s="402"/>
      <c r="AB16" s="352"/>
      <c r="AC16" s="401"/>
      <c r="AD16" s="352"/>
      <c r="AE16" s="401"/>
    </row>
    <row r="17" spans="1:31">
      <c r="A17" s="356"/>
      <c r="B17" s="357"/>
      <c r="C17" s="358"/>
      <c r="D17" s="343"/>
      <c r="E17" s="358"/>
      <c r="F17" s="343"/>
      <c r="G17" s="358"/>
      <c r="H17" s="343"/>
      <c r="I17" s="358"/>
      <c r="J17" s="357"/>
      <c r="K17" s="358"/>
      <c r="L17" s="357"/>
      <c r="M17" s="357"/>
      <c r="N17" s="357"/>
      <c r="O17" s="357"/>
      <c r="P17" s="357"/>
      <c r="Q17" s="357"/>
      <c r="R17" s="357"/>
      <c r="S17" s="357"/>
      <c r="T17" s="357"/>
      <c r="U17" s="357"/>
      <c r="V17" s="357"/>
      <c r="W17" s="357"/>
      <c r="X17" s="357"/>
      <c r="Y17" s="357"/>
      <c r="Z17" s="357"/>
      <c r="AA17" s="357"/>
      <c r="AB17" s="357"/>
      <c r="AC17" s="357"/>
      <c r="AD17" s="357"/>
      <c r="AE17" s="357"/>
    </row>
    <row r="18" spans="1:31" ht="15.75">
      <c r="A18" s="221" t="s">
        <v>14</v>
      </c>
      <c r="B18" s="1803"/>
      <c r="C18" s="1224"/>
      <c r="D18" s="1224"/>
      <c r="E18" s="1224"/>
      <c r="F18" s="1224"/>
      <c r="G18" s="1224"/>
      <c r="H18" s="1224"/>
      <c r="I18" s="1224"/>
      <c r="J18" s="1803"/>
      <c r="K18" s="1803"/>
      <c r="L18" s="1803"/>
      <c r="M18" s="1803"/>
      <c r="N18" s="1803"/>
      <c r="O18" s="1803"/>
      <c r="P18" s="1803"/>
      <c r="Q18" s="1803"/>
      <c r="R18" s="1803"/>
      <c r="S18" s="1803"/>
      <c r="T18" s="1803"/>
      <c r="U18" s="1803"/>
      <c r="V18" s="1803"/>
      <c r="W18" s="1803"/>
      <c r="X18" s="1803"/>
      <c r="Y18" s="1803"/>
      <c r="Z18" s="1803"/>
      <c r="AA18" s="1803"/>
      <c r="AB18" s="1803"/>
      <c r="AC18" s="1803"/>
      <c r="AD18" s="1803"/>
      <c r="AE18" s="1803"/>
    </row>
    <row r="19" spans="1:31">
      <c r="A19" s="1638" t="s">
        <v>89</v>
      </c>
      <c r="B19" s="1804"/>
      <c r="C19" s="1224"/>
      <c r="D19" s="1804"/>
      <c r="E19" s="1224"/>
      <c r="F19" s="1804"/>
      <c r="G19" s="1224"/>
      <c r="H19" s="1804"/>
      <c r="I19" s="1224"/>
      <c r="J19" s="1803"/>
      <c r="K19" s="1803"/>
      <c r="L19" s="1803"/>
      <c r="M19" s="1803"/>
      <c r="N19" s="1803"/>
      <c r="O19" s="1825"/>
      <c r="P19" s="1803"/>
      <c r="Q19" s="1803"/>
      <c r="R19" s="1803"/>
      <c r="S19" s="1803"/>
      <c r="T19" s="1803"/>
      <c r="U19" s="1803"/>
      <c r="V19" s="1803"/>
      <c r="W19" s="1803"/>
      <c r="X19" s="1803"/>
      <c r="Y19" s="1803"/>
      <c r="Z19" s="1803"/>
      <c r="AA19" s="1803"/>
      <c r="AB19" s="1803"/>
      <c r="AC19" s="1803"/>
      <c r="AD19" s="1803"/>
      <c r="AE19" s="1803"/>
    </row>
    <row r="20" spans="1:31">
      <c r="A20" s="1638" t="s">
        <v>90</v>
      </c>
      <c r="B20" s="1804" t="s">
        <v>15</v>
      </c>
      <c r="C20" s="1225">
        <v>28599</v>
      </c>
      <c r="D20" s="1227"/>
      <c r="E20" s="1225">
        <v>27457</v>
      </c>
      <c r="F20" s="1227"/>
      <c r="G20" s="1225">
        <f>+'Exhibit F'!AC28</f>
        <v>27458.799999999999</v>
      </c>
      <c r="H20" s="1227"/>
      <c r="I20" s="1225">
        <f t="shared" ref="I20:I25" si="0">ROUND(SUM(G20)-SUM(C20),1)</f>
        <v>-1140.2</v>
      </c>
      <c r="J20" s="1803"/>
      <c r="K20" s="1225">
        <f t="shared" ref="K20:K25" si="1">ROUND(SUM(G20)-SUM(E20),1)</f>
        <v>1.8</v>
      </c>
      <c r="L20" s="1887"/>
      <c r="M20" s="1887"/>
      <c r="N20" s="1888"/>
      <c r="O20" s="1887"/>
      <c r="P20" s="1889"/>
      <c r="Q20" s="1803"/>
      <c r="R20" s="1803"/>
      <c r="S20" s="1803"/>
      <c r="T20" s="1803"/>
      <c r="U20" s="1803"/>
      <c r="V20" s="1803"/>
      <c r="W20" s="1803"/>
      <c r="X20" s="1803"/>
      <c r="Y20" s="1803"/>
      <c r="Z20" s="1803"/>
      <c r="AA20" s="1803"/>
      <c r="AB20" s="1803"/>
      <c r="AC20" s="1803"/>
      <c r="AD20" s="1803"/>
      <c r="AE20" s="1803"/>
    </row>
    <row r="21" spans="1:31">
      <c r="A21" s="1638" t="s">
        <v>91</v>
      </c>
      <c r="B21" s="1803" t="s">
        <v>15</v>
      </c>
      <c r="C21" s="1822">
        <v>5946</v>
      </c>
      <c r="D21" s="1146"/>
      <c r="E21" s="1822">
        <v>5965</v>
      </c>
      <c r="F21" s="1146"/>
      <c r="G21" s="1146">
        <f>+'Exhibit F'!AC37</f>
        <v>5982.1</v>
      </c>
      <c r="H21" s="1146"/>
      <c r="I21" s="1146">
        <f t="shared" si="0"/>
        <v>36.1</v>
      </c>
      <c r="J21" s="1803"/>
      <c r="K21" s="2925">
        <f t="shared" si="1"/>
        <v>17.100000000000001</v>
      </c>
      <c r="L21" s="1890"/>
      <c r="M21" s="1823"/>
      <c r="N21" s="1823"/>
      <c r="O21" s="1823"/>
      <c r="P21" s="1823"/>
      <c r="Q21" s="1823"/>
      <c r="R21" s="1823"/>
      <c r="S21" s="1803"/>
      <c r="T21" s="1803"/>
      <c r="U21" s="1803"/>
      <c r="V21" s="1803"/>
      <c r="W21" s="1803"/>
      <c r="X21" s="1803"/>
      <c r="Y21" s="1803"/>
      <c r="Z21" s="1803"/>
      <c r="AA21" s="1803"/>
      <c r="AB21" s="1803"/>
      <c r="AC21" s="1803"/>
      <c r="AD21" s="1803"/>
      <c r="AE21" s="1803"/>
    </row>
    <row r="22" spans="1:31">
      <c r="A22" s="1638" t="s">
        <v>92</v>
      </c>
      <c r="B22" s="1804" t="s">
        <v>15</v>
      </c>
      <c r="C22" s="1822">
        <v>3749</v>
      </c>
      <c r="D22" s="1299"/>
      <c r="E22" s="1822">
        <v>3544</v>
      </c>
      <c r="F22" s="1299"/>
      <c r="G22" s="1812">
        <f>+'Exhibit F'!AC44</f>
        <v>3634.8</v>
      </c>
      <c r="H22" s="1299"/>
      <c r="I22" s="1146">
        <f t="shared" si="0"/>
        <v>-114.2</v>
      </c>
      <c r="J22" s="1803"/>
      <c r="K22" s="2925">
        <f t="shared" si="1"/>
        <v>90.8</v>
      </c>
      <c r="L22" s="1890"/>
      <c r="M22" s="1824"/>
      <c r="N22" s="1823"/>
      <c r="O22" s="1824"/>
      <c r="P22" s="1823"/>
      <c r="Q22" s="1824"/>
      <c r="R22" s="1823"/>
      <c r="S22" s="1803"/>
      <c r="T22" s="1825"/>
      <c r="U22" s="1803"/>
      <c r="V22" s="1825"/>
      <c r="W22" s="1803"/>
      <c r="X22" s="1803"/>
      <c r="Y22" s="1825"/>
      <c r="Z22" s="1803"/>
      <c r="AA22" s="1803"/>
      <c r="AB22" s="1825"/>
      <c r="AC22" s="404"/>
      <c r="AD22" s="1825"/>
      <c r="AE22" s="1803"/>
    </row>
    <row r="23" spans="1:31">
      <c r="A23" s="1638" t="s">
        <v>93</v>
      </c>
      <c r="B23" s="1803" t="s">
        <v>15</v>
      </c>
      <c r="C23" s="1822">
        <v>870</v>
      </c>
      <c r="D23" s="1146"/>
      <c r="E23" s="1822">
        <v>978</v>
      </c>
      <c r="F23" s="1146"/>
      <c r="G23" s="1146">
        <f>+'Exhibit F'!AC52</f>
        <v>965.5</v>
      </c>
      <c r="H23" s="1146"/>
      <c r="I23" s="1146">
        <f t="shared" si="0"/>
        <v>95.5</v>
      </c>
      <c r="J23" s="1803"/>
      <c r="K23" s="2925">
        <f t="shared" si="1"/>
        <v>-12.5</v>
      </c>
      <c r="L23" s="1891"/>
      <c r="M23" s="1823"/>
      <c r="N23" s="1823"/>
      <c r="O23" s="1823"/>
      <c r="P23" s="1823"/>
      <c r="Q23" s="1823"/>
      <c r="R23" s="1823"/>
      <c r="S23" s="1803"/>
      <c r="T23" s="1803"/>
      <c r="U23" s="1803"/>
      <c r="V23" s="1803"/>
      <c r="W23" s="1803"/>
      <c r="X23" s="1803"/>
      <c r="Y23" s="1803"/>
      <c r="Z23" s="1803"/>
      <c r="AA23" s="1803"/>
      <c r="AB23" s="1803"/>
      <c r="AC23" s="1803"/>
      <c r="AD23" s="1803"/>
      <c r="AE23" s="1803"/>
    </row>
    <row r="24" spans="1:31" ht="15" customHeight="1">
      <c r="A24" s="1638" t="s">
        <v>20</v>
      </c>
      <c r="B24" s="1803" t="s">
        <v>15</v>
      </c>
      <c r="C24" s="1822">
        <v>2139</v>
      </c>
      <c r="D24" s="1822"/>
      <c r="E24" s="1822">
        <v>2827</v>
      </c>
      <c r="F24" s="1822"/>
      <c r="G24" s="1317">
        <f>+'Exhibit F'!AC90</f>
        <v>2810.7</v>
      </c>
      <c r="H24" s="1146"/>
      <c r="I24" s="1146">
        <f t="shared" si="0"/>
        <v>671.7</v>
      </c>
      <c r="J24" s="1803"/>
      <c r="K24" s="2925">
        <f t="shared" si="1"/>
        <v>-16.3</v>
      </c>
      <c r="L24" s="1891"/>
      <c r="M24" s="1823"/>
      <c r="N24" s="1823"/>
      <c r="O24" s="1823"/>
      <c r="P24" s="1823"/>
      <c r="Q24" s="1823"/>
      <c r="R24" s="1823"/>
      <c r="S24" s="1803"/>
      <c r="T24" s="1803"/>
      <c r="U24" s="1803"/>
      <c r="V24" s="1803"/>
      <c r="W24" s="1803"/>
      <c r="X24" s="1803"/>
      <c r="Y24" s="1803"/>
      <c r="Z24" s="1803"/>
      <c r="AA24" s="1803"/>
      <c r="AB24" s="1803"/>
      <c r="AC24" s="1803"/>
      <c r="AD24" s="1803"/>
      <c r="AE24" s="1803"/>
    </row>
    <row r="25" spans="1:31" ht="15" customHeight="1">
      <c r="A25" s="1638" t="s">
        <v>21</v>
      </c>
      <c r="B25" s="1803" t="s">
        <v>15</v>
      </c>
      <c r="C25" s="1226">
        <v>0</v>
      </c>
      <c r="D25" s="1146"/>
      <c r="E25" s="1226">
        <v>0</v>
      </c>
      <c r="F25" s="1146"/>
      <c r="G25" s="1317">
        <f>+'Exhibit F'!AC92</f>
        <v>0.4</v>
      </c>
      <c r="H25" s="1146"/>
      <c r="I25" s="1146">
        <f t="shared" si="0"/>
        <v>0.4</v>
      </c>
      <c r="J25" s="1803"/>
      <c r="K25" s="2925">
        <f t="shared" si="1"/>
        <v>0.4</v>
      </c>
      <c r="L25" s="1890"/>
      <c r="M25" s="1823"/>
      <c r="N25" s="1823"/>
      <c r="O25" s="1823"/>
      <c r="P25" s="1823"/>
      <c r="Q25" s="1823"/>
      <c r="R25" s="1827"/>
      <c r="S25" s="1828"/>
      <c r="T25" s="1803"/>
      <c r="U25" s="1828"/>
      <c r="V25" s="1803"/>
      <c r="W25" s="1828"/>
      <c r="X25" s="1829"/>
      <c r="Y25" s="1803"/>
      <c r="Z25" s="1803"/>
      <c r="AA25" s="1803"/>
      <c r="AB25" s="1803"/>
      <c r="AC25" s="1803"/>
      <c r="AD25" s="1803"/>
      <c r="AE25" s="1803"/>
    </row>
    <row r="26" spans="1:31" ht="18" customHeight="1">
      <c r="A26" s="1638" t="s">
        <v>108</v>
      </c>
      <c r="B26" s="1829"/>
      <c r="C26" s="1226"/>
      <c r="D26" s="1146"/>
      <c r="E26" s="1226"/>
      <c r="F26" s="1146"/>
      <c r="G26" s="1316"/>
      <c r="H26" s="1146"/>
      <c r="I26" s="1146"/>
      <c r="J26" s="1829"/>
      <c r="K26" s="2925"/>
      <c r="L26" s="1827"/>
      <c r="M26" s="1823"/>
      <c r="N26" s="1827"/>
      <c r="O26" s="1823"/>
      <c r="P26" s="1827"/>
      <c r="Q26" s="1823"/>
      <c r="R26" s="1827"/>
      <c r="S26" s="1828"/>
      <c r="T26" s="1803"/>
      <c r="U26" s="1828"/>
      <c r="V26" s="1803"/>
      <c r="W26" s="1828"/>
      <c r="X26" s="1829"/>
      <c r="Y26" s="1803"/>
      <c r="Z26" s="1803"/>
      <c r="AA26" s="1803"/>
      <c r="AB26" s="1803"/>
      <c r="AC26" s="1803"/>
      <c r="AD26" s="1803"/>
      <c r="AE26" s="1803"/>
    </row>
    <row r="27" spans="1:31">
      <c r="A27" s="1638" t="s">
        <v>109</v>
      </c>
      <c r="B27" s="1829" t="s">
        <v>15</v>
      </c>
      <c r="C27" s="1146">
        <v>8489</v>
      </c>
      <c r="D27" s="1146"/>
      <c r="E27" s="1146">
        <v>8124</v>
      </c>
      <c r="F27" s="1146"/>
      <c r="G27" s="1314">
        <f>'Exhibit F'!AC121</f>
        <v>8124</v>
      </c>
      <c r="H27" s="1146"/>
      <c r="I27" s="1146">
        <f>ROUND(SUM(G27)-SUM(C27),1)</f>
        <v>-365</v>
      </c>
      <c r="J27" s="1829"/>
      <c r="K27" s="2925">
        <f>ROUND(SUM(G27)-SUM(E27),1)</f>
        <v>0</v>
      </c>
      <c r="L27" s="1827"/>
      <c r="M27" s="1823"/>
      <c r="N27" s="1827"/>
      <c r="O27" s="1823"/>
      <c r="P27" s="1823"/>
      <c r="Q27" s="1823"/>
      <c r="R27" s="1827"/>
      <c r="S27" s="1828"/>
      <c r="T27" s="1803"/>
      <c r="U27" s="1828"/>
      <c r="V27" s="1803"/>
      <c r="W27" s="1828"/>
      <c r="X27" s="1829"/>
      <c r="Y27" s="1803"/>
      <c r="Z27" s="1803"/>
      <c r="AA27" s="1803"/>
      <c r="AB27" s="1803"/>
      <c r="AC27" s="1803"/>
      <c r="AD27" s="1803"/>
      <c r="AE27" s="1803"/>
    </row>
    <row r="28" spans="1:31">
      <c r="A28" s="1638" t="s">
        <v>1201</v>
      </c>
      <c r="B28" s="1829" t="s">
        <v>15</v>
      </c>
      <c r="C28" s="1146">
        <f>2665+2175</f>
        <v>4840</v>
      </c>
      <c r="D28" s="1146"/>
      <c r="E28" s="1146">
        <f>2672+2201</f>
        <v>4873</v>
      </c>
      <c r="F28" s="1146"/>
      <c r="G28" s="1315">
        <f>'Exhibit F'!AC122</f>
        <v>4883.3999999999996</v>
      </c>
      <c r="H28" s="1146"/>
      <c r="I28" s="1146">
        <f>ROUND(SUM(G28)-SUM(C28),1)</f>
        <v>43.4</v>
      </c>
      <c r="J28" s="1829"/>
      <c r="K28" s="2925">
        <f>ROUND(SUM(G28)-SUM(E28),1)</f>
        <v>10.4</v>
      </c>
      <c r="L28" s="1827"/>
      <c r="M28" s="1823"/>
      <c r="N28" s="1827"/>
      <c r="O28" s="1823"/>
      <c r="P28" s="1823"/>
      <c r="Q28" s="1823"/>
      <c r="R28" s="1827"/>
      <c r="S28" s="1828"/>
      <c r="T28" s="1803"/>
      <c r="U28" s="1828"/>
      <c r="V28" s="1803"/>
      <c r="W28" s="1828"/>
      <c r="X28" s="1829"/>
      <c r="Y28" s="1803"/>
      <c r="Z28" s="1803"/>
      <c r="AA28" s="1803"/>
      <c r="AB28" s="1803"/>
      <c r="AC28" s="1803"/>
      <c r="AD28" s="1803"/>
      <c r="AE28" s="1803"/>
    </row>
    <row r="29" spans="1:31">
      <c r="A29" s="1638" t="s">
        <v>110</v>
      </c>
      <c r="B29" s="1829" t="s">
        <v>15</v>
      </c>
      <c r="C29" s="1146">
        <v>813</v>
      </c>
      <c r="D29" s="1146"/>
      <c r="E29" s="1146">
        <v>814</v>
      </c>
      <c r="F29" s="1146"/>
      <c r="G29" s="1314">
        <f>'Exhibit F'!AC123</f>
        <v>807.9</v>
      </c>
      <c r="H29" s="1146"/>
      <c r="I29" s="1146">
        <f>ROUND(SUM(G29)-SUM(C29),1)</f>
        <v>-5.0999999999999996</v>
      </c>
      <c r="J29" s="1829"/>
      <c r="K29" s="2925">
        <f>ROUND(SUM(G29)-SUM(E29),1)</f>
        <v>-6.1</v>
      </c>
      <c r="L29" s="1827"/>
      <c r="M29" s="1823"/>
      <c r="N29" s="1827"/>
      <c r="O29" s="1823"/>
      <c r="P29" s="1823"/>
      <c r="Q29" s="1823"/>
      <c r="R29" s="1827"/>
      <c r="S29" s="1828"/>
      <c r="T29" s="1803"/>
      <c r="U29" s="1828"/>
      <c r="V29" s="1803"/>
      <c r="W29" s="1828"/>
      <c r="X29" s="1829"/>
      <c r="Y29" s="1803"/>
      <c r="Z29" s="1803"/>
      <c r="AA29" s="1803"/>
      <c r="AB29" s="1803"/>
      <c r="AC29" s="1803"/>
      <c r="AD29" s="1803"/>
      <c r="AE29" s="1803"/>
    </row>
    <row r="30" spans="1:31">
      <c r="A30" s="1638" t="s">
        <v>111</v>
      </c>
      <c r="B30" s="1829" t="s">
        <v>15</v>
      </c>
      <c r="C30" s="1809">
        <v>141</v>
      </c>
      <c r="D30" s="1146"/>
      <c r="E30" s="1809">
        <v>225</v>
      </c>
      <c r="F30" s="1146"/>
      <c r="G30" s="1967">
        <f>'Exhibit F'!AC124</f>
        <v>271.60000000000002</v>
      </c>
      <c r="H30" s="1146"/>
      <c r="I30" s="1146">
        <f>ROUND(SUM(G30)-SUM(C30),1)</f>
        <v>130.6</v>
      </c>
      <c r="J30" s="1829"/>
      <c r="K30" s="2925">
        <f>ROUND(SUM(G30)-SUM(E30),1)</f>
        <v>46.6</v>
      </c>
      <c r="L30" s="1892"/>
      <c r="M30" s="1823"/>
      <c r="N30" s="1824"/>
      <c r="O30" s="1823"/>
      <c r="P30" s="1823"/>
      <c r="Q30" s="1823"/>
      <c r="R30" s="1827"/>
      <c r="S30" s="1828"/>
      <c r="T30" s="1803"/>
      <c r="U30" s="1828"/>
      <c r="V30" s="1803"/>
      <c r="W30" s="1828"/>
      <c r="X30" s="1829"/>
      <c r="Y30" s="1803"/>
      <c r="Z30" s="1803"/>
      <c r="AA30" s="1803"/>
      <c r="AB30" s="1803"/>
      <c r="AC30" s="1803"/>
      <c r="AD30" s="1803"/>
      <c r="AE30" s="1803"/>
    </row>
    <row r="31" spans="1:31" ht="18" customHeight="1">
      <c r="A31" s="374" t="s">
        <v>112</v>
      </c>
      <c r="B31" s="352" t="s">
        <v>15</v>
      </c>
      <c r="C31" s="418">
        <f>ROUND(SUM(C20:C30),1)</f>
        <v>55586</v>
      </c>
      <c r="D31" s="1802"/>
      <c r="E31" s="418">
        <f>ROUND(SUM(E20:E30),1)</f>
        <v>54807</v>
      </c>
      <c r="F31" s="1802"/>
      <c r="G31" s="418">
        <f>ROUND(SUM(G20:G30),1)</f>
        <v>54939.199999999997</v>
      </c>
      <c r="H31" s="1802"/>
      <c r="I31" s="543">
        <f>ROUND(SUM(I20:I30),1)</f>
        <v>-646.79999999999995</v>
      </c>
      <c r="J31" s="352"/>
      <c r="K31" s="543">
        <f>ROUND(SUM(K20:K30),1)</f>
        <v>132.19999999999999</v>
      </c>
      <c r="L31" s="272"/>
      <c r="M31" s="272"/>
      <c r="N31" s="272"/>
      <c r="O31" s="272"/>
      <c r="P31" s="272"/>
      <c r="Q31" s="272"/>
      <c r="R31" s="272"/>
      <c r="S31" s="352"/>
      <c r="T31" s="352"/>
      <c r="U31" s="352"/>
      <c r="V31" s="352"/>
      <c r="W31" s="352"/>
      <c r="X31" s="352"/>
      <c r="Y31" s="352"/>
      <c r="Z31" s="352"/>
      <c r="AA31" s="352"/>
      <c r="AB31" s="352"/>
      <c r="AC31" s="352"/>
      <c r="AD31" s="352"/>
      <c r="AE31" s="352"/>
    </row>
    <row r="32" spans="1:31">
      <c r="A32" s="1321"/>
      <c r="B32" s="1803"/>
      <c r="C32" s="1319"/>
      <c r="D32" s="1146"/>
      <c r="E32" s="1319"/>
      <c r="F32" s="1146"/>
      <c r="G32" s="1319"/>
      <c r="H32" s="1146"/>
      <c r="I32" s="1823"/>
      <c r="J32" s="1803"/>
      <c r="K32" s="1823"/>
      <c r="L32" s="1823"/>
      <c r="M32" s="1823"/>
      <c r="N32" s="1823"/>
      <c r="O32" s="1823"/>
      <c r="P32" s="1823"/>
      <c r="Q32" s="1823"/>
      <c r="R32" s="1823"/>
      <c r="S32" s="1803"/>
      <c r="T32" s="1803"/>
      <c r="U32" s="1803"/>
      <c r="V32" s="1803"/>
      <c r="W32" s="1803"/>
      <c r="X32" s="1803"/>
      <c r="Y32" s="1803"/>
      <c r="Z32" s="1803"/>
      <c r="AA32" s="1803"/>
      <c r="AB32" s="1803"/>
      <c r="AC32" s="1803"/>
      <c r="AD32" s="1803"/>
      <c r="AE32" s="1803"/>
    </row>
    <row r="33" spans="1:31" ht="15.75">
      <c r="A33" s="221" t="s">
        <v>23</v>
      </c>
      <c r="B33" s="1803"/>
      <c r="C33" s="1146"/>
      <c r="D33" s="1146"/>
      <c r="E33" s="1146"/>
      <c r="F33" s="1146"/>
      <c r="G33" s="1146"/>
      <c r="H33" s="1146"/>
      <c r="I33" s="1146"/>
      <c r="J33" s="1803"/>
      <c r="K33" s="1823"/>
      <c r="L33" s="1823"/>
      <c r="M33" s="1823"/>
      <c r="N33" s="1823"/>
      <c r="O33" s="1823"/>
      <c r="P33" s="1823"/>
      <c r="Q33" s="1823"/>
      <c r="R33" s="1823"/>
      <c r="S33" s="1803"/>
      <c r="T33" s="1803"/>
      <c r="U33" s="1803"/>
      <c r="V33" s="1803"/>
      <c r="W33" s="1803"/>
      <c r="X33" s="1803"/>
      <c r="Y33" s="1803"/>
      <c r="Z33" s="1803"/>
      <c r="AA33" s="1803"/>
      <c r="AB33" s="1803"/>
      <c r="AC33" s="1803"/>
      <c r="AD33" s="1803"/>
      <c r="AE33" s="1803"/>
    </row>
    <row r="34" spans="1:31">
      <c r="A34" s="1638" t="s">
        <v>95</v>
      </c>
      <c r="B34" s="1825" t="s">
        <v>15</v>
      </c>
      <c r="C34" s="1299">
        <v>31804</v>
      </c>
      <c r="D34" s="1146"/>
      <c r="E34" s="1299">
        <v>32655</v>
      </c>
      <c r="F34" s="1146"/>
      <c r="G34" s="1299">
        <f>+'Exhibit F'!AC108</f>
        <v>32366.1</v>
      </c>
      <c r="H34" s="1146"/>
      <c r="I34" s="1146">
        <f>ROUND(SUM(G34)-SUM(C34),1)</f>
        <v>562.1</v>
      </c>
      <c r="J34" s="1803"/>
      <c r="K34" s="2925">
        <f>ROUND(SUM(G34)-SUM(E34),1)</f>
        <v>-288.89999999999998</v>
      </c>
      <c r="L34" s="1824"/>
      <c r="M34" s="1823"/>
      <c r="N34" s="1824"/>
      <c r="O34" s="1823"/>
      <c r="P34" s="1823"/>
      <c r="Q34" s="1823"/>
      <c r="R34" s="1827"/>
      <c r="S34" s="1828"/>
      <c r="T34" s="1803"/>
      <c r="U34" s="1828"/>
      <c r="V34" s="1803"/>
      <c r="W34" s="1828"/>
      <c r="X34" s="1829"/>
      <c r="Y34" s="1803"/>
      <c r="Z34" s="1803"/>
      <c r="AA34" s="1803"/>
      <c r="AB34" s="1803"/>
      <c r="AC34" s="1803"/>
      <c r="AD34" s="1803"/>
      <c r="AE34" s="1803"/>
    </row>
    <row r="35" spans="1:31">
      <c r="A35" s="1638" t="s">
        <v>96</v>
      </c>
      <c r="B35" s="1825" t="s">
        <v>15</v>
      </c>
      <c r="C35" s="1299">
        <v>6626</v>
      </c>
      <c r="D35" s="1146"/>
      <c r="E35" s="1299">
        <v>6761</v>
      </c>
      <c r="F35" s="1146"/>
      <c r="G35" s="1299">
        <f>+'Exhibit F'!AC110+'Exhibit F'!AC111</f>
        <v>6708.0999999999995</v>
      </c>
      <c r="H35" s="1146"/>
      <c r="I35" s="1146">
        <f>ROUND(SUM(G35)-SUM(C35),1)</f>
        <v>82.1</v>
      </c>
      <c r="J35" s="1803"/>
      <c r="K35" s="2925">
        <f>ROUND(SUM(G35)-SUM(E35),1)</f>
        <v>-52.9</v>
      </c>
      <c r="L35" s="1824"/>
      <c r="M35" s="1823"/>
      <c r="N35" s="1824"/>
      <c r="O35" s="1823"/>
      <c r="P35" s="1823"/>
      <c r="Q35" s="1823"/>
      <c r="R35" s="1824"/>
      <c r="S35" s="1825"/>
      <c r="T35" s="1803"/>
      <c r="U35" s="1825"/>
      <c r="V35" s="1803"/>
      <c r="W35" s="1828"/>
      <c r="X35" s="1803"/>
      <c r="Y35" s="1803"/>
      <c r="Z35" s="1828"/>
      <c r="AA35" s="1828"/>
      <c r="AB35" s="1803"/>
      <c r="AC35" s="1828"/>
      <c r="AD35" s="1803"/>
      <c r="AE35" s="1828"/>
    </row>
    <row r="36" spans="1:31">
      <c r="A36" s="1638" t="s">
        <v>71</v>
      </c>
      <c r="B36" s="1825" t="s">
        <v>15</v>
      </c>
      <c r="C36" s="1299">
        <v>5037</v>
      </c>
      <c r="D36" s="1146"/>
      <c r="E36" s="1299">
        <v>5035</v>
      </c>
      <c r="F36" s="1146"/>
      <c r="G36" s="1299">
        <f>+'Exhibit F'!AC112</f>
        <v>5026.2</v>
      </c>
      <c r="H36" s="1146"/>
      <c r="I36" s="1146">
        <f>ROUND(SUM(G36)-SUM(C36),1)</f>
        <v>-10.8</v>
      </c>
      <c r="J36" s="1803"/>
      <c r="K36" s="2925">
        <f>ROUND(SUM(G36)-SUM(E36),1)</f>
        <v>-8.8000000000000007</v>
      </c>
      <c r="L36" s="1824"/>
      <c r="M36" s="1823"/>
      <c r="N36" s="1824"/>
      <c r="O36" s="1823"/>
      <c r="P36" s="1823"/>
      <c r="Q36" s="1823"/>
      <c r="R36" s="1827"/>
      <c r="S36" s="1828"/>
      <c r="T36" s="1803"/>
      <c r="U36" s="1828"/>
      <c r="V36" s="1803"/>
      <c r="W36" s="1828"/>
      <c r="X36" s="1829"/>
      <c r="Y36" s="1803"/>
      <c r="Z36" s="1828"/>
      <c r="AA36" s="1828"/>
      <c r="AB36" s="1803"/>
      <c r="AC36" s="1828"/>
      <c r="AD36" s="1803"/>
      <c r="AE36" s="1828"/>
    </row>
    <row r="37" spans="1:31" ht="18" customHeight="1">
      <c r="A37" s="1638" t="s">
        <v>113</v>
      </c>
      <c r="B37" s="1829"/>
      <c r="C37" s="1226"/>
      <c r="D37" s="1146"/>
      <c r="E37" s="1226" t="s">
        <v>15</v>
      </c>
      <c r="F37" s="1146"/>
      <c r="G37" s="1226"/>
      <c r="H37" s="1146"/>
      <c r="I37" s="1146"/>
      <c r="J37" s="1829"/>
      <c r="K37" s="2925"/>
      <c r="L37" s="1892"/>
      <c r="M37" s="1823"/>
      <c r="N37" s="1892"/>
      <c r="O37" s="1823"/>
      <c r="P37" s="1823"/>
      <c r="Q37" s="1823"/>
      <c r="R37" s="1827"/>
      <c r="S37" s="1828"/>
      <c r="T37" s="1803"/>
      <c r="U37" s="1828"/>
      <c r="V37" s="1803"/>
      <c r="W37" s="1828"/>
      <c r="X37" s="1829"/>
      <c r="Y37" s="1803"/>
      <c r="Z37" s="1803"/>
      <c r="AA37" s="1803"/>
      <c r="AB37" s="1803"/>
      <c r="AC37" s="1803"/>
      <c r="AD37" s="1803"/>
      <c r="AE37" s="1803"/>
    </row>
    <row r="38" spans="1:31">
      <c r="A38" s="1638" t="s">
        <v>114</v>
      </c>
      <c r="B38" s="1829" t="s">
        <v>15</v>
      </c>
      <c r="C38" s="1317">
        <v>752</v>
      </c>
      <c r="D38" s="1146"/>
      <c r="E38" s="1317">
        <v>753</v>
      </c>
      <c r="F38" s="1146"/>
      <c r="G38" s="1317">
        <f>-'Exhibit F'!AC128</f>
        <v>754</v>
      </c>
      <c r="H38" s="1146"/>
      <c r="I38" s="1146">
        <f>ROUND(SUM(G38)-SUM(C38),1)</f>
        <v>2</v>
      </c>
      <c r="J38" s="1829"/>
      <c r="K38" s="2925">
        <f>ROUND(SUM(G38)-SUM(E38),1)</f>
        <v>1</v>
      </c>
      <c r="L38" s="1827"/>
      <c r="M38" s="1823"/>
      <c r="N38" s="1827"/>
      <c r="O38" s="1823"/>
      <c r="P38" s="1823"/>
      <c r="Q38" s="1823"/>
      <c r="R38" s="1827"/>
      <c r="S38" s="1828"/>
      <c r="T38" s="1803"/>
      <c r="U38" s="1828"/>
      <c r="V38" s="1803"/>
      <c r="W38" s="1828"/>
      <c r="X38" s="1829"/>
      <c r="Y38" s="1803"/>
      <c r="Z38" s="1803"/>
      <c r="AA38" s="1803"/>
      <c r="AB38" s="1803"/>
      <c r="AC38" s="1803"/>
      <c r="AD38" s="1803"/>
      <c r="AE38" s="1803"/>
    </row>
    <row r="39" spans="1:31">
      <c r="A39" s="1638" t="s">
        <v>115</v>
      </c>
      <c r="B39" s="1829" t="s">
        <v>15</v>
      </c>
      <c r="C39" s="1317">
        <v>2858</v>
      </c>
      <c r="D39" s="1146"/>
      <c r="E39" s="1317">
        <v>2612</v>
      </c>
      <c r="F39" s="1146"/>
      <c r="G39" s="1317">
        <f>-'Exhibit F'!AC125-'Exhibit F'!AC127</f>
        <v>2379.8000000000002</v>
      </c>
      <c r="H39" s="2925" t="s">
        <v>15</v>
      </c>
      <c r="I39" s="1146">
        <f>ROUND(SUM(G39)-SUM(C39),1)</f>
        <v>-478.2</v>
      </c>
      <c r="J39" s="1829"/>
      <c r="K39" s="2925">
        <f>ROUND(SUM(G39)-SUM(E39),1)</f>
        <v>-232.2</v>
      </c>
      <c r="L39" s="1827"/>
      <c r="M39" s="1823"/>
      <c r="N39" s="1827"/>
      <c r="O39" s="1823"/>
      <c r="P39" s="1823"/>
      <c r="Q39" s="1823"/>
      <c r="R39" s="1827"/>
      <c r="S39" s="1828"/>
      <c r="T39" s="1803"/>
      <c r="U39" s="1828"/>
      <c r="V39" s="1803"/>
      <c r="W39" s="1828"/>
      <c r="X39" s="1829"/>
      <c r="Y39" s="1803"/>
      <c r="Z39" s="1803"/>
      <c r="AA39" s="1803"/>
      <c r="AB39" s="1803"/>
      <c r="AC39" s="1803"/>
      <c r="AD39" s="1803"/>
      <c r="AE39" s="1803"/>
    </row>
    <row r="40" spans="1:31">
      <c r="A40" s="1638" t="s">
        <v>116</v>
      </c>
      <c r="B40" s="1829" t="s">
        <v>15</v>
      </c>
      <c r="C40" s="1317">
        <v>1220</v>
      </c>
      <c r="D40" s="1146"/>
      <c r="E40" s="1317">
        <v>1104</v>
      </c>
      <c r="F40" s="1146"/>
      <c r="G40" s="2942">
        <v>1365</v>
      </c>
      <c r="H40" s="2925" t="s">
        <v>960</v>
      </c>
      <c r="I40" s="1146">
        <f>ROUND(SUM(G40)-SUM(C40),1)</f>
        <v>145</v>
      </c>
      <c r="J40" s="1829"/>
      <c r="K40" s="2925">
        <f>ROUND(SUM(G40)-SUM(E40),1)</f>
        <v>261</v>
      </c>
      <c r="L40" s="1827"/>
      <c r="M40" s="1823"/>
      <c r="N40" s="1827"/>
      <c r="O40" s="1823"/>
      <c r="P40" s="1823"/>
      <c r="Q40" s="1823"/>
      <c r="R40" s="1827"/>
      <c r="S40" s="1828"/>
      <c r="T40" s="1803"/>
      <c r="U40" s="1828"/>
      <c r="V40" s="1803"/>
      <c r="W40" s="1828"/>
      <c r="X40" s="1829"/>
      <c r="Y40" s="1803"/>
      <c r="Z40" s="1803"/>
      <c r="AA40" s="1803"/>
      <c r="AB40" s="1803"/>
      <c r="AC40" s="1803"/>
      <c r="AD40" s="1803"/>
      <c r="AE40" s="1803"/>
    </row>
    <row r="41" spans="1:31">
      <c r="A41" s="1638" t="s">
        <v>118</v>
      </c>
      <c r="B41" s="1829" t="s">
        <v>119</v>
      </c>
      <c r="C41" s="1317">
        <v>997</v>
      </c>
      <c r="D41" s="1146"/>
      <c r="E41" s="1317">
        <v>996</v>
      </c>
      <c r="F41" s="1146"/>
      <c r="G41" s="2942">
        <v>996.3</v>
      </c>
      <c r="H41" s="1146"/>
      <c r="I41" s="1146">
        <f>ROUND(SUM(G41)-SUM(C41),1)</f>
        <v>-0.7</v>
      </c>
      <c r="J41" s="1829"/>
      <c r="K41" s="2925">
        <f>ROUND(SUM(G41)-SUM(E41),1)</f>
        <v>0.3</v>
      </c>
      <c r="L41" s="1827"/>
      <c r="M41" s="1823"/>
      <c r="N41" s="1827"/>
      <c r="O41" s="1823"/>
      <c r="P41" s="1823"/>
      <c r="Q41" s="1823"/>
      <c r="R41" s="1827"/>
      <c r="S41" s="1828"/>
      <c r="T41" s="1803"/>
      <c r="U41" s="1828"/>
      <c r="V41" s="1803"/>
      <c r="W41" s="1828"/>
      <c r="X41" s="1829"/>
      <c r="Y41" s="1803"/>
      <c r="Z41" s="1803"/>
      <c r="AA41" s="1803"/>
      <c r="AB41" s="1803"/>
      <c r="AC41" s="1803"/>
      <c r="AD41" s="1803"/>
      <c r="AE41" s="1803"/>
    </row>
    <row r="42" spans="1:31">
      <c r="A42" s="1638" t="s">
        <v>120</v>
      </c>
      <c r="B42" s="1829" t="s">
        <v>15</v>
      </c>
      <c r="C42" s="1317">
        <v>3492</v>
      </c>
      <c r="D42" s="1146"/>
      <c r="E42" s="1317">
        <v>3447</v>
      </c>
      <c r="F42" s="1146"/>
      <c r="G42" s="1315">
        <v>3191.7</v>
      </c>
      <c r="H42" s="1146"/>
      <c r="I42" s="1146">
        <f>ROUND(SUM(G42)-SUM(C42),1)</f>
        <v>-300.3</v>
      </c>
      <c r="J42" s="1829"/>
      <c r="K42" s="2925">
        <f>ROUND(SUM(G42)-SUM(E42),1)</f>
        <v>-255.3</v>
      </c>
      <c r="L42" s="1892"/>
      <c r="M42" s="1823"/>
      <c r="N42" s="1824"/>
      <c r="O42" s="1823"/>
      <c r="P42" s="1823"/>
      <c r="Q42" s="1823"/>
      <c r="R42" s="1827"/>
      <c r="S42" s="1828"/>
      <c r="T42" s="1803"/>
      <c r="U42" s="1828"/>
      <c r="V42" s="1803"/>
      <c r="W42" s="1828"/>
      <c r="X42" s="1829"/>
      <c r="Y42" s="1803"/>
      <c r="Z42" s="1803"/>
      <c r="AA42" s="1803"/>
      <c r="AB42" s="1803"/>
      <c r="AC42" s="1803"/>
      <c r="AD42" s="1803"/>
      <c r="AE42" s="1803"/>
    </row>
    <row r="43" spans="1:31" ht="18" customHeight="1">
      <c r="A43" s="374" t="s">
        <v>121</v>
      </c>
      <c r="B43" s="352" t="s">
        <v>15</v>
      </c>
      <c r="C43" s="418">
        <f>ROUND(SUM(C34:C42),1)</f>
        <v>52786</v>
      </c>
      <c r="D43" s="1802"/>
      <c r="E43" s="418">
        <f>ROUND(SUM(E34:E42),1)</f>
        <v>53363</v>
      </c>
      <c r="F43" s="1802"/>
      <c r="G43" s="418">
        <f>ROUND(SUM(G34:G42),1)</f>
        <v>52787.199999999997</v>
      </c>
      <c r="H43" s="1802"/>
      <c r="I43" s="543">
        <f>ROUND(SUM(I34:I42),1)</f>
        <v>1.2</v>
      </c>
      <c r="J43" s="352"/>
      <c r="K43" s="543">
        <f>ROUND(SUM(K34:K42),1)</f>
        <v>-575.79999999999995</v>
      </c>
      <c r="L43" s="272"/>
      <c r="M43" s="272"/>
      <c r="N43" s="272"/>
      <c r="O43" s="272"/>
      <c r="P43" s="272"/>
      <c r="Q43" s="272"/>
      <c r="R43" s="272"/>
      <c r="S43" s="352"/>
      <c r="T43" s="352"/>
      <c r="U43" s="352"/>
      <c r="V43" s="352"/>
      <c r="W43" s="352"/>
      <c r="X43" s="352"/>
      <c r="Y43" s="352"/>
      <c r="Z43" s="352"/>
      <c r="AA43" s="352"/>
      <c r="AB43" s="352"/>
      <c r="AC43" s="352"/>
      <c r="AD43" s="352"/>
      <c r="AE43" s="352"/>
    </row>
    <row r="44" spans="1:31">
      <c r="A44" s="1321"/>
      <c r="B44" s="1803"/>
      <c r="C44" s="1319"/>
      <c r="D44" s="1146"/>
      <c r="E44" s="1319"/>
      <c r="F44" s="1146"/>
      <c r="G44" s="1319"/>
      <c r="H44" s="1146"/>
      <c r="I44" s="1823"/>
      <c r="J44" s="1803"/>
      <c r="K44" s="1823"/>
      <c r="L44" s="1823"/>
      <c r="M44" s="1823"/>
      <c r="N44" s="1823"/>
      <c r="O44" s="1823"/>
      <c r="P44" s="1823"/>
      <c r="Q44" s="1823"/>
      <c r="R44" s="1823"/>
      <c r="S44" s="1803"/>
      <c r="T44" s="1803"/>
      <c r="U44" s="1803"/>
      <c r="V44" s="1803"/>
      <c r="W44" s="1803"/>
      <c r="X44" s="1803"/>
      <c r="Y44" s="1803"/>
      <c r="Z44" s="1803"/>
      <c r="AA44" s="1803"/>
      <c r="AB44" s="1803"/>
      <c r="AC44" s="1803"/>
      <c r="AD44" s="1803"/>
      <c r="AE44" s="1803"/>
    </row>
    <row r="45" spans="1:31" ht="15.75">
      <c r="A45" s="221" t="s">
        <v>122</v>
      </c>
      <c r="B45" s="1803"/>
      <c r="C45" s="1146"/>
      <c r="D45" s="1146"/>
      <c r="E45" s="1146"/>
      <c r="F45" s="1146"/>
      <c r="G45" s="1146"/>
      <c r="H45" s="1146"/>
      <c r="I45" s="1146"/>
      <c r="J45" s="1803"/>
      <c r="K45" s="1823"/>
      <c r="L45" s="1823"/>
      <c r="M45" s="1823"/>
      <c r="N45" s="1823"/>
      <c r="O45" s="1823"/>
      <c r="P45" s="1823"/>
      <c r="Q45" s="1823"/>
      <c r="R45" s="1823"/>
      <c r="S45" s="1803"/>
      <c r="T45" s="1803"/>
      <c r="U45" s="1803"/>
      <c r="V45" s="1803"/>
      <c r="W45" s="1803"/>
      <c r="X45" s="1803"/>
      <c r="Y45" s="1803"/>
      <c r="Z45" s="1803"/>
      <c r="AA45" s="1803"/>
      <c r="AB45" s="1803"/>
      <c r="AC45" s="1803"/>
      <c r="AD45" s="1803"/>
      <c r="AE45" s="1803"/>
    </row>
    <row r="46" spans="1:31" ht="15.75">
      <c r="A46" s="221" t="s">
        <v>123</v>
      </c>
      <c r="B46" s="1803"/>
      <c r="C46" s="1146"/>
      <c r="D46" s="1146"/>
      <c r="E46" s="1146"/>
      <c r="F46" s="1146"/>
      <c r="G46" s="1146"/>
      <c r="H46" s="1146"/>
      <c r="I46" s="1146"/>
      <c r="J46" s="1803"/>
      <c r="K46" s="1823"/>
      <c r="L46" s="1823"/>
      <c r="M46" s="1823"/>
      <c r="N46" s="1823"/>
      <c r="O46" s="1823"/>
      <c r="P46" s="1823"/>
      <c r="Q46" s="1823"/>
      <c r="R46" s="1823"/>
      <c r="S46" s="1803"/>
      <c r="T46" s="1803"/>
      <c r="U46" s="1803"/>
      <c r="V46" s="1803"/>
      <c r="W46" s="1803"/>
      <c r="X46" s="1803"/>
      <c r="Y46" s="1803"/>
      <c r="Z46" s="1803"/>
      <c r="AA46" s="1803"/>
      <c r="AB46" s="1803"/>
      <c r="AC46" s="1803"/>
      <c r="AD46" s="1803"/>
      <c r="AE46" s="1803"/>
    </row>
    <row r="47" spans="1:31" ht="15.75">
      <c r="A47" s="374" t="s">
        <v>104</v>
      </c>
      <c r="B47" s="1801" t="s">
        <v>15</v>
      </c>
      <c r="C47" s="272">
        <f>ROUND(SUM(C31)-SUM(C43),1)</f>
        <v>2800</v>
      </c>
      <c r="D47" s="283"/>
      <c r="E47" s="272">
        <f>ROUND(SUM(E31)-SUM(E43),1)</f>
        <v>1444</v>
      </c>
      <c r="F47" s="283"/>
      <c r="G47" s="272">
        <f>ROUND(SUM(G31)-SUM(G43),1)</f>
        <v>2152</v>
      </c>
      <c r="H47" s="283"/>
      <c r="I47" s="272">
        <f>ROUND(SUM(I31)-SUM(I43),1)</f>
        <v>-648</v>
      </c>
      <c r="J47" s="352"/>
      <c r="K47" s="272">
        <f>ROUND(SUM(K31)-SUM(K43),1)</f>
        <v>708</v>
      </c>
      <c r="L47" s="272"/>
      <c r="M47" s="740"/>
      <c r="N47" s="272"/>
      <c r="O47" s="740"/>
      <c r="P47" s="272"/>
      <c r="Q47" s="740"/>
      <c r="R47" s="272"/>
      <c r="S47" s="352"/>
      <c r="T47" s="375"/>
      <c r="U47" s="352"/>
      <c r="V47" s="375"/>
      <c r="W47" s="352"/>
      <c r="X47" s="352"/>
      <c r="Y47" s="375"/>
      <c r="Z47" s="352"/>
      <c r="AA47" s="352"/>
      <c r="AB47" s="375"/>
      <c r="AC47" s="352"/>
      <c r="AD47" s="375"/>
      <c r="AE47" s="352"/>
    </row>
    <row r="48" spans="1:31" ht="15" customHeight="1">
      <c r="C48" s="1242"/>
      <c r="D48" s="1812"/>
      <c r="E48" s="1242"/>
      <c r="F48" s="1812"/>
      <c r="G48" s="1242"/>
      <c r="H48" s="1812"/>
      <c r="I48" s="272"/>
      <c r="J48" s="352"/>
      <c r="K48" s="272"/>
      <c r="L48" s="1242"/>
      <c r="M48" s="1242"/>
      <c r="N48" s="1242"/>
      <c r="O48" s="1242"/>
      <c r="P48" s="1242"/>
      <c r="Q48" s="1242"/>
      <c r="R48" s="1242"/>
    </row>
    <row r="49" spans="1:18" ht="15.75">
      <c r="A49" s="1897" t="str">
        <f>'Exh D-Governmental  '!A49</f>
        <v>Fund Balances (Deficits) at April 1</v>
      </c>
      <c r="B49" s="1124" t="s">
        <v>15</v>
      </c>
      <c r="C49" s="272">
        <v>8934</v>
      </c>
      <c r="D49" s="1812"/>
      <c r="E49" s="272">
        <v>8934</v>
      </c>
      <c r="F49" s="1812"/>
      <c r="G49" s="272">
        <f>'Exhibit F'!AC14</f>
        <v>8934.1</v>
      </c>
      <c r="H49" s="1812"/>
      <c r="I49" s="280">
        <f>ROUND(SUM(G49-C49),1)</f>
        <v>0.1</v>
      </c>
      <c r="J49" s="352"/>
      <c r="K49" s="280">
        <f>ROUND(SUM(G49-E49),1)</f>
        <v>0.1</v>
      </c>
      <c r="L49" s="272"/>
      <c r="M49" s="1242"/>
      <c r="N49" s="272"/>
      <c r="O49" s="1242"/>
      <c r="P49" s="280"/>
      <c r="Q49" s="1242"/>
      <c r="R49" s="1242"/>
    </row>
    <row r="50" spans="1:18" ht="18" customHeight="1" thickBot="1">
      <c r="A50" s="374" t="str">
        <f>'Exh D-Governmental  '!A50</f>
        <v>Fund Balances (Deficits) at January 31, 2017</v>
      </c>
      <c r="B50" s="381" t="s">
        <v>15</v>
      </c>
      <c r="C50" s="297">
        <f>ROUND(SUM(C47:C49),1)</f>
        <v>11734</v>
      </c>
      <c r="D50" s="382"/>
      <c r="E50" s="297">
        <f>ROUND(SUM(E47:E49),1)</f>
        <v>10378</v>
      </c>
      <c r="F50" s="382"/>
      <c r="G50" s="2749">
        <f>ROUND(SUM(G47:G49),1)</f>
        <v>11086.1</v>
      </c>
      <c r="H50" s="382"/>
      <c r="I50" s="297">
        <f>ROUND(SUM(I47:I49),1)</f>
        <v>-647.9</v>
      </c>
      <c r="J50" s="352"/>
      <c r="K50" s="297">
        <f>ROUND(SUM(K47:K49),1)</f>
        <v>708.1</v>
      </c>
      <c r="L50" s="422"/>
      <c r="M50" s="1893"/>
      <c r="N50" s="422"/>
      <c r="O50" s="1893"/>
      <c r="P50" s="422"/>
    </row>
    <row r="51" spans="1:18" ht="15" customHeight="1" thickTop="1">
      <c r="A51" s="356"/>
      <c r="G51" s="1124"/>
      <c r="J51" s="1124"/>
      <c r="L51" s="1320"/>
      <c r="M51" s="1894"/>
      <c r="N51" s="1894"/>
      <c r="O51" s="1894"/>
      <c r="P51" s="1894"/>
    </row>
    <row r="52" spans="1:18">
      <c r="A52" s="1816" t="s">
        <v>1484</v>
      </c>
      <c r="M52" s="1124"/>
      <c r="N52" s="1124"/>
      <c r="O52" s="1124"/>
      <c r="P52" s="1124"/>
    </row>
    <row r="53" spans="1:18">
      <c r="A53" s="1816" t="str">
        <f>'Exh D-Governmental  '!A53</f>
        <v>(**)    Source:  2017-18 Executive Budget dated January 17, 2017.</v>
      </c>
      <c r="M53" s="1124"/>
      <c r="N53" s="1124"/>
      <c r="O53" s="1124"/>
      <c r="P53" s="1124"/>
    </row>
    <row r="54" spans="1:18">
      <c r="A54" s="2783" t="s">
        <v>1456</v>
      </c>
      <c r="M54" s="1124"/>
      <c r="N54" s="1124"/>
      <c r="O54" s="1124"/>
      <c r="P54" s="1124"/>
    </row>
    <row r="55" spans="1:18">
      <c r="A55" s="1832" t="s">
        <v>1249</v>
      </c>
      <c r="M55" s="1124"/>
      <c r="N55" s="1124"/>
      <c r="O55" s="1124"/>
      <c r="P55" s="1124"/>
    </row>
    <row r="56" spans="1:18">
      <c r="A56" s="2783" t="s">
        <v>15</v>
      </c>
      <c r="M56" s="1124"/>
      <c r="N56" s="1124"/>
      <c r="O56" s="1124"/>
      <c r="P56" s="1124"/>
    </row>
    <row r="57" spans="1:18">
      <c r="A57" s="1832"/>
      <c r="M57" s="1124"/>
      <c r="N57" s="1124"/>
      <c r="O57" s="1124"/>
      <c r="P57" s="1124"/>
    </row>
    <row r="58" spans="1:18">
      <c r="M58" s="1124"/>
      <c r="N58" s="1124"/>
      <c r="O58" s="1124"/>
      <c r="P58" s="1124"/>
    </row>
    <row r="59" spans="1:18">
      <c r="A59" s="405"/>
      <c r="M59" s="1124"/>
      <c r="N59" s="1124"/>
      <c r="O59" s="1124"/>
      <c r="P59" s="1124"/>
    </row>
    <row r="60" spans="1:18">
      <c r="A60" s="405"/>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10"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2017-02-15T19:39:03Z</dcterms:created>
  <dcterms:modified xsi:type="dcterms:W3CDTF">2017-02-15T19:55:44Z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